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codeName="ThisWorkbook"/>
  <mc:AlternateContent xmlns:mc="http://schemas.openxmlformats.org/markup-compatibility/2006">
    <mc:Choice Requires="x15">
      <x15ac:absPath xmlns:x15ac="http://schemas.microsoft.com/office/spreadsheetml/2010/11/ac" url="C:\Users\takas\・個人フォルダー\01_サッカー関係\・（一社）大分県サッカー協会　第四種　ジュニアHP\2025\10.kyushu\"/>
    </mc:Choice>
  </mc:AlternateContent>
  <xr:revisionPtr revIDLastSave="0" documentId="13_ncr:1_{07827E7F-5D56-47DF-B517-8D485F323B47}" xr6:coauthVersionLast="47" xr6:coauthVersionMax="47" xr10:uidLastSave="{00000000-0000-0000-0000-000000000000}"/>
  <bookViews>
    <workbookView xWindow="34452" yWindow="-108" windowWidth="23256" windowHeight="12456" tabRatio="909" activeTab="3" xr2:uid="{00000000-000D-0000-FFFF-FFFF00000000}"/>
  </bookViews>
  <sheets>
    <sheet name="抽選会資料" sheetId="16" r:id="rId1"/>
    <sheet name="MCM資料" sheetId="84" state="hidden" r:id="rId2"/>
    <sheet name="抽選方法" sheetId="81" state="hidden" r:id="rId3"/>
    <sheet name="組み合わせ" sheetId="26" r:id="rId4"/>
    <sheet name="全日程スケジュール" sheetId="7" r:id="rId5"/>
    <sheet name="累積警告・退場" sheetId="50" r:id="rId6"/>
    <sheet name="2025年度優秀選手" sheetId="76" r:id="rId7"/>
    <sheet name="決勝【Match No,51】" sheetId="78" r:id="rId8"/>
    <sheet name="準決勝②【Match No,50】" sheetId="77" r:id="rId9"/>
    <sheet name="準決勝①【Match No,49】" sheetId="49" r:id="rId10"/>
    <sheet name="２次リーグ組み合わせ・結果" sheetId="80" r:id="rId11"/>
    <sheet name="１次リーグ組み合わせ・結果" sheetId="79" r:id="rId12"/>
    <sheet name="２次リーグ（豊肥）" sheetId="68" state="hidden" r:id="rId13"/>
    <sheet name="２次リーグ（佐伯）" sheetId="69" state="hidden" r:id="rId14"/>
    <sheet name="１次リーグ（中津）" sheetId="70" state="hidden" r:id="rId15"/>
    <sheet name="１次リーグ（別府）" sheetId="71" state="hidden" r:id="rId16"/>
    <sheet name="１次リーグ（日田・玖珠）" sheetId="72" state="hidden" r:id="rId17"/>
    <sheet name="１次リーグ（速杵国東）" sheetId="73" state="hidden" r:id="rId18"/>
    <sheet name="１次リーグ（宇佐高田）" sheetId="74" state="hidden" r:id="rId19"/>
    <sheet name="１次リーグ（臼杵・津久見）" sheetId="75" state="hidden" r:id="rId20"/>
    <sheet name="選手名簿" sheetId="53" state="hidden" r:id="rId21"/>
    <sheet name="審判員" sheetId="54" state="hidden" r:id="rId22"/>
    <sheet name="2025年度登録選手" sheetId="85" state="hidden" r:id="rId23"/>
  </sheets>
  <definedNames>
    <definedName name="_xlnm._FilterDatabase" localSheetId="22" hidden="1">'2025年度登録選手'!$A$1:$AM$2890</definedName>
    <definedName name="_xlnm._FilterDatabase" localSheetId="21" hidden="1">審判員!$A$1:$E$2809</definedName>
    <definedName name="_xlnm._FilterDatabase" localSheetId="20" hidden="1">選手名簿!$A$1:$I$1662</definedName>
    <definedName name="_xlnm._FilterDatabase" localSheetId="5" hidden="1">累積警告・退場!$A$4:$AA$41</definedName>
    <definedName name="_xlnm.Print_Area" localSheetId="18">'１次リーグ（宇佐高田）'!$A$1:$W$63</definedName>
    <definedName name="_xlnm.Print_Area" localSheetId="19">'１次リーグ（臼杵・津久見）'!$A$1:$W$63</definedName>
    <definedName name="_xlnm.Print_Area" localSheetId="17">'１次リーグ（速杵国東）'!$A$1:$W$63</definedName>
    <definedName name="_xlnm.Print_Area" localSheetId="14">'１次リーグ（中津）'!$A$1:$W$63</definedName>
    <definedName name="_xlnm.Print_Area" localSheetId="16">'１次リーグ（日田・玖珠）'!$A$1:$W$63</definedName>
    <definedName name="_xlnm.Print_Area" localSheetId="15">'１次リーグ（別府）'!$A$1:$W$63</definedName>
    <definedName name="_xlnm.Print_Area" localSheetId="11">'１次リーグ組み合わせ・結果'!$A$1:$AA$75,'１次リーグ組み合わせ・結果'!$AC$1:$BC$75,'１次リーグ組み合わせ・結果'!$BE$1:$CE$75</definedName>
    <definedName name="_xlnm.Print_Area" localSheetId="13">'２次リーグ（佐伯）'!$A$1:$W$63</definedName>
    <definedName name="_xlnm.Print_Area" localSheetId="12">'２次リーグ（豊肥）'!$A$1:$W$63</definedName>
    <definedName name="_xlnm.Print_Area" localSheetId="10">'２次リーグ組み合わせ・結果'!$A$1:$AA$59,'２次リーグ組み合わせ・結果'!$AC$1:$BC$59</definedName>
    <definedName name="_xlnm.Print_Area" localSheetId="1">MCM資料!$A$1:$AJ$117</definedName>
    <definedName name="_xlnm.Print_Area" localSheetId="7">'決勝【Match No,51】'!$A$1:$AJ$75</definedName>
    <definedName name="_xlnm.Print_Area" localSheetId="9">'準決勝①【Match No,49】'!$A$1:$AJ$75</definedName>
    <definedName name="_xlnm.Print_Area" localSheetId="8">'準決勝②【Match No,50】'!$A$1:$AJ$75</definedName>
    <definedName name="_xlnm.Print_Area" localSheetId="4">全日程スケジュール!$A$57:$M$76</definedName>
    <definedName name="_xlnm.Print_Area" localSheetId="3">組み合わせ!$A$1:$GA$90</definedName>
    <definedName name="_xlnm.Print_Area" localSheetId="5">累積警告・退場!$B$1:$AA$41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41" i="50" l="1"/>
  <c r="AC40" i="50"/>
  <c r="AC39" i="50"/>
  <c r="AC38" i="50"/>
  <c r="AC37" i="50"/>
  <c r="AC36" i="50"/>
  <c r="AC35" i="50"/>
  <c r="AC34" i="50"/>
  <c r="AC33" i="50"/>
  <c r="AC32" i="50"/>
  <c r="AC31" i="50"/>
  <c r="AC30" i="50"/>
  <c r="AC29" i="50"/>
  <c r="AC28" i="50"/>
  <c r="AC27" i="50"/>
  <c r="AC26" i="50"/>
  <c r="AC25" i="50"/>
  <c r="AC24" i="50"/>
  <c r="AC23" i="50"/>
  <c r="AC22" i="50"/>
  <c r="AC21" i="50"/>
  <c r="AC20" i="50"/>
  <c r="AC19" i="50"/>
  <c r="AC18" i="50"/>
  <c r="AC17" i="50"/>
  <c r="AC16" i="50"/>
  <c r="AC15" i="50"/>
  <c r="AC14" i="50"/>
  <c r="AC13" i="50"/>
  <c r="AC12" i="50"/>
  <c r="AC11" i="50"/>
  <c r="AC10" i="50"/>
  <c r="AC9" i="50"/>
  <c r="AC7" i="50"/>
  <c r="AC6" i="50"/>
  <c r="AC5" i="50"/>
  <c r="I9" i="50"/>
  <c r="C1607" i="53"/>
  <c r="C1606" i="53"/>
  <c r="C1605" i="53"/>
  <c r="C1604" i="53"/>
  <c r="C1603" i="53"/>
  <c r="C1602" i="53"/>
  <c r="C1601" i="53"/>
  <c r="C1600" i="53"/>
  <c r="C1599" i="53"/>
  <c r="C1598" i="53"/>
  <c r="C1597" i="53"/>
  <c r="C1596" i="53"/>
  <c r="C1595" i="53"/>
  <c r="C1594" i="53"/>
  <c r="C1593" i="53"/>
  <c r="C1592" i="53"/>
  <c r="C1591" i="53"/>
  <c r="C1590" i="53"/>
  <c r="C1589" i="53"/>
  <c r="C1588" i="53"/>
  <c r="C1587" i="53"/>
  <c r="C1586" i="53"/>
  <c r="C1585" i="53"/>
  <c r="C1584" i="53"/>
  <c r="C1583" i="53"/>
  <c r="C1582" i="53"/>
  <c r="C1581" i="53"/>
  <c r="C1580" i="53"/>
  <c r="C1579" i="53"/>
  <c r="C1578" i="53"/>
  <c r="C1577" i="53"/>
  <c r="C1576" i="53"/>
  <c r="C1575" i="53"/>
  <c r="C1574" i="53"/>
  <c r="C1573" i="53"/>
  <c r="C1572" i="53"/>
  <c r="C1571" i="53"/>
  <c r="C1570" i="53"/>
  <c r="C1569" i="53"/>
  <c r="C1568" i="53"/>
  <c r="C1567" i="53"/>
  <c r="C1566" i="53"/>
  <c r="C1565" i="53"/>
  <c r="C1564" i="53"/>
  <c r="C1563" i="53"/>
  <c r="C1562" i="53"/>
  <c r="C1561" i="53"/>
  <c r="C1560" i="53"/>
  <c r="C1559" i="53"/>
  <c r="C1558" i="53"/>
  <c r="C1557" i="53"/>
  <c r="C1556" i="53"/>
  <c r="C1555" i="53"/>
  <c r="C1554" i="53"/>
  <c r="C1553" i="53"/>
  <c r="C1552" i="53"/>
  <c r="C1551" i="53"/>
  <c r="C1550" i="53"/>
  <c r="C1549" i="53"/>
  <c r="C1548" i="53"/>
  <c r="C1547" i="53"/>
  <c r="C1546" i="53"/>
  <c r="C1545" i="53"/>
  <c r="C1544" i="53"/>
  <c r="C1543" i="53"/>
  <c r="C1542" i="53"/>
  <c r="C1541" i="53"/>
  <c r="C1540" i="53"/>
  <c r="C1539" i="53"/>
  <c r="C1538" i="53"/>
  <c r="C1537" i="53"/>
  <c r="C1536" i="53"/>
  <c r="C1535" i="53"/>
  <c r="C1534" i="53"/>
  <c r="C1533" i="53"/>
  <c r="C1532" i="53"/>
  <c r="C1531" i="53"/>
  <c r="C1530" i="53"/>
  <c r="C1529" i="53"/>
  <c r="C1528" i="53"/>
  <c r="C1527" i="53"/>
  <c r="C1526" i="53"/>
  <c r="C1525" i="53"/>
  <c r="C1524" i="53"/>
  <c r="C1523" i="53"/>
  <c r="C1522" i="53"/>
  <c r="C1521" i="53"/>
  <c r="C1520" i="53"/>
  <c r="C1519" i="53"/>
  <c r="C1518" i="53"/>
  <c r="C1517" i="53"/>
  <c r="C1516" i="53"/>
  <c r="C1515" i="53"/>
  <c r="C1514" i="53"/>
  <c r="C1513" i="53"/>
  <c r="C1512" i="53"/>
  <c r="C1511" i="53"/>
  <c r="C1510" i="53"/>
  <c r="C1509" i="53"/>
  <c r="C1508" i="53"/>
  <c r="C1507" i="53"/>
  <c r="C1506" i="53"/>
  <c r="C1505" i="53"/>
  <c r="C1504" i="53"/>
  <c r="C1503" i="53"/>
  <c r="C1502" i="53"/>
  <c r="C1501" i="53"/>
  <c r="C1500" i="53"/>
  <c r="C1499" i="53"/>
  <c r="C1498" i="53"/>
  <c r="C1497" i="53"/>
  <c r="C1496" i="53"/>
  <c r="C1495" i="53"/>
  <c r="C1494" i="53"/>
  <c r="C1493" i="53"/>
  <c r="C1492" i="53"/>
  <c r="C1491" i="53"/>
  <c r="C1490" i="53"/>
  <c r="C1489" i="53"/>
  <c r="C1488" i="53"/>
  <c r="C1487" i="53"/>
  <c r="C1486" i="53"/>
  <c r="C1485" i="53"/>
  <c r="C1484" i="53"/>
  <c r="C1483" i="53"/>
  <c r="C1482" i="53"/>
  <c r="C1481" i="53"/>
  <c r="C1480" i="53"/>
  <c r="C1479" i="53"/>
  <c r="C1478" i="53"/>
  <c r="C1477" i="53"/>
  <c r="C1476" i="53"/>
  <c r="C1475" i="53"/>
  <c r="C1474" i="53"/>
  <c r="C1473" i="53"/>
  <c r="C1472" i="53"/>
  <c r="C1471" i="53"/>
  <c r="C1470" i="53"/>
  <c r="C1469" i="53"/>
  <c r="C1468" i="53"/>
  <c r="C1467" i="53"/>
  <c r="C1466" i="53"/>
  <c r="C1465" i="53"/>
  <c r="C1464" i="53"/>
  <c r="C1463" i="53"/>
  <c r="C1462" i="53"/>
  <c r="C1461" i="53"/>
  <c r="C1460" i="53"/>
  <c r="C1459" i="53"/>
  <c r="C1458" i="53"/>
  <c r="C1457" i="53"/>
  <c r="C1456" i="53"/>
  <c r="C1455" i="53"/>
  <c r="C1454" i="53"/>
  <c r="C1453" i="53"/>
  <c r="C1452" i="53"/>
  <c r="C1451" i="53"/>
  <c r="C1450" i="53"/>
  <c r="C1449" i="53"/>
  <c r="C1448" i="53"/>
  <c r="C1447" i="53"/>
  <c r="C1446" i="53"/>
  <c r="C1445" i="53"/>
  <c r="C1444" i="53"/>
  <c r="C1443" i="53"/>
  <c r="C1442" i="53"/>
  <c r="C1441" i="53"/>
  <c r="C1440" i="53"/>
  <c r="C1439" i="53"/>
  <c r="C1438" i="53"/>
  <c r="C1437" i="53"/>
  <c r="C1436" i="53"/>
  <c r="C1435" i="53"/>
  <c r="C1434" i="53"/>
  <c r="C1433" i="53"/>
  <c r="C1432" i="53"/>
  <c r="C1431" i="53"/>
  <c r="C1430" i="53"/>
  <c r="C1429" i="53"/>
  <c r="C1428" i="53"/>
  <c r="C1427" i="53"/>
  <c r="C1426" i="53"/>
  <c r="C1425" i="53"/>
  <c r="C1424" i="53"/>
  <c r="C1423" i="53"/>
  <c r="C1422" i="53"/>
  <c r="C1421" i="53"/>
  <c r="C1420" i="53"/>
  <c r="C1419" i="53"/>
  <c r="C1418" i="53"/>
  <c r="C1417" i="53"/>
  <c r="C1416" i="53"/>
  <c r="C1415" i="53"/>
  <c r="C1414" i="53"/>
  <c r="C1413" i="53"/>
  <c r="C1412" i="53"/>
  <c r="C1411" i="53"/>
  <c r="C1410" i="53"/>
  <c r="C1409" i="53"/>
  <c r="C1408" i="53"/>
  <c r="C1407" i="53"/>
  <c r="C1406" i="53"/>
  <c r="C1405" i="53"/>
  <c r="C1404" i="53"/>
  <c r="C1403" i="53"/>
  <c r="C1402" i="53"/>
  <c r="C1401" i="53"/>
  <c r="C1400" i="53"/>
  <c r="C1399" i="53"/>
  <c r="C1398" i="53"/>
  <c r="C1397" i="53"/>
  <c r="C1396" i="53"/>
  <c r="C1395" i="53"/>
  <c r="C1394" i="53"/>
  <c r="C1393" i="53"/>
  <c r="C1392" i="53"/>
  <c r="C1391" i="53"/>
  <c r="C1390" i="53"/>
  <c r="C1389" i="53"/>
  <c r="C1388" i="53"/>
  <c r="C1387" i="53"/>
  <c r="C1386" i="53"/>
  <c r="C1385" i="53"/>
  <c r="C1384" i="53"/>
  <c r="C1383" i="53"/>
  <c r="C1382" i="53"/>
  <c r="C1381" i="53"/>
  <c r="C1380" i="53"/>
  <c r="C1379" i="53"/>
  <c r="C1378" i="53"/>
  <c r="C1377" i="53"/>
  <c r="C1376" i="53"/>
  <c r="C1375" i="53"/>
  <c r="C1374" i="53"/>
  <c r="C1373" i="53"/>
  <c r="C1372" i="53"/>
  <c r="C1371" i="53"/>
  <c r="C1370" i="53"/>
  <c r="C1369" i="53"/>
  <c r="C1368" i="53"/>
  <c r="C1367" i="53"/>
  <c r="C1366" i="53"/>
  <c r="C1365" i="53"/>
  <c r="C1364" i="53"/>
  <c r="C1363" i="53"/>
  <c r="C1362" i="53"/>
  <c r="C1361" i="53"/>
  <c r="C1360" i="53"/>
  <c r="C1359" i="53"/>
  <c r="C1358" i="53"/>
  <c r="C1357" i="53"/>
  <c r="C1356" i="53"/>
  <c r="C1355" i="53"/>
  <c r="C1354" i="53"/>
  <c r="C1353" i="53"/>
  <c r="C1352" i="53"/>
  <c r="C1351" i="53"/>
  <c r="C1350" i="53"/>
  <c r="C1349" i="53"/>
  <c r="C1348" i="53"/>
  <c r="C1347" i="53"/>
  <c r="C1346" i="53"/>
  <c r="C1345" i="53"/>
  <c r="C1344" i="53"/>
  <c r="C1343" i="53"/>
  <c r="C1342" i="53"/>
  <c r="C1341" i="53"/>
  <c r="C1340" i="53"/>
  <c r="C1339" i="53"/>
  <c r="C1338" i="53"/>
  <c r="C1337" i="53"/>
  <c r="C1336" i="53"/>
  <c r="C1335" i="53"/>
  <c r="C1334" i="53"/>
  <c r="C1333" i="53"/>
  <c r="C1332" i="53"/>
  <c r="C1331" i="53"/>
  <c r="C1330" i="53"/>
  <c r="C1329" i="53"/>
  <c r="C1328" i="53"/>
  <c r="C1327" i="53"/>
  <c r="C1326" i="53"/>
  <c r="C1325" i="53"/>
  <c r="C1324" i="53"/>
  <c r="C1323" i="53"/>
  <c r="C1322" i="53"/>
  <c r="C1321" i="53"/>
  <c r="C1320" i="53"/>
  <c r="C1319" i="53"/>
  <c r="C1318" i="53"/>
  <c r="C1317" i="53"/>
  <c r="C1316" i="53"/>
  <c r="C1315" i="53"/>
  <c r="C1314" i="53"/>
  <c r="C1313" i="53"/>
  <c r="C1312" i="53"/>
  <c r="C1311" i="53"/>
  <c r="C1310" i="53"/>
  <c r="C1309" i="53"/>
  <c r="C1308" i="53"/>
  <c r="C1307" i="53"/>
  <c r="C1306" i="53"/>
  <c r="C1305" i="53"/>
  <c r="C1304" i="53"/>
  <c r="C1303" i="53"/>
  <c r="C1302" i="53"/>
  <c r="C1301" i="53"/>
  <c r="C1300" i="53"/>
  <c r="C1299" i="53"/>
  <c r="C1298" i="53"/>
  <c r="C1297" i="53"/>
  <c r="C1296" i="53"/>
  <c r="C1295" i="53"/>
  <c r="C1294" i="53"/>
  <c r="C1293" i="53"/>
  <c r="C1292" i="53"/>
  <c r="C1291" i="53"/>
  <c r="C1290" i="53"/>
  <c r="C1289" i="53"/>
  <c r="C1288" i="53"/>
  <c r="C1287" i="53"/>
  <c r="C1286" i="53"/>
  <c r="C1285" i="53"/>
  <c r="C1284" i="53"/>
  <c r="C1283" i="53"/>
  <c r="C1282" i="53"/>
  <c r="C1281" i="53"/>
  <c r="C1280" i="53"/>
  <c r="C1279" i="53"/>
  <c r="C1278" i="53"/>
  <c r="C1277" i="53"/>
  <c r="C1276" i="53"/>
  <c r="C1275" i="53"/>
  <c r="C1274" i="53"/>
  <c r="C1273" i="53"/>
  <c r="C1272" i="53"/>
  <c r="C1271" i="53"/>
  <c r="C1270" i="53"/>
  <c r="C1269" i="53"/>
  <c r="C1268" i="53"/>
  <c r="C1267" i="53"/>
  <c r="C1266" i="53"/>
  <c r="C1265" i="53"/>
  <c r="C1264" i="53"/>
  <c r="C1263" i="53"/>
  <c r="C1262" i="53"/>
  <c r="C1261" i="53"/>
  <c r="C1260" i="53"/>
  <c r="C1259" i="53"/>
  <c r="C1258" i="53"/>
  <c r="C1257" i="53"/>
  <c r="C1256" i="53"/>
  <c r="C1255" i="53"/>
  <c r="C1254" i="53"/>
  <c r="C1253" i="53"/>
  <c r="C1252" i="53"/>
  <c r="C1251" i="53"/>
  <c r="C1250" i="53"/>
  <c r="C1249" i="53"/>
  <c r="C1248" i="53"/>
  <c r="C1247" i="53"/>
  <c r="C1246" i="53"/>
  <c r="C1245" i="53"/>
  <c r="C1244" i="53"/>
  <c r="C1243" i="53"/>
  <c r="C1242" i="53"/>
  <c r="C1241" i="53"/>
  <c r="C1240" i="53"/>
  <c r="C1239" i="53"/>
  <c r="C1238" i="53"/>
  <c r="C1237" i="53"/>
  <c r="C1236" i="53"/>
  <c r="C1235" i="53"/>
  <c r="C1234" i="53"/>
  <c r="C1233" i="53"/>
  <c r="C1232" i="53"/>
  <c r="C1231" i="53"/>
  <c r="C1230" i="53"/>
  <c r="C1229" i="53"/>
  <c r="C1228" i="53"/>
  <c r="C1227" i="53"/>
  <c r="C1226" i="53"/>
  <c r="C1225" i="53"/>
  <c r="C1224" i="53"/>
  <c r="C1223" i="53"/>
  <c r="C1222" i="53"/>
  <c r="C1221" i="53"/>
  <c r="C1220" i="53"/>
  <c r="C1219" i="53"/>
  <c r="C1218" i="53"/>
  <c r="C1217" i="53"/>
  <c r="C1216" i="53"/>
  <c r="C1215" i="53"/>
  <c r="C1214" i="53"/>
  <c r="C1213" i="53"/>
  <c r="C1212" i="53"/>
  <c r="C1211" i="53"/>
  <c r="C1210" i="53"/>
  <c r="C1209" i="53"/>
  <c r="C1208" i="53"/>
  <c r="C1207" i="53"/>
  <c r="C1206" i="53"/>
  <c r="C1205" i="53"/>
  <c r="C1204" i="53"/>
  <c r="C1203" i="53"/>
  <c r="C1202" i="53"/>
  <c r="C1201" i="53"/>
  <c r="C1200" i="53"/>
  <c r="C1199" i="53"/>
  <c r="C1198" i="53"/>
  <c r="C1197" i="53"/>
  <c r="C1196" i="53"/>
  <c r="C1195" i="53"/>
  <c r="C1194" i="53"/>
  <c r="C1193" i="53"/>
  <c r="C1192" i="53"/>
  <c r="C1191" i="53"/>
  <c r="C1190" i="53"/>
  <c r="C1189" i="53"/>
  <c r="C1188" i="53"/>
  <c r="C1187" i="53"/>
  <c r="C1186" i="53"/>
  <c r="C1185" i="53"/>
  <c r="C1184" i="53"/>
  <c r="C1183" i="53"/>
  <c r="C1182" i="53"/>
  <c r="C1181" i="53"/>
  <c r="C1180" i="53"/>
  <c r="C1179" i="53"/>
  <c r="C1178" i="53"/>
  <c r="C1177" i="53"/>
  <c r="C1176" i="53"/>
  <c r="C1175" i="53"/>
  <c r="C1174" i="53"/>
  <c r="C1173" i="53"/>
  <c r="C1172" i="53"/>
  <c r="C1171" i="53"/>
  <c r="C1170" i="53"/>
  <c r="C1169" i="53"/>
  <c r="C1168" i="53"/>
  <c r="C1167" i="53"/>
  <c r="C1166" i="53"/>
  <c r="C1165" i="53"/>
  <c r="C1164" i="53"/>
  <c r="C1163" i="53"/>
  <c r="C1162" i="53"/>
  <c r="C1161" i="53"/>
  <c r="C1160" i="53"/>
  <c r="C1159" i="53"/>
  <c r="C1158" i="53"/>
  <c r="C1157" i="53"/>
  <c r="C1156" i="53"/>
  <c r="C1155" i="53"/>
  <c r="C1154" i="53"/>
  <c r="C1153" i="53"/>
  <c r="C1152" i="53"/>
  <c r="C1151" i="53"/>
  <c r="C1150" i="53"/>
  <c r="C1149" i="53"/>
  <c r="C1148" i="53"/>
  <c r="C1147" i="53"/>
  <c r="C1146" i="53"/>
  <c r="C1145" i="53"/>
  <c r="C1144" i="53"/>
  <c r="C1143" i="53"/>
  <c r="C1142" i="53"/>
  <c r="C1141" i="53"/>
  <c r="C1140" i="53"/>
  <c r="C1139" i="53"/>
  <c r="C1138" i="53"/>
  <c r="C1137" i="53"/>
  <c r="C1136" i="53"/>
  <c r="C1135" i="53"/>
  <c r="C1134" i="53"/>
  <c r="C1133" i="53"/>
  <c r="C1132" i="53"/>
  <c r="C1131" i="53"/>
  <c r="C1130" i="53"/>
  <c r="C1129" i="53"/>
  <c r="C1128" i="53"/>
  <c r="C1127" i="53"/>
  <c r="C1126" i="53"/>
  <c r="C1125" i="53"/>
  <c r="C1124" i="53"/>
  <c r="C1123" i="53"/>
  <c r="C1122" i="53"/>
  <c r="C1121" i="53"/>
  <c r="C1120" i="53"/>
  <c r="C1119" i="53"/>
  <c r="C1118" i="53"/>
  <c r="C1117" i="53"/>
  <c r="C1116" i="53"/>
  <c r="C1115" i="53"/>
  <c r="C1114" i="53"/>
  <c r="C1113" i="53"/>
  <c r="C1112" i="53"/>
  <c r="C1111" i="53"/>
  <c r="C1110" i="53"/>
  <c r="C1109" i="53"/>
  <c r="C1108" i="53"/>
  <c r="C1107" i="53"/>
  <c r="C1106" i="53"/>
  <c r="C1105" i="53"/>
  <c r="C1104" i="53"/>
  <c r="C1103" i="53"/>
  <c r="C1102" i="53"/>
  <c r="C1101" i="53"/>
  <c r="C1100" i="53"/>
  <c r="C1099" i="53"/>
  <c r="C1098" i="53"/>
  <c r="C1097" i="53"/>
  <c r="C1096" i="53"/>
  <c r="C1095" i="53"/>
  <c r="C1094" i="53"/>
  <c r="C1093" i="53"/>
  <c r="C1092" i="53"/>
  <c r="C1091" i="53"/>
  <c r="C1090" i="53"/>
  <c r="C1089" i="53"/>
  <c r="C1088" i="53"/>
  <c r="C1087" i="53"/>
  <c r="C1086" i="53"/>
  <c r="C1085" i="53"/>
  <c r="C1084" i="53"/>
  <c r="C1083" i="53"/>
  <c r="C1082" i="53"/>
  <c r="C1081" i="53"/>
  <c r="C1080" i="53"/>
  <c r="C1079" i="53"/>
  <c r="C1078" i="53"/>
  <c r="C1077" i="53"/>
  <c r="C1076" i="53"/>
  <c r="C1075" i="53"/>
  <c r="C1074" i="53"/>
  <c r="C1073" i="53"/>
  <c r="C1072" i="53"/>
  <c r="C1071" i="53"/>
  <c r="C1070" i="53"/>
  <c r="C1069" i="53"/>
  <c r="C1068" i="53"/>
  <c r="C1067" i="53"/>
  <c r="C1066" i="53"/>
  <c r="C1065" i="53"/>
  <c r="C1064" i="53"/>
  <c r="C1063" i="53"/>
  <c r="C1062" i="53"/>
  <c r="C1061" i="53"/>
  <c r="C1060" i="53"/>
  <c r="C1059" i="53"/>
  <c r="C1058" i="53"/>
  <c r="C1057" i="53"/>
  <c r="C1056" i="53"/>
  <c r="C1055" i="53"/>
  <c r="C1054" i="53"/>
  <c r="C1053" i="53"/>
  <c r="C1052" i="53"/>
  <c r="C1051" i="53"/>
  <c r="C1050" i="53"/>
  <c r="C1049" i="53"/>
  <c r="C1048" i="53"/>
  <c r="C1047" i="53"/>
  <c r="C1046" i="53"/>
  <c r="C1045" i="53"/>
  <c r="C1044" i="53"/>
  <c r="C1043" i="53"/>
  <c r="C1042" i="53"/>
  <c r="C1041" i="53"/>
  <c r="C1040" i="53"/>
  <c r="C1039" i="53"/>
  <c r="C1038" i="53"/>
  <c r="C1037" i="53"/>
  <c r="C1036" i="53"/>
  <c r="C1035" i="53"/>
  <c r="C1034" i="53"/>
  <c r="C1033" i="53"/>
  <c r="C1032" i="53"/>
  <c r="C1031" i="53"/>
  <c r="C1030" i="53"/>
  <c r="C1029" i="53"/>
  <c r="C1028" i="53"/>
  <c r="C1027" i="53"/>
  <c r="C1026" i="53"/>
  <c r="C1025" i="53"/>
  <c r="C1024" i="53"/>
  <c r="C1023" i="53"/>
  <c r="C1022" i="53"/>
  <c r="C1021" i="53"/>
  <c r="C1020" i="53"/>
  <c r="C1019" i="53"/>
  <c r="C1018" i="53"/>
  <c r="C1017" i="53"/>
  <c r="C1016" i="53"/>
  <c r="C1015" i="53"/>
  <c r="C1014" i="53"/>
  <c r="C1013" i="53"/>
  <c r="C1012" i="53"/>
  <c r="C1011" i="53"/>
  <c r="C1010" i="53"/>
  <c r="C1009" i="53"/>
  <c r="C1008" i="53"/>
  <c r="C1007" i="53"/>
  <c r="C1006" i="53"/>
  <c r="C1005" i="53"/>
  <c r="C1004" i="53"/>
  <c r="C1003" i="53"/>
  <c r="C1002" i="53"/>
  <c r="C1001" i="53"/>
  <c r="C1000" i="53"/>
  <c r="C999" i="53"/>
  <c r="C998" i="53"/>
  <c r="C997" i="53"/>
  <c r="C996" i="53"/>
  <c r="C995" i="53"/>
  <c r="C994" i="53"/>
  <c r="C993" i="53"/>
  <c r="C992" i="53"/>
  <c r="C991" i="53"/>
  <c r="C990" i="53"/>
  <c r="C989" i="53"/>
  <c r="C988" i="53"/>
  <c r="C987" i="53"/>
  <c r="C986" i="53"/>
  <c r="C985" i="53"/>
  <c r="C984" i="53"/>
  <c r="C983" i="53"/>
  <c r="C982" i="53"/>
  <c r="C981" i="53"/>
  <c r="C980" i="53"/>
  <c r="C979" i="53"/>
  <c r="C978" i="53"/>
  <c r="C977" i="53"/>
  <c r="C976" i="53"/>
  <c r="C975" i="53"/>
  <c r="C974" i="53"/>
  <c r="C973" i="53"/>
  <c r="C972" i="53"/>
  <c r="C971" i="53"/>
  <c r="C970" i="53"/>
  <c r="C969" i="53"/>
  <c r="C968" i="53"/>
  <c r="C967" i="53"/>
  <c r="C966" i="53"/>
  <c r="C965" i="53"/>
  <c r="C964" i="53"/>
  <c r="C963" i="53"/>
  <c r="C962" i="53"/>
  <c r="C961" i="53"/>
  <c r="C960" i="53"/>
  <c r="C959" i="53"/>
  <c r="C958" i="53"/>
  <c r="C957" i="53"/>
  <c r="C956" i="53"/>
  <c r="C955" i="53"/>
  <c r="C954" i="53"/>
  <c r="C953" i="53"/>
  <c r="C952" i="53"/>
  <c r="C951" i="53"/>
  <c r="C950" i="53"/>
  <c r="C949" i="53"/>
  <c r="C948" i="53"/>
  <c r="C947" i="53"/>
  <c r="C946" i="53"/>
  <c r="C945" i="53"/>
  <c r="C944" i="53"/>
  <c r="C943" i="53"/>
  <c r="C942" i="53"/>
  <c r="C941" i="53"/>
  <c r="C940" i="53"/>
  <c r="C939" i="53"/>
  <c r="C938" i="53"/>
  <c r="C937" i="53"/>
  <c r="C936" i="53"/>
  <c r="C935" i="53"/>
  <c r="C934" i="53"/>
  <c r="C933" i="53"/>
  <c r="C932" i="53"/>
  <c r="C931" i="53"/>
  <c r="C930" i="53"/>
  <c r="C929" i="53"/>
  <c r="C928" i="53"/>
  <c r="C927" i="53"/>
  <c r="C926" i="53"/>
  <c r="C925" i="53"/>
  <c r="C924" i="53"/>
  <c r="C923" i="53"/>
  <c r="C922" i="53"/>
  <c r="C921" i="53"/>
  <c r="C920" i="53"/>
  <c r="C919" i="53"/>
  <c r="C918" i="53"/>
  <c r="C917" i="53"/>
  <c r="C916" i="53"/>
  <c r="C915" i="53"/>
  <c r="C914" i="53"/>
  <c r="C913" i="53"/>
  <c r="C912" i="53"/>
  <c r="C911" i="53"/>
  <c r="C910" i="53"/>
  <c r="C909" i="53"/>
  <c r="C908" i="53"/>
  <c r="C907" i="53"/>
  <c r="C906" i="53"/>
  <c r="C905" i="53"/>
  <c r="C904" i="53"/>
  <c r="C903" i="53"/>
  <c r="C902" i="53"/>
  <c r="C901" i="53"/>
  <c r="C900" i="53"/>
  <c r="C899" i="53"/>
  <c r="C898" i="53"/>
  <c r="C897" i="53"/>
  <c r="C896" i="53"/>
  <c r="C895" i="53"/>
  <c r="C894" i="53"/>
  <c r="C893" i="53"/>
  <c r="C892" i="53"/>
  <c r="C891" i="53"/>
  <c r="C890" i="53"/>
  <c r="C889" i="53"/>
  <c r="C888" i="53"/>
  <c r="C887" i="53"/>
  <c r="C886" i="53"/>
  <c r="C885" i="53"/>
  <c r="C884" i="53"/>
  <c r="C883" i="53"/>
  <c r="C882" i="53"/>
  <c r="C881" i="53"/>
  <c r="C880" i="53"/>
  <c r="C879" i="53"/>
  <c r="C878" i="53"/>
  <c r="C877" i="53"/>
  <c r="C876" i="53"/>
  <c r="C875" i="53"/>
  <c r="C874" i="53"/>
  <c r="C873" i="53"/>
  <c r="C872" i="53"/>
  <c r="C871" i="53"/>
  <c r="C870" i="53"/>
  <c r="C869" i="53"/>
  <c r="C868" i="53"/>
  <c r="C867" i="53"/>
  <c r="C866" i="53"/>
  <c r="C865" i="53"/>
  <c r="C864" i="53"/>
  <c r="C863" i="53"/>
  <c r="C862" i="53"/>
  <c r="C861" i="53"/>
  <c r="C860" i="53"/>
  <c r="C859" i="53"/>
  <c r="C858" i="53"/>
  <c r="C857" i="53"/>
  <c r="C856" i="53"/>
  <c r="C855" i="53"/>
  <c r="C854" i="53"/>
  <c r="C853" i="53"/>
  <c r="C852" i="53"/>
  <c r="C851" i="53"/>
  <c r="C850" i="53"/>
  <c r="C849" i="53"/>
  <c r="C848" i="53"/>
  <c r="C847" i="53"/>
  <c r="C846" i="53"/>
  <c r="C845" i="53"/>
  <c r="C844" i="53"/>
  <c r="C843" i="53"/>
  <c r="C842" i="53"/>
  <c r="C841" i="53"/>
  <c r="C840" i="53"/>
  <c r="C839" i="53"/>
  <c r="C838" i="53"/>
  <c r="C837" i="53"/>
  <c r="C836" i="53"/>
  <c r="C835" i="53"/>
  <c r="C834" i="53"/>
  <c r="C833" i="53"/>
  <c r="C832" i="53"/>
  <c r="C831" i="53"/>
  <c r="C830" i="53"/>
  <c r="C829" i="53"/>
  <c r="C828" i="53"/>
  <c r="C827" i="53"/>
  <c r="C826" i="53"/>
  <c r="C825" i="53"/>
  <c r="C824" i="53"/>
  <c r="C823" i="53"/>
  <c r="C822" i="53"/>
  <c r="C821" i="53"/>
  <c r="C820" i="53"/>
  <c r="C819" i="53"/>
  <c r="C818" i="53"/>
  <c r="C817" i="53"/>
  <c r="C816" i="53"/>
  <c r="C815" i="53"/>
  <c r="C814" i="53"/>
  <c r="C813" i="53"/>
  <c r="C812" i="53"/>
  <c r="C811" i="53"/>
  <c r="C810" i="53"/>
  <c r="C809" i="53"/>
  <c r="C808" i="53"/>
  <c r="C807" i="53"/>
  <c r="C806" i="53"/>
  <c r="C805" i="53"/>
  <c r="C804" i="53"/>
  <c r="C803" i="53"/>
  <c r="C802" i="53"/>
  <c r="C801" i="53"/>
  <c r="C800" i="53"/>
  <c r="C799" i="53"/>
  <c r="C798" i="53"/>
  <c r="C797" i="53"/>
  <c r="C796" i="53"/>
  <c r="C795" i="53"/>
  <c r="C794" i="53"/>
  <c r="C793" i="53"/>
  <c r="C792" i="53"/>
  <c r="C791" i="53"/>
  <c r="C790" i="53"/>
  <c r="C789" i="53"/>
  <c r="C788" i="53"/>
  <c r="C787" i="53"/>
  <c r="C786" i="53"/>
  <c r="C785" i="53"/>
  <c r="C784" i="53"/>
  <c r="C783" i="53"/>
  <c r="C782" i="53"/>
  <c r="C781" i="53"/>
  <c r="C780" i="53"/>
  <c r="C779" i="53"/>
  <c r="C778" i="53"/>
  <c r="C777" i="53"/>
  <c r="C776" i="53"/>
  <c r="C775" i="53"/>
  <c r="C774" i="53"/>
  <c r="C773" i="53"/>
  <c r="C772" i="53"/>
  <c r="C771" i="53"/>
  <c r="C770" i="53"/>
  <c r="C769" i="53"/>
  <c r="C768" i="53"/>
  <c r="C767" i="53"/>
  <c r="C766" i="53"/>
  <c r="C765" i="53"/>
  <c r="C764" i="53"/>
  <c r="C763" i="53"/>
  <c r="C762" i="53"/>
  <c r="C761" i="53"/>
  <c r="C760" i="53"/>
  <c r="C759" i="53"/>
  <c r="C758" i="53"/>
  <c r="C757" i="53"/>
  <c r="C756" i="53"/>
  <c r="C755" i="53"/>
  <c r="C754" i="53"/>
  <c r="C753" i="53"/>
  <c r="C752" i="53"/>
  <c r="C751" i="53"/>
  <c r="C750" i="53"/>
  <c r="C749" i="53"/>
  <c r="C748" i="53"/>
  <c r="C747" i="53"/>
  <c r="C746" i="53"/>
  <c r="C745" i="53"/>
  <c r="C744" i="53"/>
  <c r="C743" i="53"/>
  <c r="C742" i="53"/>
  <c r="C741" i="53"/>
  <c r="C740" i="53"/>
  <c r="C739" i="53"/>
  <c r="C738" i="53"/>
  <c r="C737" i="53"/>
  <c r="C736" i="53"/>
  <c r="C735" i="53"/>
  <c r="C734" i="53"/>
  <c r="C733" i="53"/>
  <c r="C732" i="53"/>
  <c r="C731" i="53"/>
  <c r="C730" i="53"/>
  <c r="C729" i="53"/>
  <c r="C728" i="53"/>
  <c r="C727" i="53"/>
  <c r="C726" i="53"/>
  <c r="C725" i="53"/>
  <c r="C724" i="53"/>
  <c r="C723" i="53"/>
  <c r="C722" i="53"/>
  <c r="C721" i="53"/>
  <c r="C720" i="53"/>
  <c r="C719" i="53"/>
  <c r="C718" i="53"/>
  <c r="C717" i="53"/>
  <c r="C716" i="53"/>
  <c r="C715" i="53"/>
  <c r="C714" i="53"/>
  <c r="C713" i="53"/>
  <c r="C712" i="53"/>
  <c r="C711" i="53"/>
  <c r="C710" i="53"/>
  <c r="C709" i="53"/>
  <c r="C708" i="53"/>
  <c r="C707" i="53"/>
  <c r="C706" i="53"/>
  <c r="C705" i="53"/>
  <c r="C704" i="53"/>
  <c r="C703" i="53"/>
  <c r="C702" i="53"/>
  <c r="C701" i="53"/>
  <c r="C700" i="53"/>
  <c r="C699" i="53"/>
  <c r="C698" i="53"/>
  <c r="C697" i="53"/>
  <c r="C696" i="53"/>
  <c r="C695" i="53"/>
  <c r="C694" i="53"/>
  <c r="C693" i="53"/>
  <c r="C692" i="53"/>
  <c r="C691" i="53"/>
  <c r="C690" i="53"/>
  <c r="C689" i="53"/>
  <c r="C688" i="53"/>
  <c r="C687" i="53"/>
  <c r="C686" i="53"/>
  <c r="C685" i="53"/>
  <c r="C684" i="53"/>
  <c r="C683" i="53"/>
  <c r="C682" i="53"/>
  <c r="C681" i="53"/>
  <c r="C680" i="53"/>
  <c r="C679" i="53"/>
  <c r="C678" i="53"/>
  <c r="C677" i="53"/>
  <c r="C676" i="53"/>
  <c r="C675" i="53"/>
  <c r="C674" i="53"/>
  <c r="C673" i="53"/>
  <c r="C672" i="53"/>
  <c r="C671" i="53"/>
  <c r="C670" i="53"/>
  <c r="C669" i="53"/>
  <c r="C668" i="53"/>
  <c r="C667" i="53"/>
  <c r="C666" i="53"/>
  <c r="C665" i="53"/>
  <c r="C664" i="53"/>
  <c r="C663" i="53"/>
  <c r="C662" i="53"/>
  <c r="C661" i="53"/>
  <c r="C660" i="53"/>
  <c r="C659" i="53"/>
  <c r="C658" i="53"/>
  <c r="C657" i="53"/>
  <c r="C656" i="53"/>
  <c r="C655" i="53"/>
  <c r="C654" i="53"/>
  <c r="C653" i="53"/>
  <c r="C652" i="53"/>
  <c r="C651" i="53"/>
  <c r="C650" i="53"/>
  <c r="C649" i="53"/>
  <c r="C648" i="53"/>
  <c r="C647" i="53"/>
  <c r="C646" i="53"/>
  <c r="C645" i="53"/>
  <c r="C644" i="53"/>
  <c r="C643" i="53"/>
  <c r="C642" i="53"/>
  <c r="C641" i="53"/>
  <c r="C640" i="53"/>
  <c r="C639" i="53"/>
  <c r="C638" i="53"/>
  <c r="C637" i="53"/>
  <c r="C636" i="53"/>
  <c r="C635" i="53"/>
  <c r="C634" i="53"/>
  <c r="C633" i="53"/>
  <c r="C632" i="53"/>
  <c r="C631" i="53"/>
  <c r="C630" i="53"/>
  <c r="C629" i="53"/>
  <c r="C628" i="53"/>
  <c r="C627" i="53"/>
  <c r="C626" i="53"/>
  <c r="C625" i="53"/>
  <c r="C624" i="53"/>
  <c r="C623" i="53"/>
  <c r="C622" i="53"/>
  <c r="C621" i="53"/>
  <c r="C620" i="53"/>
  <c r="C619" i="53"/>
  <c r="C618" i="53"/>
  <c r="C617" i="53"/>
  <c r="C616" i="53"/>
  <c r="C615" i="53"/>
  <c r="C614" i="53"/>
  <c r="C613" i="53"/>
  <c r="C612" i="53"/>
  <c r="C611" i="53"/>
  <c r="C610" i="53"/>
  <c r="C609" i="53"/>
  <c r="C608" i="53"/>
  <c r="C607" i="53"/>
  <c r="C606" i="53"/>
  <c r="C605" i="53"/>
  <c r="C604" i="53"/>
  <c r="C603" i="53"/>
  <c r="C602" i="53"/>
  <c r="C601" i="53"/>
  <c r="C600" i="53"/>
  <c r="C599" i="53"/>
  <c r="C598" i="53"/>
  <c r="C597" i="53"/>
  <c r="C596" i="53"/>
  <c r="C595" i="53"/>
  <c r="C594" i="53"/>
  <c r="C593" i="53"/>
  <c r="C592" i="53"/>
  <c r="C591" i="53"/>
  <c r="C590" i="53"/>
  <c r="C589" i="53"/>
  <c r="C588" i="53"/>
  <c r="C587" i="53"/>
  <c r="C586" i="53"/>
  <c r="C585" i="53"/>
  <c r="C584" i="53"/>
  <c r="C583" i="53"/>
  <c r="C582" i="53"/>
  <c r="C581" i="53"/>
  <c r="C580" i="53"/>
  <c r="C579" i="53"/>
  <c r="C578" i="53"/>
  <c r="C577" i="53"/>
  <c r="C576" i="53"/>
  <c r="C575" i="53"/>
  <c r="C574" i="53"/>
  <c r="C573" i="53"/>
  <c r="C572" i="53"/>
  <c r="C571" i="53"/>
  <c r="C570" i="53"/>
  <c r="C569" i="53"/>
  <c r="C568" i="53"/>
  <c r="C567" i="53"/>
  <c r="C566" i="53"/>
  <c r="C565" i="53"/>
  <c r="C564" i="53"/>
  <c r="C563" i="53"/>
  <c r="C562" i="53"/>
  <c r="C561" i="53"/>
  <c r="C560" i="53"/>
  <c r="C559" i="53"/>
  <c r="C558" i="53"/>
  <c r="C557" i="53"/>
  <c r="C556" i="53"/>
  <c r="C555" i="53"/>
  <c r="C554" i="53"/>
  <c r="C553" i="53"/>
  <c r="C552" i="53"/>
  <c r="C551" i="53"/>
  <c r="C550" i="53"/>
  <c r="C549" i="53"/>
  <c r="C548" i="53"/>
  <c r="C547" i="53"/>
  <c r="C546" i="53"/>
  <c r="C545" i="53"/>
  <c r="C544" i="53"/>
  <c r="C543" i="53"/>
  <c r="C542" i="53"/>
  <c r="C541" i="53"/>
  <c r="C540" i="53"/>
  <c r="C539" i="53"/>
  <c r="C538" i="53"/>
  <c r="C537" i="53"/>
  <c r="C536" i="53"/>
  <c r="C535" i="53"/>
  <c r="C534" i="53"/>
  <c r="C533" i="53"/>
  <c r="C532" i="53"/>
  <c r="C531" i="53"/>
  <c r="C530" i="53"/>
  <c r="C529" i="53"/>
  <c r="C528" i="53"/>
  <c r="C527" i="53"/>
  <c r="C526" i="53"/>
  <c r="C525" i="53"/>
  <c r="C524" i="53"/>
  <c r="C523" i="53"/>
  <c r="C522" i="53"/>
  <c r="C521" i="53"/>
  <c r="C520" i="53"/>
  <c r="C519" i="53"/>
  <c r="C518" i="53"/>
  <c r="C517" i="53"/>
  <c r="C516" i="53"/>
  <c r="C515" i="53"/>
  <c r="C514" i="53"/>
  <c r="C513" i="53"/>
  <c r="C512" i="53"/>
  <c r="C511" i="53"/>
  <c r="C510" i="53"/>
  <c r="C509" i="53"/>
  <c r="C508" i="53"/>
  <c r="C507" i="53"/>
  <c r="C506" i="53"/>
  <c r="C505" i="53"/>
  <c r="C504" i="53"/>
  <c r="C503" i="53"/>
  <c r="C502" i="53"/>
  <c r="C501" i="53"/>
  <c r="C500" i="53"/>
  <c r="C499" i="53"/>
  <c r="C498" i="53"/>
  <c r="C497" i="53"/>
  <c r="C496" i="53"/>
  <c r="C495" i="53"/>
  <c r="C494" i="53"/>
  <c r="C493" i="53"/>
  <c r="C492" i="53"/>
  <c r="C491" i="53"/>
  <c r="C490" i="53"/>
  <c r="C489" i="53"/>
  <c r="C488" i="53"/>
  <c r="C487" i="53"/>
  <c r="C486" i="53"/>
  <c r="C485" i="53"/>
  <c r="C484" i="53"/>
  <c r="C483" i="53"/>
  <c r="C482" i="53"/>
  <c r="C481" i="53"/>
  <c r="C480" i="53"/>
  <c r="C479" i="53"/>
  <c r="C478" i="53"/>
  <c r="C477" i="53"/>
  <c r="C476" i="53"/>
  <c r="C475" i="53"/>
  <c r="C474" i="53"/>
  <c r="C473" i="53"/>
  <c r="C472" i="53"/>
  <c r="C471" i="53"/>
  <c r="C470" i="53"/>
  <c r="C469" i="53"/>
  <c r="C468" i="53"/>
  <c r="C467" i="53"/>
  <c r="C466" i="53"/>
  <c r="C465" i="53"/>
  <c r="C464" i="53"/>
  <c r="C463" i="53"/>
  <c r="C462" i="53"/>
  <c r="C461" i="53"/>
  <c r="C460" i="53"/>
  <c r="C459" i="53"/>
  <c r="C458" i="53"/>
  <c r="C457" i="53"/>
  <c r="C456" i="53"/>
  <c r="C455" i="53"/>
  <c r="C454" i="53"/>
  <c r="C453" i="53"/>
  <c r="C452" i="53"/>
  <c r="C451" i="53"/>
  <c r="C450" i="53"/>
  <c r="C449" i="53"/>
  <c r="C448" i="53"/>
  <c r="C447" i="53"/>
  <c r="C446" i="53"/>
  <c r="C445" i="53"/>
  <c r="C444" i="53"/>
  <c r="C443" i="53"/>
  <c r="C442" i="53"/>
  <c r="C441" i="53"/>
  <c r="C440" i="53"/>
  <c r="C439" i="53"/>
  <c r="C438" i="53"/>
  <c r="C437" i="53"/>
  <c r="C436" i="53"/>
  <c r="C435" i="53"/>
  <c r="C434" i="53"/>
  <c r="C433" i="53"/>
  <c r="C432" i="53"/>
  <c r="C431" i="53"/>
  <c r="C430" i="53"/>
  <c r="C429" i="53"/>
  <c r="C428" i="53"/>
  <c r="C427" i="53"/>
  <c r="C426" i="53"/>
  <c r="C425" i="53"/>
  <c r="C424" i="53"/>
  <c r="C423" i="53"/>
  <c r="C422" i="53"/>
  <c r="C421" i="53"/>
  <c r="C420" i="53"/>
  <c r="C419" i="53"/>
  <c r="C418" i="53"/>
  <c r="C417" i="53"/>
  <c r="C416" i="53"/>
  <c r="C415" i="53"/>
  <c r="C414" i="53"/>
  <c r="C413" i="53"/>
  <c r="C412" i="53"/>
  <c r="C411" i="53"/>
  <c r="C410" i="53"/>
  <c r="C409" i="53"/>
  <c r="C408" i="53"/>
  <c r="C407" i="53"/>
  <c r="C406" i="53"/>
  <c r="C405" i="53"/>
  <c r="C404" i="53"/>
  <c r="C403" i="53"/>
  <c r="C402" i="53"/>
  <c r="C401" i="53"/>
  <c r="C400" i="53"/>
  <c r="C399" i="53"/>
  <c r="C398" i="53"/>
  <c r="C397" i="53"/>
  <c r="C396" i="53"/>
  <c r="C395" i="53"/>
  <c r="C394" i="53"/>
  <c r="C393" i="53"/>
  <c r="C392" i="53"/>
  <c r="C391" i="53"/>
  <c r="C390" i="53"/>
  <c r="C389" i="53"/>
  <c r="C388" i="53"/>
  <c r="C387" i="53"/>
  <c r="C386" i="53"/>
  <c r="C385" i="53"/>
  <c r="C384" i="53"/>
  <c r="C383" i="53"/>
  <c r="C382" i="53"/>
  <c r="C381" i="53"/>
  <c r="C380" i="53"/>
  <c r="C379" i="53"/>
  <c r="C378" i="53"/>
  <c r="C377" i="53"/>
  <c r="C376" i="53"/>
  <c r="C375" i="53"/>
  <c r="C374" i="53"/>
  <c r="C373" i="53"/>
  <c r="C372" i="53"/>
  <c r="C371" i="53"/>
  <c r="C370" i="53"/>
  <c r="C369" i="53"/>
  <c r="C368" i="53"/>
  <c r="C367" i="53"/>
  <c r="C366" i="53"/>
  <c r="C365" i="53"/>
  <c r="C364" i="53"/>
  <c r="C363" i="53"/>
  <c r="C362" i="53"/>
  <c r="C361" i="53"/>
  <c r="C360" i="53"/>
  <c r="C359" i="53"/>
  <c r="C358" i="53"/>
  <c r="C357" i="53"/>
  <c r="C356" i="53"/>
  <c r="C355" i="53"/>
  <c r="C354" i="53"/>
  <c r="C353" i="53"/>
  <c r="C352" i="53"/>
  <c r="C351" i="53"/>
  <c r="C350" i="53"/>
  <c r="C349" i="53"/>
  <c r="C348" i="53"/>
  <c r="C347" i="53"/>
  <c r="C346" i="53"/>
  <c r="C345" i="53"/>
  <c r="C344" i="53"/>
  <c r="C343" i="53"/>
  <c r="C342" i="53"/>
  <c r="C341" i="53"/>
  <c r="C340" i="53"/>
  <c r="C339" i="53"/>
  <c r="C338" i="53"/>
  <c r="C337" i="53"/>
  <c r="C336" i="53"/>
  <c r="C335" i="53"/>
  <c r="C334" i="53"/>
  <c r="C333" i="53"/>
  <c r="C332" i="53"/>
  <c r="C331" i="53"/>
  <c r="C330" i="53"/>
  <c r="C329" i="53"/>
  <c r="C328" i="53"/>
  <c r="C327" i="53"/>
  <c r="C326" i="53"/>
  <c r="C325" i="53"/>
  <c r="C324" i="53"/>
  <c r="C323" i="53"/>
  <c r="C322" i="53"/>
  <c r="C321" i="53"/>
  <c r="C320" i="53"/>
  <c r="C319" i="53"/>
  <c r="C318" i="53"/>
  <c r="C317" i="53"/>
  <c r="C316" i="53"/>
  <c r="C315" i="53"/>
  <c r="C314" i="53"/>
  <c r="C313" i="53"/>
  <c r="C312" i="53"/>
  <c r="C311" i="53"/>
  <c r="C310" i="53"/>
  <c r="C309" i="53"/>
  <c r="C308" i="53"/>
  <c r="C307" i="53"/>
  <c r="C306" i="53"/>
  <c r="C305" i="53"/>
  <c r="C304" i="53"/>
  <c r="C303" i="53"/>
  <c r="C302" i="53"/>
  <c r="C301" i="53"/>
  <c r="C300" i="53"/>
  <c r="C299" i="53"/>
  <c r="C298" i="53"/>
  <c r="C297" i="53"/>
  <c r="C296" i="53"/>
  <c r="C295" i="53"/>
  <c r="C294" i="53"/>
  <c r="C293" i="53"/>
  <c r="C292" i="53"/>
  <c r="C291" i="53"/>
  <c r="C290" i="53"/>
  <c r="C289" i="53"/>
  <c r="C288" i="53"/>
  <c r="C287" i="53"/>
  <c r="C286" i="53"/>
  <c r="C285" i="53"/>
  <c r="C284" i="53"/>
  <c r="C283" i="53"/>
  <c r="C282" i="53"/>
  <c r="C281" i="53"/>
  <c r="C280" i="53"/>
  <c r="C279" i="53"/>
  <c r="C278" i="53"/>
  <c r="C277" i="53"/>
  <c r="C276" i="53"/>
  <c r="C275" i="53"/>
  <c r="C274" i="53"/>
  <c r="C273" i="53"/>
  <c r="C272" i="53"/>
  <c r="C271" i="53"/>
  <c r="C270" i="53"/>
  <c r="C269" i="53"/>
  <c r="C268" i="53"/>
  <c r="C267" i="53"/>
  <c r="C266" i="53"/>
  <c r="C265" i="53"/>
  <c r="C264" i="53"/>
  <c r="C263" i="53"/>
  <c r="C262" i="53"/>
  <c r="C261" i="53"/>
  <c r="C260" i="53"/>
  <c r="C259" i="53"/>
  <c r="C258" i="53"/>
  <c r="C257" i="53"/>
  <c r="C256" i="53"/>
  <c r="C255" i="53"/>
  <c r="C254" i="53"/>
  <c r="C253" i="53"/>
  <c r="C252" i="53"/>
  <c r="C251" i="53"/>
  <c r="C250" i="53"/>
  <c r="C249" i="53"/>
  <c r="C248" i="53"/>
  <c r="C247" i="53"/>
  <c r="C246" i="53"/>
  <c r="C245" i="53"/>
  <c r="C244" i="53"/>
  <c r="C243" i="53"/>
  <c r="C242" i="53"/>
  <c r="C241" i="53"/>
  <c r="C240" i="53"/>
  <c r="C239" i="53"/>
  <c r="C238" i="53"/>
  <c r="C237" i="53"/>
  <c r="C236" i="53"/>
  <c r="C235" i="53"/>
  <c r="C234" i="53"/>
  <c r="C233" i="53"/>
  <c r="C232" i="53"/>
  <c r="C231" i="53"/>
  <c r="C230" i="53"/>
  <c r="C229" i="53"/>
  <c r="C228" i="53"/>
  <c r="C227" i="53"/>
  <c r="C226" i="53"/>
  <c r="C225" i="53"/>
  <c r="C224" i="53"/>
  <c r="C223" i="53"/>
  <c r="C222" i="53"/>
  <c r="C221" i="53"/>
  <c r="C220" i="53"/>
  <c r="C219" i="53"/>
  <c r="C218" i="53"/>
  <c r="C217" i="53"/>
  <c r="C216" i="53"/>
  <c r="C215" i="53"/>
  <c r="C214" i="53"/>
  <c r="C213" i="53"/>
  <c r="C212" i="53"/>
  <c r="C211" i="53"/>
  <c r="C210" i="53"/>
  <c r="C209" i="53"/>
  <c r="C208" i="53"/>
  <c r="C207" i="53"/>
  <c r="C206" i="53"/>
  <c r="C205" i="53"/>
  <c r="C204" i="53"/>
  <c r="C203" i="53"/>
  <c r="C202" i="53"/>
  <c r="C201" i="53"/>
  <c r="C200" i="53"/>
  <c r="C199" i="53"/>
  <c r="C198" i="53"/>
  <c r="C197" i="53"/>
  <c r="C196" i="53"/>
  <c r="C195" i="53"/>
  <c r="C194" i="53"/>
  <c r="C193" i="53"/>
  <c r="C192" i="53"/>
  <c r="C191" i="53"/>
  <c r="C190" i="53"/>
  <c r="C189" i="53"/>
  <c r="C188" i="53"/>
  <c r="C187" i="53"/>
  <c r="C186" i="53"/>
  <c r="C185" i="53"/>
  <c r="C184" i="53"/>
  <c r="C183" i="53"/>
  <c r="C182" i="53"/>
  <c r="C181" i="53"/>
  <c r="C180" i="53"/>
  <c r="C179" i="53"/>
  <c r="C178" i="53"/>
  <c r="C177" i="53"/>
  <c r="C176" i="53"/>
  <c r="C175" i="53"/>
  <c r="C174" i="53"/>
  <c r="C173" i="53"/>
  <c r="C172" i="53"/>
  <c r="C171" i="53"/>
  <c r="C170" i="53"/>
  <c r="C169" i="53"/>
  <c r="C168" i="53"/>
  <c r="C167" i="53"/>
  <c r="C166" i="53"/>
  <c r="C165" i="53"/>
  <c r="C164" i="53"/>
  <c r="C163" i="53"/>
  <c r="C162" i="53"/>
  <c r="C161" i="53"/>
  <c r="C160" i="53"/>
  <c r="C159" i="53"/>
  <c r="C158" i="53"/>
  <c r="C157" i="53"/>
  <c r="C156" i="53"/>
  <c r="C155" i="53"/>
  <c r="C154" i="53"/>
  <c r="C153" i="53"/>
  <c r="C152" i="53"/>
  <c r="C151" i="53"/>
  <c r="C150" i="53"/>
  <c r="C149" i="53"/>
  <c r="C148" i="53"/>
  <c r="C147" i="53"/>
  <c r="C146" i="53"/>
  <c r="C145" i="53"/>
  <c r="C144" i="53"/>
  <c r="C143" i="53"/>
  <c r="C142" i="53"/>
  <c r="C141" i="53"/>
  <c r="C140" i="53"/>
  <c r="C139" i="53"/>
  <c r="C138" i="53"/>
  <c r="C137" i="53"/>
  <c r="C136" i="53"/>
  <c r="C135" i="53"/>
  <c r="C134" i="53"/>
  <c r="C133" i="53"/>
  <c r="C132" i="53"/>
  <c r="C131" i="53"/>
  <c r="C130" i="53"/>
  <c r="C129" i="53"/>
  <c r="C128" i="53"/>
  <c r="C127" i="53"/>
  <c r="C126" i="53"/>
  <c r="C125" i="53"/>
  <c r="C124" i="53"/>
  <c r="C123" i="53"/>
  <c r="C122" i="53"/>
  <c r="C121" i="53"/>
  <c r="C120" i="53"/>
  <c r="C119" i="53"/>
  <c r="C118" i="53"/>
  <c r="C117" i="53"/>
  <c r="C116" i="53"/>
  <c r="C115" i="53"/>
  <c r="C114" i="53"/>
  <c r="C113" i="53"/>
  <c r="C112" i="53"/>
  <c r="C111" i="53"/>
  <c r="C110" i="53"/>
  <c r="C109" i="53"/>
  <c r="C108" i="53"/>
  <c r="C107" i="53"/>
  <c r="C106" i="53"/>
  <c r="C105" i="53"/>
  <c r="C104" i="53"/>
  <c r="C103" i="53"/>
  <c r="C102" i="53"/>
  <c r="C101" i="53"/>
  <c r="C100" i="53"/>
  <c r="C99" i="53"/>
  <c r="C98" i="53"/>
  <c r="C97" i="53"/>
  <c r="C96" i="53"/>
  <c r="C95" i="53"/>
  <c r="C94" i="53"/>
  <c r="C93" i="53"/>
  <c r="C92" i="53"/>
  <c r="C91" i="53"/>
  <c r="C90" i="53"/>
  <c r="C89" i="53"/>
  <c r="C88" i="53"/>
  <c r="C87" i="53"/>
  <c r="C86" i="53"/>
  <c r="C85" i="53"/>
  <c r="C84" i="53"/>
  <c r="C83" i="53"/>
  <c r="C82" i="53"/>
  <c r="C81" i="53"/>
  <c r="C80" i="53"/>
  <c r="C79" i="53"/>
  <c r="C78" i="53"/>
  <c r="C77" i="53"/>
  <c r="C76" i="53"/>
  <c r="C75" i="53"/>
  <c r="C74" i="53"/>
  <c r="C73" i="53"/>
  <c r="C72" i="53"/>
  <c r="C71" i="53"/>
  <c r="C70" i="53"/>
  <c r="C69" i="53"/>
  <c r="C68" i="53"/>
  <c r="C67" i="53"/>
  <c r="C66" i="53"/>
  <c r="C65" i="53"/>
  <c r="C64" i="53"/>
  <c r="C63" i="53"/>
  <c r="C62" i="53"/>
  <c r="C61" i="53"/>
  <c r="C60" i="53"/>
  <c r="C59" i="53"/>
  <c r="C58" i="53"/>
  <c r="C57" i="53"/>
  <c r="C56" i="53"/>
  <c r="C55" i="53"/>
  <c r="C54" i="53"/>
  <c r="C53" i="53"/>
  <c r="C52" i="53"/>
  <c r="C51" i="53"/>
  <c r="C50" i="53"/>
  <c r="C49" i="53"/>
  <c r="C48" i="53"/>
  <c r="C47" i="53"/>
  <c r="C46" i="53"/>
  <c r="C45" i="53"/>
  <c r="C44" i="53"/>
  <c r="C43" i="53"/>
  <c r="C42" i="53"/>
  <c r="C41" i="53"/>
  <c r="C40" i="53"/>
  <c r="C39" i="53"/>
  <c r="C38" i="53"/>
  <c r="C37" i="53"/>
  <c r="C36" i="53"/>
  <c r="C35" i="53"/>
  <c r="C34" i="53"/>
  <c r="C33" i="53"/>
  <c r="C32" i="53"/>
  <c r="C31" i="53"/>
  <c r="C30" i="53"/>
  <c r="C29" i="53"/>
  <c r="C28" i="53"/>
  <c r="C27" i="53"/>
  <c r="C26" i="53"/>
  <c r="C25" i="53"/>
  <c r="C24" i="53"/>
  <c r="C23" i="53"/>
  <c r="C22" i="53"/>
  <c r="C21" i="53"/>
  <c r="C20" i="53"/>
  <c r="C19" i="53"/>
  <c r="C18" i="53"/>
  <c r="C17" i="53"/>
  <c r="C16" i="53"/>
  <c r="C15" i="53"/>
  <c r="C14" i="53"/>
  <c r="C13" i="53"/>
  <c r="C12" i="53"/>
  <c r="C11" i="53"/>
  <c r="C10" i="53"/>
  <c r="C9" i="53"/>
  <c r="C8" i="53"/>
  <c r="C7" i="53"/>
  <c r="C6" i="53"/>
  <c r="C5" i="53"/>
  <c r="C4" i="53"/>
  <c r="C3" i="53"/>
  <c r="C2" i="53"/>
  <c r="AL2890" i="85"/>
  <c r="AK2890" i="85"/>
  <c r="N2890" i="85"/>
  <c r="H2890" i="85"/>
  <c r="A2890" i="85"/>
  <c r="AL2889" i="85"/>
  <c r="AK2889" i="85"/>
  <c r="N2889" i="85"/>
  <c r="H2889" i="85"/>
  <c r="A2889" i="85"/>
  <c r="AL2888" i="85"/>
  <c r="AK2888" i="85"/>
  <c r="N2888" i="85"/>
  <c r="H2888" i="85"/>
  <c r="A2888" i="85"/>
  <c r="AL2887" i="85"/>
  <c r="AK2887" i="85"/>
  <c r="N2887" i="85"/>
  <c r="H2887" i="85"/>
  <c r="A2887" i="85"/>
  <c r="AL2886" i="85"/>
  <c r="AK2886" i="85"/>
  <c r="N2886" i="85"/>
  <c r="H2886" i="85"/>
  <c r="A2886" i="85"/>
  <c r="AL2885" i="85"/>
  <c r="AK2885" i="85"/>
  <c r="N2885" i="85"/>
  <c r="H2885" i="85"/>
  <c r="A2885" i="85"/>
  <c r="AL2884" i="85"/>
  <c r="AK2884" i="85"/>
  <c r="N2884" i="85"/>
  <c r="H2884" i="85"/>
  <c r="A2884" i="85"/>
  <c r="AL2883" i="85"/>
  <c r="AK2883" i="85"/>
  <c r="N2883" i="85"/>
  <c r="H2883" i="85"/>
  <c r="A2883" i="85"/>
  <c r="AL2882" i="85"/>
  <c r="AK2882" i="85"/>
  <c r="N2882" i="85"/>
  <c r="H2882" i="85"/>
  <c r="A2882" i="85"/>
  <c r="AL2881" i="85"/>
  <c r="AK2881" i="85"/>
  <c r="N2881" i="85"/>
  <c r="H2881" i="85"/>
  <c r="A2881" i="85"/>
  <c r="AM2880" i="85"/>
  <c r="AL2880" i="85"/>
  <c r="AK2880" i="85"/>
  <c r="N2880" i="85"/>
  <c r="H2880" i="85"/>
  <c r="A2880" i="85"/>
  <c r="AL2879" i="85"/>
  <c r="AK2879" i="85"/>
  <c r="N2879" i="85"/>
  <c r="H2879" i="85"/>
  <c r="A2879" i="85"/>
  <c r="AL2878" i="85"/>
  <c r="AK2878" i="85"/>
  <c r="N2878" i="85"/>
  <c r="H2878" i="85"/>
  <c r="A2878" i="85"/>
  <c r="AL2877" i="85"/>
  <c r="AK2877" i="85"/>
  <c r="N2877" i="85"/>
  <c r="H2877" i="85"/>
  <c r="A2877" i="85"/>
  <c r="AM2876" i="85"/>
  <c r="AL2876" i="85"/>
  <c r="AK2876" i="85"/>
  <c r="N2876" i="85"/>
  <c r="H2876" i="85"/>
  <c r="A2876" i="85"/>
  <c r="AL2875" i="85"/>
  <c r="AK2875" i="85"/>
  <c r="N2875" i="85"/>
  <c r="H2875" i="85"/>
  <c r="A2875" i="85"/>
  <c r="AL2874" i="85"/>
  <c r="AK2874" i="85"/>
  <c r="N2874" i="85"/>
  <c r="H2874" i="85"/>
  <c r="A2874" i="85"/>
  <c r="AL2873" i="85"/>
  <c r="AK2873" i="85"/>
  <c r="N2873" i="85"/>
  <c r="H2873" i="85"/>
  <c r="A2873" i="85"/>
  <c r="AL2872" i="85"/>
  <c r="AK2872" i="85"/>
  <c r="N2872" i="85"/>
  <c r="H2872" i="85"/>
  <c r="A2872" i="85"/>
  <c r="AL2871" i="85"/>
  <c r="AK2871" i="85"/>
  <c r="N2871" i="85"/>
  <c r="H2871" i="85"/>
  <c r="A2871" i="85"/>
  <c r="AL2870" i="85"/>
  <c r="AK2870" i="85"/>
  <c r="N2870" i="85"/>
  <c r="H2870" i="85"/>
  <c r="A2870" i="85"/>
  <c r="AL2869" i="85"/>
  <c r="AK2869" i="85"/>
  <c r="N2869" i="85"/>
  <c r="H2869" i="85"/>
  <c r="A2869" i="85"/>
  <c r="AL2868" i="85"/>
  <c r="AK2868" i="85"/>
  <c r="N2868" i="85"/>
  <c r="H2868" i="85"/>
  <c r="A2868" i="85"/>
  <c r="AL2867" i="85"/>
  <c r="AK2867" i="85"/>
  <c r="N2867" i="85"/>
  <c r="H2867" i="85"/>
  <c r="A2867" i="85"/>
  <c r="AL2866" i="85"/>
  <c r="AK2866" i="85"/>
  <c r="N2866" i="85"/>
  <c r="H2866" i="85"/>
  <c r="A2866" i="85"/>
  <c r="AL2865" i="85"/>
  <c r="AK2865" i="85"/>
  <c r="N2865" i="85"/>
  <c r="H2865" i="85"/>
  <c r="A2865" i="85"/>
  <c r="AL2864" i="85"/>
  <c r="AK2864" i="85"/>
  <c r="N2864" i="85"/>
  <c r="H2864" i="85"/>
  <c r="A2864" i="85"/>
  <c r="AL2863" i="85"/>
  <c r="AK2863" i="85"/>
  <c r="N2863" i="85"/>
  <c r="H2863" i="85"/>
  <c r="A2863" i="85"/>
  <c r="AL2862" i="85"/>
  <c r="AK2862" i="85"/>
  <c r="N2862" i="85"/>
  <c r="H2862" i="85"/>
  <c r="A2862" i="85"/>
  <c r="AL2861" i="85"/>
  <c r="AK2861" i="85"/>
  <c r="N2861" i="85"/>
  <c r="H2861" i="85"/>
  <c r="A2861" i="85"/>
  <c r="AL2860" i="85"/>
  <c r="AK2860" i="85"/>
  <c r="N2860" i="85"/>
  <c r="H2860" i="85"/>
  <c r="A2860" i="85"/>
  <c r="AL2859" i="85"/>
  <c r="AK2859" i="85"/>
  <c r="N2859" i="85"/>
  <c r="H2859" i="85"/>
  <c r="A2859" i="85"/>
  <c r="AL2858" i="85"/>
  <c r="AK2858" i="85"/>
  <c r="N2858" i="85"/>
  <c r="H2858" i="85"/>
  <c r="A2858" i="85"/>
  <c r="AL2857" i="85"/>
  <c r="AK2857" i="85"/>
  <c r="N2857" i="85"/>
  <c r="H2857" i="85"/>
  <c r="A2857" i="85"/>
  <c r="AL2856" i="85"/>
  <c r="AK2856" i="85"/>
  <c r="N2856" i="85"/>
  <c r="H2856" i="85"/>
  <c r="A2856" i="85"/>
  <c r="AL2855" i="85"/>
  <c r="AK2855" i="85"/>
  <c r="N2855" i="85"/>
  <c r="H2855" i="85"/>
  <c r="A2855" i="85"/>
  <c r="AL2854" i="85"/>
  <c r="AK2854" i="85"/>
  <c r="N2854" i="85"/>
  <c r="H2854" i="85"/>
  <c r="A2854" i="85"/>
  <c r="AL2853" i="85"/>
  <c r="AK2853" i="85"/>
  <c r="N2853" i="85"/>
  <c r="H2853" i="85"/>
  <c r="A2853" i="85"/>
  <c r="AL2852" i="85"/>
  <c r="AK2852" i="85"/>
  <c r="N2852" i="85"/>
  <c r="H2852" i="85"/>
  <c r="A2852" i="85"/>
  <c r="AL2851" i="85"/>
  <c r="AK2851" i="85"/>
  <c r="N2851" i="85"/>
  <c r="H2851" i="85"/>
  <c r="A2851" i="85"/>
  <c r="AL2850" i="85"/>
  <c r="AK2850" i="85"/>
  <c r="N2850" i="85"/>
  <c r="H2850" i="85"/>
  <c r="A2850" i="85"/>
  <c r="AL2849" i="85"/>
  <c r="AK2849" i="85"/>
  <c r="N2849" i="85"/>
  <c r="H2849" i="85"/>
  <c r="A2849" i="85"/>
  <c r="AL2848" i="85"/>
  <c r="AK2848" i="85"/>
  <c r="N2848" i="85"/>
  <c r="H2848" i="85"/>
  <c r="A2848" i="85"/>
  <c r="AL2847" i="85"/>
  <c r="AK2847" i="85"/>
  <c r="N2847" i="85"/>
  <c r="H2847" i="85"/>
  <c r="A2847" i="85"/>
  <c r="AL2846" i="85"/>
  <c r="AK2846" i="85"/>
  <c r="N2846" i="85"/>
  <c r="H2846" i="85"/>
  <c r="A2846" i="85"/>
  <c r="AL2845" i="85"/>
  <c r="AK2845" i="85"/>
  <c r="N2845" i="85"/>
  <c r="H2845" i="85"/>
  <c r="A2845" i="85"/>
  <c r="AL2844" i="85"/>
  <c r="AK2844" i="85"/>
  <c r="N2844" i="85"/>
  <c r="H2844" i="85"/>
  <c r="A2844" i="85"/>
  <c r="AL2843" i="85"/>
  <c r="AK2843" i="85"/>
  <c r="N2843" i="85"/>
  <c r="H2843" i="85"/>
  <c r="A2843" i="85"/>
  <c r="AM2842" i="85"/>
  <c r="AL2842" i="85"/>
  <c r="AK2842" i="85"/>
  <c r="N2842" i="85"/>
  <c r="H2842" i="85"/>
  <c r="A2842" i="85"/>
  <c r="AL2841" i="85"/>
  <c r="AK2841" i="85"/>
  <c r="N2841" i="85"/>
  <c r="H2841" i="85"/>
  <c r="A2841" i="85"/>
  <c r="AM2840" i="85"/>
  <c r="AL2840" i="85"/>
  <c r="AK2840" i="85"/>
  <c r="N2840" i="85"/>
  <c r="H2840" i="85"/>
  <c r="A2840" i="85"/>
  <c r="AL2839" i="85"/>
  <c r="AK2839" i="85"/>
  <c r="N2839" i="85"/>
  <c r="H2839" i="85"/>
  <c r="A2839" i="85"/>
  <c r="AL2838" i="85"/>
  <c r="AK2838" i="85"/>
  <c r="N2838" i="85"/>
  <c r="H2838" i="85"/>
  <c r="A2838" i="85"/>
  <c r="AL2837" i="85"/>
  <c r="AK2837" i="85"/>
  <c r="N2837" i="85"/>
  <c r="H2837" i="85"/>
  <c r="A2837" i="85"/>
  <c r="AL2836" i="85"/>
  <c r="AK2836" i="85"/>
  <c r="N2836" i="85"/>
  <c r="H2836" i="85"/>
  <c r="A2836" i="85"/>
  <c r="AL2835" i="85"/>
  <c r="AK2835" i="85"/>
  <c r="N2835" i="85"/>
  <c r="H2835" i="85"/>
  <c r="A2835" i="85"/>
  <c r="AL2834" i="85"/>
  <c r="AK2834" i="85"/>
  <c r="N2834" i="85"/>
  <c r="H2834" i="85"/>
  <c r="A2834" i="85"/>
  <c r="AL2833" i="85"/>
  <c r="AK2833" i="85"/>
  <c r="N2833" i="85"/>
  <c r="H2833" i="85"/>
  <c r="A2833" i="85"/>
  <c r="AL2832" i="85"/>
  <c r="AK2832" i="85"/>
  <c r="N2832" i="85"/>
  <c r="H2832" i="85"/>
  <c r="A2832" i="85"/>
  <c r="AL2831" i="85"/>
  <c r="AK2831" i="85"/>
  <c r="N2831" i="85"/>
  <c r="H2831" i="85"/>
  <c r="A2831" i="85"/>
  <c r="AL2830" i="85"/>
  <c r="AK2830" i="85"/>
  <c r="N2830" i="85"/>
  <c r="H2830" i="85"/>
  <c r="A2830" i="85"/>
  <c r="AL2829" i="85"/>
  <c r="AK2829" i="85"/>
  <c r="N2829" i="85"/>
  <c r="H2829" i="85"/>
  <c r="A2829" i="85"/>
  <c r="AL2828" i="85"/>
  <c r="AK2828" i="85"/>
  <c r="N2828" i="85"/>
  <c r="H2828" i="85"/>
  <c r="A2828" i="85"/>
  <c r="AL2827" i="85"/>
  <c r="AK2827" i="85"/>
  <c r="N2827" i="85"/>
  <c r="H2827" i="85"/>
  <c r="A2827" i="85"/>
  <c r="AL2826" i="85"/>
  <c r="AK2826" i="85"/>
  <c r="N2826" i="85"/>
  <c r="H2826" i="85"/>
  <c r="A2826" i="85"/>
  <c r="AL2825" i="85"/>
  <c r="AK2825" i="85"/>
  <c r="N2825" i="85"/>
  <c r="H2825" i="85"/>
  <c r="A2825" i="85"/>
  <c r="AL2824" i="85"/>
  <c r="AK2824" i="85"/>
  <c r="N2824" i="85"/>
  <c r="H2824" i="85"/>
  <c r="A2824" i="85"/>
  <c r="AL2823" i="85"/>
  <c r="AK2823" i="85"/>
  <c r="N2823" i="85"/>
  <c r="H2823" i="85"/>
  <c r="A2823" i="85"/>
  <c r="AL2822" i="85"/>
  <c r="AK2822" i="85"/>
  <c r="N2822" i="85"/>
  <c r="H2822" i="85"/>
  <c r="A2822" i="85"/>
  <c r="AL2821" i="85"/>
  <c r="AK2821" i="85"/>
  <c r="N2821" i="85"/>
  <c r="H2821" i="85"/>
  <c r="A2821" i="85"/>
  <c r="AL2820" i="85"/>
  <c r="AK2820" i="85"/>
  <c r="N2820" i="85"/>
  <c r="H2820" i="85"/>
  <c r="A2820" i="85"/>
  <c r="AL2819" i="85"/>
  <c r="AK2819" i="85"/>
  <c r="N2819" i="85"/>
  <c r="H2819" i="85"/>
  <c r="A2819" i="85"/>
  <c r="AL2818" i="85"/>
  <c r="AK2818" i="85"/>
  <c r="N2818" i="85"/>
  <c r="H2818" i="85"/>
  <c r="A2818" i="85"/>
  <c r="AL2817" i="85"/>
  <c r="AK2817" i="85"/>
  <c r="N2817" i="85"/>
  <c r="H2817" i="85"/>
  <c r="A2817" i="85"/>
  <c r="AL2816" i="85"/>
  <c r="AK2816" i="85"/>
  <c r="N2816" i="85"/>
  <c r="H2816" i="85"/>
  <c r="A2816" i="85"/>
  <c r="AL2815" i="85"/>
  <c r="AK2815" i="85"/>
  <c r="N2815" i="85"/>
  <c r="H2815" i="85"/>
  <c r="A2815" i="85"/>
  <c r="AL2814" i="85"/>
  <c r="AK2814" i="85"/>
  <c r="N2814" i="85"/>
  <c r="H2814" i="85"/>
  <c r="A2814" i="85"/>
  <c r="AL2813" i="85"/>
  <c r="AK2813" i="85"/>
  <c r="N2813" i="85"/>
  <c r="H2813" i="85"/>
  <c r="A2813" i="85"/>
  <c r="AL2812" i="85"/>
  <c r="AK2812" i="85"/>
  <c r="N2812" i="85"/>
  <c r="H2812" i="85"/>
  <c r="A2812" i="85"/>
  <c r="AL2811" i="85"/>
  <c r="AK2811" i="85"/>
  <c r="N2811" i="85"/>
  <c r="H2811" i="85"/>
  <c r="A2811" i="85"/>
  <c r="AL2810" i="85"/>
  <c r="AK2810" i="85"/>
  <c r="N2810" i="85"/>
  <c r="H2810" i="85"/>
  <c r="A2810" i="85"/>
  <c r="AL2809" i="85"/>
  <c r="AK2809" i="85"/>
  <c r="N2809" i="85"/>
  <c r="H2809" i="85"/>
  <c r="A2809" i="85"/>
  <c r="AL2808" i="85"/>
  <c r="AK2808" i="85"/>
  <c r="N2808" i="85"/>
  <c r="H2808" i="85"/>
  <c r="A2808" i="85"/>
  <c r="AL2807" i="85"/>
  <c r="AK2807" i="85"/>
  <c r="N2807" i="85"/>
  <c r="H2807" i="85"/>
  <c r="A2807" i="85"/>
  <c r="AL2806" i="85"/>
  <c r="AK2806" i="85"/>
  <c r="N2806" i="85"/>
  <c r="H2806" i="85"/>
  <c r="A2806" i="85"/>
  <c r="AL2805" i="85"/>
  <c r="AK2805" i="85"/>
  <c r="N2805" i="85"/>
  <c r="H2805" i="85"/>
  <c r="A2805" i="85"/>
  <c r="AL2804" i="85"/>
  <c r="AK2804" i="85"/>
  <c r="N2804" i="85"/>
  <c r="H2804" i="85"/>
  <c r="A2804" i="85"/>
  <c r="AM2803" i="85"/>
  <c r="AL2803" i="85"/>
  <c r="AK2803" i="85"/>
  <c r="N2803" i="85"/>
  <c r="H2803" i="85"/>
  <c r="A2803" i="85"/>
  <c r="AL2802" i="85"/>
  <c r="AK2802" i="85"/>
  <c r="N2802" i="85"/>
  <c r="H2802" i="85"/>
  <c r="A2802" i="85"/>
  <c r="AL2801" i="85"/>
  <c r="AK2801" i="85"/>
  <c r="N2801" i="85"/>
  <c r="H2801" i="85"/>
  <c r="A2801" i="85"/>
  <c r="AL2800" i="85"/>
  <c r="AK2800" i="85"/>
  <c r="N2800" i="85"/>
  <c r="H2800" i="85"/>
  <c r="A2800" i="85"/>
  <c r="AL2799" i="85"/>
  <c r="AK2799" i="85"/>
  <c r="N2799" i="85"/>
  <c r="H2799" i="85"/>
  <c r="A2799" i="85"/>
  <c r="AL2798" i="85"/>
  <c r="AK2798" i="85"/>
  <c r="N2798" i="85"/>
  <c r="H2798" i="85"/>
  <c r="A2798" i="85"/>
  <c r="AL2797" i="85"/>
  <c r="AK2797" i="85"/>
  <c r="N2797" i="85"/>
  <c r="H2797" i="85"/>
  <c r="A2797" i="85"/>
  <c r="AL2796" i="85"/>
  <c r="AK2796" i="85"/>
  <c r="N2796" i="85"/>
  <c r="H2796" i="85"/>
  <c r="A2796" i="85"/>
  <c r="AM2795" i="85"/>
  <c r="AL2795" i="85"/>
  <c r="AK2795" i="85"/>
  <c r="N2795" i="85"/>
  <c r="H2795" i="85"/>
  <c r="A2795" i="85"/>
  <c r="AL2794" i="85"/>
  <c r="AK2794" i="85"/>
  <c r="N2794" i="85"/>
  <c r="H2794" i="85"/>
  <c r="A2794" i="85"/>
  <c r="AL2793" i="85"/>
  <c r="AK2793" i="85"/>
  <c r="N2793" i="85"/>
  <c r="H2793" i="85"/>
  <c r="A2793" i="85"/>
  <c r="AM2792" i="85"/>
  <c r="AL2792" i="85"/>
  <c r="AK2792" i="85"/>
  <c r="N2792" i="85"/>
  <c r="H2792" i="85"/>
  <c r="A2792" i="85"/>
  <c r="AL2791" i="85"/>
  <c r="AK2791" i="85"/>
  <c r="N2791" i="85"/>
  <c r="H2791" i="85"/>
  <c r="A2791" i="85"/>
  <c r="AL2790" i="85"/>
  <c r="AK2790" i="85"/>
  <c r="N2790" i="85"/>
  <c r="H2790" i="85"/>
  <c r="A2790" i="85"/>
  <c r="AL2789" i="85"/>
  <c r="AK2789" i="85"/>
  <c r="N2789" i="85"/>
  <c r="H2789" i="85"/>
  <c r="A2789" i="85"/>
  <c r="AL2788" i="85"/>
  <c r="AK2788" i="85"/>
  <c r="N2788" i="85"/>
  <c r="H2788" i="85"/>
  <c r="A2788" i="85"/>
  <c r="AL2787" i="85"/>
  <c r="AK2787" i="85"/>
  <c r="N2787" i="85"/>
  <c r="H2787" i="85"/>
  <c r="A2787" i="85"/>
  <c r="AL2786" i="85"/>
  <c r="AK2786" i="85"/>
  <c r="N2786" i="85"/>
  <c r="H2786" i="85"/>
  <c r="A2786" i="85"/>
  <c r="AL2785" i="85"/>
  <c r="AK2785" i="85"/>
  <c r="N2785" i="85"/>
  <c r="H2785" i="85"/>
  <c r="A2785" i="85"/>
  <c r="AL2784" i="85"/>
  <c r="AK2784" i="85"/>
  <c r="N2784" i="85"/>
  <c r="H2784" i="85"/>
  <c r="A2784" i="85"/>
  <c r="AL2783" i="85"/>
  <c r="AK2783" i="85"/>
  <c r="N2783" i="85"/>
  <c r="H2783" i="85"/>
  <c r="A2783" i="85"/>
  <c r="AM2782" i="85"/>
  <c r="AL2782" i="85"/>
  <c r="AK2782" i="85"/>
  <c r="N2782" i="85"/>
  <c r="H2782" i="85"/>
  <c r="A2782" i="85"/>
  <c r="AL2781" i="85"/>
  <c r="AK2781" i="85"/>
  <c r="N2781" i="85"/>
  <c r="H2781" i="85"/>
  <c r="A2781" i="85"/>
  <c r="AL2780" i="85"/>
  <c r="AK2780" i="85"/>
  <c r="N2780" i="85"/>
  <c r="H2780" i="85"/>
  <c r="A2780" i="85"/>
  <c r="AL2779" i="85"/>
  <c r="AK2779" i="85"/>
  <c r="N2779" i="85"/>
  <c r="H2779" i="85"/>
  <c r="A2779" i="85"/>
  <c r="AL2778" i="85"/>
  <c r="AK2778" i="85"/>
  <c r="N2778" i="85"/>
  <c r="H2778" i="85"/>
  <c r="A2778" i="85"/>
  <c r="AL2777" i="85"/>
  <c r="AK2777" i="85"/>
  <c r="N2777" i="85"/>
  <c r="H2777" i="85"/>
  <c r="A2777" i="85"/>
  <c r="AL2776" i="85"/>
  <c r="AK2776" i="85"/>
  <c r="N2776" i="85"/>
  <c r="H2776" i="85"/>
  <c r="A2776" i="85"/>
  <c r="AL2775" i="85"/>
  <c r="AK2775" i="85"/>
  <c r="N2775" i="85"/>
  <c r="H2775" i="85"/>
  <c r="A2775" i="85"/>
  <c r="AL2774" i="85"/>
  <c r="AK2774" i="85"/>
  <c r="N2774" i="85"/>
  <c r="H2774" i="85"/>
  <c r="A2774" i="85"/>
  <c r="AL2773" i="85"/>
  <c r="AK2773" i="85"/>
  <c r="N2773" i="85"/>
  <c r="H2773" i="85"/>
  <c r="A2773" i="85"/>
  <c r="AM2772" i="85"/>
  <c r="AL2772" i="85"/>
  <c r="AK2772" i="85"/>
  <c r="N2772" i="85"/>
  <c r="H2772" i="85"/>
  <c r="A2772" i="85"/>
  <c r="AL2771" i="85"/>
  <c r="AK2771" i="85"/>
  <c r="N2771" i="85"/>
  <c r="H2771" i="85"/>
  <c r="A2771" i="85"/>
  <c r="AL2770" i="85"/>
  <c r="AK2770" i="85"/>
  <c r="N2770" i="85"/>
  <c r="H2770" i="85"/>
  <c r="A2770" i="85"/>
  <c r="AL2769" i="85"/>
  <c r="AK2769" i="85"/>
  <c r="N2769" i="85"/>
  <c r="H2769" i="85"/>
  <c r="A2769" i="85"/>
  <c r="AL2768" i="85"/>
  <c r="AK2768" i="85"/>
  <c r="N2768" i="85"/>
  <c r="H2768" i="85"/>
  <c r="A2768" i="85"/>
  <c r="AL2767" i="85"/>
  <c r="AK2767" i="85"/>
  <c r="N2767" i="85"/>
  <c r="H2767" i="85"/>
  <c r="A2767" i="85"/>
  <c r="AL2766" i="85"/>
  <c r="AK2766" i="85"/>
  <c r="N2766" i="85"/>
  <c r="H2766" i="85"/>
  <c r="A2766" i="85"/>
  <c r="AL2765" i="85"/>
  <c r="AK2765" i="85"/>
  <c r="N2765" i="85"/>
  <c r="H2765" i="85"/>
  <c r="A2765" i="85"/>
  <c r="AL2764" i="85"/>
  <c r="AK2764" i="85"/>
  <c r="N2764" i="85"/>
  <c r="H2764" i="85"/>
  <c r="A2764" i="85"/>
  <c r="AL2763" i="85"/>
  <c r="AK2763" i="85"/>
  <c r="N2763" i="85"/>
  <c r="H2763" i="85"/>
  <c r="A2763" i="85"/>
  <c r="AL2762" i="85"/>
  <c r="AK2762" i="85"/>
  <c r="N2762" i="85"/>
  <c r="H2762" i="85"/>
  <c r="A2762" i="85"/>
  <c r="AL2761" i="85"/>
  <c r="AK2761" i="85"/>
  <c r="AD2761" i="85"/>
  <c r="N2761" i="85"/>
  <c r="H2761" i="85"/>
  <c r="A2761" i="85"/>
  <c r="AL2760" i="85"/>
  <c r="AK2760" i="85"/>
  <c r="N2760" i="85"/>
  <c r="H2760" i="85"/>
  <c r="A2760" i="85"/>
  <c r="AL2759" i="85"/>
  <c r="AK2759" i="85"/>
  <c r="N2759" i="85"/>
  <c r="H2759" i="85"/>
  <c r="A2759" i="85"/>
  <c r="AL2758" i="85"/>
  <c r="AK2758" i="85"/>
  <c r="N2758" i="85"/>
  <c r="H2758" i="85"/>
  <c r="A2758" i="85"/>
  <c r="AL2757" i="85"/>
  <c r="AK2757" i="85"/>
  <c r="N2757" i="85"/>
  <c r="H2757" i="85"/>
  <c r="A2757" i="85"/>
  <c r="AL2756" i="85"/>
  <c r="AK2756" i="85"/>
  <c r="N2756" i="85"/>
  <c r="H2756" i="85"/>
  <c r="A2756" i="85"/>
  <c r="AL2755" i="85"/>
  <c r="AK2755" i="85"/>
  <c r="N2755" i="85"/>
  <c r="H2755" i="85"/>
  <c r="A2755" i="85"/>
  <c r="AL2754" i="85"/>
  <c r="AK2754" i="85"/>
  <c r="N2754" i="85"/>
  <c r="H2754" i="85"/>
  <c r="A2754" i="85"/>
  <c r="AL2753" i="85"/>
  <c r="AK2753" i="85"/>
  <c r="N2753" i="85"/>
  <c r="H2753" i="85"/>
  <c r="A2753" i="85"/>
  <c r="AL2752" i="85"/>
  <c r="AK2752" i="85"/>
  <c r="N2752" i="85"/>
  <c r="H2752" i="85"/>
  <c r="A2752" i="85"/>
  <c r="AL2751" i="85"/>
  <c r="AK2751" i="85"/>
  <c r="N2751" i="85"/>
  <c r="H2751" i="85"/>
  <c r="A2751" i="85"/>
  <c r="AL2750" i="85"/>
  <c r="AK2750" i="85"/>
  <c r="N2750" i="85"/>
  <c r="H2750" i="85"/>
  <c r="A2750" i="85"/>
  <c r="AL2749" i="85"/>
  <c r="AK2749" i="85"/>
  <c r="N2749" i="85"/>
  <c r="H2749" i="85"/>
  <c r="A2749" i="85"/>
  <c r="AL2748" i="85"/>
  <c r="AK2748" i="85"/>
  <c r="N2748" i="85"/>
  <c r="H2748" i="85"/>
  <c r="A2748" i="85"/>
  <c r="AL2747" i="85"/>
  <c r="AK2747" i="85"/>
  <c r="N2747" i="85"/>
  <c r="H2747" i="85"/>
  <c r="A2747" i="85"/>
  <c r="AL2746" i="85"/>
  <c r="AK2746" i="85"/>
  <c r="N2746" i="85"/>
  <c r="H2746" i="85"/>
  <c r="A2746" i="85"/>
  <c r="AL2745" i="85"/>
  <c r="AK2745" i="85"/>
  <c r="N2745" i="85"/>
  <c r="H2745" i="85"/>
  <c r="A2745" i="85"/>
  <c r="AL2744" i="85"/>
  <c r="AK2744" i="85"/>
  <c r="N2744" i="85"/>
  <c r="H2744" i="85"/>
  <c r="A2744" i="85"/>
  <c r="AL2743" i="85"/>
  <c r="AK2743" i="85"/>
  <c r="N2743" i="85"/>
  <c r="H2743" i="85"/>
  <c r="A2743" i="85"/>
  <c r="AL2742" i="85"/>
  <c r="AK2742" i="85"/>
  <c r="N2742" i="85"/>
  <c r="H2742" i="85"/>
  <c r="A2742" i="85"/>
  <c r="AL2741" i="85"/>
  <c r="AK2741" i="85"/>
  <c r="N2741" i="85"/>
  <c r="H2741" i="85"/>
  <c r="A2741" i="85"/>
  <c r="AL2740" i="85"/>
  <c r="AK2740" i="85"/>
  <c r="N2740" i="85"/>
  <c r="H2740" i="85"/>
  <c r="A2740" i="85"/>
  <c r="AL2739" i="85"/>
  <c r="AK2739" i="85"/>
  <c r="N2739" i="85"/>
  <c r="H2739" i="85"/>
  <c r="A2739" i="85"/>
  <c r="AL2738" i="85"/>
  <c r="AK2738" i="85"/>
  <c r="AD2738" i="85"/>
  <c r="N2738" i="85"/>
  <c r="H2738" i="85"/>
  <c r="A2738" i="85"/>
  <c r="AL2737" i="85"/>
  <c r="AK2737" i="85"/>
  <c r="N2737" i="85"/>
  <c r="H2737" i="85"/>
  <c r="A2737" i="85"/>
  <c r="AL2736" i="85"/>
  <c r="AK2736" i="85"/>
  <c r="N2736" i="85"/>
  <c r="H2736" i="85"/>
  <c r="A2736" i="85"/>
  <c r="AL2735" i="85"/>
  <c r="AK2735" i="85"/>
  <c r="N2735" i="85"/>
  <c r="H2735" i="85"/>
  <c r="A2735" i="85"/>
  <c r="AL2734" i="85"/>
  <c r="AK2734" i="85"/>
  <c r="N2734" i="85"/>
  <c r="H2734" i="85"/>
  <c r="A2734" i="85"/>
  <c r="AL2733" i="85"/>
  <c r="AK2733" i="85"/>
  <c r="N2733" i="85"/>
  <c r="H2733" i="85"/>
  <c r="A2733" i="85"/>
  <c r="AL2732" i="85"/>
  <c r="AK2732" i="85"/>
  <c r="N2732" i="85"/>
  <c r="H2732" i="85"/>
  <c r="A2732" i="85"/>
  <c r="AL2731" i="85"/>
  <c r="AK2731" i="85"/>
  <c r="N2731" i="85"/>
  <c r="H2731" i="85"/>
  <c r="A2731" i="85"/>
  <c r="AL2730" i="85"/>
  <c r="AK2730" i="85"/>
  <c r="N2730" i="85"/>
  <c r="H2730" i="85"/>
  <c r="A2730" i="85"/>
  <c r="AL2729" i="85"/>
  <c r="AK2729" i="85"/>
  <c r="N2729" i="85"/>
  <c r="H2729" i="85"/>
  <c r="A2729" i="85"/>
  <c r="AL2728" i="85"/>
  <c r="AK2728" i="85"/>
  <c r="N2728" i="85"/>
  <c r="H2728" i="85"/>
  <c r="A2728" i="85"/>
  <c r="AL2727" i="85"/>
  <c r="AK2727" i="85"/>
  <c r="N2727" i="85"/>
  <c r="H2727" i="85"/>
  <c r="A2727" i="85"/>
  <c r="AM2726" i="85"/>
  <c r="AL2726" i="85"/>
  <c r="AK2726" i="85"/>
  <c r="N2726" i="85"/>
  <c r="H2726" i="85"/>
  <c r="A2726" i="85"/>
  <c r="AL2725" i="85"/>
  <c r="AK2725" i="85"/>
  <c r="N2725" i="85"/>
  <c r="H2725" i="85"/>
  <c r="A2725" i="85"/>
  <c r="AL2724" i="85"/>
  <c r="AK2724" i="85"/>
  <c r="N2724" i="85"/>
  <c r="H2724" i="85"/>
  <c r="A2724" i="85"/>
  <c r="AL2723" i="85"/>
  <c r="AK2723" i="85"/>
  <c r="N2723" i="85"/>
  <c r="H2723" i="85"/>
  <c r="A2723" i="85"/>
  <c r="AL2722" i="85"/>
  <c r="AK2722" i="85"/>
  <c r="N2722" i="85"/>
  <c r="H2722" i="85"/>
  <c r="A2722" i="85"/>
  <c r="AL2721" i="85"/>
  <c r="AK2721" i="85"/>
  <c r="N2721" i="85"/>
  <c r="H2721" i="85"/>
  <c r="A2721" i="85"/>
  <c r="AL2720" i="85"/>
  <c r="AK2720" i="85"/>
  <c r="N2720" i="85"/>
  <c r="H2720" i="85"/>
  <c r="A2720" i="85"/>
  <c r="AL2719" i="85"/>
  <c r="AK2719" i="85"/>
  <c r="N2719" i="85"/>
  <c r="H2719" i="85"/>
  <c r="A2719" i="85"/>
  <c r="AL2718" i="85"/>
  <c r="AK2718" i="85"/>
  <c r="N2718" i="85"/>
  <c r="H2718" i="85"/>
  <c r="A2718" i="85"/>
  <c r="AL2717" i="85"/>
  <c r="AK2717" i="85"/>
  <c r="N2717" i="85"/>
  <c r="H2717" i="85"/>
  <c r="A2717" i="85"/>
  <c r="AL2716" i="85"/>
  <c r="AK2716" i="85"/>
  <c r="N2716" i="85"/>
  <c r="H2716" i="85"/>
  <c r="A2716" i="85"/>
  <c r="AM2715" i="85"/>
  <c r="AL2715" i="85"/>
  <c r="AK2715" i="85"/>
  <c r="N2715" i="85"/>
  <c r="H2715" i="85"/>
  <c r="A2715" i="85"/>
  <c r="AL2714" i="85"/>
  <c r="AK2714" i="85"/>
  <c r="N2714" i="85"/>
  <c r="H2714" i="85"/>
  <c r="A2714" i="85"/>
  <c r="AL2713" i="85"/>
  <c r="AK2713" i="85"/>
  <c r="N2713" i="85"/>
  <c r="H2713" i="85"/>
  <c r="A2713" i="85"/>
  <c r="AL2712" i="85"/>
  <c r="AK2712" i="85"/>
  <c r="N2712" i="85"/>
  <c r="H2712" i="85"/>
  <c r="A2712" i="85"/>
  <c r="AL2711" i="85"/>
  <c r="AK2711" i="85"/>
  <c r="N2711" i="85"/>
  <c r="H2711" i="85"/>
  <c r="A2711" i="85"/>
  <c r="AL2710" i="85"/>
  <c r="AK2710" i="85"/>
  <c r="N2710" i="85"/>
  <c r="H2710" i="85"/>
  <c r="A2710" i="85"/>
  <c r="AL2709" i="85"/>
  <c r="AK2709" i="85"/>
  <c r="N2709" i="85"/>
  <c r="H2709" i="85"/>
  <c r="A2709" i="85"/>
  <c r="AL2708" i="85"/>
  <c r="AK2708" i="85"/>
  <c r="N2708" i="85"/>
  <c r="H2708" i="85"/>
  <c r="A2708" i="85"/>
  <c r="AL2707" i="85"/>
  <c r="AK2707" i="85"/>
  <c r="N2707" i="85"/>
  <c r="H2707" i="85"/>
  <c r="A2707" i="85"/>
  <c r="AL2706" i="85"/>
  <c r="AK2706" i="85"/>
  <c r="N2706" i="85"/>
  <c r="H2706" i="85"/>
  <c r="A2706" i="85"/>
  <c r="AL2705" i="85"/>
  <c r="AK2705" i="85"/>
  <c r="N2705" i="85"/>
  <c r="H2705" i="85"/>
  <c r="A2705" i="85"/>
  <c r="AL2704" i="85"/>
  <c r="AK2704" i="85"/>
  <c r="AD2704" i="85"/>
  <c r="N2704" i="85"/>
  <c r="H2704" i="85"/>
  <c r="A2704" i="85"/>
  <c r="AL2703" i="85"/>
  <c r="AK2703" i="85"/>
  <c r="N2703" i="85"/>
  <c r="H2703" i="85"/>
  <c r="A2703" i="85"/>
  <c r="AL2702" i="85"/>
  <c r="AK2702" i="85"/>
  <c r="N2702" i="85"/>
  <c r="H2702" i="85"/>
  <c r="A2702" i="85"/>
  <c r="AL2701" i="85"/>
  <c r="AK2701" i="85"/>
  <c r="N2701" i="85"/>
  <c r="H2701" i="85"/>
  <c r="A2701" i="85"/>
  <c r="AL2700" i="85"/>
  <c r="AK2700" i="85"/>
  <c r="N2700" i="85"/>
  <c r="H2700" i="85"/>
  <c r="A2700" i="85"/>
  <c r="AL2699" i="85"/>
  <c r="AK2699" i="85"/>
  <c r="N2699" i="85"/>
  <c r="H2699" i="85"/>
  <c r="A2699" i="85"/>
  <c r="AL2698" i="85"/>
  <c r="AK2698" i="85"/>
  <c r="N2698" i="85"/>
  <c r="H2698" i="85"/>
  <c r="A2698" i="85"/>
  <c r="AL2697" i="85"/>
  <c r="AK2697" i="85"/>
  <c r="N2697" i="85"/>
  <c r="H2697" i="85"/>
  <c r="A2697" i="85"/>
  <c r="AL2696" i="85"/>
  <c r="AK2696" i="85"/>
  <c r="N2696" i="85"/>
  <c r="H2696" i="85"/>
  <c r="A2696" i="85"/>
  <c r="AL2695" i="85"/>
  <c r="AK2695" i="85"/>
  <c r="N2695" i="85"/>
  <c r="H2695" i="85"/>
  <c r="A2695" i="85"/>
  <c r="AL2694" i="85"/>
  <c r="AK2694" i="85"/>
  <c r="N2694" i="85"/>
  <c r="H2694" i="85"/>
  <c r="A2694" i="85"/>
  <c r="AL2693" i="85"/>
  <c r="AK2693" i="85"/>
  <c r="N2693" i="85"/>
  <c r="H2693" i="85"/>
  <c r="A2693" i="85"/>
  <c r="AL2692" i="85"/>
  <c r="AK2692" i="85"/>
  <c r="N2692" i="85"/>
  <c r="H2692" i="85"/>
  <c r="A2692" i="85"/>
  <c r="AL2691" i="85"/>
  <c r="AK2691" i="85"/>
  <c r="N2691" i="85"/>
  <c r="H2691" i="85"/>
  <c r="A2691" i="85"/>
  <c r="AL2690" i="85"/>
  <c r="AK2690" i="85"/>
  <c r="AD2690" i="85"/>
  <c r="N2690" i="85"/>
  <c r="H2690" i="85"/>
  <c r="A2690" i="85"/>
  <c r="AL2689" i="85"/>
  <c r="AK2689" i="85"/>
  <c r="N2689" i="85"/>
  <c r="H2689" i="85"/>
  <c r="A2689" i="85"/>
  <c r="AL2688" i="85"/>
  <c r="AK2688" i="85"/>
  <c r="N2688" i="85"/>
  <c r="H2688" i="85"/>
  <c r="A2688" i="85"/>
  <c r="AL2687" i="85"/>
  <c r="AK2687" i="85"/>
  <c r="N2687" i="85"/>
  <c r="H2687" i="85"/>
  <c r="A2687" i="85"/>
  <c r="AL2686" i="85"/>
  <c r="AK2686" i="85"/>
  <c r="N2686" i="85"/>
  <c r="H2686" i="85"/>
  <c r="A2686" i="85"/>
  <c r="AM2685" i="85"/>
  <c r="AL2685" i="85"/>
  <c r="AK2685" i="85"/>
  <c r="N2685" i="85"/>
  <c r="H2685" i="85"/>
  <c r="A2685" i="85"/>
  <c r="AL2684" i="85"/>
  <c r="AK2684" i="85"/>
  <c r="N2684" i="85"/>
  <c r="H2684" i="85"/>
  <c r="A2684" i="85"/>
  <c r="AL2683" i="85"/>
  <c r="AK2683" i="85"/>
  <c r="N2683" i="85"/>
  <c r="H2683" i="85"/>
  <c r="A2683" i="85"/>
  <c r="AL2682" i="85"/>
  <c r="AK2682" i="85"/>
  <c r="N2682" i="85"/>
  <c r="H2682" i="85"/>
  <c r="A2682" i="85"/>
  <c r="AL2681" i="85"/>
  <c r="AK2681" i="85"/>
  <c r="N2681" i="85"/>
  <c r="H2681" i="85"/>
  <c r="A2681" i="85"/>
  <c r="AL2680" i="85"/>
  <c r="AK2680" i="85"/>
  <c r="N2680" i="85"/>
  <c r="H2680" i="85"/>
  <c r="A2680" i="85"/>
  <c r="AL2679" i="85"/>
  <c r="AK2679" i="85"/>
  <c r="N2679" i="85"/>
  <c r="H2679" i="85"/>
  <c r="A2679" i="85"/>
  <c r="AL2678" i="85"/>
  <c r="AK2678" i="85"/>
  <c r="N2678" i="85"/>
  <c r="H2678" i="85"/>
  <c r="A2678" i="85"/>
  <c r="AL2677" i="85"/>
  <c r="AK2677" i="85"/>
  <c r="N2677" i="85"/>
  <c r="H2677" i="85"/>
  <c r="A2677" i="85"/>
  <c r="AL2676" i="85"/>
  <c r="AK2676" i="85"/>
  <c r="N2676" i="85"/>
  <c r="H2676" i="85"/>
  <c r="A2676" i="85"/>
  <c r="AL2675" i="85"/>
  <c r="AK2675" i="85"/>
  <c r="N2675" i="85"/>
  <c r="H2675" i="85"/>
  <c r="A2675" i="85"/>
  <c r="AL2674" i="85"/>
  <c r="AK2674" i="85"/>
  <c r="N2674" i="85"/>
  <c r="H2674" i="85"/>
  <c r="A2674" i="85"/>
  <c r="AL2673" i="85"/>
  <c r="AK2673" i="85"/>
  <c r="N2673" i="85"/>
  <c r="H2673" i="85"/>
  <c r="A2673" i="85"/>
  <c r="AL2672" i="85"/>
  <c r="AK2672" i="85"/>
  <c r="N2672" i="85"/>
  <c r="H2672" i="85"/>
  <c r="A2672" i="85"/>
  <c r="AM2671" i="85"/>
  <c r="AL2671" i="85"/>
  <c r="AK2671" i="85"/>
  <c r="N2671" i="85"/>
  <c r="H2671" i="85"/>
  <c r="A2671" i="85"/>
  <c r="AL2670" i="85"/>
  <c r="AK2670" i="85"/>
  <c r="N2670" i="85"/>
  <c r="H2670" i="85"/>
  <c r="A2670" i="85"/>
  <c r="AL2669" i="85"/>
  <c r="AK2669" i="85"/>
  <c r="N2669" i="85"/>
  <c r="H2669" i="85"/>
  <c r="A2669" i="85"/>
  <c r="AL2668" i="85"/>
  <c r="AK2668" i="85"/>
  <c r="N2668" i="85"/>
  <c r="H2668" i="85"/>
  <c r="A2668" i="85"/>
  <c r="AL2667" i="85"/>
  <c r="AK2667" i="85"/>
  <c r="N2667" i="85"/>
  <c r="H2667" i="85"/>
  <c r="A2667" i="85"/>
  <c r="AL2666" i="85"/>
  <c r="AK2666" i="85"/>
  <c r="N2666" i="85"/>
  <c r="H2666" i="85"/>
  <c r="A2666" i="85"/>
  <c r="AL2665" i="85"/>
  <c r="AK2665" i="85"/>
  <c r="N2665" i="85"/>
  <c r="H2665" i="85"/>
  <c r="A2665" i="85"/>
  <c r="AL2664" i="85"/>
  <c r="AK2664" i="85"/>
  <c r="N2664" i="85"/>
  <c r="H2664" i="85"/>
  <c r="A2664" i="85"/>
  <c r="AL2663" i="85"/>
  <c r="AK2663" i="85"/>
  <c r="N2663" i="85"/>
  <c r="H2663" i="85"/>
  <c r="A2663" i="85"/>
  <c r="AL2662" i="85"/>
  <c r="AK2662" i="85"/>
  <c r="N2662" i="85"/>
  <c r="H2662" i="85"/>
  <c r="A2662" i="85"/>
  <c r="AL2661" i="85"/>
  <c r="AK2661" i="85"/>
  <c r="N2661" i="85"/>
  <c r="H2661" i="85"/>
  <c r="A2661" i="85"/>
  <c r="AL2660" i="85"/>
  <c r="AK2660" i="85"/>
  <c r="N2660" i="85"/>
  <c r="H2660" i="85"/>
  <c r="A2660" i="85"/>
  <c r="AL2659" i="85"/>
  <c r="AK2659" i="85"/>
  <c r="N2659" i="85"/>
  <c r="H2659" i="85"/>
  <c r="A2659" i="85"/>
  <c r="AL2658" i="85"/>
  <c r="AK2658" i="85"/>
  <c r="N2658" i="85"/>
  <c r="H2658" i="85"/>
  <c r="A2658" i="85"/>
  <c r="AL2657" i="85"/>
  <c r="AK2657" i="85"/>
  <c r="N2657" i="85"/>
  <c r="H2657" i="85"/>
  <c r="A2657" i="85"/>
  <c r="AL2656" i="85"/>
  <c r="AK2656" i="85"/>
  <c r="N2656" i="85"/>
  <c r="H2656" i="85"/>
  <c r="A2656" i="85"/>
  <c r="AL2655" i="85"/>
  <c r="AK2655" i="85"/>
  <c r="N2655" i="85"/>
  <c r="H2655" i="85"/>
  <c r="A2655" i="85"/>
  <c r="AM2654" i="85"/>
  <c r="AL2654" i="85"/>
  <c r="AK2654" i="85"/>
  <c r="N2654" i="85"/>
  <c r="H2654" i="85"/>
  <c r="A2654" i="85"/>
  <c r="AL2653" i="85"/>
  <c r="AK2653" i="85"/>
  <c r="N2653" i="85"/>
  <c r="H2653" i="85"/>
  <c r="A2653" i="85"/>
  <c r="AL2652" i="85"/>
  <c r="AK2652" i="85"/>
  <c r="N2652" i="85"/>
  <c r="H2652" i="85"/>
  <c r="A2652" i="85"/>
  <c r="AL2651" i="85"/>
  <c r="AK2651" i="85"/>
  <c r="N2651" i="85"/>
  <c r="H2651" i="85"/>
  <c r="A2651" i="85"/>
  <c r="AL2650" i="85"/>
  <c r="AK2650" i="85"/>
  <c r="N2650" i="85"/>
  <c r="H2650" i="85"/>
  <c r="A2650" i="85"/>
  <c r="AL2649" i="85"/>
  <c r="AK2649" i="85"/>
  <c r="N2649" i="85"/>
  <c r="H2649" i="85"/>
  <c r="A2649" i="85"/>
  <c r="AL2648" i="85"/>
  <c r="AK2648" i="85"/>
  <c r="N2648" i="85"/>
  <c r="H2648" i="85"/>
  <c r="A2648" i="85"/>
  <c r="AL2647" i="85"/>
  <c r="AK2647" i="85"/>
  <c r="N2647" i="85"/>
  <c r="H2647" i="85"/>
  <c r="A2647" i="85"/>
  <c r="AL2646" i="85"/>
  <c r="AK2646" i="85"/>
  <c r="N2646" i="85"/>
  <c r="H2646" i="85"/>
  <c r="A2646" i="85"/>
  <c r="AL2645" i="85"/>
  <c r="AK2645" i="85"/>
  <c r="N2645" i="85"/>
  <c r="H2645" i="85"/>
  <c r="A2645" i="85"/>
  <c r="AL2644" i="85"/>
  <c r="AK2644" i="85"/>
  <c r="N2644" i="85"/>
  <c r="H2644" i="85"/>
  <c r="A2644" i="85"/>
  <c r="AL2643" i="85"/>
  <c r="AK2643" i="85"/>
  <c r="N2643" i="85"/>
  <c r="H2643" i="85"/>
  <c r="A2643" i="85"/>
  <c r="AL2642" i="85"/>
  <c r="AK2642" i="85"/>
  <c r="N2642" i="85"/>
  <c r="H2642" i="85"/>
  <c r="A2642" i="85"/>
  <c r="AL2641" i="85"/>
  <c r="AK2641" i="85"/>
  <c r="N2641" i="85"/>
  <c r="H2641" i="85"/>
  <c r="A2641" i="85"/>
  <c r="AL2640" i="85"/>
  <c r="AK2640" i="85"/>
  <c r="N2640" i="85"/>
  <c r="H2640" i="85"/>
  <c r="A2640" i="85"/>
  <c r="AL2639" i="85"/>
  <c r="AK2639" i="85"/>
  <c r="N2639" i="85"/>
  <c r="H2639" i="85"/>
  <c r="A2639" i="85"/>
  <c r="AL2638" i="85"/>
  <c r="AK2638" i="85"/>
  <c r="N2638" i="85"/>
  <c r="H2638" i="85"/>
  <c r="A2638" i="85"/>
  <c r="AL2637" i="85"/>
  <c r="AK2637" i="85"/>
  <c r="N2637" i="85"/>
  <c r="H2637" i="85"/>
  <c r="A2637" i="85"/>
  <c r="AL2636" i="85"/>
  <c r="AK2636" i="85"/>
  <c r="N2636" i="85"/>
  <c r="H2636" i="85"/>
  <c r="A2636" i="85"/>
  <c r="AL2635" i="85"/>
  <c r="AK2635" i="85"/>
  <c r="N2635" i="85"/>
  <c r="H2635" i="85"/>
  <c r="A2635" i="85"/>
  <c r="AL2634" i="85"/>
  <c r="AK2634" i="85"/>
  <c r="N2634" i="85"/>
  <c r="H2634" i="85"/>
  <c r="A2634" i="85"/>
  <c r="AL2633" i="85"/>
  <c r="AK2633" i="85"/>
  <c r="N2633" i="85"/>
  <c r="H2633" i="85"/>
  <c r="A2633" i="85"/>
  <c r="AL2632" i="85"/>
  <c r="AK2632" i="85"/>
  <c r="N2632" i="85"/>
  <c r="H2632" i="85"/>
  <c r="A2632" i="85"/>
  <c r="AL2631" i="85"/>
  <c r="AK2631" i="85"/>
  <c r="N2631" i="85"/>
  <c r="H2631" i="85"/>
  <c r="A2631" i="85"/>
  <c r="AL2630" i="85"/>
  <c r="AK2630" i="85"/>
  <c r="N2630" i="85"/>
  <c r="H2630" i="85"/>
  <c r="A2630" i="85"/>
  <c r="AL2629" i="85"/>
  <c r="AK2629" i="85"/>
  <c r="N2629" i="85"/>
  <c r="H2629" i="85"/>
  <c r="A2629" i="85"/>
  <c r="AL2628" i="85"/>
  <c r="AK2628" i="85"/>
  <c r="N2628" i="85"/>
  <c r="H2628" i="85"/>
  <c r="A2628" i="85"/>
  <c r="AL2627" i="85"/>
  <c r="AK2627" i="85"/>
  <c r="N2627" i="85"/>
  <c r="H2627" i="85"/>
  <c r="A2627" i="85"/>
  <c r="AL2626" i="85"/>
  <c r="AK2626" i="85"/>
  <c r="N2626" i="85"/>
  <c r="H2626" i="85"/>
  <c r="A2626" i="85"/>
  <c r="AL2625" i="85"/>
  <c r="AK2625" i="85"/>
  <c r="N2625" i="85"/>
  <c r="H2625" i="85"/>
  <c r="A2625" i="85"/>
  <c r="AL2624" i="85"/>
  <c r="AK2624" i="85"/>
  <c r="N2624" i="85"/>
  <c r="H2624" i="85"/>
  <c r="A2624" i="85"/>
  <c r="AL2623" i="85"/>
  <c r="AK2623" i="85"/>
  <c r="N2623" i="85"/>
  <c r="H2623" i="85"/>
  <c r="A2623" i="85"/>
  <c r="AM2622" i="85"/>
  <c r="AL2622" i="85"/>
  <c r="AK2622" i="85"/>
  <c r="N2622" i="85"/>
  <c r="H2622" i="85"/>
  <c r="A2622" i="85"/>
  <c r="AL2621" i="85"/>
  <c r="AK2621" i="85"/>
  <c r="N2621" i="85"/>
  <c r="H2621" i="85"/>
  <c r="A2621" i="85"/>
  <c r="AL2620" i="85"/>
  <c r="AK2620" i="85"/>
  <c r="N2620" i="85"/>
  <c r="H2620" i="85"/>
  <c r="A2620" i="85"/>
  <c r="AL2619" i="85"/>
  <c r="AK2619" i="85"/>
  <c r="N2619" i="85"/>
  <c r="H2619" i="85"/>
  <c r="A2619" i="85"/>
  <c r="AL2618" i="85"/>
  <c r="AK2618" i="85"/>
  <c r="N2618" i="85"/>
  <c r="H2618" i="85"/>
  <c r="A2618" i="85"/>
  <c r="AL2617" i="85"/>
  <c r="AK2617" i="85"/>
  <c r="N2617" i="85"/>
  <c r="H2617" i="85"/>
  <c r="A2617" i="85"/>
  <c r="AL2616" i="85"/>
  <c r="AK2616" i="85"/>
  <c r="N2616" i="85"/>
  <c r="H2616" i="85"/>
  <c r="A2616" i="85"/>
  <c r="AL2615" i="85"/>
  <c r="AK2615" i="85"/>
  <c r="N2615" i="85"/>
  <c r="H2615" i="85"/>
  <c r="A2615" i="85"/>
  <c r="AL2614" i="85"/>
  <c r="AK2614" i="85"/>
  <c r="N2614" i="85"/>
  <c r="H2614" i="85"/>
  <c r="A2614" i="85"/>
  <c r="AL2613" i="85"/>
  <c r="AK2613" i="85"/>
  <c r="N2613" i="85"/>
  <c r="H2613" i="85"/>
  <c r="A2613" i="85"/>
  <c r="AL2612" i="85"/>
  <c r="AK2612" i="85"/>
  <c r="N2612" i="85"/>
  <c r="H2612" i="85"/>
  <c r="A2612" i="85"/>
  <c r="AL2611" i="85"/>
  <c r="AK2611" i="85"/>
  <c r="N2611" i="85"/>
  <c r="H2611" i="85"/>
  <c r="A2611" i="85"/>
  <c r="AL2610" i="85"/>
  <c r="AK2610" i="85"/>
  <c r="N2610" i="85"/>
  <c r="H2610" i="85"/>
  <c r="A2610" i="85"/>
  <c r="AL2609" i="85"/>
  <c r="AK2609" i="85"/>
  <c r="N2609" i="85"/>
  <c r="H2609" i="85"/>
  <c r="A2609" i="85"/>
  <c r="AL2608" i="85"/>
  <c r="AK2608" i="85"/>
  <c r="N2608" i="85"/>
  <c r="H2608" i="85"/>
  <c r="A2608" i="85"/>
  <c r="AL2607" i="85"/>
  <c r="AK2607" i="85"/>
  <c r="N2607" i="85"/>
  <c r="H2607" i="85"/>
  <c r="A2607" i="85"/>
  <c r="AL2606" i="85"/>
  <c r="AK2606" i="85"/>
  <c r="N2606" i="85"/>
  <c r="H2606" i="85"/>
  <c r="A2606" i="85"/>
  <c r="AL2605" i="85"/>
  <c r="AK2605" i="85"/>
  <c r="N2605" i="85"/>
  <c r="H2605" i="85"/>
  <c r="A2605" i="85"/>
  <c r="AM2604" i="85"/>
  <c r="AL2604" i="85"/>
  <c r="AK2604" i="85"/>
  <c r="N2604" i="85"/>
  <c r="H2604" i="85"/>
  <c r="A2604" i="85"/>
  <c r="AL2603" i="85"/>
  <c r="AK2603" i="85"/>
  <c r="N2603" i="85"/>
  <c r="H2603" i="85"/>
  <c r="A2603" i="85"/>
  <c r="AL2602" i="85"/>
  <c r="AK2602" i="85"/>
  <c r="N2602" i="85"/>
  <c r="H2602" i="85"/>
  <c r="A2602" i="85"/>
  <c r="AM2601" i="85"/>
  <c r="AL2601" i="85"/>
  <c r="AK2601" i="85"/>
  <c r="N2601" i="85"/>
  <c r="H2601" i="85"/>
  <c r="A2601" i="85"/>
  <c r="AL2600" i="85"/>
  <c r="AK2600" i="85"/>
  <c r="N2600" i="85"/>
  <c r="H2600" i="85"/>
  <c r="A2600" i="85"/>
  <c r="AL2599" i="85"/>
  <c r="AK2599" i="85"/>
  <c r="N2599" i="85"/>
  <c r="H2599" i="85"/>
  <c r="A2599" i="85"/>
  <c r="AL2598" i="85"/>
  <c r="AK2598" i="85"/>
  <c r="N2598" i="85"/>
  <c r="H2598" i="85"/>
  <c r="A2598" i="85"/>
  <c r="AL2597" i="85"/>
  <c r="AK2597" i="85"/>
  <c r="N2597" i="85"/>
  <c r="H2597" i="85"/>
  <c r="A2597" i="85"/>
  <c r="AL2596" i="85"/>
  <c r="AK2596" i="85"/>
  <c r="N2596" i="85"/>
  <c r="H2596" i="85"/>
  <c r="A2596" i="85"/>
  <c r="AL2595" i="85"/>
  <c r="AK2595" i="85"/>
  <c r="N2595" i="85"/>
  <c r="H2595" i="85"/>
  <c r="A2595" i="85"/>
  <c r="AL2594" i="85"/>
  <c r="AK2594" i="85"/>
  <c r="N2594" i="85"/>
  <c r="H2594" i="85"/>
  <c r="A2594" i="85"/>
  <c r="AL2593" i="85"/>
  <c r="AK2593" i="85"/>
  <c r="N2593" i="85"/>
  <c r="H2593" i="85"/>
  <c r="A2593" i="85"/>
  <c r="AL2592" i="85"/>
  <c r="AK2592" i="85"/>
  <c r="N2592" i="85"/>
  <c r="H2592" i="85"/>
  <c r="A2592" i="85"/>
  <c r="AL2591" i="85"/>
  <c r="AK2591" i="85"/>
  <c r="N2591" i="85"/>
  <c r="H2591" i="85"/>
  <c r="A2591" i="85"/>
  <c r="AL2590" i="85"/>
  <c r="AK2590" i="85"/>
  <c r="N2590" i="85"/>
  <c r="H2590" i="85"/>
  <c r="A2590" i="85"/>
  <c r="AL2589" i="85"/>
  <c r="AK2589" i="85"/>
  <c r="N2589" i="85"/>
  <c r="H2589" i="85"/>
  <c r="A2589" i="85"/>
  <c r="AL2588" i="85"/>
  <c r="AK2588" i="85"/>
  <c r="N2588" i="85"/>
  <c r="H2588" i="85"/>
  <c r="A2588" i="85"/>
  <c r="AL2587" i="85"/>
  <c r="AK2587" i="85"/>
  <c r="N2587" i="85"/>
  <c r="H2587" i="85"/>
  <c r="A2587" i="85"/>
  <c r="AL2586" i="85"/>
  <c r="AK2586" i="85"/>
  <c r="N2586" i="85"/>
  <c r="H2586" i="85"/>
  <c r="A2586" i="85"/>
  <c r="AL2585" i="85"/>
  <c r="AK2585" i="85"/>
  <c r="N2585" i="85"/>
  <c r="H2585" i="85"/>
  <c r="A2585" i="85"/>
  <c r="AL2584" i="85"/>
  <c r="AK2584" i="85"/>
  <c r="N2584" i="85"/>
  <c r="H2584" i="85"/>
  <c r="A2584" i="85"/>
  <c r="AL2583" i="85"/>
  <c r="AK2583" i="85"/>
  <c r="N2583" i="85"/>
  <c r="H2583" i="85"/>
  <c r="A2583" i="85"/>
  <c r="AL2582" i="85"/>
  <c r="AK2582" i="85"/>
  <c r="N2582" i="85"/>
  <c r="H2582" i="85"/>
  <c r="A2582" i="85"/>
  <c r="AL2581" i="85"/>
  <c r="AK2581" i="85"/>
  <c r="N2581" i="85"/>
  <c r="H2581" i="85"/>
  <c r="A2581" i="85"/>
  <c r="AM2580" i="85"/>
  <c r="AL2580" i="85"/>
  <c r="AK2580" i="85"/>
  <c r="N2580" i="85"/>
  <c r="H2580" i="85"/>
  <c r="A2580" i="85"/>
  <c r="AL2579" i="85"/>
  <c r="AK2579" i="85"/>
  <c r="N2579" i="85"/>
  <c r="H2579" i="85"/>
  <c r="A2579" i="85"/>
  <c r="AL2578" i="85"/>
  <c r="AK2578" i="85"/>
  <c r="N2578" i="85"/>
  <c r="H2578" i="85"/>
  <c r="A2578" i="85"/>
  <c r="AL2577" i="85"/>
  <c r="AK2577" i="85"/>
  <c r="N2577" i="85"/>
  <c r="H2577" i="85"/>
  <c r="A2577" i="85"/>
  <c r="AL2576" i="85"/>
  <c r="AK2576" i="85"/>
  <c r="N2576" i="85"/>
  <c r="H2576" i="85"/>
  <c r="A2576" i="85"/>
  <c r="AL2575" i="85"/>
  <c r="AK2575" i="85"/>
  <c r="N2575" i="85"/>
  <c r="H2575" i="85"/>
  <c r="A2575" i="85"/>
  <c r="AM2574" i="85"/>
  <c r="AL2574" i="85"/>
  <c r="AK2574" i="85"/>
  <c r="N2574" i="85"/>
  <c r="H2574" i="85"/>
  <c r="A2574" i="85"/>
  <c r="AL2573" i="85"/>
  <c r="AK2573" i="85"/>
  <c r="N2573" i="85"/>
  <c r="H2573" i="85"/>
  <c r="A2573" i="85"/>
  <c r="AL2572" i="85"/>
  <c r="AK2572" i="85"/>
  <c r="N2572" i="85"/>
  <c r="H2572" i="85"/>
  <c r="A2572" i="85"/>
  <c r="AL2571" i="85"/>
  <c r="AK2571" i="85"/>
  <c r="N2571" i="85"/>
  <c r="H2571" i="85"/>
  <c r="A2571" i="85"/>
  <c r="AL2570" i="85"/>
  <c r="AK2570" i="85"/>
  <c r="N2570" i="85"/>
  <c r="H2570" i="85"/>
  <c r="A2570" i="85"/>
  <c r="AL2569" i="85"/>
  <c r="AK2569" i="85"/>
  <c r="N2569" i="85"/>
  <c r="H2569" i="85"/>
  <c r="A2569" i="85"/>
  <c r="AL2568" i="85"/>
  <c r="AK2568" i="85"/>
  <c r="N2568" i="85"/>
  <c r="H2568" i="85"/>
  <c r="A2568" i="85"/>
  <c r="AL2567" i="85"/>
  <c r="AK2567" i="85"/>
  <c r="N2567" i="85"/>
  <c r="H2567" i="85"/>
  <c r="A2567" i="85"/>
  <c r="AL2566" i="85"/>
  <c r="AK2566" i="85"/>
  <c r="N2566" i="85"/>
  <c r="H2566" i="85"/>
  <c r="A2566" i="85"/>
  <c r="AL2565" i="85"/>
  <c r="AK2565" i="85"/>
  <c r="N2565" i="85"/>
  <c r="H2565" i="85"/>
  <c r="A2565" i="85"/>
  <c r="AL2564" i="85"/>
  <c r="AK2564" i="85"/>
  <c r="N2564" i="85"/>
  <c r="H2564" i="85"/>
  <c r="A2564" i="85"/>
  <c r="AL2563" i="85"/>
  <c r="AK2563" i="85"/>
  <c r="N2563" i="85"/>
  <c r="H2563" i="85"/>
  <c r="A2563" i="85"/>
  <c r="AL2562" i="85"/>
  <c r="AK2562" i="85"/>
  <c r="N2562" i="85"/>
  <c r="H2562" i="85"/>
  <c r="A2562" i="85"/>
  <c r="AL2561" i="85"/>
  <c r="AK2561" i="85"/>
  <c r="N2561" i="85"/>
  <c r="H2561" i="85"/>
  <c r="A2561" i="85"/>
  <c r="AL2560" i="85"/>
  <c r="AK2560" i="85"/>
  <c r="N2560" i="85"/>
  <c r="H2560" i="85"/>
  <c r="A2560" i="85"/>
  <c r="AL2559" i="85"/>
  <c r="AK2559" i="85"/>
  <c r="N2559" i="85"/>
  <c r="H2559" i="85"/>
  <c r="A2559" i="85"/>
  <c r="AM2558" i="85"/>
  <c r="AL2558" i="85"/>
  <c r="AK2558" i="85"/>
  <c r="N2558" i="85"/>
  <c r="H2558" i="85"/>
  <c r="A2558" i="85"/>
  <c r="AL2557" i="85"/>
  <c r="AK2557" i="85"/>
  <c r="N2557" i="85"/>
  <c r="H2557" i="85"/>
  <c r="A2557" i="85"/>
  <c r="AL2556" i="85"/>
  <c r="AK2556" i="85"/>
  <c r="N2556" i="85"/>
  <c r="H2556" i="85"/>
  <c r="A2556" i="85"/>
  <c r="AL2555" i="85"/>
  <c r="AK2555" i="85"/>
  <c r="N2555" i="85"/>
  <c r="H2555" i="85"/>
  <c r="A2555" i="85"/>
  <c r="AL2554" i="85"/>
  <c r="AK2554" i="85"/>
  <c r="N2554" i="85"/>
  <c r="H2554" i="85"/>
  <c r="A2554" i="85"/>
  <c r="AL2553" i="85"/>
  <c r="AK2553" i="85"/>
  <c r="N2553" i="85"/>
  <c r="H2553" i="85"/>
  <c r="A2553" i="85"/>
  <c r="AL2552" i="85"/>
  <c r="AK2552" i="85"/>
  <c r="N2552" i="85"/>
  <c r="H2552" i="85"/>
  <c r="A2552" i="85"/>
  <c r="AL2551" i="85"/>
  <c r="AK2551" i="85"/>
  <c r="N2551" i="85"/>
  <c r="H2551" i="85"/>
  <c r="A2551" i="85"/>
  <c r="AL2550" i="85"/>
  <c r="AK2550" i="85"/>
  <c r="N2550" i="85"/>
  <c r="H2550" i="85"/>
  <c r="A2550" i="85"/>
  <c r="AL2549" i="85"/>
  <c r="AK2549" i="85"/>
  <c r="N2549" i="85"/>
  <c r="H2549" i="85"/>
  <c r="A2549" i="85"/>
  <c r="AL2548" i="85"/>
  <c r="AK2548" i="85"/>
  <c r="N2548" i="85"/>
  <c r="H2548" i="85"/>
  <c r="A2548" i="85"/>
  <c r="AL2547" i="85"/>
  <c r="AK2547" i="85"/>
  <c r="N2547" i="85"/>
  <c r="H2547" i="85"/>
  <c r="A2547" i="85"/>
  <c r="AL2546" i="85"/>
  <c r="AK2546" i="85"/>
  <c r="N2546" i="85"/>
  <c r="H2546" i="85"/>
  <c r="A2546" i="85"/>
  <c r="AM2545" i="85"/>
  <c r="AL2545" i="85"/>
  <c r="AK2545" i="85"/>
  <c r="N2545" i="85"/>
  <c r="H2545" i="85"/>
  <c r="A2545" i="85"/>
  <c r="AL2544" i="85"/>
  <c r="AK2544" i="85"/>
  <c r="N2544" i="85"/>
  <c r="H2544" i="85"/>
  <c r="A2544" i="85"/>
  <c r="AL2543" i="85"/>
  <c r="AK2543" i="85"/>
  <c r="N2543" i="85"/>
  <c r="H2543" i="85"/>
  <c r="A2543" i="85"/>
  <c r="AL2542" i="85"/>
  <c r="AK2542" i="85"/>
  <c r="N2542" i="85"/>
  <c r="H2542" i="85"/>
  <c r="A2542" i="85"/>
  <c r="AL2541" i="85"/>
  <c r="AK2541" i="85"/>
  <c r="N2541" i="85"/>
  <c r="H2541" i="85"/>
  <c r="A2541" i="85"/>
  <c r="AL2540" i="85"/>
  <c r="AK2540" i="85"/>
  <c r="N2540" i="85"/>
  <c r="H2540" i="85"/>
  <c r="A2540" i="85"/>
  <c r="AL2539" i="85"/>
  <c r="AK2539" i="85"/>
  <c r="N2539" i="85"/>
  <c r="H2539" i="85"/>
  <c r="A2539" i="85"/>
  <c r="AL2538" i="85"/>
  <c r="AK2538" i="85"/>
  <c r="N2538" i="85"/>
  <c r="H2538" i="85"/>
  <c r="A2538" i="85"/>
  <c r="AL2537" i="85"/>
  <c r="AK2537" i="85"/>
  <c r="N2537" i="85"/>
  <c r="H2537" i="85"/>
  <c r="A2537" i="85"/>
  <c r="AL2536" i="85"/>
  <c r="AK2536" i="85"/>
  <c r="N2536" i="85"/>
  <c r="H2536" i="85"/>
  <c r="A2536" i="85"/>
  <c r="AL2535" i="85"/>
  <c r="AK2535" i="85"/>
  <c r="N2535" i="85"/>
  <c r="H2535" i="85"/>
  <c r="A2535" i="85"/>
  <c r="AL2534" i="85"/>
  <c r="AK2534" i="85"/>
  <c r="N2534" i="85"/>
  <c r="H2534" i="85"/>
  <c r="A2534" i="85"/>
  <c r="AL2533" i="85"/>
  <c r="AK2533" i="85"/>
  <c r="N2533" i="85"/>
  <c r="H2533" i="85"/>
  <c r="A2533" i="85"/>
  <c r="AL2532" i="85"/>
  <c r="AK2532" i="85"/>
  <c r="N2532" i="85"/>
  <c r="H2532" i="85"/>
  <c r="A2532" i="85"/>
  <c r="AL2531" i="85"/>
  <c r="AK2531" i="85"/>
  <c r="N2531" i="85"/>
  <c r="H2531" i="85"/>
  <c r="A2531" i="85"/>
  <c r="AL2530" i="85"/>
  <c r="AK2530" i="85"/>
  <c r="N2530" i="85"/>
  <c r="H2530" i="85"/>
  <c r="A2530" i="85"/>
  <c r="AL2529" i="85"/>
  <c r="AK2529" i="85"/>
  <c r="N2529" i="85"/>
  <c r="H2529" i="85"/>
  <c r="A2529" i="85"/>
  <c r="AL2528" i="85"/>
  <c r="AK2528" i="85"/>
  <c r="AD2528" i="85"/>
  <c r="N2528" i="85"/>
  <c r="H2528" i="85"/>
  <c r="A2528" i="85"/>
  <c r="AL2527" i="85"/>
  <c r="AK2527" i="85"/>
  <c r="N2527" i="85"/>
  <c r="H2527" i="85"/>
  <c r="A2527" i="85"/>
  <c r="AL2526" i="85"/>
  <c r="AK2526" i="85"/>
  <c r="N2526" i="85"/>
  <c r="H2526" i="85"/>
  <c r="A2526" i="85"/>
  <c r="AL2525" i="85"/>
  <c r="AK2525" i="85"/>
  <c r="N2525" i="85"/>
  <c r="H2525" i="85"/>
  <c r="A2525" i="85"/>
  <c r="AL2524" i="85"/>
  <c r="AK2524" i="85"/>
  <c r="N2524" i="85"/>
  <c r="H2524" i="85"/>
  <c r="A2524" i="85"/>
  <c r="AL2523" i="85"/>
  <c r="AK2523" i="85"/>
  <c r="N2523" i="85"/>
  <c r="H2523" i="85"/>
  <c r="A2523" i="85"/>
  <c r="AL2522" i="85"/>
  <c r="AK2522" i="85"/>
  <c r="N2522" i="85"/>
  <c r="H2522" i="85"/>
  <c r="A2522" i="85"/>
  <c r="AL2521" i="85"/>
  <c r="AK2521" i="85"/>
  <c r="N2521" i="85"/>
  <c r="H2521" i="85"/>
  <c r="A2521" i="85"/>
  <c r="AL2520" i="85"/>
  <c r="AK2520" i="85"/>
  <c r="N2520" i="85"/>
  <c r="H2520" i="85"/>
  <c r="A2520" i="85"/>
  <c r="AL2519" i="85"/>
  <c r="AK2519" i="85"/>
  <c r="N2519" i="85"/>
  <c r="H2519" i="85"/>
  <c r="A2519" i="85"/>
  <c r="AL2518" i="85"/>
  <c r="AK2518" i="85"/>
  <c r="N2518" i="85"/>
  <c r="H2518" i="85"/>
  <c r="A2518" i="85"/>
  <c r="AL2517" i="85"/>
  <c r="AK2517" i="85"/>
  <c r="N2517" i="85"/>
  <c r="H2517" i="85"/>
  <c r="A2517" i="85"/>
  <c r="AL2516" i="85"/>
  <c r="AK2516" i="85"/>
  <c r="N2516" i="85"/>
  <c r="H2516" i="85"/>
  <c r="A2516" i="85"/>
  <c r="AL2515" i="85"/>
  <c r="AK2515" i="85"/>
  <c r="N2515" i="85"/>
  <c r="H2515" i="85"/>
  <c r="A2515" i="85"/>
  <c r="AL2514" i="85"/>
  <c r="AK2514" i="85"/>
  <c r="N2514" i="85"/>
  <c r="H2514" i="85"/>
  <c r="A2514" i="85"/>
  <c r="AL2513" i="85"/>
  <c r="AK2513" i="85"/>
  <c r="N2513" i="85"/>
  <c r="H2513" i="85"/>
  <c r="A2513" i="85"/>
  <c r="AL2512" i="85"/>
  <c r="AK2512" i="85"/>
  <c r="N2512" i="85"/>
  <c r="H2512" i="85"/>
  <c r="A2512" i="85"/>
  <c r="AL2511" i="85"/>
  <c r="AK2511" i="85"/>
  <c r="N2511" i="85"/>
  <c r="H2511" i="85"/>
  <c r="A2511" i="85"/>
  <c r="AL2510" i="85"/>
  <c r="AK2510" i="85"/>
  <c r="N2510" i="85"/>
  <c r="H2510" i="85"/>
  <c r="A2510" i="85"/>
  <c r="AM2509" i="85"/>
  <c r="AL2509" i="85"/>
  <c r="AK2509" i="85"/>
  <c r="N2509" i="85"/>
  <c r="H2509" i="85"/>
  <c r="A2509" i="85"/>
  <c r="AL2508" i="85"/>
  <c r="AK2508" i="85"/>
  <c r="N2508" i="85"/>
  <c r="H2508" i="85"/>
  <c r="A2508" i="85"/>
  <c r="AM2507" i="85"/>
  <c r="AL2507" i="85"/>
  <c r="AK2507" i="85"/>
  <c r="N2507" i="85"/>
  <c r="H2507" i="85"/>
  <c r="A2507" i="85"/>
  <c r="AL2506" i="85"/>
  <c r="AK2506" i="85"/>
  <c r="N2506" i="85"/>
  <c r="H2506" i="85"/>
  <c r="A2506" i="85"/>
  <c r="AL2505" i="85"/>
  <c r="AK2505" i="85"/>
  <c r="N2505" i="85"/>
  <c r="H2505" i="85"/>
  <c r="A2505" i="85"/>
  <c r="AL2504" i="85"/>
  <c r="AK2504" i="85"/>
  <c r="N2504" i="85"/>
  <c r="H2504" i="85"/>
  <c r="A2504" i="85"/>
  <c r="AL2503" i="85"/>
  <c r="AK2503" i="85"/>
  <c r="N2503" i="85"/>
  <c r="H2503" i="85"/>
  <c r="A2503" i="85"/>
  <c r="AL2502" i="85"/>
  <c r="AK2502" i="85"/>
  <c r="N2502" i="85"/>
  <c r="H2502" i="85"/>
  <c r="A2502" i="85"/>
  <c r="AL2501" i="85"/>
  <c r="AK2501" i="85"/>
  <c r="N2501" i="85"/>
  <c r="H2501" i="85"/>
  <c r="A2501" i="85"/>
  <c r="AL2500" i="85"/>
  <c r="AK2500" i="85"/>
  <c r="N2500" i="85"/>
  <c r="H2500" i="85"/>
  <c r="A2500" i="85"/>
  <c r="AL2499" i="85"/>
  <c r="AK2499" i="85"/>
  <c r="N2499" i="85"/>
  <c r="H2499" i="85"/>
  <c r="A2499" i="85"/>
  <c r="AL2498" i="85"/>
  <c r="AK2498" i="85"/>
  <c r="N2498" i="85"/>
  <c r="H2498" i="85"/>
  <c r="A2498" i="85"/>
  <c r="AL2497" i="85"/>
  <c r="AK2497" i="85"/>
  <c r="N2497" i="85"/>
  <c r="H2497" i="85"/>
  <c r="A2497" i="85"/>
  <c r="AL2496" i="85"/>
  <c r="AK2496" i="85"/>
  <c r="N2496" i="85"/>
  <c r="H2496" i="85"/>
  <c r="A2496" i="85"/>
  <c r="AL2495" i="85"/>
  <c r="AK2495" i="85"/>
  <c r="N2495" i="85"/>
  <c r="H2495" i="85"/>
  <c r="A2495" i="85"/>
  <c r="AL2494" i="85"/>
  <c r="AK2494" i="85"/>
  <c r="N2494" i="85"/>
  <c r="H2494" i="85"/>
  <c r="A2494" i="85"/>
  <c r="AL2493" i="85"/>
  <c r="AK2493" i="85"/>
  <c r="N2493" i="85"/>
  <c r="H2493" i="85"/>
  <c r="A2493" i="85"/>
  <c r="AL2492" i="85"/>
  <c r="AK2492" i="85"/>
  <c r="N2492" i="85"/>
  <c r="H2492" i="85"/>
  <c r="A2492" i="85"/>
  <c r="AM2491" i="85"/>
  <c r="AL2491" i="85"/>
  <c r="AK2491" i="85"/>
  <c r="N2491" i="85"/>
  <c r="H2491" i="85"/>
  <c r="A2491" i="85"/>
  <c r="AL2490" i="85"/>
  <c r="AK2490" i="85"/>
  <c r="N2490" i="85"/>
  <c r="H2490" i="85"/>
  <c r="A2490" i="85"/>
  <c r="AL2489" i="85"/>
  <c r="AK2489" i="85"/>
  <c r="AD2489" i="85"/>
  <c r="N2489" i="85"/>
  <c r="H2489" i="85"/>
  <c r="A2489" i="85"/>
  <c r="AL2488" i="85"/>
  <c r="AK2488" i="85"/>
  <c r="N2488" i="85"/>
  <c r="H2488" i="85"/>
  <c r="A2488" i="85"/>
  <c r="AL2487" i="85"/>
  <c r="AK2487" i="85"/>
  <c r="N2487" i="85"/>
  <c r="H2487" i="85"/>
  <c r="A2487" i="85"/>
  <c r="AL2486" i="85"/>
  <c r="AK2486" i="85"/>
  <c r="N2486" i="85"/>
  <c r="H2486" i="85"/>
  <c r="A2486" i="85"/>
  <c r="AL2485" i="85"/>
  <c r="AK2485" i="85"/>
  <c r="N2485" i="85"/>
  <c r="H2485" i="85"/>
  <c r="A2485" i="85"/>
  <c r="AL2484" i="85"/>
  <c r="AK2484" i="85"/>
  <c r="N2484" i="85"/>
  <c r="H2484" i="85"/>
  <c r="A2484" i="85"/>
  <c r="AL2483" i="85"/>
  <c r="AK2483" i="85"/>
  <c r="N2483" i="85"/>
  <c r="H2483" i="85"/>
  <c r="A2483" i="85"/>
  <c r="AL2482" i="85"/>
  <c r="AK2482" i="85"/>
  <c r="N2482" i="85"/>
  <c r="H2482" i="85"/>
  <c r="A2482" i="85"/>
  <c r="AL2481" i="85"/>
  <c r="AK2481" i="85"/>
  <c r="N2481" i="85"/>
  <c r="H2481" i="85"/>
  <c r="A2481" i="85"/>
  <c r="AL2480" i="85"/>
  <c r="AK2480" i="85"/>
  <c r="N2480" i="85"/>
  <c r="H2480" i="85"/>
  <c r="A2480" i="85"/>
  <c r="AL2479" i="85"/>
  <c r="AK2479" i="85"/>
  <c r="N2479" i="85"/>
  <c r="H2479" i="85"/>
  <c r="A2479" i="85"/>
  <c r="AL2478" i="85"/>
  <c r="AK2478" i="85"/>
  <c r="N2478" i="85"/>
  <c r="H2478" i="85"/>
  <c r="A2478" i="85"/>
  <c r="AL2477" i="85"/>
  <c r="AK2477" i="85"/>
  <c r="N2477" i="85"/>
  <c r="H2477" i="85"/>
  <c r="A2477" i="85"/>
  <c r="AL2476" i="85"/>
  <c r="AK2476" i="85"/>
  <c r="N2476" i="85"/>
  <c r="H2476" i="85"/>
  <c r="A2476" i="85"/>
  <c r="AL2475" i="85"/>
  <c r="AK2475" i="85"/>
  <c r="N2475" i="85"/>
  <c r="H2475" i="85"/>
  <c r="A2475" i="85"/>
  <c r="AL2474" i="85"/>
  <c r="AK2474" i="85"/>
  <c r="N2474" i="85"/>
  <c r="H2474" i="85"/>
  <c r="A2474" i="85"/>
  <c r="AL2473" i="85"/>
  <c r="AK2473" i="85"/>
  <c r="N2473" i="85"/>
  <c r="H2473" i="85"/>
  <c r="A2473" i="85"/>
  <c r="AM2472" i="85"/>
  <c r="AL2472" i="85"/>
  <c r="AK2472" i="85"/>
  <c r="N2472" i="85"/>
  <c r="H2472" i="85"/>
  <c r="A2472" i="85"/>
  <c r="AL2471" i="85"/>
  <c r="AK2471" i="85"/>
  <c r="N2471" i="85"/>
  <c r="H2471" i="85"/>
  <c r="A2471" i="85"/>
  <c r="AL2470" i="85"/>
  <c r="AK2470" i="85"/>
  <c r="N2470" i="85"/>
  <c r="H2470" i="85"/>
  <c r="A2470" i="85"/>
  <c r="AL2469" i="85"/>
  <c r="AK2469" i="85"/>
  <c r="N2469" i="85"/>
  <c r="H2469" i="85"/>
  <c r="A2469" i="85"/>
  <c r="AL2468" i="85"/>
  <c r="AK2468" i="85"/>
  <c r="N2468" i="85"/>
  <c r="H2468" i="85"/>
  <c r="A2468" i="85"/>
  <c r="AL2467" i="85"/>
  <c r="AK2467" i="85"/>
  <c r="N2467" i="85"/>
  <c r="H2467" i="85"/>
  <c r="A2467" i="85"/>
  <c r="AL2466" i="85"/>
  <c r="AK2466" i="85"/>
  <c r="N2466" i="85"/>
  <c r="H2466" i="85"/>
  <c r="A2466" i="85"/>
  <c r="AL2465" i="85"/>
  <c r="AK2465" i="85"/>
  <c r="N2465" i="85"/>
  <c r="H2465" i="85"/>
  <c r="A2465" i="85"/>
  <c r="AL2464" i="85"/>
  <c r="AK2464" i="85"/>
  <c r="N2464" i="85"/>
  <c r="H2464" i="85"/>
  <c r="A2464" i="85"/>
  <c r="AL2463" i="85"/>
  <c r="AK2463" i="85"/>
  <c r="N2463" i="85"/>
  <c r="H2463" i="85"/>
  <c r="A2463" i="85"/>
  <c r="AL2462" i="85"/>
  <c r="AK2462" i="85"/>
  <c r="N2462" i="85"/>
  <c r="H2462" i="85"/>
  <c r="A2462" i="85"/>
  <c r="AL2461" i="85"/>
  <c r="AK2461" i="85"/>
  <c r="N2461" i="85"/>
  <c r="H2461" i="85"/>
  <c r="A2461" i="85"/>
  <c r="AL2460" i="85"/>
  <c r="AK2460" i="85"/>
  <c r="N2460" i="85"/>
  <c r="H2460" i="85"/>
  <c r="A2460" i="85"/>
  <c r="AL2459" i="85"/>
  <c r="AK2459" i="85"/>
  <c r="N2459" i="85"/>
  <c r="H2459" i="85"/>
  <c r="A2459" i="85"/>
  <c r="AL2458" i="85"/>
  <c r="AK2458" i="85"/>
  <c r="N2458" i="85"/>
  <c r="H2458" i="85"/>
  <c r="A2458" i="85"/>
  <c r="AL2457" i="85"/>
  <c r="AK2457" i="85"/>
  <c r="N2457" i="85"/>
  <c r="H2457" i="85"/>
  <c r="A2457" i="85"/>
  <c r="AL2456" i="85"/>
  <c r="AK2456" i="85"/>
  <c r="AD2456" i="85"/>
  <c r="N2456" i="85"/>
  <c r="H2456" i="85"/>
  <c r="A2456" i="85"/>
  <c r="AL2455" i="85"/>
  <c r="AK2455" i="85"/>
  <c r="N2455" i="85"/>
  <c r="H2455" i="85"/>
  <c r="A2455" i="85"/>
  <c r="AL2454" i="85"/>
  <c r="AK2454" i="85"/>
  <c r="N2454" i="85"/>
  <c r="H2454" i="85"/>
  <c r="A2454" i="85"/>
  <c r="AL2453" i="85"/>
  <c r="AK2453" i="85"/>
  <c r="N2453" i="85"/>
  <c r="H2453" i="85"/>
  <c r="A2453" i="85"/>
  <c r="AL2452" i="85"/>
  <c r="AK2452" i="85"/>
  <c r="N2452" i="85"/>
  <c r="H2452" i="85"/>
  <c r="A2452" i="85"/>
  <c r="AL2451" i="85"/>
  <c r="AK2451" i="85"/>
  <c r="N2451" i="85"/>
  <c r="H2451" i="85"/>
  <c r="A2451" i="85"/>
  <c r="AL2450" i="85"/>
  <c r="AK2450" i="85"/>
  <c r="N2450" i="85"/>
  <c r="H2450" i="85"/>
  <c r="A2450" i="85"/>
  <c r="AL2449" i="85"/>
  <c r="AK2449" i="85"/>
  <c r="N2449" i="85"/>
  <c r="H2449" i="85"/>
  <c r="A2449" i="85"/>
  <c r="AL2448" i="85"/>
  <c r="AK2448" i="85"/>
  <c r="N2448" i="85"/>
  <c r="H2448" i="85"/>
  <c r="A2448" i="85"/>
  <c r="AL2447" i="85"/>
  <c r="AK2447" i="85"/>
  <c r="N2447" i="85"/>
  <c r="H2447" i="85"/>
  <c r="A2447" i="85"/>
  <c r="AL2446" i="85"/>
  <c r="AK2446" i="85"/>
  <c r="N2446" i="85"/>
  <c r="H2446" i="85"/>
  <c r="A2446" i="85"/>
  <c r="AL2445" i="85"/>
  <c r="AK2445" i="85"/>
  <c r="N2445" i="85"/>
  <c r="H2445" i="85"/>
  <c r="A2445" i="85"/>
  <c r="AL2444" i="85"/>
  <c r="AK2444" i="85"/>
  <c r="N2444" i="85"/>
  <c r="H2444" i="85"/>
  <c r="A2444" i="85"/>
  <c r="AL2443" i="85"/>
  <c r="AK2443" i="85"/>
  <c r="N2443" i="85"/>
  <c r="H2443" i="85"/>
  <c r="A2443" i="85"/>
  <c r="AL2442" i="85"/>
  <c r="AK2442" i="85"/>
  <c r="N2442" i="85"/>
  <c r="H2442" i="85"/>
  <c r="A2442" i="85"/>
  <c r="AL2441" i="85"/>
  <c r="AK2441" i="85"/>
  <c r="N2441" i="85"/>
  <c r="H2441" i="85"/>
  <c r="A2441" i="85"/>
  <c r="AL2440" i="85"/>
  <c r="AK2440" i="85"/>
  <c r="N2440" i="85"/>
  <c r="H2440" i="85"/>
  <c r="A2440" i="85"/>
  <c r="AL2439" i="85"/>
  <c r="AK2439" i="85"/>
  <c r="N2439" i="85"/>
  <c r="H2439" i="85"/>
  <c r="A2439" i="85"/>
  <c r="AM2438" i="85"/>
  <c r="AL2438" i="85"/>
  <c r="AK2438" i="85"/>
  <c r="N2438" i="85"/>
  <c r="H2438" i="85"/>
  <c r="A2438" i="85"/>
  <c r="AL2437" i="85"/>
  <c r="AK2437" i="85"/>
  <c r="N2437" i="85"/>
  <c r="H2437" i="85"/>
  <c r="A2437" i="85"/>
  <c r="AL2436" i="85"/>
  <c r="AK2436" i="85"/>
  <c r="N2436" i="85"/>
  <c r="H2436" i="85"/>
  <c r="A2436" i="85"/>
  <c r="AL2435" i="85"/>
  <c r="AK2435" i="85"/>
  <c r="N2435" i="85"/>
  <c r="H2435" i="85"/>
  <c r="A2435" i="85"/>
  <c r="AL2434" i="85"/>
  <c r="AK2434" i="85"/>
  <c r="N2434" i="85"/>
  <c r="H2434" i="85"/>
  <c r="A2434" i="85"/>
  <c r="AM2433" i="85"/>
  <c r="AL2433" i="85"/>
  <c r="AK2433" i="85"/>
  <c r="N2433" i="85"/>
  <c r="H2433" i="85"/>
  <c r="A2433" i="85"/>
  <c r="AL2432" i="85"/>
  <c r="AK2432" i="85"/>
  <c r="N2432" i="85"/>
  <c r="H2432" i="85"/>
  <c r="A2432" i="85"/>
  <c r="AL2431" i="85"/>
  <c r="AK2431" i="85"/>
  <c r="N2431" i="85"/>
  <c r="H2431" i="85"/>
  <c r="A2431" i="85"/>
  <c r="AL2430" i="85"/>
  <c r="AK2430" i="85"/>
  <c r="N2430" i="85"/>
  <c r="H2430" i="85"/>
  <c r="A2430" i="85"/>
  <c r="AL2429" i="85"/>
  <c r="AK2429" i="85"/>
  <c r="N2429" i="85"/>
  <c r="H2429" i="85"/>
  <c r="A2429" i="85"/>
  <c r="AL2428" i="85"/>
  <c r="AK2428" i="85"/>
  <c r="N2428" i="85"/>
  <c r="H2428" i="85"/>
  <c r="A2428" i="85"/>
  <c r="AL2427" i="85"/>
  <c r="AK2427" i="85"/>
  <c r="N2427" i="85"/>
  <c r="H2427" i="85"/>
  <c r="A2427" i="85"/>
  <c r="AL2426" i="85"/>
  <c r="AK2426" i="85"/>
  <c r="N2426" i="85"/>
  <c r="H2426" i="85"/>
  <c r="A2426" i="85"/>
  <c r="AL2425" i="85"/>
  <c r="AK2425" i="85"/>
  <c r="N2425" i="85"/>
  <c r="H2425" i="85"/>
  <c r="A2425" i="85"/>
  <c r="AL2424" i="85"/>
  <c r="AK2424" i="85"/>
  <c r="N2424" i="85"/>
  <c r="H2424" i="85"/>
  <c r="A2424" i="85"/>
  <c r="AL2423" i="85"/>
  <c r="AK2423" i="85"/>
  <c r="N2423" i="85"/>
  <c r="H2423" i="85"/>
  <c r="A2423" i="85"/>
  <c r="AM2422" i="85"/>
  <c r="AL2422" i="85"/>
  <c r="AK2422" i="85"/>
  <c r="N2422" i="85"/>
  <c r="H2422" i="85"/>
  <c r="A2422" i="85"/>
  <c r="AL2421" i="85"/>
  <c r="AK2421" i="85"/>
  <c r="N2421" i="85"/>
  <c r="H2421" i="85"/>
  <c r="A2421" i="85"/>
  <c r="AL2420" i="85"/>
  <c r="AK2420" i="85"/>
  <c r="N2420" i="85"/>
  <c r="H2420" i="85"/>
  <c r="A2420" i="85"/>
  <c r="AL2419" i="85"/>
  <c r="AK2419" i="85"/>
  <c r="N2419" i="85"/>
  <c r="H2419" i="85"/>
  <c r="A2419" i="85"/>
  <c r="AL2418" i="85"/>
  <c r="AK2418" i="85"/>
  <c r="N2418" i="85"/>
  <c r="H2418" i="85"/>
  <c r="A2418" i="85"/>
  <c r="AL2417" i="85"/>
  <c r="AK2417" i="85"/>
  <c r="N2417" i="85"/>
  <c r="H2417" i="85"/>
  <c r="A2417" i="85"/>
  <c r="AL2416" i="85"/>
  <c r="AK2416" i="85"/>
  <c r="N2416" i="85"/>
  <c r="H2416" i="85"/>
  <c r="A2416" i="85"/>
  <c r="AL2415" i="85"/>
  <c r="AK2415" i="85"/>
  <c r="AD2415" i="85"/>
  <c r="N2415" i="85"/>
  <c r="H2415" i="85"/>
  <c r="A2415" i="85"/>
  <c r="AL2414" i="85"/>
  <c r="AK2414" i="85"/>
  <c r="N2414" i="85"/>
  <c r="H2414" i="85"/>
  <c r="A2414" i="85"/>
  <c r="AL2413" i="85"/>
  <c r="AK2413" i="85"/>
  <c r="N2413" i="85"/>
  <c r="H2413" i="85"/>
  <c r="A2413" i="85"/>
  <c r="AL2412" i="85"/>
  <c r="AK2412" i="85"/>
  <c r="N2412" i="85"/>
  <c r="H2412" i="85"/>
  <c r="A2412" i="85"/>
  <c r="AL2411" i="85"/>
  <c r="AK2411" i="85"/>
  <c r="AD2411" i="85"/>
  <c r="N2411" i="85"/>
  <c r="H2411" i="85"/>
  <c r="A2411" i="85"/>
  <c r="AM2410" i="85"/>
  <c r="AL2410" i="85"/>
  <c r="AK2410" i="85"/>
  <c r="N2410" i="85"/>
  <c r="H2410" i="85"/>
  <c r="A2410" i="85"/>
  <c r="AL2409" i="85"/>
  <c r="AK2409" i="85"/>
  <c r="N2409" i="85"/>
  <c r="H2409" i="85"/>
  <c r="A2409" i="85"/>
  <c r="AL2408" i="85"/>
  <c r="AK2408" i="85"/>
  <c r="N2408" i="85"/>
  <c r="H2408" i="85"/>
  <c r="A2408" i="85"/>
  <c r="AM2407" i="85"/>
  <c r="AL2407" i="85"/>
  <c r="AK2407" i="85"/>
  <c r="N2407" i="85"/>
  <c r="H2407" i="85"/>
  <c r="A2407" i="85"/>
  <c r="AL2406" i="85"/>
  <c r="AK2406" i="85"/>
  <c r="N2406" i="85"/>
  <c r="H2406" i="85"/>
  <c r="A2406" i="85"/>
  <c r="AL2405" i="85"/>
  <c r="AK2405" i="85"/>
  <c r="N2405" i="85"/>
  <c r="H2405" i="85"/>
  <c r="A2405" i="85"/>
  <c r="AL2404" i="85"/>
  <c r="AK2404" i="85"/>
  <c r="N2404" i="85"/>
  <c r="H2404" i="85"/>
  <c r="A2404" i="85"/>
  <c r="AL2403" i="85"/>
  <c r="AK2403" i="85"/>
  <c r="N2403" i="85"/>
  <c r="H2403" i="85"/>
  <c r="A2403" i="85"/>
  <c r="AL2402" i="85"/>
  <c r="AK2402" i="85"/>
  <c r="AD2402" i="85"/>
  <c r="N2402" i="85"/>
  <c r="H2402" i="85"/>
  <c r="A2402" i="85"/>
  <c r="AL2401" i="85"/>
  <c r="AK2401" i="85"/>
  <c r="N2401" i="85"/>
  <c r="H2401" i="85"/>
  <c r="A2401" i="85"/>
  <c r="AL2400" i="85"/>
  <c r="AK2400" i="85"/>
  <c r="N2400" i="85"/>
  <c r="H2400" i="85"/>
  <c r="A2400" i="85"/>
  <c r="AL2399" i="85"/>
  <c r="AK2399" i="85"/>
  <c r="N2399" i="85"/>
  <c r="H2399" i="85"/>
  <c r="A2399" i="85"/>
  <c r="AL2398" i="85"/>
  <c r="AK2398" i="85"/>
  <c r="N2398" i="85"/>
  <c r="H2398" i="85"/>
  <c r="A2398" i="85"/>
  <c r="AL2397" i="85"/>
  <c r="AK2397" i="85"/>
  <c r="N2397" i="85"/>
  <c r="H2397" i="85"/>
  <c r="A2397" i="85"/>
  <c r="AL2396" i="85"/>
  <c r="AK2396" i="85"/>
  <c r="N2396" i="85"/>
  <c r="H2396" i="85"/>
  <c r="A2396" i="85"/>
  <c r="AL2395" i="85"/>
  <c r="AK2395" i="85"/>
  <c r="N2395" i="85"/>
  <c r="H2395" i="85"/>
  <c r="A2395" i="85"/>
  <c r="AL2394" i="85"/>
  <c r="AK2394" i="85"/>
  <c r="N2394" i="85"/>
  <c r="H2394" i="85"/>
  <c r="A2394" i="85"/>
  <c r="AL2393" i="85"/>
  <c r="AK2393" i="85"/>
  <c r="N2393" i="85"/>
  <c r="H2393" i="85"/>
  <c r="A2393" i="85"/>
  <c r="AL2392" i="85"/>
  <c r="AK2392" i="85"/>
  <c r="N2392" i="85"/>
  <c r="H2392" i="85"/>
  <c r="A2392" i="85"/>
  <c r="AM2391" i="85"/>
  <c r="AL2391" i="85"/>
  <c r="AK2391" i="85"/>
  <c r="N2391" i="85"/>
  <c r="H2391" i="85"/>
  <c r="A2391" i="85"/>
  <c r="AM2390" i="85"/>
  <c r="AL2390" i="85"/>
  <c r="AK2390" i="85"/>
  <c r="N2390" i="85"/>
  <c r="H2390" i="85"/>
  <c r="A2390" i="85"/>
  <c r="AL2389" i="85"/>
  <c r="AK2389" i="85"/>
  <c r="N2389" i="85"/>
  <c r="H2389" i="85"/>
  <c r="A2389" i="85"/>
  <c r="AL2388" i="85"/>
  <c r="AK2388" i="85"/>
  <c r="N2388" i="85"/>
  <c r="H2388" i="85"/>
  <c r="A2388" i="85"/>
  <c r="AL2387" i="85"/>
  <c r="AK2387" i="85"/>
  <c r="N2387" i="85"/>
  <c r="H2387" i="85"/>
  <c r="A2387" i="85"/>
  <c r="AM2386" i="85"/>
  <c r="AL2386" i="85"/>
  <c r="AK2386" i="85"/>
  <c r="N2386" i="85"/>
  <c r="H2386" i="85"/>
  <c r="A2386" i="85"/>
  <c r="AL2385" i="85"/>
  <c r="AK2385" i="85"/>
  <c r="N2385" i="85"/>
  <c r="H2385" i="85"/>
  <c r="A2385" i="85"/>
  <c r="AL2384" i="85"/>
  <c r="AK2384" i="85"/>
  <c r="N2384" i="85"/>
  <c r="H2384" i="85"/>
  <c r="A2384" i="85"/>
  <c r="AL2383" i="85"/>
  <c r="AK2383" i="85"/>
  <c r="N2383" i="85"/>
  <c r="H2383" i="85"/>
  <c r="A2383" i="85"/>
  <c r="AL2382" i="85"/>
  <c r="AK2382" i="85"/>
  <c r="N2382" i="85"/>
  <c r="H2382" i="85"/>
  <c r="A2382" i="85"/>
  <c r="AL2381" i="85"/>
  <c r="AK2381" i="85"/>
  <c r="N2381" i="85"/>
  <c r="H2381" i="85"/>
  <c r="A2381" i="85"/>
  <c r="AL2380" i="85"/>
  <c r="AK2380" i="85"/>
  <c r="N2380" i="85"/>
  <c r="H2380" i="85"/>
  <c r="A2380" i="85"/>
  <c r="AL2379" i="85"/>
  <c r="AK2379" i="85"/>
  <c r="N2379" i="85"/>
  <c r="H2379" i="85"/>
  <c r="A2379" i="85"/>
  <c r="AL2378" i="85"/>
  <c r="AK2378" i="85"/>
  <c r="N2378" i="85"/>
  <c r="H2378" i="85"/>
  <c r="A2378" i="85"/>
  <c r="AL2377" i="85"/>
  <c r="AK2377" i="85"/>
  <c r="N2377" i="85"/>
  <c r="H2377" i="85"/>
  <c r="A2377" i="85"/>
  <c r="AL2376" i="85"/>
  <c r="AK2376" i="85"/>
  <c r="N2376" i="85"/>
  <c r="H2376" i="85"/>
  <c r="A2376" i="85"/>
  <c r="AL2375" i="85"/>
  <c r="AK2375" i="85"/>
  <c r="N2375" i="85"/>
  <c r="H2375" i="85"/>
  <c r="A2375" i="85"/>
  <c r="AL2374" i="85"/>
  <c r="AK2374" i="85"/>
  <c r="N2374" i="85"/>
  <c r="H2374" i="85"/>
  <c r="A2374" i="85"/>
  <c r="AL2373" i="85"/>
  <c r="AK2373" i="85"/>
  <c r="N2373" i="85"/>
  <c r="H2373" i="85"/>
  <c r="A2373" i="85"/>
  <c r="AL2372" i="85"/>
  <c r="AK2372" i="85"/>
  <c r="N2372" i="85"/>
  <c r="H2372" i="85"/>
  <c r="A2372" i="85"/>
  <c r="AL2371" i="85"/>
  <c r="AK2371" i="85"/>
  <c r="N2371" i="85"/>
  <c r="H2371" i="85"/>
  <c r="A2371" i="85"/>
  <c r="AL2370" i="85"/>
  <c r="AK2370" i="85"/>
  <c r="N2370" i="85"/>
  <c r="H2370" i="85"/>
  <c r="A2370" i="85"/>
  <c r="AL2369" i="85"/>
  <c r="AK2369" i="85"/>
  <c r="N2369" i="85"/>
  <c r="H2369" i="85"/>
  <c r="A2369" i="85"/>
  <c r="AL2368" i="85"/>
  <c r="AK2368" i="85"/>
  <c r="N2368" i="85"/>
  <c r="H2368" i="85"/>
  <c r="A2368" i="85"/>
  <c r="AL2367" i="85"/>
  <c r="AK2367" i="85"/>
  <c r="N2367" i="85"/>
  <c r="H2367" i="85"/>
  <c r="A2367" i="85"/>
  <c r="AL2366" i="85"/>
  <c r="AK2366" i="85"/>
  <c r="N2366" i="85"/>
  <c r="H2366" i="85"/>
  <c r="A2366" i="85"/>
  <c r="AL2365" i="85"/>
  <c r="AK2365" i="85"/>
  <c r="N2365" i="85"/>
  <c r="H2365" i="85"/>
  <c r="A2365" i="85"/>
  <c r="AL2364" i="85"/>
  <c r="AK2364" i="85"/>
  <c r="N2364" i="85"/>
  <c r="H2364" i="85"/>
  <c r="A2364" i="85"/>
  <c r="AL2363" i="85"/>
  <c r="AK2363" i="85"/>
  <c r="N2363" i="85"/>
  <c r="H2363" i="85"/>
  <c r="A2363" i="85"/>
  <c r="AL2362" i="85"/>
  <c r="AK2362" i="85"/>
  <c r="N2362" i="85"/>
  <c r="H2362" i="85"/>
  <c r="A2362" i="85"/>
  <c r="AL2361" i="85"/>
  <c r="AK2361" i="85"/>
  <c r="N2361" i="85"/>
  <c r="H2361" i="85"/>
  <c r="A2361" i="85"/>
  <c r="AL2360" i="85"/>
  <c r="AK2360" i="85"/>
  <c r="N2360" i="85"/>
  <c r="H2360" i="85"/>
  <c r="A2360" i="85"/>
  <c r="AL2359" i="85"/>
  <c r="AK2359" i="85"/>
  <c r="N2359" i="85"/>
  <c r="H2359" i="85"/>
  <c r="A2359" i="85"/>
  <c r="AL2358" i="85"/>
  <c r="AK2358" i="85"/>
  <c r="N2358" i="85"/>
  <c r="H2358" i="85"/>
  <c r="A2358" i="85"/>
  <c r="AL2357" i="85"/>
  <c r="AK2357" i="85"/>
  <c r="N2357" i="85"/>
  <c r="H2357" i="85"/>
  <c r="A2357" i="85"/>
  <c r="AL2356" i="85"/>
  <c r="AK2356" i="85"/>
  <c r="N2356" i="85"/>
  <c r="H2356" i="85"/>
  <c r="A2356" i="85"/>
  <c r="AL2355" i="85"/>
  <c r="AK2355" i="85"/>
  <c r="N2355" i="85"/>
  <c r="H2355" i="85"/>
  <c r="A2355" i="85"/>
  <c r="AL2354" i="85"/>
  <c r="AK2354" i="85"/>
  <c r="N2354" i="85"/>
  <c r="H2354" i="85"/>
  <c r="A2354" i="85"/>
  <c r="AL2353" i="85"/>
  <c r="AK2353" i="85"/>
  <c r="N2353" i="85"/>
  <c r="H2353" i="85"/>
  <c r="A2353" i="85"/>
  <c r="AL2352" i="85"/>
  <c r="AK2352" i="85"/>
  <c r="N2352" i="85"/>
  <c r="H2352" i="85"/>
  <c r="A2352" i="85"/>
  <c r="AM2351" i="85"/>
  <c r="AL2351" i="85"/>
  <c r="AK2351" i="85"/>
  <c r="N2351" i="85"/>
  <c r="H2351" i="85"/>
  <c r="A2351" i="85"/>
  <c r="AL2350" i="85"/>
  <c r="AK2350" i="85"/>
  <c r="N2350" i="85"/>
  <c r="H2350" i="85"/>
  <c r="A2350" i="85"/>
  <c r="AL2349" i="85"/>
  <c r="AK2349" i="85"/>
  <c r="N2349" i="85"/>
  <c r="H2349" i="85"/>
  <c r="A2349" i="85"/>
  <c r="AL2348" i="85"/>
  <c r="AK2348" i="85"/>
  <c r="N2348" i="85"/>
  <c r="H2348" i="85"/>
  <c r="A2348" i="85"/>
  <c r="AL2347" i="85"/>
  <c r="AK2347" i="85"/>
  <c r="N2347" i="85"/>
  <c r="H2347" i="85"/>
  <c r="A2347" i="85"/>
  <c r="AL2346" i="85"/>
  <c r="AK2346" i="85"/>
  <c r="N2346" i="85"/>
  <c r="H2346" i="85"/>
  <c r="A2346" i="85"/>
  <c r="AL2345" i="85"/>
  <c r="AK2345" i="85"/>
  <c r="N2345" i="85"/>
  <c r="H2345" i="85"/>
  <c r="A2345" i="85"/>
  <c r="AL2344" i="85"/>
  <c r="AK2344" i="85"/>
  <c r="N2344" i="85"/>
  <c r="H2344" i="85"/>
  <c r="A2344" i="85"/>
  <c r="AL2343" i="85"/>
  <c r="AK2343" i="85"/>
  <c r="N2343" i="85"/>
  <c r="H2343" i="85"/>
  <c r="A2343" i="85"/>
  <c r="AL2342" i="85"/>
  <c r="AK2342" i="85"/>
  <c r="N2342" i="85"/>
  <c r="H2342" i="85"/>
  <c r="A2342" i="85"/>
  <c r="AL2341" i="85"/>
  <c r="AK2341" i="85"/>
  <c r="N2341" i="85"/>
  <c r="H2341" i="85"/>
  <c r="A2341" i="85"/>
  <c r="AL2340" i="85"/>
  <c r="AK2340" i="85"/>
  <c r="N2340" i="85"/>
  <c r="H2340" i="85"/>
  <c r="A2340" i="85"/>
  <c r="AL2339" i="85"/>
  <c r="AK2339" i="85"/>
  <c r="N2339" i="85"/>
  <c r="H2339" i="85"/>
  <c r="A2339" i="85"/>
  <c r="AL2338" i="85"/>
  <c r="AK2338" i="85"/>
  <c r="N2338" i="85"/>
  <c r="H2338" i="85"/>
  <c r="A2338" i="85"/>
  <c r="AL2337" i="85"/>
  <c r="AK2337" i="85"/>
  <c r="N2337" i="85"/>
  <c r="H2337" i="85"/>
  <c r="A2337" i="85"/>
  <c r="AL2336" i="85"/>
  <c r="AK2336" i="85"/>
  <c r="N2336" i="85"/>
  <c r="H2336" i="85"/>
  <c r="A2336" i="85"/>
  <c r="AL2335" i="85"/>
  <c r="AK2335" i="85"/>
  <c r="N2335" i="85"/>
  <c r="H2335" i="85"/>
  <c r="A2335" i="85"/>
  <c r="AL2334" i="85"/>
  <c r="AK2334" i="85"/>
  <c r="N2334" i="85"/>
  <c r="H2334" i="85"/>
  <c r="A2334" i="85"/>
  <c r="AL2333" i="85"/>
  <c r="AK2333" i="85"/>
  <c r="N2333" i="85"/>
  <c r="H2333" i="85"/>
  <c r="A2333" i="85"/>
  <c r="AL2332" i="85"/>
  <c r="AK2332" i="85"/>
  <c r="N2332" i="85"/>
  <c r="H2332" i="85"/>
  <c r="A2332" i="85"/>
  <c r="AL2331" i="85"/>
  <c r="AK2331" i="85"/>
  <c r="N2331" i="85"/>
  <c r="H2331" i="85"/>
  <c r="A2331" i="85"/>
  <c r="AL2330" i="85"/>
  <c r="AK2330" i="85"/>
  <c r="N2330" i="85"/>
  <c r="H2330" i="85"/>
  <c r="A2330" i="85"/>
  <c r="AL2329" i="85"/>
  <c r="AK2329" i="85"/>
  <c r="N2329" i="85"/>
  <c r="H2329" i="85"/>
  <c r="A2329" i="85"/>
  <c r="AL2328" i="85"/>
  <c r="AK2328" i="85"/>
  <c r="N2328" i="85"/>
  <c r="H2328" i="85"/>
  <c r="A2328" i="85"/>
  <c r="AM2327" i="85"/>
  <c r="AL2327" i="85"/>
  <c r="AK2327" i="85"/>
  <c r="N2327" i="85"/>
  <c r="H2327" i="85"/>
  <c r="A2327" i="85"/>
  <c r="AL2326" i="85"/>
  <c r="AK2326" i="85"/>
  <c r="N2326" i="85"/>
  <c r="H2326" i="85"/>
  <c r="A2326" i="85"/>
  <c r="AL2325" i="85"/>
  <c r="AK2325" i="85"/>
  <c r="N2325" i="85"/>
  <c r="H2325" i="85"/>
  <c r="A2325" i="85"/>
  <c r="AL2324" i="85"/>
  <c r="AK2324" i="85"/>
  <c r="N2324" i="85"/>
  <c r="H2324" i="85"/>
  <c r="A2324" i="85"/>
  <c r="AL2323" i="85"/>
  <c r="AK2323" i="85"/>
  <c r="N2323" i="85"/>
  <c r="H2323" i="85"/>
  <c r="A2323" i="85"/>
  <c r="AL2322" i="85"/>
  <c r="AK2322" i="85"/>
  <c r="N2322" i="85"/>
  <c r="H2322" i="85"/>
  <c r="A2322" i="85"/>
  <c r="AL2321" i="85"/>
  <c r="AK2321" i="85"/>
  <c r="N2321" i="85"/>
  <c r="H2321" i="85"/>
  <c r="A2321" i="85"/>
  <c r="AL2320" i="85"/>
  <c r="AK2320" i="85"/>
  <c r="N2320" i="85"/>
  <c r="H2320" i="85"/>
  <c r="A2320" i="85"/>
  <c r="AL2319" i="85"/>
  <c r="AK2319" i="85"/>
  <c r="N2319" i="85"/>
  <c r="H2319" i="85"/>
  <c r="A2319" i="85"/>
  <c r="AL2318" i="85"/>
  <c r="AK2318" i="85"/>
  <c r="N2318" i="85"/>
  <c r="H2318" i="85"/>
  <c r="A2318" i="85"/>
  <c r="AL2317" i="85"/>
  <c r="AK2317" i="85"/>
  <c r="N2317" i="85"/>
  <c r="H2317" i="85"/>
  <c r="A2317" i="85"/>
  <c r="AL2316" i="85"/>
  <c r="AK2316" i="85"/>
  <c r="N2316" i="85"/>
  <c r="H2316" i="85"/>
  <c r="A2316" i="85"/>
  <c r="AL2315" i="85"/>
  <c r="AK2315" i="85"/>
  <c r="N2315" i="85"/>
  <c r="H2315" i="85"/>
  <c r="A2315" i="85"/>
  <c r="AL2314" i="85"/>
  <c r="AK2314" i="85"/>
  <c r="N2314" i="85"/>
  <c r="H2314" i="85"/>
  <c r="A2314" i="85"/>
  <c r="AL2313" i="85"/>
  <c r="AK2313" i="85"/>
  <c r="N2313" i="85"/>
  <c r="H2313" i="85"/>
  <c r="A2313" i="85"/>
  <c r="AL2312" i="85"/>
  <c r="AK2312" i="85"/>
  <c r="N2312" i="85"/>
  <c r="H2312" i="85"/>
  <c r="A2312" i="85"/>
  <c r="AL2311" i="85"/>
  <c r="AK2311" i="85"/>
  <c r="N2311" i="85"/>
  <c r="H2311" i="85"/>
  <c r="A2311" i="85"/>
  <c r="AL2310" i="85"/>
  <c r="AK2310" i="85"/>
  <c r="N2310" i="85"/>
  <c r="H2310" i="85"/>
  <c r="A2310" i="85"/>
  <c r="AL2309" i="85"/>
  <c r="AK2309" i="85"/>
  <c r="N2309" i="85"/>
  <c r="H2309" i="85"/>
  <c r="A2309" i="85"/>
  <c r="AL2308" i="85"/>
  <c r="AK2308" i="85"/>
  <c r="N2308" i="85"/>
  <c r="H2308" i="85"/>
  <c r="A2308" i="85"/>
  <c r="AL2307" i="85"/>
  <c r="AK2307" i="85"/>
  <c r="N2307" i="85"/>
  <c r="H2307" i="85"/>
  <c r="A2307" i="85"/>
  <c r="AL2306" i="85"/>
  <c r="AK2306" i="85"/>
  <c r="N2306" i="85"/>
  <c r="H2306" i="85"/>
  <c r="A2306" i="85"/>
  <c r="AL2305" i="85"/>
  <c r="AK2305" i="85"/>
  <c r="N2305" i="85"/>
  <c r="H2305" i="85"/>
  <c r="A2305" i="85"/>
  <c r="AL2304" i="85"/>
  <c r="AK2304" i="85"/>
  <c r="N2304" i="85"/>
  <c r="H2304" i="85"/>
  <c r="A2304" i="85"/>
  <c r="AL2303" i="85"/>
  <c r="AK2303" i="85"/>
  <c r="N2303" i="85"/>
  <c r="H2303" i="85"/>
  <c r="A2303" i="85"/>
  <c r="AM2302" i="85"/>
  <c r="AL2302" i="85"/>
  <c r="AK2302" i="85"/>
  <c r="N2302" i="85"/>
  <c r="H2302" i="85"/>
  <c r="A2302" i="85"/>
  <c r="AL2301" i="85"/>
  <c r="AK2301" i="85"/>
  <c r="N2301" i="85"/>
  <c r="H2301" i="85"/>
  <c r="A2301" i="85"/>
  <c r="AL2300" i="85"/>
  <c r="AK2300" i="85"/>
  <c r="N2300" i="85"/>
  <c r="H2300" i="85"/>
  <c r="A2300" i="85"/>
  <c r="AL2299" i="85"/>
  <c r="AK2299" i="85"/>
  <c r="N2299" i="85"/>
  <c r="H2299" i="85"/>
  <c r="A2299" i="85"/>
  <c r="AL2298" i="85"/>
  <c r="AK2298" i="85"/>
  <c r="N2298" i="85"/>
  <c r="H2298" i="85"/>
  <c r="A2298" i="85"/>
  <c r="AL2297" i="85"/>
  <c r="AK2297" i="85"/>
  <c r="N2297" i="85"/>
  <c r="H2297" i="85"/>
  <c r="A2297" i="85"/>
  <c r="AL2296" i="85"/>
  <c r="AK2296" i="85"/>
  <c r="N2296" i="85"/>
  <c r="H2296" i="85"/>
  <c r="A2296" i="85"/>
  <c r="AM2295" i="85"/>
  <c r="AL2295" i="85"/>
  <c r="AK2295" i="85"/>
  <c r="N2295" i="85"/>
  <c r="H2295" i="85"/>
  <c r="A2295" i="85"/>
  <c r="AL2294" i="85"/>
  <c r="AK2294" i="85"/>
  <c r="N2294" i="85"/>
  <c r="H2294" i="85"/>
  <c r="A2294" i="85"/>
  <c r="AL2293" i="85"/>
  <c r="AK2293" i="85"/>
  <c r="N2293" i="85"/>
  <c r="H2293" i="85"/>
  <c r="A2293" i="85"/>
  <c r="AL2292" i="85"/>
  <c r="AK2292" i="85"/>
  <c r="N2292" i="85"/>
  <c r="H2292" i="85"/>
  <c r="A2292" i="85"/>
  <c r="AL2291" i="85"/>
  <c r="AK2291" i="85"/>
  <c r="N2291" i="85"/>
  <c r="H2291" i="85"/>
  <c r="A2291" i="85"/>
  <c r="AL2290" i="85"/>
  <c r="AK2290" i="85"/>
  <c r="N2290" i="85"/>
  <c r="H2290" i="85"/>
  <c r="A2290" i="85"/>
  <c r="AL2289" i="85"/>
  <c r="AK2289" i="85"/>
  <c r="N2289" i="85"/>
  <c r="H2289" i="85"/>
  <c r="A2289" i="85"/>
  <c r="AL2288" i="85"/>
  <c r="AK2288" i="85"/>
  <c r="N2288" i="85"/>
  <c r="H2288" i="85"/>
  <c r="A2288" i="85"/>
  <c r="AL2287" i="85"/>
  <c r="AK2287" i="85"/>
  <c r="N2287" i="85"/>
  <c r="H2287" i="85"/>
  <c r="A2287" i="85"/>
  <c r="AL2286" i="85"/>
  <c r="AK2286" i="85"/>
  <c r="N2286" i="85"/>
  <c r="H2286" i="85"/>
  <c r="A2286" i="85"/>
  <c r="AL2285" i="85"/>
  <c r="AK2285" i="85"/>
  <c r="N2285" i="85"/>
  <c r="H2285" i="85"/>
  <c r="A2285" i="85"/>
  <c r="AL2284" i="85"/>
  <c r="AK2284" i="85"/>
  <c r="N2284" i="85"/>
  <c r="H2284" i="85"/>
  <c r="A2284" i="85"/>
  <c r="AL2283" i="85"/>
  <c r="AK2283" i="85"/>
  <c r="N2283" i="85"/>
  <c r="H2283" i="85"/>
  <c r="A2283" i="85"/>
  <c r="AL2282" i="85"/>
  <c r="AK2282" i="85"/>
  <c r="N2282" i="85"/>
  <c r="H2282" i="85"/>
  <c r="A2282" i="85"/>
  <c r="AL2281" i="85"/>
  <c r="AK2281" i="85"/>
  <c r="N2281" i="85"/>
  <c r="H2281" i="85"/>
  <c r="A2281" i="85"/>
  <c r="AL2280" i="85"/>
  <c r="AK2280" i="85"/>
  <c r="N2280" i="85"/>
  <c r="H2280" i="85"/>
  <c r="A2280" i="85"/>
  <c r="AL2279" i="85"/>
  <c r="AK2279" i="85"/>
  <c r="N2279" i="85"/>
  <c r="H2279" i="85"/>
  <c r="A2279" i="85"/>
  <c r="AL2278" i="85"/>
  <c r="AK2278" i="85"/>
  <c r="N2278" i="85"/>
  <c r="H2278" i="85"/>
  <c r="A2278" i="85"/>
  <c r="AL2277" i="85"/>
  <c r="AK2277" i="85"/>
  <c r="N2277" i="85"/>
  <c r="H2277" i="85"/>
  <c r="A2277" i="85"/>
  <c r="AL2276" i="85"/>
  <c r="AK2276" i="85"/>
  <c r="N2276" i="85"/>
  <c r="H2276" i="85"/>
  <c r="A2276" i="85"/>
  <c r="AL2275" i="85"/>
  <c r="AK2275" i="85"/>
  <c r="N2275" i="85"/>
  <c r="H2275" i="85"/>
  <c r="A2275" i="85"/>
  <c r="AM2274" i="85"/>
  <c r="AL2274" i="85"/>
  <c r="AK2274" i="85"/>
  <c r="N2274" i="85"/>
  <c r="H2274" i="85"/>
  <c r="A2274" i="85"/>
  <c r="AL2273" i="85"/>
  <c r="AK2273" i="85"/>
  <c r="N2273" i="85"/>
  <c r="H2273" i="85"/>
  <c r="A2273" i="85"/>
  <c r="AL2272" i="85"/>
  <c r="AK2272" i="85"/>
  <c r="N2272" i="85"/>
  <c r="H2272" i="85"/>
  <c r="A2272" i="85"/>
  <c r="AL2271" i="85"/>
  <c r="AK2271" i="85"/>
  <c r="N2271" i="85"/>
  <c r="H2271" i="85"/>
  <c r="A2271" i="85"/>
  <c r="AL2270" i="85"/>
  <c r="AK2270" i="85"/>
  <c r="N2270" i="85"/>
  <c r="H2270" i="85"/>
  <c r="A2270" i="85"/>
  <c r="AL2269" i="85"/>
  <c r="AK2269" i="85"/>
  <c r="N2269" i="85"/>
  <c r="H2269" i="85"/>
  <c r="A2269" i="85"/>
  <c r="AL2268" i="85"/>
  <c r="AK2268" i="85"/>
  <c r="N2268" i="85"/>
  <c r="H2268" i="85"/>
  <c r="A2268" i="85"/>
  <c r="AL2267" i="85"/>
  <c r="AK2267" i="85"/>
  <c r="N2267" i="85"/>
  <c r="H2267" i="85"/>
  <c r="A2267" i="85"/>
  <c r="AL2266" i="85"/>
  <c r="AK2266" i="85"/>
  <c r="N2266" i="85"/>
  <c r="H2266" i="85"/>
  <c r="A2266" i="85"/>
  <c r="AL2265" i="85"/>
  <c r="AK2265" i="85"/>
  <c r="N2265" i="85"/>
  <c r="H2265" i="85"/>
  <c r="A2265" i="85"/>
  <c r="AL2264" i="85"/>
  <c r="AK2264" i="85"/>
  <c r="N2264" i="85"/>
  <c r="H2264" i="85"/>
  <c r="A2264" i="85"/>
  <c r="AL2263" i="85"/>
  <c r="AK2263" i="85"/>
  <c r="N2263" i="85"/>
  <c r="H2263" i="85"/>
  <c r="A2263" i="85"/>
  <c r="AL2262" i="85"/>
  <c r="AK2262" i="85"/>
  <c r="N2262" i="85"/>
  <c r="H2262" i="85"/>
  <c r="A2262" i="85"/>
  <c r="AL2261" i="85"/>
  <c r="AK2261" i="85"/>
  <c r="N2261" i="85"/>
  <c r="H2261" i="85"/>
  <c r="A2261" i="85"/>
  <c r="AL2260" i="85"/>
  <c r="AK2260" i="85"/>
  <c r="AD2260" i="85"/>
  <c r="N2260" i="85"/>
  <c r="H2260" i="85"/>
  <c r="A2260" i="85"/>
  <c r="AL2259" i="85"/>
  <c r="AK2259" i="85"/>
  <c r="N2259" i="85"/>
  <c r="H2259" i="85"/>
  <c r="A2259" i="85"/>
  <c r="AL2258" i="85"/>
  <c r="AK2258" i="85"/>
  <c r="N2258" i="85"/>
  <c r="H2258" i="85"/>
  <c r="A2258" i="85"/>
  <c r="AL2257" i="85"/>
  <c r="AK2257" i="85"/>
  <c r="N2257" i="85"/>
  <c r="H2257" i="85"/>
  <c r="A2257" i="85"/>
  <c r="AL2256" i="85"/>
  <c r="AK2256" i="85"/>
  <c r="AD2256" i="85"/>
  <c r="N2256" i="85"/>
  <c r="H2256" i="85"/>
  <c r="A2256" i="85"/>
  <c r="AL2255" i="85"/>
  <c r="AK2255" i="85"/>
  <c r="N2255" i="85"/>
  <c r="H2255" i="85"/>
  <c r="A2255" i="85"/>
  <c r="AL2254" i="85"/>
  <c r="AK2254" i="85"/>
  <c r="N2254" i="85"/>
  <c r="H2254" i="85"/>
  <c r="A2254" i="85"/>
  <c r="AL2253" i="85"/>
  <c r="AK2253" i="85"/>
  <c r="N2253" i="85"/>
  <c r="H2253" i="85"/>
  <c r="A2253" i="85"/>
  <c r="AL2252" i="85"/>
  <c r="AK2252" i="85"/>
  <c r="N2252" i="85"/>
  <c r="H2252" i="85"/>
  <c r="A2252" i="85"/>
  <c r="AL2251" i="85"/>
  <c r="AK2251" i="85"/>
  <c r="N2251" i="85"/>
  <c r="H2251" i="85"/>
  <c r="A2251" i="85"/>
  <c r="AL2250" i="85"/>
  <c r="AK2250" i="85"/>
  <c r="N2250" i="85"/>
  <c r="H2250" i="85"/>
  <c r="A2250" i="85"/>
  <c r="AM2249" i="85"/>
  <c r="AL2249" i="85"/>
  <c r="AK2249" i="85"/>
  <c r="N2249" i="85"/>
  <c r="H2249" i="85"/>
  <c r="A2249" i="85"/>
  <c r="AL2248" i="85"/>
  <c r="AK2248" i="85"/>
  <c r="N2248" i="85"/>
  <c r="H2248" i="85"/>
  <c r="A2248" i="85"/>
  <c r="AL2247" i="85"/>
  <c r="AK2247" i="85"/>
  <c r="N2247" i="85"/>
  <c r="H2247" i="85"/>
  <c r="A2247" i="85"/>
  <c r="AL2246" i="85"/>
  <c r="AK2246" i="85"/>
  <c r="N2246" i="85"/>
  <c r="H2246" i="85"/>
  <c r="A2246" i="85"/>
  <c r="AL2245" i="85"/>
  <c r="AK2245" i="85"/>
  <c r="N2245" i="85"/>
  <c r="H2245" i="85"/>
  <c r="A2245" i="85"/>
  <c r="AL2244" i="85"/>
  <c r="AK2244" i="85"/>
  <c r="N2244" i="85"/>
  <c r="H2244" i="85"/>
  <c r="A2244" i="85"/>
  <c r="AL2243" i="85"/>
  <c r="AK2243" i="85"/>
  <c r="N2243" i="85"/>
  <c r="H2243" i="85"/>
  <c r="A2243" i="85"/>
  <c r="AM2242" i="85"/>
  <c r="AL2242" i="85"/>
  <c r="AK2242" i="85"/>
  <c r="N2242" i="85"/>
  <c r="H2242" i="85"/>
  <c r="A2242" i="85"/>
  <c r="AL2241" i="85"/>
  <c r="AK2241" i="85"/>
  <c r="N2241" i="85"/>
  <c r="H2241" i="85"/>
  <c r="A2241" i="85"/>
  <c r="AL2240" i="85"/>
  <c r="AK2240" i="85"/>
  <c r="N2240" i="85"/>
  <c r="H2240" i="85"/>
  <c r="A2240" i="85"/>
  <c r="AL2239" i="85"/>
  <c r="AK2239" i="85"/>
  <c r="N2239" i="85"/>
  <c r="H2239" i="85"/>
  <c r="A2239" i="85"/>
  <c r="AL2238" i="85"/>
  <c r="AK2238" i="85"/>
  <c r="N2238" i="85"/>
  <c r="H2238" i="85"/>
  <c r="A2238" i="85"/>
  <c r="AL2237" i="85"/>
  <c r="AK2237" i="85"/>
  <c r="N2237" i="85"/>
  <c r="H2237" i="85"/>
  <c r="A2237" i="85"/>
  <c r="AL2236" i="85"/>
  <c r="AK2236" i="85"/>
  <c r="N2236" i="85"/>
  <c r="H2236" i="85"/>
  <c r="A2236" i="85"/>
  <c r="AL2235" i="85"/>
  <c r="AK2235" i="85"/>
  <c r="N2235" i="85"/>
  <c r="H2235" i="85"/>
  <c r="A2235" i="85"/>
  <c r="AL2234" i="85"/>
  <c r="AK2234" i="85"/>
  <c r="N2234" i="85"/>
  <c r="H2234" i="85"/>
  <c r="A2234" i="85"/>
  <c r="AL2233" i="85"/>
  <c r="AK2233" i="85"/>
  <c r="AD2233" i="85"/>
  <c r="N2233" i="85"/>
  <c r="H2233" i="85"/>
  <c r="A2233" i="85"/>
  <c r="AL2232" i="85"/>
  <c r="AK2232" i="85"/>
  <c r="N2232" i="85"/>
  <c r="H2232" i="85"/>
  <c r="A2232" i="85"/>
  <c r="AL2231" i="85"/>
  <c r="AK2231" i="85"/>
  <c r="N2231" i="85"/>
  <c r="H2231" i="85"/>
  <c r="A2231" i="85"/>
  <c r="AL2230" i="85"/>
  <c r="AK2230" i="85"/>
  <c r="N2230" i="85"/>
  <c r="H2230" i="85"/>
  <c r="A2230" i="85"/>
  <c r="AL2229" i="85"/>
  <c r="AK2229" i="85"/>
  <c r="N2229" i="85"/>
  <c r="H2229" i="85"/>
  <c r="A2229" i="85"/>
  <c r="AL2228" i="85"/>
  <c r="AK2228" i="85"/>
  <c r="N2228" i="85"/>
  <c r="H2228" i="85"/>
  <c r="A2228" i="85"/>
  <c r="AL2227" i="85"/>
  <c r="AK2227" i="85"/>
  <c r="N2227" i="85"/>
  <c r="H2227" i="85"/>
  <c r="A2227" i="85"/>
  <c r="AL2226" i="85"/>
  <c r="AK2226" i="85"/>
  <c r="N2226" i="85"/>
  <c r="H2226" i="85"/>
  <c r="A2226" i="85"/>
  <c r="AL2225" i="85"/>
  <c r="AK2225" i="85"/>
  <c r="N2225" i="85"/>
  <c r="H2225" i="85"/>
  <c r="A2225" i="85"/>
  <c r="AL2224" i="85"/>
  <c r="AK2224" i="85"/>
  <c r="N2224" i="85"/>
  <c r="H2224" i="85"/>
  <c r="A2224" i="85"/>
  <c r="AL2223" i="85"/>
  <c r="AK2223" i="85"/>
  <c r="N2223" i="85"/>
  <c r="H2223" i="85"/>
  <c r="A2223" i="85"/>
  <c r="AL2222" i="85"/>
  <c r="AK2222" i="85"/>
  <c r="N2222" i="85"/>
  <c r="H2222" i="85"/>
  <c r="A2222" i="85"/>
  <c r="AL2221" i="85"/>
  <c r="AK2221" i="85"/>
  <c r="N2221" i="85"/>
  <c r="H2221" i="85"/>
  <c r="A2221" i="85"/>
  <c r="AL2220" i="85"/>
  <c r="AK2220" i="85"/>
  <c r="N2220" i="85"/>
  <c r="H2220" i="85"/>
  <c r="A2220" i="85"/>
  <c r="AL2219" i="85"/>
  <c r="AK2219" i="85"/>
  <c r="N2219" i="85"/>
  <c r="H2219" i="85"/>
  <c r="A2219" i="85"/>
  <c r="AL2218" i="85"/>
  <c r="AK2218" i="85"/>
  <c r="N2218" i="85"/>
  <c r="H2218" i="85"/>
  <c r="A2218" i="85"/>
  <c r="AL2217" i="85"/>
  <c r="AK2217" i="85"/>
  <c r="N2217" i="85"/>
  <c r="H2217" i="85"/>
  <c r="A2217" i="85"/>
  <c r="AL2216" i="85"/>
  <c r="AK2216" i="85"/>
  <c r="N2216" i="85"/>
  <c r="H2216" i="85"/>
  <c r="A2216" i="85"/>
  <c r="AL2215" i="85"/>
  <c r="AK2215" i="85"/>
  <c r="N2215" i="85"/>
  <c r="H2215" i="85"/>
  <c r="A2215" i="85"/>
  <c r="AL2214" i="85"/>
  <c r="AK2214" i="85"/>
  <c r="N2214" i="85"/>
  <c r="H2214" i="85"/>
  <c r="A2214" i="85"/>
  <c r="AL2213" i="85"/>
  <c r="AK2213" i="85"/>
  <c r="N2213" i="85"/>
  <c r="H2213" i="85"/>
  <c r="A2213" i="85"/>
  <c r="AL2212" i="85"/>
  <c r="AK2212" i="85"/>
  <c r="N2212" i="85"/>
  <c r="H2212" i="85"/>
  <c r="A2212" i="85"/>
  <c r="AL2211" i="85"/>
  <c r="AK2211" i="85"/>
  <c r="N2211" i="85"/>
  <c r="H2211" i="85"/>
  <c r="A2211" i="85"/>
  <c r="AL2210" i="85"/>
  <c r="AK2210" i="85"/>
  <c r="N2210" i="85"/>
  <c r="H2210" i="85"/>
  <c r="A2210" i="85"/>
  <c r="AL2209" i="85"/>
  <c r="AK2209" i="85"/>
  <c r="N2209" i="85"/>
  <c r="H2209" i="85"/>
  <c r="A2209" i="85"/>
  <c r="AL2208" i="85"/>
  <c r="AK2208" i="85"/>
  <c r="N2208" i="85"/>
  <c r="H2208" i="85"/>
  <c r="A2208" i="85"/>
  <c r="AL2207" i="85"/>
  <c r="AK2207" i="85"/>
  <c r="N2207" i="85"/>
  <c r="H2207" i="85"/>
  <c r="A2207" i="85"/>
  <c r="AL2206" i="85"/>
  <c r="AK2206" i="85"/>
  <c r="N2206" i="85"/>
  <c r="H2206" i="85"/>
  <c r="A2206" i="85"/>
  <c r="AM2205" i="85"/>
  <c r="AL2205" i="85"/>
  <c r="AK2205" i="85"/>
  <c r="N2205" i="85"/>
  <c r="H2205" i="85"/>
  <c r="A2205" i="85"/>
  <c r="AL2204" i="85"/>
  <c r="AK2204" i="85"/>
  <c r="N2204" i="85"/>
  <c r="H2204" i="85"/>
  <c r="A2204" i="85"/>
  <c r="AL2203" i="85"/>
  <c r="AK2203" i="85"/>
  <c r="N2203" i="85"/>
  <c r="H2203" i="85"/>
  <c r="A2203" i="85"/>
  <c r="AL2202" i="85"/>
  <c r="AK2202" i="85"/>
  <c r="N2202" i="85"/>
  <c r="H2202" i="85"/>
  <c r="A2202" i="85"/>
  <c r="AL2201" i="85"/>
  <c r="AK2201" i="85"/>
  <c r="N2201" i="85"/>
  <c r="H2201" i="85"/>
  <c r="A2201" i="85"/>
  <c r="AL2200" i="85"/>
  <c r="AK2200" i="85"/>
  <c r="N2200" i="85"/>
  <c r="H2200" i="85"/>
  <c r="A2200" i="85"/>
  <c r="AL2199" i="85"/>
  <c r="AK2199" i="85"/>
  <c r="N2199" i="85"/>
  <c r="H2199" i="85"/>
  <c r="A2199" i="85"/>
  <c r="AL2198" i="85"/>
  <c r="AK2198" i="85"/>
  <c r="N2198" i="85"/>
  <c r="H2198" i="85"/>
  <c r="A2198" i="85"/>
  <c r="AL2197" i="85"/>
  <c r="AK2197" i="85"/>
  <c r="N2197" i="85"/>
  <c r="H2197" i="85"/>
  <c r="A2197" i="85"/>
  <c r="AL2196" i="85"/>
  <c r="AK2196" i="85"/>
  <c r="N2196" i="85"/>
  <c r="H2196" i="85"/>
  <c r="A2196" i="85"/>
  <c r="AL2195" i="85"/>
  <c r="AK2195" i="85"/>
  <c r="N2195" i="85"/>
  <c r="H2195" i="85"/>
  <c r="A2195" i="85"/>
  <c r="AL2194" i="85"/>
  <c r="AK2194" i="85"/>
  <c r="N2194" i="85"/>
  <c r="H2194" i="85"/>
  <c r="A2194" i="85"/>
  <c r="AL2193" i="85"/>
  <c r="AK2193" i="85"/>
  <c r="N2193" i="85"/>
  <c r="H2193" i="85"/>
  <c r="A2193" i="85"/>
  <c r="AL2192" i="85"/>
  <c r="AK2192" i="85"/>
  <c r="N2192" i="85"/>
  <c r="H2192" i="85"/>
  <c r="A2192" i="85"/>
  <c r="AL2191" i="85"/>
  <c r="AK2191" i="85"/>
  <c r="AD2191" i="85"/>
  <c r="N2191" i="85"/>
  <c r="H2191" i="85"/>
  <c r="A2191" i="85"/>
  <c r="AL2190" i="85"/>
  <c r="AK2190" i="85"/>
  <c r="N2190" i="85"/>
  <c r="H2190" i="85"/>
  <c r="A2190" i="85"/>
  <c r="AL2189" i="85"/>
  <c r="AK2189" i="85"/>
  <c r="N2189" i="85"/>
  <c r="H2189" i="85"/>
  <c r="A2189" i="85"/>
  <c r="AL2188" i="85"/>
  <c r="AK2188" i="85"/>
  <c r="N2188" i="85"/>
  <c r="H2188" i="85"/>
  <c r="A2188" i="85"/>
  <c r="AL2187" i="85"/>
  <c r="AK2187" i="85"/>
  <c r="N2187" i="85"/>
  <c r="H2187" i="85"/>
  <c r="A2187" i="85"/>
  <c r="AL2186" i="85"/>
  <c r="AK2186" i="85"/>
  <c r="N2186" i="85"/>
  <c r="H2186" i="85"/>
  <c r="A2186" i="85"/>
  <c r="AL2185" i="85"/>
  <c r="AK2185" i="85"/>
  <c r="N2185" i="85"/>
  <c r="H2185" i="85"/>
  <c r="A2185" i="85"/>
  <c r="AL2184" i="85"/>
  <c r="AK2184" i="85"/>
  <c r="N2184" i="85"/>
  <c r="H2184" i="85"/>
  <c r="A2184" i="85"/>
  <c r="AL2183" i="85"/>
  <c r="AK2183" i="85"/>
  <c r="N2183" i="85"/>
  <c r="H2183" i="85"/>
  <c r="A2183" i="85"/>
  <c r="AL2182" i="85"/>
  <c r="AK2182" i="85"/>
  <c r="N2182" i="85"/>
  <c r="H2182" i="85"/>
  <c r="A2182" i="85"/>
  <c r="AL2181" i="85"/>
  <c r="AK2181" i="85"/>
  <c r="N2181" i="85"/>
  <c r="H2181" i="85"/>
  <c r="A2181" i="85"/>
  <c r="AL2180" i="85"/>
  <c r="AK2180" i="85"/>
  <c r="N2180" i="85"/>
  <c r="H2180" i="85"/>
  <c r="A2180" i="85"/>
  <c r="AL2179" i="85"/>
  <c r="AK2179" i="85"/>
  <c r="N2179" i="85"/>
  <c r="H2179" i="85"/>
  <c r="A2179" i="85"/>
  <c r="AL2178" i="85"/>
  <c r="AK2178" i="85"/>
  <c r="N2178" i="85"/>
  <c r="H2178" i="85"/>
  <c r="A2178" i="85"/>
  <c r="AL2177" i="85"/>
  <c r="AK2177" i="85"/>
  <c r="N2177" i="85"/>
  <c r="H2177" i="85"/>
  <c r="A2177" i="85"/>
  <c r="AM2176" i="85"/>
  <c r="AL2176" i="85"/>
  <c r="AK2176" i="85"/>
  <c r="N2176" i="85"/>
  <c r="H2176" i="85"/>
  <c r="A2176" i="85"/>
  <c r="AL2175" i="85"/>
  <c r="AK2175" i="85"/>
  <c r="N2175" i="85"/>
  <c r="H2175" i="85"/>
  <c r="A2175" i="85"/>
  <c r="AL2174" i="85"/>
  <c r="AK2174" i="85"/>
  <c r="N2174" i="85"/>
  <c r="H2174" i="85"/>
  <c r="A2174" i="85"/>
  <c r="AL2173" i="85"/>
  <c r="AK2173" i="85"/>
  <c r="N2173" i="85"/>
  <c r="H2173" i="85"/>
  <c r="A2173" i="85"/>
  <c r="AL2172" i="85"/>
  <c r="AK2172" i="85"/>
  <c r="N2172" i="85"/>
  <c r="H2172" i="85"/>
  <c r="A2172" i="85"/>
  <c r="AL2171" i="85"/>
  <c r="AK2171" i="85"/>
  <c r="N2171" i="85"/>
  <c r="H2171" i="85"/>
  <c r="A2171" i="85"/>
  <c r="AL2170" i="85"/>
  <c r="AK2170" i="85"/>
  <c r="N2170" i="85"/>
  <c r="H2170" i="85"/>
  <c r="A2170" i="85"/>
  <c r="AL2169" i="85"/>
  <c r="AK2169" i="85"/>
  <c r="N2169" i="85"/>
  <c r="H2169" i="85"/>
  <c r="A2169" i="85"/>
  <c r="AL2168" i="85"/>
  <c r="AK2168" i="85"/>
  <c r="N2168" i="85"/>
  <c r="H2168" i="85"/>
  <c r="A2168" i="85"/>
  <c r="AL2167" i="85"/>
  <c r="AK2167" i="85"/>
  <c r="N2167" i="85"/>
  <c r="H2167" i="85"/>
  <c r="A2167" i="85"/>
  <c r="AL2166" i="85"/>
  <c r="AK2166" i="85"/>
  <c r="N2166" i="85"/>
  <c r="H2166" i="85"/>
  <c r="A2166" i="85"/>
  <c r="AL2165" i="85"/>
  <c r="AK2165" i="85"/>
  <c r="N2165" i="85"/>
  <c r="H2165" i="85"/>
  <c r="A2165" i="85"/>
  <c r="AL2164" i="85"/>
  <c r="AK2164" i="85"/>
  <c r="N2164" i="85"/>
  <c r="H2164" i="85"/>
  <c r="A2164" i="85"/>
  <c r="AL2163" i="85"/>
  <c r="AK2163" i="85"/>
  <c r="N2163" i="85"/>
  <c r="H2163" i="85"/>
  <c r="A2163" i="85"/>
  <c r="AL2162" i="85"/>
  <c r="AK2162" i="85"/>
  <c r="N2162" i="85"/>
  <c r="H2162" i="85"/>
  <c r="A2162" i="85"/>
  <c r="AL2161" i="85"/>
  <c r="AK2161" i="85"/>
  <c r="N2161" i="85"/>
  <c r="H2161" i="85"/>
  <c r="A2161" i="85"/>
  <c r="AL2160" i="85"/>
  <c r="AK2160" i="85"/>
  <c r="N2160" i="85"/>
  <c r="H2160" i="85"/>
  <c r="A2160" i="85"/>
  <c r="AL2159" i="85"/>
  <c r="AK2159" i="85"/>
  <c r="N2159" i="85"/>
  <c r="H2159" i="85"/>
  <c r="A2159" i="85"/>
  <c r="AL2158" i="85"/>
  <c r="AK2158" i="85"/>
  <c r="N2158" i="85"/>
  <c r="H2158" i="85"/>
  <c r="A2158" i="85"/>
  <c r="AL2157" i="85"/>
  <c r="AK2157" i="85"/>
  <c r="N2157" i="85"/>
  <c r="H2157" i="85"/>
  <c r="A2157" i="85"/>
  <c r="AL2156" i="85"/>
  <c r="AK2156" i="85"/>
  <c r="N2156" i="85"/>
  <c r="H2156" i="85"/>
  <c r="A2156" i="85"/>
  <c r="AL2155" i="85"/>
  <c r="AK2155" i="85"/>
  <c r="N2155" i="85"/>
  <c r="H2155" i="85"/>
  <c r="A2155" i="85"/>
  <c r="AL2154" i="85"/>
  <c r="AK2154" i="85"/>
  <c r="N2154" i="85"/>
  <c r="H2154" i="85"/>
  <c r="A2154" i="85"/>
  <c r="AL2153" i="85"/>
  <c r="AK2153" i="85"/>
  <c r="N2153" i="85"/>
  <c r="H2153" i="85"/>
  <c r="A2153" i="85"/>
  <c r="AL2152" i="85"/>
  <c r="AK2152" i="85"/>
  <c r="N2152" i="85"/>
  <c r="H2152" i="85"/>
  <c r="A2152" i="85"/>
  <c r="AL2151" i="85"/>
  <c r="AK2151" i="85"/>
  <c r="N2151" i="85"/>
  <c r="H2151" i="85"/>
  <c r="A2151" i="85"/>
  <c r="AL2150" i="85"/>
  <c r="AK2150" i="85"/>
  <c r="N2150" i="85"/>
  <c r="H2150" i="85"/>
  <c r="A2150" i="85"/>
  <c r="AL2149" i="85"/>
  <c r="AK2149" i="85"/>
  <c r="N2149" i="85"/>
  <c r="H2149" i="85"/>
  <c r="A2149" i="85"/>
  <c r="AL2148" i="85"/>
  <c r="AK2148" i="85"/>
  <c r="N2148" i="85"/>
  <c r="H2148" i="85"/>
  <c r="A2148" i="85"/>
  <c r="AL2147" i="85"/>
  <c r="AK2147" i="85"/>
  <c r="N2147" i="85"/>
  <c r="H2147" i="85"/>
  <c r="A2147" i="85"/>
  <c r="AL2146" i="85"/>
  <c r="AK2146" i="85"/>
  <c r="N2146" i="85"/>
  <c r="H2146" i="85"/>
  <c r="A2146" i="85"/>
  <c r="AL2145" i="85"/>
  <c r="AK2145" i="85"/>
  <c r="N2145" i="85"/>
  <c r="H2145" i="85"/>
  <c r="A2145" i="85"/>
  <c r="AL2144" i="85"/>
  <c r="AK2144" i="85"/>
  <c r="N2144" i="85"/>
  <c r="H2144" i="85"/>
  <c r="A2144" i="85"/>
  <c r="AL2143" i="85"/>
  <c r="AK2143" i="85"/>
  <c r="N2143" i="85"/>
  <c r="H2143" i="85"/>
  <c r="A2143" i="85"/>
  <c r="AL2142" i="85"/>
  <c r="AK2142" i="85"/>
  <c r="N2142" i="85"/>
  <c r="H2142" i="85"/>
  <c r="A2142" i="85"/>
  <c r="AL2141" i="85"/>
  <c r="AK2141" i="85"/>
  <c r="N2141" i="85"/>
  <c r="H2141" i="85"/>
  <c r="A2141" i="85"/>
  <c r="AL2140" i="85"/>
  <c r="AK2140" i="85"/>
  <c r="N2140" i="85"/>
  <c r="H2140" i="85"/>
  <c r="A2140" i="85"/>
  <c r="AL2139" i="85"/>
  <c r="AK2139" i="85"/>
  <c r="N2139" i="85"/>
  <c r="H2139" i="85"/>
  <c r="A2139" i="85"/>
  <c r="AL2138" i="85"/>
  <c r="AK2138" i="85"/>
  <c r="N2138" i="85"/>
  <c r="H2138" i="85"/>
  <c r="A2138" i="85"/>
  <c r="AL2137" i="85"/>
  <c r="AK2137" i="85"/>
  <c r="N2137" i="85"/>
  <c r="H2137" i="85"/>
  <c r="A2137" i="85"/>
  <c r="AM2136" i="85"/>
  <c r="AL2136" i="85"/>
  <c r="AK2136" i="85"/>
  <c r="N2136" i="85"/>
  <c r="H2136" i="85"/>
  <c r="A2136" i="85"/>
  <c r="AL2135" i="85"/>
  <c r="AK2135" i="85"/>
  <c r="N2135" i="85"/>
  <c r="H2135" i="85"/>
  <c r="A2135" i="85"/>
  <c r="AL2134" i="85"/>
  <c r="AK2134" i="85"/>
  <c r="N2134" i="85"/>
  <c r="H2134" i="85"/>
  <c r="A2134" i="85"/>
  <c r="AL2133" i="85"/>
  <c r="AK2133" i="85"/>
  <c r="N2133" i="85"/>
  <c r="H2133" i="85"/>
  <c r="A2133" i="85"/>
  <c r="AL2132" i="85"/>
  <c r="AK2132" i="85"/>
  <c r="N2132" i="85"/>
  <c r="H2132" i="85"/>
  <c r="A2132" i="85"/>
  <c r="AM2131" i="85"/>
  <c r="AL2131" i="85"/>
  <c r="AK2131" i="85"/>
  <c r="N2131" i="85"/>
  <c r="H2131" i="85"/>
  <c r="A2131" i="85"/>
  <c r="AL2130" i="85"/>
  <c r="AK2130" i="85"/>
  <c r="N2130" i="85"/>
  <c r="H2130" i="85"/>
  <c r="A2130" i="85"/>
  <c r="AL2129" i="85"/>
  <c r="AK2129" i="85"/>
  <c r="N2129" i="85"/>
  <c r="H2129" i="85"/>
  <c r="A2129" i="85"/>
  <c r="AL2128" i="85"/>
  <c r="AK2128" i="85"/>
  <c r="N2128" i="85"/>
  <c r="H2128" i="85"/>
  <c r="A2128" i="85"/>
  <c r="AL2127" i="85"/>
  <c r="AK2127" i="85"/>
  <c r="N2127" i="85"/>
  <c r="H2127" i="85"/>
  <c r="A2127" i="85"/>
  <c r="AL2126" i="85"/>
  <c r="AK2126" i="85"/>
  <c r="N2126" i="85"/>
  <c r="H2126" i="85"/>
  <c r="A2126" i="85"/>
  <c r="AL2125" i="85"/>
  <c r="AK2125" i="85"/>
  <c r="N2125" i="85"/>
  <c r="H2125" i="85"/>
  <c r="A2125" i="85"/>
  <c r="AL2124" i="85"/>
  <c r="AK2124" i="85"/>
  <c r="N2124" i="85"/>
  <c r="H2124" i="85"/>
  <c r="A2124" i="85"/>
  <c r="AL2123" i="85"/>
  <c r="AK2123" i="85"/>
  <c r="AD2123" i="85"/>
  <c r="N2123" i="85"/>
  <c r="H2123" i="85"/>
  <c r="A2123" i="85"/>
  <c r="AL2122" i="85"/>
  <c r="AK2122" i="85"/>
  <c r="N2122" i="85"/>
  <c r="H2122" i="85"/>
  <c r="A2122" i="85"/>
  <c r="AL2121" i="85"/>
  <c r="AK2121" i="85"/>
  <c r="N2121" i="85"/>
  <c r="H2121" i="85"/>
  <c r="A2121" i="85"/>
  <c r="AM2120" i="85"/>
  <c r="AL2120" i="85"/>
  <c r="AK2120" i="85"/>
  <c r="N2120" i="85"/>
  <c r="H2120" i="85"/>
  <c r="A2120" i="85"/>
  <c r="AL2119" i="85"/>
  <c r="AK2119" i="85"/>
  <c r="N2119" i="85"/>
  <c r="H2119" i="85"/>
  <c r="A2119" i="85"/>
  <c r="AL2118" i="85"/>
  <c r="AK2118" i="85"/>
  <c r="N2118" i="85"/>
  <c r="H2118" i="85"/>
  <c r="A2118" i="85"/>
  <c r="AL2117" i="85"/>
  <c r="AK2117" i="85"/>
  <c r="N2117" i="85"/>
  <c r="H2117" i="85"/>
  <c r="A2117" i="85"/>
  <c r="AL2116" i="85"/>
  <c r="AK2116" i="85"/>
  <c r="N2116" i="85"/>
  <c r="H2116" i="85"/>
  <c r="A2116" i="85"/>
  <c r="AL2115" i="85"/>
  <c r="AK2115" i="85"/>
  <c r="N2115" i="85"/>
  <c r="H2115" i="85"/>
  <c r="A2115" i="85"/>
  <c r="AL2114" i="85"/>
  <c r="AK2114" i="85"/>
  <c r="AD2114" i="85"/>
  <c r="N2114" i="85"/>
  <c r="H2114" i="85"/>
  <c r="A2114" i="85"/>
  <c r="AL2113" i="85"/>
  <c r="AK2113" i="85"/>
  <c r="N2113" i="85"/>
  <c r="H2113" i="85"/>
  <c r="A2113" i="85"/>
  <c r="AL2112" i="85"/>
  <c r="AK2112" i="85"/>
  <c r="N2112" i="85"/>
  <c r="H2112" i="85"/>
  <c r="A2112" i="85"/>
  <c r="AL2111" i="85"/>
  <c r="AK2111" i="85"/>
  <c r="N2111" i="85"/>
  <c r="H2111" i="85"/>
  <c r="A2111" i="85"/>
  <c r="AL2110" i="85"/>
  <c r="AK2110" i="85"/>
  <c r="N2110" i="85"/>
  <c r="H2110" i="85"/>
  <c r="A2110" i="85"/>
  <c r="AM2109" i="85"/>
  <c r="AL2109" i="85"/>
  <c r="AK2109" i="85"/>
  <c r="N2109" i="85"/>
  <c r="H2109" i="85"/>
  <c r="A2109" i="85"/>
  <c r="AL2108" i="85"/>
  <c r="AK2108" i="85"/>
  <c r="N2108" i="85"/>
  <c r="H2108" i="85"/>
  <c r="A2108" i="85"/>
  <c r="AL2107" i="85"/>
  <c r="AK2107" i="85"/>
  <c r="N2107" i="85"/>
  <c r="H2107" i="85"/>
  <c r="A2107" i="85"/>
  <c r="AL2106" i="85"/>
  <c r="AK2106" i="85"/>
  <c r="N2106" i="85"/>
  <c r="H2106" i="85"/>
  <c r="A2106" i="85"/>
  <c r="AL2105" i="85"/>
  <c r="AK2105" i="85"/>
  <c r="N2105" i="85"/>
  <c r="H2105" i="85"/>
  <c r="A2105" i="85"/>
  <c r="AL2104" i="85"/>
  <c r="AK2104" i="85"/>
  <c r="N2104" i="85"/>
  <c r="H2104" i="85"/>
  <c r="A2104" i="85"/>
  <c r="AL2103" i="85"/>
  <c r="AK2103" i="85"/>
  <c r="AD2103" i="85"/>
  <c r="N2103" i="85"/>
  <c r="H2103" i="85"/>
  <c r="A2103" i="85"/>
  <c r="AL2102" i="85"/>
  <c r="AK2102" i="85"/>
  <c r="N2102" i="85"/>
  <c r="H2102" i="85"/>
  <c r="A2102" i="85"/>
  <c r="AL2101" i="85"/>
  <c r="AK2101" i="85"/>
  <c r="N2101" i="85"/>
  <c r="H2101" i="85"/>
  <c r="A2101" i="85"/>
  <c r="AL2100" i="85"/>
  <c r="AK2100" i="85"/>
  <c r="N2100" i="85"/>
  <c r="H2100" i="85"/>
  <c r="A2100" i="85"/>
  <c r="AL2099" i="85"/>
  <c r="AK2099" i="85"/>
  <c r="N2099" i="85"/>
  <c r="H2099" i="85"/>
  <c r="A2099" i="85"/>
  <c r="AL2098" i="85"/>
  <c r="AK2098" i="85"/>
  <c r="AD2098" i="85"/>
  <c r="N2098" i="85"/>
  <c r="H2098" i="85"/>
  <c r="A2098" i="85"/>
  <c r="AL2097" i="85"/>
  <c r="AK2097" i="85"/>
  <c r="N2097" i="85"/>
  <c r="H2097" i="85"/>
  <c r="A2097" i="85"/>
  <c r="AL2096" i="85"/>
  <c r="AK2096" i="85"/>
  <c r="N2096" i="85"/>
  <c r="H2096" i="85"/>
  <c r="A2096" i="85"/>
  <c r="AL2095" i="85"/>
  <c r="AK2095" i="85"/>
  <c r="N2095" i="85"/>
  <c r="H2095" i="85"/>
  <c r="A2095" i="85"/>
  <c r="AM2094" i="85"/>
  <c r="AL2094" i="85"/>
  <c r="AK2094" i="85"/>
  <c r="N2094" i="85"/>
  <c r="H2094" i="85"/>
  <c r="A2094" i="85"/>
  <c r="AL2093" i="85"/>
  <c r="AK2093" i="85"/>
  <c r="N2093" i="85"/>
  <c r="H2093" i="85"/>
  <c r="A2093" i="85"/>
  <c r="AL2092" i="85"/>
  <c r="AK2092" i="85"/>
  <c r="N2092" i="85"/>
  <c r="H2092" i="85"/>
  <c r="A2092" i="85"/>
  <c r="AL2091" i="85"/>
  <c r="AK2091" i="85"/>
  <c r="N2091" i="85"/>
  <c r="H2091" i="85"/>
  <c r="A2091" i="85"/>
  <c r="AL2090" i="85"/>
  <c r="AK2090" i="85"/>
  <c r="N2090" i="85"/>
  <c r="H2090" i="85"/>
  <c r="A2090" i="85"/>
  <c r="AL2089" i="85"/>
  <c r="AK2089" i="85"/>
  <c r="N2089" i="85"/>
  <c r="H2089" i="85"/>
  <c r="A2089" i="85"/>
  <c r="AL2088" i="85"/>
  <c r="AK2088" i="85"/>
  <c r="N2088" i="85"/>
  <c r="H2088" i="85"/>
  <c r="A2088" i="85"/>
  <c r="AL2087" i="85"/>
  <c r="AK2087" i="85"/>
  <c r="N2087" i="85"/>
  <c r="H2087" i="85"/>
  <c r="A2087" i="85"/>
  <c r="AL2086" i="85"/>
  <c r="AK2086" i="85"/>
  <c r="N2086" i="85"/>
  <c r="H2086" i="85"/>
  <c r="A2086" i="85"/>
  <c r="AL2085" i="85"/>
  <c r="AK2085" i="85"/>
  <c r="N2085" i="85"/>
  <c r="H2085" i="85"/>
  <c r="A2085" i="85"/>
  <c r="AL2084" i="85"/>
  <c r="AK2084" i="85"/>
  <c r="N2084" i="85"/>
  <c r="H2084" i="85"/>
  <c r="A2084" i="85"/>
  <c r="AM2083" i="85"/>
  <c r="AL2083" i="85"/>
  <c r="AK2083" i="85"/>
  <c r="N2083" i="85"/>
  <c r="H2083" i="85"/>
  <c r="A2083" i="85"/>
  <c r="AL2082" i="85"/>
  <c r="AK2082" i="85"/>
  <c r="N2082" i="85"/>
  <c r="H2082" i="85"/>
  <c r="A2082" i="85"/>
  <c r="AL2081" i="85"/>
  <c r="AK2081" i="85"/>
  <c r="N2081" i="85"/>
  <c r="H2081" i="85"/>
  <c r="A2081" i="85"/>
  <c r="AL2080" i="85"/>
  <c r="AK2080" i="85"/>
  <c r="N2080" i="85"/>
  <c r="H2080" i="85"/>
  <c r="A2080" i="85"/>
  <c r="AM2079" i="85"/>
  <c r="AL2079" i="85"/>
  <c r="AK2079" i="85"/>
  <c r="N2079" i="85"/>
  <c r="H2079" i="85"/>
  <c r="A2079" i="85"/>
  <c r="AL2078" i="85"/>
  <c r="AK2078" i="85"/>
  <c r="N2078" i="85"/>
  <c r="H2078" i="85"/>
  <c r="A2078" i="85"/>
  <c r="AM2077" i="85"/>
  <c r="AL2077" i="85"/>
  <c r="AK2077" i="85"/>
  <c r="N2077" i="85"/>
  <c r="H2077" i="85"/>
  <c r="A2077" i="85"/>
  <c r="AL2076" i="85"/>
  <c r="AK2076" i="85"/>
  <c r="N2076" i="85"/>
  <c r="H2076" i="85"/>
  <c r="A2076" i="85"/>
  <c r="AL2075" i="85"/>
  <c r="AK2075" i="85"/>
  <c r="N2075" i="85"/>
  <c r="H2075" i="85"/>
  <c r="A2075" i="85"/>
  <c r="AL2074" i="85"/>
  <c r="AK2074" i="85"/>
  <c r="N2074" i="85"/>
  <c r="H2074" i="85"/>
  <c r="A2074" i="85"/>
  <c r="AM2073" i="85"/>
  <c r="AL2073" i="85"/>
  <c r="AK2073" i="85"/>
  <c r="N2073" i="85"/>
  <c r="H2073" i="85"/>
  <c r="A2073" i="85"/>
  <c r="AL2072" i="85"/>
  <c r="AK2072" i="85"/>
  <c r="N2072" i="85"/>
  <c r="H2072" i="85"/>
  <c r="A2072" i="85"/>
  <c r="AM2071" i="85"/>
  <c r="AL2071" i="85"/>
  <c r="AK2071" i="85"/>
  <c r="N2071" i="85"/>
  <c r="H2071" i="85"/>
  <c r="A2071" i="85"/>
  <c r="AL2070" i="85"/>
  <c r="AK2070" i="85"/>
  <c r="N2070" i="85"/>
  <c r="H2070" i="85"/>
  <c r="A2070" i="85"/>
  <c r="AL2069" i="85"/>
  <c r="AK2069" i="85"/>
  <c r="N2069" i="85"/>
  <c r="H2069" i="85"/>
  <c r="A2069" i="85"/>
  <c r="AL2068" i="85"/>
  <c r="AK2068" i="85"/>
  <c r="N2068" i="85"/>
  <c r="H2068" i="85"/>
  <c r="A2068" i="85"/>
  <c r="AL2067" i="85"/>
  <c r="AK2067" i="85"/>
  <c r="AD2067" i="85"/>
  <c r="N2067" i="85"/>
  <c r="H2067" i="85"/>
  <c r="A2067" i="85"/>
  <c r="AL2066" i="85"/>
  <c r="AK2066" i="85"/>
  <c r="N2066" i="85"/>
  <c r="H2066" i="85"/>
  <c r="A2066" i="85"/>
  <c r="AM2065" i="85"/>
  <c r="AL2065" i="85"/>
  <c r="AK2065" i="85"/>
  <c r="N2065" i="85"/>
  <c r="H2065" i="85"/>
  <c r="A2065" i="85"/>
  <c r="AL2064" i="85"/>
  <c r="AK2064" i="85"/>
  <c r="N2064" i="85"/>
  <c r="H2064" i="85"/>
  <c r="A2064" i="85"/>
  <c r="AL2063" i="85"/>
  <c r="AK2063" i="85"/>
  <c r="N2063" i="85"/>
  <c r="H2063" i="85"/>
  <c r="A2063" i="85"/>
  <c r="AL2062" i="85"/>
  <c r="AK2062" i="85"/>
  <c r="N2062" i="85"/>
  <c r="H2062" i="85"/>
  <c r="A2062" i="85"/>
  <c r="AL2061" i="85"/>
  <c r="AK2061" i="85"/>
  <c r="N2061" i="85"/>
  <c r="H2061" i="85"/>
  <c r="A2061" i="85"/>
  <c r="AL2060" i="85"/>
  <c r="AK2060" i="85"/>
  <c r="N2060" i="85"/>
  <c r="H2060" i="85"/>
  <c r="A2060" i="85"/>
  <c r="AL2059" i="85"/>
  <c r="AK2059" i="85"/>
  <c r="N2059" i="85"/>
  <c r="H2059" i="85"/>
  <c r="A2059" i="85"/>
  <c r="AL2058" i="85"/>
  <c r="AK2058" i="85"/>
  <c r="N2058" i="85"/>
  <c r="H2058" i="85"/>
  <c r="A2058" i="85"/>
  <c r="AL2057" i="85"/>
  <c r="AK2057" i="85"/>
  <c r="N2057" i="85"/>
  <c r="H2057" i="85"/>
  <c r="A2057" i="85"/>
  <c r="AL2056" i="85"/>
  <c r="AK2056" i="85"/>
  <c r="N2056" i="85"/>
  <c r="H2056" i="85"/>
  <c r="A2056" i="85"/>
  <c r="AM2055" i="85"/>
  <c r="AL2055" i="85"/>
  <c r="AK2055" i="85"/>
  <c r="N2055" i="85"/>
  <c r="H2055" i="85"/>
  <c r="A2055" i="85"/>
  <c r="AL2054" i="85"/>
  <c r="AK2054" i="85"/>
  <c r="N2054" i="85"/>
  <c r="H2054" i="85"/>
  <c r="A2054" i="85"/>
  <c r="AL2053" i="85"/>
  <c r="AK2053" i="85"/>
  <c r="N2053" i="85"/>
  <c r="H2053" i="85"/>
  <c r="A2053" i="85"/>
  <c r="AL2052" i="85"/>
  <c r="AK2052" i="85"/>
  <c r="N2052" i="85"/>
  <c r="H2052" i="85"/>
  <c r="A2052" i="85"/>
  <c r="AL2051" i="85"/>
  <c r="AK2051" i="85"/>
  <c r="N2051" i="85"/>
  <c r="H2051" i="85"/>
  <c r="A2051" i="85"/>
  <c r="AL2050" i="85"/>
  <c r="AK2050" i="85"/>
  <c r="N2050" i="85"/>
  <c r="H2050" i="85"/>
  <c r="A2050" i="85"/>
  <c r="AL2049" i="85"/>
  <c r="AK2049" i="85"/>
  <c r="N2049" i="85"/>
  <c r="H2049" i="85"/>
  <c r="A2049" i="85"/>
  <c r="AM2048" i="85"/>
  <c r="AL2048" i="85"/>
  <c r="AK2048" i="85"/>
  <c r="N2048" i="85"/>
  <c r="H2048" i="85"/>
  <c r="A2048" i="85"/>
  <c r="AL2047" i="85"/>
  <c r="AK2047" i="85"/>
  <c r="N2047" i="85"/>
  <c r="H2047" i="85"/>
  <c r="A2047" i="85"/>
  <c r="AL2046" i="85"/>
  <c r="AK2046" i="85"/>
  <c r="N2046" i="85"/>
  <c r="H2046" i="85"/>
  <c r="A2046" i="85"/>
  <c r="AL2045" i="85"/>
  <c r="AK2045" i="85"/>
  <c r="AD2045" i="85"/>
  <c r="N2045" i="85"/>
  <c r="H2045" i="85"/>
  <c r="A2045" i="85"/>
  <c r="AL2044" i="85"/>
  <c r="AK2044" i="85"/>
  <c r="AD2044" i="85"/>
  <c r="N2044" i="85"/>
  <c r="H2044" i="85"/>
  <c r="A2044" i="85"/>
  <c r="AL2043" i="85"/>
  <c r="AK2043" i="85"/>
  <c r="N2043" i="85"/>
  <c r="H2043" i="85"/>
  <c r="A2043" i="85"/>
  <c r="AL2042" i="85"/>
  <c r="AK2042" i="85"/>
  <c r="N2042" i="85"/>
  <c r="H2042" i="85"/>
  <c r="A2042" i="85"/>
  <c r="AL2041" i="85"/>
  <c r="AK2041" i="85"/>
  <c r="N2041" i="85"/>
  <c r="H2041" i="85"/>
  <c r="A2041" i="85"/>
  <c r="AL2040" i="85"/>
  <c r="AK2040" i="85"/>
  <c r="N2040" i="85"/>
  <c r="H2040" i="85"/>
  <c r="A2040" i="85"/>
  <c r="AL2039" i="85"/>
  <c r="AK2039" i="85"/>
  <c r="N2039" i="85"/>
  <c r="H2039" i="85"/>
  <c r="A2039" i="85"/>
  <c r="AL2038" i="85"/>
  <c r="AK2038" i="85"/>
  <c r="N2038" i="85"/>
  <c r="H2038" i="85"/>
  <c r="A2038" i="85"/>
  <c r="AL2037" i="85"/>
  <c r="AK2037" i="85"/>
  <c r="AD2037" i="85"/>
  <c r="N2037" i="85"/>
  <c r="H2037" i="85"/>
  <c r="A2037" i="85"/>
  <c r="AL2036" i="85"/>
  <c r="AK2036" i="85"/>
  <c r="N2036" i="85"/>
  <c r="H2036" i="85"/>
  <c r="A2036" i="85"/>
  <c r="AL2035" i="85"/>
  <c r="AK2035" i="85"/>
  <c r="N2035" i="85"/>
  <c r="H2035" i="85"/>
  <c r="A2035" i="85"/>
  <c r="AL2034" i="85"/>
  <c r="AK2034" i="85"/>
  <c r="N2034" i="85"/>
  <c r="H2034" i="85"/>
  <c r="A2034" i="85"/>
  <c r="AL2033" i="85"/>
  <c r="AK2033" i="85"/>
  <c r="N2033" i="85"/>
  <c r="H2033" i="85"/>
  <c r="A2033" i="85"/>
  <c r="AM2032" i="85"/>
  <c r="AL2032" i="85"/>
  <c r="AK2032" i="85"/>
  <c r="N2032" i="85"/>
  <c r="H2032" i="85"/>
  <c r="A2032" i="85"/>
  <c r="AL2031" i="85"/>
  <c r="AK2031" i="85"/>
  <c r="N2031" i="85"/>
  <c r="H2031" i="85"/>
  <c r="A2031" i="85"/>
  <c r="AL2030" i="85"/>
  <c r="AK2030" i="85"/>
  <c r="N2030" i="85"/>
  <c r="H2030" i="85"/>
  <c r="A2030" i="85"/>
  <c r="AL2029" i="85"/>
  <c r="AK2029" i="85"/>
  <c r="N2029" i="85"/>
  <c r="H2029" i="85"/>
  <c r="A2029" i="85"/>
  <c r="AM2028" i="85"/>
  <c r="AL2028" i="85"/>
  <c r="AK2028" i="85"/>
  <c r="N2028" i="85"/>
  <c r="H2028" i="85"/>
  <c r="A2028" i="85"/>
  <c r="AL2027" i="85"/>
  <c r="AK2027" i="85"/>
  <c r="N2027" i="85"/>
  <c r="H2027" i="85"/>
  <c r="A2027" i="85"/>
  <c r="AL2026" i="85"/>
  <c r="AK2026" i="85"/>
  <c r="N2026" i="85"/>
  <c r="H2026" i="85"/>
  <c r="A2026" i="85"/>
  <c r="AL2025" i="85"/>
  <c r="AK2025" i="85"/>
  <c r="N2025" i="85"/>
  <c r="H2025" i="85"/>
  <c r="A2025" i="85"/>
  <c r="AL2024" i="85"/>
  <c r="AK2024" i="85"/>
  <c r="N2024" i="85"/>
  <c r="H2024" i="85"/>
  <c r="A2024" i="85"/>
  <c r="AL2023" i="85"/>
  <c r="AK2023" i="85"/>
  <c r="N2023" i="85"/>
  <c r="H2023" i="85"/>
  <c r="A2023" i="85"/>
  <c r="AM2022" i="85"/>
  <c r="AL2022" i="85"/>
  <c r="AK2022" i="85"/>
  <c r="N2022" i="85"/>
  <c r="H2022" i="85"/>
  <c r="A2022" i="85"/>
  <c r="AL2021" i="85"/>
  <c r="AK2021" i="85"/>
  <c r="N2021" i="85"/>
  <c r="H2021" i="85"/>
  <c r="A2021" i="85"/>
  <c r="AL2020" i="85"/>
  <c r="AK2020" i="85"/>
  <c r="N2020" i="85"/>
  <c r="H2020" i="85"/>
  <c r="A2020" i="85"/>
  <c r="AL2019" i="85"/>
  <c r="AK2019" i="85"/>
  <c r="N2019" i="85"/>
  <c r="H2019" i="85"/>
  <c r="A2019" i="85"/>
  <c r="AL2018" i="85"/>
  <c r="AK2018" i="85"/>
  <c r="N2018" i="85"/>
  <c r="H2018" i="85"/>
  <c r="A2018" i="85"/>
  <c r="AL2017" i="85"/>
  <c r="AK2017" i="85"/>
  <c r="N2017" i="85"/>
  <c r="H2017" i="85"/>
  <c r="A2017" i="85"/>
  <c r="AL2016" i="85"/>
  <c r="AK2016" i="85"/>
  <c r="N2016" i="85"/>
  <c r="H2016" i="85"/>
  <c r="A2016" i="85"/>
  <c r="AL2015" i="85"/>
  <c r="AK2015" i="85"/>
  <c r="N2015" i="85"/>
  <c r="H2015" i="85"/>
  <c r="A2015" i="85"/>
  <c r="AL2014" i="85"/>
  <c r="AK2014" i="85"/>
  <c r="N2014" i="85"/>
  <c r="H2014" i="85"/>
  <c r="A2014" i="85"/>
  <c r="AL2013" i="85"/>
  <c r="AK2013" i="85"/>
  <c r="N2013" i="85"/>
  <c r="H2013" i="85"/>
  <c r="A2013" i="85"/>
  <c r="AL2012" i="85"/>
  <c r="AK2012" i="85"/>
  <c r="N2012" i="85"/>
  <c r="H2012" i="85"/>
  <c r="A2012" i="85"/>
  <c r="AL2011" i="85"/>
  <c r="AK2011" i="85"/>
  <c r="N2011" i="85"/>
  <c r="H2011" i="85"/>
  <c r="A2011" i="85"/>
  <c r="AL2010" i="85"/>
  <c r="AK2010" i="85"/>
  <c r="N2010" i="85"/>
  <c r="H2010" i="85"/>
  <c r="A2010" i="85"/>
  <c r="AL2009" i="85"/>
  <c r="AK2009" i="85"/>
  <c r="N2009" i="85"/>
  <c r="H2009" i="85"/>
  <c r="A2009" i="85"/>
  <c r="AL2008" i="85"/>
  <c r="AK2008" i="85"/>
  <c r="N2008" i="85"/>
  <c r="H2008" i="85"/>
  <c r="A2008" i="85"/>
  <c r="AL2007" i="85"/>
  <c r="AK2007" i="85"/>
  <c r="N2007" i="85"/>
  <c r="H2007" i="85"/>
  <c r="A2007" i="85"/>
  <c r="AL2006" i="85"/>
  <c r="AK2006" i="85"/>
  <c r="N2006" i="85"/>
  <c r="H2006" i="85"/>
  <c r="A2006" i="85"/>
  <c r="AL2005" i="85"/>
  <c r="AK2005" i="85"/>
  <c r="N2005" i="85"/>
  <c r="H2005" i="85"/>
  <c r="A2005" i="85"/>
  <c r="AL2004" i="85"/>
  <c r="AK2004" i="85"/>
  <c r="N2004" i="85"/>
  <c r="H2004" i="85"/>
  <c r="A2004" i="85"/>
  <c r="AL2003" i="85"/>
  <c r="AK2003" i="85"/>
  <c r="N2003" i="85"/>
  <c r="H2003" i="85"/>
  <c r="A2003" i="85"/>
  <c r="AL2002" i="85"/>
  <c r="AK2002" i="85"/>
  <c r="N2002" i="85"/>
  <c r="H2002" i="85"/>
  <c r="A2002" i="85"/>
  <c r="AL2001" i="85"/>
  <c r="AK2001" i="85"/>
  <c r="N2001" i="85"/>
  <c r="H2001" i="85"/>
  <c r="A2001" i="85"/>
  <c r="AL2000" i="85"/>
  <c r="AK2000" i="85"/>
  <c r="N2000" i="85"/>
  <c r="H2000" i="85"/>
  <c r="A2000" i="85"/>
  <c r="AL1999" i="85"/>
  <c r="AK1999" i="85"/>
  <c r="N1999" i="85"/>
  <c r="H1999" i="85"/>
  <c r="A1999" i="85"/>
  <c r="AL1998" i="85"/>
  <c r="AK1998" i="85"/>
  <c r="N1998" i="85"/>
  <c r="H1998" i="85"/>
  <c r="A1998" i="85"/>
  <c r="AL1997" i="85"/>
  <c r="AK1997" i="85"/>
  <c r="N1997" i="85"/>
  <c r="H1997" i="85"/>
  <c r="A1997" i="85"/>
  <c r="AL1996" i="85"/>
  <c r="AK1996" i="85"/>
  <c r="N1996" i="85"/>
  <c r="H1996" i="85"/>
  <c r="A1996" i="85"/>
  <c r="AL1995" i="85"/>
  <c r="AK1995" i="85"/>
  <c r="N1995" i="85"/>
  <c r="H1995" i="85"/>
  <c r="A1995" i="85"/>
  <c r="AL1994" i="85"/>
  <c r="AK1994" i="85"/>
  <c r="N1994" i="85"/>
  <c r="H1994" i="85"/>
  <c r="A1994" i="85"/>
  <c r="AL1993" i="85"/>
  <c r="AK1993" i="85"/>
  <c r="N1993" i="85"/>
  <c r="H1993" i="85"/>
  <c r="A1993" i="85"/>
  <c r="AL1992" i="85"/>
  <c r="AK1992" i="85"/>
  <c r="N1992" i="85"/>
  <c r="H1992" i="85"/>
  <c r="A1992" i="85"/>
  <c r="AL1991" i="85"/>
  <c r="AK1991" i="85"/>
  <c r="N1991" i="85"/>
  <c r="H1991" i="85"/>
  <c r="A1991" i="85"/>
  <c r="AL1990" i="85"/>
  <c r="AK1990" i="85"/>
  <c r="N1990" i="85"/>
  <c r="H1990" i="85"/>
  <c r="A1990" i="85"/>
  <c r="AL1989" i="85"/>
  <c r="AK1989" i="85"/>
  <c r="N1989" i="85"/>
  <c r="H1989" i="85"/>
  <c r="A1989" i="85"/>
  <c r="AL1988" i="85"/>
  <c r="AK1988" i="85"/>
  <c r="N1988" i="85"/>
  <c r="H1988" i="85"/>
  <c r="A1988" i="85"/>
  <c r="AL1987" i="85"/>
  <c r="AK1987" i="85"/>
  <c r="N1987" i="85"/>
  <c r="H1987" i="85"/>
  <c r="A1987" i="85"/>
  <c r="AL1986" i="85"/>
  <c r="AK1986" i="85"/>
  <c r="N1986" i="85"/>
  <c r="H1986" i="85"/>
  <c r="A1986" i="85"/>
  <c r="AL1985" i="85"/>
  <c r="AK1985" i="85"/>
  <c r="N1985" i="85"/>
  <c r="H1985" i="85"/>
  <c r="A1985" i="85"/>
  <c r="AL1984" i="85"/>
  <c r="AK1984" i="85"/>
  <c r="AD1984" i="85"/>
  <c r="N1984" i="85"/>
  <c r="H1984" i="85"/>
  <c r="A1984" i="85"/>
  <c r="AL1983" i="85"/>
  <c r="AK1983" i="85"/>
  <c r="N1983" i="85"/>
  <c r="H1983" i="85"/>
  <c r="A1983" i="85"/>
  <c r="AL1982" i="85"/>
  <c r="AK1982" i="85"/>
  <c r="N1982" i="85"/>
  <c r="H1982" i="85"/>
  <c r="A1982" i="85"/>
  <c r="AL1981" i="85"/>
  <c r="AK1981" i="85"/>
  <c r="N1981" i="85"/>
  <c r="H1981" i="85"/>
  <c r="A1981" i="85"/>
  <c r="AL1980" i="85"/>
  <c r="AK1980" i="85"/>
  <c r="N1980" i="85"/>
  <c r="H1980" i="85"/>
  <c r="A1980" i="85"/>
  <c r="AL1979" i="85"/>
  <c r="AK1979" i="85"/>
  <c r="N1979" i="85"/>
  <c r="H1979" i="85"/>
  <c r="A1979" i="85"/>
  <c r="AM1978" i="85"/>
  <c r="AL1978" i="85"/>
  <c r="AK1978" i="85"/>
  <c r="N1978" i="85"/>
  <c r="H1978" i="85"/>
  <c r="A1978" i="85"/>
  <c r="AL1977" i="85"/>
  <c r="AK1977" i="85"/>
  <c r="N1977" i="85"/>
  <c r="H1977" i="85"/>
  <c r="A1977" i="85"/>
  <c r="AL1976" i="85"/>
  <c r="AK1976" i="85"/>
  <c r="AD1976" i="85"/>
  <c r="N1976" i="85"/>
  <c r="H1976" i="85"/>
  <c r="A1976" i="85"/>
  <c r="AL1975" i="85"/>
  <c r="AK1975" i="85"/>
  <c r="AD1975" i="85"/>
  <c r="N1975" i="85"/>
  <c r="H1975" i="85"/>
  <c r="A1975" i="85"/>
  <c r="AL1974" i="85"/>
  <c r="AK1974" i="85"/>
  <c r="N1974" i="85"/>
  <c r="H1974" i="85"/>
  <c r="A1974" i="85"/>
  <c r="AL1973" i="85"/>
  <c r="AK1973" i="85"/>
  <c r="N1973" i="85"/>
  <c r="H1973" i="85"/>
  <c r="A1973" i="85"/>
  <c r="AL1972" i="85"/>
  <c r="AK1972" i="85"/>
  <c r="N1972" i="85"/>
  <c r="H1972" i="85"/>
  <c r="A1972" i="85"/>
  <c r="AL1971" i="85"/>
  <c r="AK1971" i="85"/>
  <c r="N1971" i="85"/>
  <c r="H1971" i="85"/>
  <c r="A1971" i="85"/>
  <c r="AL1970" i="85"/>
  <c r="AK1970" i="85"/>
  <c r="N1970" i="85"/>
  <c r="H1970" i="85"/>
  <c r="A1970" i="85"/>
  <c r="AL1969" i="85"/>
  <c r="AK1969" i="85"/>
  <c r="N1969" i="85"/>
  <c r="H1969" i="85"/>
  <c r="A1969" i="85"/>
  <c r="AL1968" i="85"/>
  <c r="AK1968" i="85"/>
  <c r="N1968" i="85"/>
  <c r="H1968" i="85"/>
  <c r="A1968" i="85"/>
  <c r="AL1967" i="85"/>
  <c r="AK1967" i="85"/>
  <c r="N1967" i="85"/>
  <c r="H1967" i="85"/>
  <c r="A1967" i="85"/>
  <c r="AL1966" i="85"/>
  <c r="AK1966" i="85"/>
  <c r="N1966" i="85"/>
  <c r="H1966" i="85"/>
  <c r="A1966" i="85"/>
  <c r="AL1965" i="85"/>
  <c r="AK1965" i="85"/>
  <c r="N1965" i="85"/>
  <c r="H1965" i="85"/>
  <c r="A1965" i="85"/>
  <c r="AL1964" i="85"/>
  <c r="AK1964" i="85"/>
  <c r="N1964" i="85"/>
  <c r="H1964" i="85"/>
  <c r="A1964" i="85"/>
  <c r="AL1963" i="85"/>
  <c r="AK1963" i="85"/>
  <c r="N1963" i="85"/>
  <c r="H1963" i="85"/>
  <c r="A1963" i="85"/>
  <c r="AL1962" i="85"/>
  <c r="AK1962" i="85"/>
  <c r="N1962" i="85"/>
  <c r="H1962" i="85"/>
  <c r="A1962" i="85"/>
  <c r="AL1961" i="85"/>
  <c r="AK1961" i="85"/>
  <c r="N1961" i="85"/>
  <c r="H1961" i="85"/>
  <c r="A1961" i="85"/>
  <c r="AL1960" i="85"/>
  <c r="AK1960" i="85"/>
  <c r="N1960" i="85"/>
  <c r="H1960" i="85"/>
  <c r="A1960" i="85"/>
  <c r="AL1959" i="85"/>
  <c r="AK1959" i="85"/>
  <c r="N1959" i="85"/>
  <c r="H1959" i="85"/>
  <c r="A1959" i="85"/>
  <c r="AL1958" i="85"/>
  <c r="AK1958" i="85"/>
  <c r="N1958" i="85"/>
  <c r="H1958" i="85"/>
  <c r="A1958" i="85"/>
  <c r="AL1957" i="85"/>
  <c r="AK1957" i="85"/>
  <c r="N1957" i="85"/>
  <c r="H1957" i="85"/>
  <c r="A1957" i="85"/>
  <c r="AL1956" i="85"/>
  <c r="AK1956" i="85"/>
  <c r="AD1956" i="85"/>
  <c r="N1956" i="85"/>
  <c r="H1956" i="85"/>
  <c r="A1956" i="85"/>
  <c r="AL1955" i="85"/>
  <c r="AK1955" i="85"/>
  <c r="N1955" i="85"/>
  <c r="H1955" i="85"/>
  <c r="A1955" i="85"/>
  <c r="AL1954" i="85"/>
  <c r="AK1954" i="85"/>
  <c r="N1954" i="85"/>
  <c r="H1954" i="85"/>
  <c r="A1954" i="85"/>
  <c r="AL1953" i="85"/>
  <c r="AK1953" i="85"/>
  <c r="N1953" i="85"/>
  <c r="H1953" i="85"/>
  <c r="A1953" i="85"/>
  <c r="AL1952" i="85"/>
  <c r="AK1952" i="85"/>
  <c r="N1952" i="85"/>
  <c r="H1952" i="85"/>
  <c r="A1952" i="85"/>
  <c r="AL1951" i="85"/>
  <c r="AK1951" i="85"/>
  <c r="N1951" i="85"/>
  <c r="H1951" i="85"/>
  <c r="A1951" i="85"/>
  <c r="AL1950" i="85"/>
  <c r="AK1950" i="85"/>
  <c r="N1950" i="85"/>
  <c r="H1950" i="85"/>
  <c r="A1950" i="85"/>
  <c r="AL1949" i="85"/>
  <c r="AK1949" i="85"/>
  <c r="N1949" i="85"/>
  <c r="H1949" i="85"/>
  <c r="A1949" i="85"/>
  <c r="AL1948" i="85"/>
  <c r="AK1948" i="85"/>
  <c r="N1948" i="85"/>
  <c r="H1948" i="85"/>
  <c r="A1948" i="85"/>
  <c r="AL1947" i="85"/>
  <c r="AK1947" i="85"/>
  <c r="N1947" i="85"/>
  <c r="H1947" i="85"/>
  <c r="A1947" i="85"/>
  <c r="AL1946" i="85"/>
  <c r="AK1946" i="85"/>
  <c r="N1946" i="85"/>
  <c r="H1946" i="85"/>
  <c r="A1946" i="85"/>
  <c r="AL1945" i="85"/>
  <c r="AK1945" i="85"/>
  <c r="N1945" i="85"/>
  <c r="H1945" i="85"/>
  <c r="A1945" i="85"/>
  <c r="AL1944" i="85"/>
  <c r="AK1944" i="85"/>
  <c r="N1944" i="85"/>
  <c r="H1944" i="85"/>
  <c r="A1944" i="85"/>
  <c r="AL1943" i="85"/>
  <c r="AK1943" i="85"/>
  <c r="N1943" i="85"/>
  <c r="H1943" i="85"/>
  <c r="A1943" i="85"/>
  <c r="AL1942" i="85"/>
  <c r="AK1942" i="85"/>
  <c r="N1942" i="85"/>
  <c r="H1942" i="85"/>
  <c r="A1942" i="85"/>
  <c r="AM1941" i="85"/>
  <c r="AL1941" i="85"/>
  <c r="AK1941" i="85"/>
  <c r="N1941" i="85"/>
  <c r="H1941" i="85"/>
  <c r="A1941" i="85"/>
  <c r="AL1940" i="85"/>
  <c r="AK1940" i="85"/>
  <c r="N1940" i="85"/>
  <c r="H1940" i="85"/>
  <c r="A1940" i="85"/>
  <c r="AL1939" i="85"/>
  <c r="AK1939" i="85"/>
  <c r="N1939" i="85"/>
  <c r="H1939" i="85"/>
  <c r="A1939" i="85"/>
  <c r="AL1938" i="85"/>
  <c r="AK1938" i="85"/>
  <c r="N1938" i="85"/>
  <c r="H1938" i="85"/>
  <c r="A1938" i="85"/>
  <c r="AL1937" i="85"/>
  <c r="AK1937" i="85"/>
  <c r="N1937" i="85"/>
  <c r="H1937" i="85"/>
  <c r="A1937" i="85"/>
  <c r="AL1936" i="85"/>
  <c r="AK1936" i="85"/>
  <c r="N1936" i="85"/>
  <c r="H1936" i="85"/>
  <c r="A1936" i="85"/>
  <c r="AL1935" i="85"/>
  <c r="AK1935" i="85"/>
  <c r="N1935" i="85"/>
  <c r="H1935" i="85"/>
  <c r="A1935" i="85"/>
  <c r="AL1934" i="85"/>
  <c r="AK1934" i="85"/>
  <c r="N1934" i="85"/>
  <c r="H1934" i="85"/>
  <c r="A1934" i="85"/>
  <c r="AL1933" i="85"/>
  <c r="AK1933" i="85"/>
  <c r="N1933" i="85"/>
  <c r="H1933" i="85"/>
  <c r="A1933" i="85"/>
  <c r="AL1932" i="85"/>
  <c r="AK1932" i="85"/>
  <c r="N1932" i="85"/>
  <c r="H1932" i="85"/>
  <c r="A1932" i="85"/>
  <c r="AL1931" i="85"/>
  <c r="AK1931" i="85"/>
  <c r="N1931" i="85"/>
  <c r="H1931" i="85"/>
  <c r="A1931" i="85"/>
  <c r="AL1930" i="85"/>
  <c r="AK1930" i="85"/>
  <c r="N1930" i="85"/>
  <c r="H1930" i="85"/>
  <c r="A1930" i="85"/>
  <c r="AL1929" i="85"/>
  <c r="AK1929" i="85"/>
  <c r="N1929" i="85"/>
  <c r="H1929" i="85"/>
  <c r="A1929" i="85"/>
  <c r="AL1928" i="85"/>
  <c r="AK1928" i="85"/>
  <c r="N1928" i="85"/>
  <c r="H1928" i="85"/>
  <c r="A1928" i="85"/>
  <c r="AL1927" i="85"/>
  <c r="AK1927" i="85"/>
  <c r="N1927" i="85"/>
  <c r="H1927" i="85"/>
  <c r="A1927" i="85"/>
  <c r="AL1926" i="85"/>
  <c r="AK1926" i="85"/>
  <c r="N1926" i="85"/>
  <c r="H1926" i="85"/>
  <c r="A1926" i="85"/>
  <c r="AL1925" i="85"/>
  <c r="AK1925" i="85"/>
  <c r="N1925" i="85"/>
  <c r="H1925" i="85"/>
  <c r="A1925" i="85"/>
  <c r="AL1924" i="85"/>
  <c r="AK1924" i="85"/>
  <c r="N1924" i="85"/>
  <c r="H1924" i="85"/>
  <c r="A1924" i="85"/>
  <c r="AL1923" i="85"/>
  <c r="AK1923" i="85"/>
  <c r="N1923" i="85"/>
  <c r="H1923" i="85"/>
  <c r="A1923" i="85"/>
  <c r="AL1922" i="85"/>
  <c r="AK1922" i="85"/>
  <c r="N1922" i="85"/>
  <c r="H1922" i="85"/>
  <c r="A1922" i="85"/>
  <c r="AL1921" i="85"/>
  <c r="AK1921" i="85"/>
  <c r="N1921" i="85"/>
  <c r="H1921" i="85"/>
  <c r="A1921" i="85"/>
  <c r="AL1920" i="85"/>
  <c r="AK1920" i="85"/>
  <c r="N1920" i="85"/>
  <c r="H1920" i="85"/>
  <c r="A1920" i="85"/>
  <c r="AL1919" i="85"/>
  <c r="AK1919" i="85"/>
  <c r="N1919" i="85"/>
  <c r="H1919" i="85"/>
  <c r="A1919" i="85"/>
  <c r="AL1918" i="85"/>
  <c r="AK1918" i="85"/>
  <c r="N1918" i="85"/>
  <c r="H1918" i="85"/>
  <c r="A1918" i="85"/>
  <c r="AL1917" i="85"/>
  <c r="AK1917" i="85"/>
  <c r="N1917" i="85"/>
  <c r="H1917" i="85"/>
  <c r="A1917" i="85"/>
  <c r="AL1916" i="85"/>
  <c r="AK1916" i="85"/>
  <c r="N1916" i="85"/>
  <c r="H1916" i="85"/>
  <c r="A1916" i="85"/>
  <c r="AL1915" i="85"/>
  <c r="AK1915" i="85"/>
  <c r="N1915" i="85"/>
  <c r="H1915" i="85"/>
  <c r="A1915" i="85"/>
  <c r="AL1914" i="85"/>
  <c r="AK1914" i="85"/>
  <c r="N1914" i="85"/>
  <c r="H1914" i="85"/>
  <c r="A1914" i="85"/>
  <c r="AM1913" i="85"/>
  <c r="AL1913" i="85"/>
  <c r="AK1913" i="85"/>
  <c r="N1913" i="85"/>
  <c r="H1913" i="85"/>
  <c r="A1913" i="85"/>
  <c r="AL1912" i="85"/>
  <c r="AK1912" i="85"/>
  <c r="N1912" i="85"/>
  <c r="H1912" i="85"/>
  <c r="A1912" i="85"/>
  <c r="AL1911" i="85"/>
  <c r="AK1911" i="85"/>
  <c r="N1911" i="85"/>
  <c r="H1911" i="85"/>
  <c r="A1911" i="85"/>
  <c r="AL1910" i="85"/>
  <c r="AK1910" i="85"/>
  <c r="N1910" i="85"/>
  <c r="H1910" i="85"/>
  <c r="A1910" i="85"/>
  <c r="AL1909" i="85"/>
  <c r="AK1909" i="85"/>
  <c r="N1909" i="85"/>
  <c r="H1909" i="85"/>
  <c r="A1909" i="85"/>
  <c r="AL1908" i="85"/>
  <c r="AK1908" i="85"/>
  <c r="N1908" i="85"/>
  <c r="H1908" i="85"/>
  <c r="A1908" i="85"/>
  <c r="AL1907" i="85"/>
  <c r="AK1907" i="85"/>
  <c r="N1907" i="85"/>
  <c r="H1907" i="85"/>
  <c r="A1907" i="85"/>
  <c r="AL1906" i="85"/>
  <c r="AK1906" i="85"/>
  <c r="N1906" i="85"/>
  <c r="H1906" i="85"/>
  <c r="A1906" i="85"/>
  <c r="AL1905" i="85"/>
  <c r="AK1905" i="85"/>
  <c r="N1905" i="85"/>
  <c r="H1905" i="85"/>
  <c r="A1905" i="85"/>
  <c r="AL1904" i="85"/>
  <c r="AK1904" i="85"/>
  <c r="N1904" i="85"/>
  <c r="H1904" i="85"/>
  <c r="A1904" i="85"/>
  <c r="AL1903" i="85"/>
  <c r="AK1903" i="85"/>
  <c r="N1903" i="85"/>
  <c r="H1903" i="85"/>
  <c r="A1903" i="85"/>
  <c r="AL1902" i="85"/>
  <c r="AK1902" i="85"/>
  <c r="N1902" i="85"/>
  <c r="H1902" i="85"/>
  <c r="A1902" i="85"/>
  <c r="AL1901" i="85"/>
  <c r="AK1901" i="85"/>
  <c r="N1901" i="85"/>
  <c r="H1901" i="85"/>
  <c r="A1901" i="85"/>
  <c r="AL1900" i="85"/>
  <c r="AK1900" i="85"/>
  <c r="N1900" i="85"/>
  <c r="H1900" i="85"/>
  <c r="A1900" i="85"/>
  <c r="AL1899" i="85"/>
  <c r="AK1899" i="85"/>
  <c r="AD1899" i="85"/>
  <c r="N1899" i="85"/>
  <c r="H1899" i="85"/>
  <c r="A1899" i="85"/>
  <c r="AM1898" i="85"/>
  <c r="AL1898" i="85"/>
  <c r="AK1898" i="85"/>
  <c r="N1898" i="85"/>
  <c r="H1898" i="85"/>
  <c r="A1898" i="85"/>
  <c r="AL1897" i="85"/>
  <c r="AK1897" i="85"/>
  <c r="N1897" i="85"/>
  <c r="H1897" i="85"/>
  <c r="A1897" i="85"/>
  <c r="AL1896" i="85"/>
  <c r="AK1896" i="85"/>
  <c r="N1896" i="85"/>
  <c r="H1896" i="85"/>
  <c r="A1896" i="85"/>
  <c r="AL1895" i="85"/>
  <c r="AK1895" i="85"/>
  <c r="N1895" i="85"/>
  <c r="H1895" i="85"/>
  <c r="A1895" i="85"/>
  <c r="AL1894" i="85"/>
  <c r="AK1894" i="85"/>
  <c r="N1894" i="85"/>
  <c r="H1894" i="85"/>
  <c r="A1894" i="85"/>
  <c r="AL1893" i="85"/>
  <c r="AK1893" i="85"/>
  <c r="N1893" i="85"/>
  <c r="H1893" i="85"/>
  <c r="A1893" i="85"/>
  <c r="AM1892" i="85"/>
  <c r="AL1892" i="85"/>
  <c r="AK1892" i="85"/>
  <c r="AD1892" i="85"/>
  <c r="N1892" i="85"/>
  <c r="H1892" i="85"/>
  <c r="A1892" i="85"/>
  <c r="AL1891" i="85"/>
  <c r="AK1891" i="85"/>
  <c r="AD1891" i="85"/>
  <c r="N1891" i="85"/>
  <c r="H1891" i="85"/>
  <c r="A1891" i="85"/>
  <c r="AL1890" i="85"/>
  <c r="AK1890" i="85"/>
  <c r="N1890" i="85"/>
  <c r="H1890" i="85"/>
  <c r="A1890" i="85"/>
  <c r="AL1889" i="85"/>
  <c r="AK1889" i="85"/>
  <c r="N1889" i="85"/>
  <c r="H1889" i="85"/>
  <c r="A1889" i="85"/>
  <c r="AL1888" i="85"/>
  <c r="AK1888" i="85"/>
  <c r="N1888" i="85"/>
  <c r="H1888" i="85"/>
  <c r="A1888" i="85"/>
  <c r="AL1887" i="85"/>
  <c r="AK1887" i="85"/>
  <c r="N1887" i="85"/>
  <c r="H1887" i="85"/>
  <c r="A1887" i="85"/>
  <c r="AL1886" i="85"/>
  <c r="AK1886" i="85"/>
  <c r="N1886" i="85"/>
  <c r="H1886" i="85"/>
  <c r="A1886" i="85"/>
  <c r="AL1885" i="85"/>
  <c r="AK1885" i="85"/>
  <c r="N1885" i="85"/>
  <c r="H1885" i="85"/>
  <c r="A1885" i="85"/>
  <c r="AL1884" i="85"/>
  <c r="AK1884" i="85"/>
  <c r="N1884" i="85"/>
  <c r="H1884" i="85"/>
  <c r="A1884" i="85"/>
  <c r="AL1883" i="85"/>
  <c r="AK1883" i="85"/>
  <c r="N1883" i="85"/>
  <c r="H1883" i="85"/>
  <c r="A1883" i="85"/>
  <c r="AL1882" i="85"/>
  <c r="AK1882" i="85"/>
  <c r="N1882" i="85"/>
  <c r="H1882" i="85"/>
  <c r="A1882" i="85"/>
  <c r="AL1881" i="85"/>
  <c r="AK1881" i="85"/>
  <c r="N1881" i="85"/>
  <c r="H1881" i="85"/>
  <c r="A1881" i="85"/>
  <c r="AL1880" i="85"/>
  <c r="AK1880" i="85"/>
  <c r="N1880" i="85"/>
  <c r="H1880" i="85"/>
  <c r="A1880" i="85"/>
  <c r="AL1879" i="85"/>
  <c r="AK1879" i="85"/>
  <c r="N1879" i="85"/>
  <c r="H1879" i="85"/>
  <c r="A1879" i="85"/>
  <c r="AL1878" i="85"/>
  <c r="AK1878" i="85"/>
  <c r="N1878" i="85"/>
  <c r="H1878" i="85"/>
  <c r="A1878" i="85"/>
  <c r="AL1877" i="85"/>
  <c r="AK1877" i="85"/>
  <c r="N1877" i="85"/>
  <c r="H1877" i="85"/>
  <c r="A1877" i="85"/>
  <c r="AL1876" i="85"/>
  <c r="AK1876" i="85"/>
  <c r="AD1876" i="85"/>
  <c r="N1876" i="85"/>
  <c r="H1876" i="85"/>
  <c r="A1876" i="85"/>
  <c r="AL1875" i="85"/>
  <c r="AK1875" i="85"/>
  <c r="N1875" i="85"/>
  <c r="H1875" i="85"/>
  <c r="A1875" i="85"/>
  <c r="AL1874" i="85"/>
  <c r="AK1874" i="85"/>
  <c r="N1874" i="85"/>
  <c r="H1874" i="85"/>
  <c r="A1874" i="85"/>
  <c r="AL1873" i="85"/>
  <c r="AK1873" i="85"/>
  <c r="N1873" i="85"/>
  <c r="H1873" i="85"/>
  <c r="A1873" i="85"/>
  <c r="AL1872" i="85"/>
  <c r="AK1872" i="85"/>
  <c r="N1872" i="85"/>
  <c r="H1872" i="85"/>
  <c r="A1872" i="85"/>
  <c r="AL1871" i="85"/>
  <c r="AK1871" i="85"/>
  <c r="N1871" i="85"/>
  <c r="H1871" i="85"/>
  <c r="A1871" i="85"/>
  <c r="AL1870" i="85"/>
  <c r="AK1870" i="85"/>
  <c r="N1870" i="85"/>
  <c r="H1870" i="85"/>
  <c r="A1870" i="85"/>
  <c r="AM1869" i="85"/>
  <c r="AL1869" i="85"/>
  <c r="AK1869" i="85"/>
  <c r="AD1869" i="85"/>
  <c r="N1869" i="85"/>
  <c r="H1869" i="85"/>
  <c r="A1869" i="85"/>
  <c r="AL1868" i="85"/>
  <c r="AK1868" i="85"/>
  <c r="N1868" i="85"/>
  <c r="H1868" i="85"/>
  <c r="A1868" i="85"/>
  <c r="AL1867" i="85"/>
  <c r="AK1867" i="85"/>
  <c r="N1867" i="85"/>
  <c r="H1867" i="85"/>
  <c r="A1867" i="85"/>
  <c r="AM1866" i="85"/>
  <c r="AL1866" i="85"/>
  <c r="AK1866" i="85"/>
  <c r="AD1866" i="85"/>
  <c r="N1866" i="85"/>
  <c r="H1866" i="85"/>
  <c r="A1866" i="85"/>
  <c r="AL1865" i="85"/>
  <c r="AK1865" i="85"/>
  <c r="N1865" i="85"/>
  <c r="H1865" i="85"/>
  <c r="A1865" i="85"/>
  <c r="AL1864" i="85"/>
  <c r="AK1864" i="85"/>
  <c r="N1864" i="85"/>
  <c r="H1864" i="85"/>
  <c r="A1864" i="85"/>
  <c r="AL1863" i="85"/>
  <c r="AK1863" i="85"/>
  <c r="N1863" i="85"/>
  <c r="H1863" i="85"/>
  <c r="A1863" i="85"/>
  <c r="AL1862" i="85"/>
  <c r="AK1862" i="85"/>
  <c r="N1862" i="85"/>
  <c r="H1862" i="85"/>
  <c r="A1862" i="85"/>
  <c r="AL1861" i="85"/>
  <c r="AK1861" i="85"/>
  <c r="N1861" i="85"/>
  <c r="H1861" i="85"/>
  <c r="A1861" i="85"/>
  <c r="AL1860" i="85"/>
  <c r="AK1860" i="85"/>
  <c r="N1860" i="85"/>
  <c r="H1860" i="85"/>
  <c r="A1860" i="85"/>
  <c r="AL1859" i="85"/>
  <c r="AK1859" i="85"/>
  <c r="N1859" i="85"/>
  <c r="H1859" i="85"/>
  <c r="A1859" i="85"/>
  <c r="AL1858" i="85"/>
  <c r="AK1858" i="85"/>
  <c r="N1858" i="85"/>
  <c r="H1858" i="85"/>
  <c r="A1858" i="85"/>
  <c r="AL1857" i="85"/>
  <c r="AK1857" i="85"/>
  <c r="N1857" i="85"/>
  <c r="H1857" i="85"/>
  <c r="A1857" i="85"/>
  <c r="AL1856" i="85"/>
  <c r="AK1856" i="85"/>
  <c r="N1856" i="85"/>
  <c r="H1856" i="85"/>
  <c r="A1856" i="85"/>
  <c r="AL1855" i="85"/>
  <c r="AK1855" i="85"/>
  <c r="N1855" i="85"/>
  <c r="H1855" i="85"/>
  <c r="A1855" i="85"/>
  <c r="AL1854" i="85"/>
  <c r="AK1854" i="85"/>
  <c r="N1854" i="85"/>
  <c r="H1854" i="85"/>
  <c r="A1854" i="85"/>
  <c r="AL1853" i="85"/>
  <c r="AK1853" i="85"/>
  <c r="N1853" i="85"/>
  <c r="H1853" i="85"/>
  <c r="A1853" i="85"/>
  <c r="AL1852" i="85"/>
  <c r="AK1852" i="85"/>
  <c r="AD1852" i="85"/>
  <c r="N1852" i="85"/>
  <c r="H1852" i="85"/>
  <c r="A1852" i="85"/>
  <c r="AL1851" i="85"/>
  <c r="AK1851" i="85"/>
  <c r="N1851" i="85"/>
  <c r="H1851" i="85"/>
  <c r="A1851" i="85"/>
  <c r="AL1850" i="85"/>
  <c r="AK1850" i="85"/>
  <c r="N1850" i="85"/>
  <c r="H1850" i="85"/>
  <c r="A1850" i="85"/>
  <c r="AL1849" i="85"/>
  <c r="AK1849" i="85"/>
  <c r="N1849" i="85"/>
  <c r="H1849" i="85"/>
  <c r="A1849" i="85"/>
  <c r="AL1848" i="85"/>
  <c r="AK1848" i="85"/>
  <c r="AD1848" i="85"/>
  <c r="N1848" i="85"/>
  <c r="H1848" i="85"/>
  <c r="A1848" i="85"/>
  <c r="AL1847" i="85"/>
  <c r="AK1847" i="85"/>
  <c r="N1847" i="85"/>
  <c r="H1847" i="85"/>
  <c r="A1847" i="85"/>
  <c r="AL1846" i="85"/>
  <c r="AK1846" i="85"/>
  <c r="N1846" i="85"/>
  <c r="H1846" i="85"/>
  <c r="A1846" i="85"/>
  <c r="AL1845" i="85"/>
  <c r="AK1845" i="85"/>
  <c r="N1845" i="85"/>
  <c r="H1845" i="85"/>
  <c r="A1845" i="85"/>
  <c r="AL1844" i="85"/>
  <c r="AK1844" i="85"/>
  <c r="N1844" i="85"/>
  <c r="H1844" i="85"/>
  <c r="A1844" i="85"/>
  <c r="AL1843" i="85"/>
  <c r="AK1843" i="85"/>
  <c r="N1843" i="85"/>
  <c r="H1843" i="85"/>
  <c r="A1843" i="85"/>
  <c r="AL1842" i="85"/>
  <c r="AK1842" i="85"/>
  <c r="N1842" i="85"/>
  <c r="H1842" i="85"/>
  <c r="A1842" i="85"/>
  <c r="AL1841" i="85"/>
  <c r="AK1841" i="85"/>
  <c r="N1841" i="85"/>
  <c r="H1841" i="85"/>
  <c r="A1841" i="85"/>
  <c r="AL1840" i="85"/>
  <c r="AK1840" i="85"/>
  <c r="N1840" i="85"/>
  <c r="H1840" i="85"/>
  <c r="A1840" i="85"/>
  <c r="AL1839" i="85"/>
  <c r="AK1839" i="85"/>
  <c r="N1839" i="85"/>
  <c r="H1839" i="85"/>
  <c r="A1839" i="85"/>
  <c r="AL1838" i="85"/>
  <c r="AK1838" i="85"/>
  <c r="N1838" i="85"/>
  <c r="H1838" i="85"/>
  <c r="A1838" i="85"/>
  <c r="AL1837" i="85"/>
  <c r="AK1837" i="85"/>
  <c r="N1837" i="85"/>
  <c r="H1837" i="85"/>
  <c r="A1837" i="85"/>
  <c r="AL1836" i="85"/>
  <c r="AK1836" i="85"/>
  <c r="N1836" i="85"/>
  <c r="H1836" i="85"/>
  <c r="A1836" i="85"/>
  <c r="AL1835" i="85"/>
  <c r="AK1835" i="85"/>
  <c r="N1835" i="85"/>
  <c r="H1835" i="85"/>
  <c r="A1835" i="85"/>
  <c r="AL1834" i="85"/>
  <c r="AK1834" i="85"/>
  <c r="N1834" i="85"/>
  <c r="H1834" i="85"/>
  <c r="A1834" i="85"/>
  <c r="AL1833" i="85"/>
  <c r="AK1833" i="85"/>
  <c r="N1833" i="85"/>
  <c r="H1833" i="85"/>
  <c r="A1833" i="85"/>
  <c r="AL1832" i="85"/>
  <c r="AK1832" i="85"/>
  <c r="N1832" i="85"/>
  <c r="H1832" i="85"/>
  <c r="A1832" i="85"/>
  <c r="AL1831" i="85"/>
  <c r="AK1831" i="85"/>
  <c r="N1831" i="85"/>
  <c r="H1831" i="85"/>
  <c r="A1831" i="85"/>
  <c r="AL1830" i="85"/>
  <c r="AK1830" i="85"/>
  <c r="N1830" i="85"/>
  <c r="H1830" i="85"/>
  <c r="A1830" i="85"/>
  <c r="AL1829" i="85"/>
  <c r="AK1829" i="85"/>
  <c r="N1829" i="85"/>
  <c r="H1829" i="85"/>
  <c r="A1829" i="85"/>
  <c r="AL1828" i="85"/>
  <c r="AK1828" i="85"/>
  <c r="N1828" i="85"/>
  <c r="H1828" i="85"/>
  <c r="A1828" i="85"/>
  <c r="AL1827" i="85"/>
  <c r="AK1827" i="85"/>
  <c r="N1827" i="85"/>
  <c r="H1827" i="85"/>
  <c r="A1827" i="85"/>
  <c r="AL1826" i="85"/>
  <c r="AK1826" i="85"/>
  <c r="N1826" i="85"/>
  <c r="H1826" i="85"/>
  <c r="A1826" i="85"/>
  <c r="AL1825" i="85"/>
  <c r="AK1825" i="85"/>
  <c r="AD1825" i="85"/>
  <c r="N1825" i="85"/>
  <c r="H1825" i="85"/>
  <c r="A1825" i="85"/>
  <c r="AL1824" i="85"/>
  <c r="AK1824" i="85"/>
  <c r="N1824" i="85"/>
  <c r="H1824" i="85"/>
  <c r="A1824" i="85"/>
  <c r="AL1823" i="85"/>
  <c r="AK1823" i="85"/>
  <c r="AD1823" i="85"/>
  <c r="N1823" i="85"/>
  <c r="H1823" i="85"/>
  <c r="A1823" i="85"/>
  <c r="AL1822" i="85"/>
  <c r="AK1822" i="85"/>
  <c r="N1822" i="85"/>
  <c r="H1822" i="85"/>
  <c r="A1822" i="85"/>
  <c r="AL1821" i="85"/>
  <c r="AK1821" i="85"/>
  <c r="N1821" i="85"/>
  <c r="H1821" i="85"/>
  <c r="A1821" i="85"/>
  <c r="AL1820" i="85"/>
  <c r="AK1820" i="85"/>
  <c r="N1820" i="85"/>
  <c r="H1820" i="85"/>
  <c r="A1820" i="85"/>
  <c r="AL1819" i="85"/>
  <c r="AK1819" i="85"/>
  <c r="N1819" i="85"/>
  <c r="H1819" i="85"/>
  <c r="A1819" i="85"/>
  <c r="AL1818" i="85"/>
  <c r="AK1818" i="85"/>
  <c r="N1818" i="85"/>
  <c r="H1818" i="85"/>
  <c r="A1818" i="85"/>
  <c r="AL1817" i="85"/>
  <c r="AK1817" i="85"/>
  <c r="N1817" i="85"/>
  <c r="H1817" i="85"/>
  <c r="A1817" i="85"/>
  <c r="AL1816" i="85"/>
  <c r="AK1816" i="85"/>
  <c r="N1816" i="85"/>
  <c r="H1816" i="85"/>
  <c r="A1816" i="85"/>
  <c r="AL1815" i="85"/>
  <c r="AK1815" i="85"/>
  <c r="N1815" i="85"/>
  <c r="H1815" i="85"/>
  <c r="A1815" i="85"/>
  <c r="AL1814" i="85"/>
  <c r="AK1814" i="85"/>
  <c r="N1814" i="85"/>
  <c r="H1814" i="85"/>
  <c r="A1814" i="85"/>
  <c r="AL1813" i="85"/>
  <c r="AK1813" i="85"/>
  <c r="N1813" i="85"/>
  <c r="H1813" i="85"/>
  <c r="A1813" i="85"/>
  <c r="AL1812" i="85"/>
  <c r="AK1812" i="85"/>
  <c r="N1812" i="85"/>
  <c r="H1812" i="85"/>
  <c r="A1812" i="85"/>
  <c r="AL1811" i="85"/>
  <c r="AK1811" i="85"/>
  <c r="AD1811" i="85"/>
  <c r="N1811" i="85"/>
  <c r="H1811" i="85"/>
  <c r="A1811" i="85"/>
  <c r="AL1810" i="85"/>
  <c r="AK1810" i="85"/>
  <c r="N1810" i="85"/>
  <c r="H1810" i="85"/>
  <c r="A1810" i="85"/>
  <c r="AL1809" i="85"/>
  <c r="AK1809" i="85"/>
  <c r="N1809" i="85"/>
  <c r="H1809" i="85"/>
  <c r="A1809" i="85"/>
  <c r="AL1808" i="85"/>
  <c r="AK1808" i="85"/>
  <c r="N1808" i="85"/>
  <c r="H1808" i="85"/>
  <c r="A1808" i="85"/>
  <c r="AL1807" i="85"/>
  <c r="AK1807" i="85"/>
  <c r="N1807" i="85"/>
  <c r="H1807" i="85"/>
  <c r="A1807" i="85"/>
  <c r="AL1806" i="85"/>
  <c r="AK1806" i="85"/>
  <c r="N1806" i="85"/>
  <c r="H1806" i="85"/>
  <c r="A1806" i="85"/>
  <c r="AL1805" i="85"/>
  <c r="AK1805" i="85"/>
  <c r="N1805" i="85"/>
  <c r="H1805" i="85"/>
  <c r="A1805" i="85"/>
  <c r="AL1804" i="85"/>
  <c r="AK1804" i="85"/>
  <c r="N1804" i="85"/>
  <c r="H1804" i="85"/>
  <c r="A1804" i="85"/>
  <c r="AL1803" i="85"/>
  <c r="AK1803" i="85"/>
  <c r="N1803" i="85"/>
  <c r="H1803" i="85"/>
  <c r="A1803" i="85"/>
  <c r="AM1802" i="85"/>
  <c r="AL1802" i="85"/>
  <c r="AK1802" i="85"/>
  <c r="N1802" i="85"/>
  <c r="H1802" i="85"/>
  <c r="A1802" i="85"/>
  <c r="AM1801" i="85"/>
  <c r="AL1801" i="85"/>
  <c r="AK1801" i="85"/>
  <c r="N1801" i="85"/>
  <c r="H1801" i="85"/>
  <c r="A1801" i="85"/>
  <c r="AL1800" i="85"/>
  <c r="AK1800" i="85"/>
  <c r="N1800" i="85"/>
  <c r="H1800" i="85"/>
  <c r="A1800" i="85"/>
  <c r="AL1799" i="85"/>
  <c r="AK1799" i="85"/>
  <c r="AD1799" i="85"/>
  <c r="N1799" i="85"/>
  <c r="H1799" i="85"/>
  <c r="A1799" i="85"/>
  <c r="AL1798" i="85"/>
  <c r="AK1798" i="85"/>
  <c r="N1798" i="85"/>
  <c r="H1798" i="85"/>
  <c r="A1798" i="85"/>
  <c r="AM1797" i="85"/>
  <c r="AL1797" i="85"/>
  <c r="AK1797" i="85"/>
  <c r="N1797" i="85"/>
  <c r="H1797" i="85"/>
  <c r="A1797" i="85"/>
  <c r="AL1796" i="85"/>
  <c r="AK1796" i="85"/>
  <c r="N1796" i="85"/>
  <c r="H1796" i="85"/>
  <c r="A1796" i="85"/>
  <c r="AL1795" i="85"/>
  <c r="AK1795" i="85"/>
  <c r="N1795" i="85"/>
  <c r="H1795" i="85"/>
  <c r="A1795" i="85"/>
  <c r="AL1794" i="85"/>
  <c r="AK1794" i="85"/>
  <c r="N1794" i="85"/>
  <c r="H1794" i="85"/>
  <c r="A1794" i="85"/>
  <c r="AL1793" i="85"/>
  <c r="AK1793" i="85"/>
  <c r="N1793" i="85"/>
  <c r="H1793" i="85"/>
  <c r="A1793" i="85"/>
  <c r="AL1792" i="85"/>
  <c r="AK1792" i="85"/>
  <c r="N1792" i="85"/>
  <c r="H1792" i="85"/>
  <c r="A1792" i="85"/>
  <c r="AL1791" i="85"/>
  <c r="AK1791" i="85"/>
  <c r="N1791" i="85"/>
  <c r="H1791" i="85"/>
  <c r="A1791" i="85"/>
  <c r="AL1790" i="85"/>
  <c r="AK1790" i="85"/>
  <c r="N1790" i="85"/>
  <c r="H1790" i="85"/>
  <c r="A1790" i="85"/>
  <c r="AL1789" i="85"/>
  <c r="AK1789" i="85"/>
  <c r="N1789" i="85"/>
  <c r="H1789" i="85"/>
  <c r="A1789" i="85"/>
  <c r="AL1788" i="85"/>
  <c r="AK1788" i="85"/>
  <c r="N1788" i="85"/>
  <c r="H1788" i="85"/>
  <c r="A1788" i="85"/>
  <c r="AL1787" i="85"/>
  <c r="AK1787" i="85"/>
  <c r="N1787" i="85"/>
  <c r="H1787" i="85"/>
  <c r="A1787" i="85"/>
  <c r="AL1786" i="85"/>
  <c r="AK1786" i="85"/>
  <c r="AD1786" i="85"/>
  <c r="N1786" i="85"/>
  <c r="H1786" i="85"/>
  <c r="A1786" i="85"/>
  <c r="AL1785" i="85"/>
  <c r="AK1785" i="85"/>
  <c r="AD1785" i="85"/>
  <c r="N1785" i="85"/>
  <c r="H1785" i="85"/>
  <c r="A1785" i="85"/>
  <c r="AL1784" i="85"/>
  <c r="AK1784" i="85"/>
  <c r="N1784" i="85"/>
  <c r="H1784" i="85"/>
  <c r="A1784" i="85"/>
  <c r="AL1783" i="85"/>
  <c r="AK1783" i="85"/>
  <c r="N1783" i="85"/>
  <c r="H1783" i="85"/>
  <c r="A1783" i="85"/>
  <c r="AM1782" i="85"/>
  <c r="AL1782" i="85"/>
  <c r="AK1782" i="85"/>
  <c r="N1782" i="85"/>
  <c r="H1782" i="85"/>
  <c r="A1782" i="85"/>
  <c r="AL1781" i="85"/>
  <c r="AK1781" i="85"/>
  <c r="N1781" i="85"/>
  <c r="H1781" i="85"/>
  <c r="A1781" i="85"/>
  <c r="AL1780" i="85"/>
  <c r="AK1780" i="85"/>
  <c r="N1780" i="85"/>
  <c r="H1780" i="85"/>
  <c r="A1780" i="85"/>
  <c r="AL1779" i="85"/>
  <c r="AK1779" i="85"/>
  <c r="N1779" i="85"/>
  <c r="H1779" i="85"/>
  <c r="A1779" i="85"/>
  <c r="AL1778" i="85"/>
  <c r="AK1778" i="85"/>
  <c r="AD1778" i="85"/>
  <c r="N1778" i="85"/>
  <c r="H1778" i="85"/>
  <c r="A1778" i="85"/>
  <c r="AL1777" i="85"/>
  <c r="AK1777" i="85"/>
  <c r="N1777" i="85"/>
  <c r="H1777" i="85"/>
  <c r="A1777" i="85"/>
  <c r="AL1776" i="85"/>
  <c r="AK1776" i="85"/>
  <c r="N1776" i="85"/>
  <c r="H1776" i="85"/>
  <c r="A1776" i="85"/>
  <c r="AL1775" i="85"/>
  <c r="AK1775" i="85"/>
  <c r="N1775" i="85"/>
  <c r="H1775" i="85"/>
  <c r="A1775" i="85"/>
  <c r="AL1774" i="85"/>
  <c r="AK1774" i="85"/>
  <c r="N1774" i="85"/>
  <c r="H1774" i="85"/>
  <c r="A1774" i="85"/>
  <c r="AL1773" i="85"/>
  <c r="AK1773" i="85"/>
  <c r="N1773" i="85"/>
  <c r="H1773" i="85"/>
  <c r="A1773" i="85"/>
  <c r="AL1772" i="85"/>
  <c r="AK1772" i="85"/>
  <c r="N1772" i="85"/>
  <c r="H1772" i="85"/>
  <c r="A1772" i="85"/>
  <c r="AL1771" i="85"/>
  <c r="AK1771" i="85"/>
  <c r="N1771" i="85"/>
  <c r="H1771" i="85"/>
  <c r="A1771" i="85"/>
  <c r="AL1770" i="85"/>
  <c r="AK1770" i="85"/>
  <c r="N1770" i="85"/>
  <c r="H1770" i="85"/>
  <c r="A1770" i="85"/>
  <c r="AL1769" i="85"/>
  <c r="AK1769" i="85"/>
  <c r="N1769" i="85"/>
  <c r="H1769" i="85"/>
  <c r="A1769" i="85"/>
  <c r="AL1768" i="85"/>
  <c r="AK1768" i="85"/>
  <c r="N1768" i="85"/>
  <c r="H1768" i="85"/>
  <c r="A1768" i="85"/>
  <c r="AL1767" i="85"/>
  <c r="AK1767" i="85"/>
  <c r="N1767" i="85"/>
  <c r="H1767" i="85"/>
  <c r="A1767" i="85"/>
  <c r="AM1766" i="85"/>
  <c r="AL1766" i="85"/>
  <c r="AK1766" i="85"/>
  <c r="N1766" i="85"/>
  <c r="H1766" i="85"/>
  <c r="A1766" i="85"/>
  <c r="AL1765" i="85"/>
  <c r="AK1765" i="85"/>
  <c r="N1765" i="85"/>
  <c r="H1765" i="85"/>
  <c r="A1765" i="85"/>
  <c r="AM1764" i="85"/>
  <c r="AL1764" i="85"/>
  <c r="AK1764" i="85"/>
  <c r="N1764" i="85"/>
  <c r="H1764" i="85"/>
  <c r="A1764" i="85"/>
  <c r="AL1763" i="85"/>
  <c r="AK1763" i="85"/>
  <c r="N1763" i="85"/>
  <c r="H1763" i="85"/>
  <c r="A1763" i="85"/>
  <c r="AL1762" i="85"/>
  <c r="AK1762" i="85"/>
  <c r="N1762" i="85"/>
  <c r="H1762" i="85"/>
  <c r="A1762" i="85"/>
  <c r="AL1761" i="85"/>
  <c r="AK1761" i="85"/>
  <c r="N1761" i="85"/>
  <c r="H1761" i="85"/>
  <c r="A1761" i="85"/>
  <c r="AL1760" i="85"/>
  <c r="AK1760" i="85"/>
  <c r="N1760" i="85"/>
  <c r="H1760" i="85"/>
  <c r="A1760" i="85"/>
  <c r="AL1759" i="85"/>
  <c r="AK1759" i="85"/>
  <c r="N1759" i="85"/>
  <c r="H1759" i="85"/>
  <c r="A1759" i="85"/>
  <c r="AL1758" i="85"/>
  <c r="AK1758" i="85"/>
  <c r="N1758" i="85"/>
  <c r="H1758" i="85"/>
  <c r="A1758" i="85"/>
  <c r="AL1757" i="85"/>
  <c r="AK1757" i="85"/>
  <c r="N1757" i="85"/>
  <c r="H1757" i="85"/>
  <c r="A1757" i="85"/>
  <c r="AL1756" i="85"/>
  <c r="AK1756" i="85"/>
  <c r="N1756" i="85"/>
  <c r="H1756" i="85"/>
  <c r="A1756" i="85"/>
  <c r="AL1755" i="85"/>
  <c r="AK1755" i="85"/>
  <c r="N1755" i="85"/>
  <c r="H1755" i="85"/>
  <c r="A1755" i="85"/>
  <c r="AL1754" i="85"/>
  <c r="AK1754" i="85"/>
  <c r="N1754" i="85"/>
  <c r="H1754" i="85"/>
  <c r="A1754" i="85"/>
  <c r="AL1753" i="85"/>
  <c r="AK1753" i="85"/>
  <c r="N1753" i="85"/>
  <c r="H1753" i="85"/>
  <c r="A1753" i="85"/>
  <c r="AL1752" i="85"/>
  <c r="AK1752" i="85"/>
  <c r="N1752" i="85"/>
  <c r="H1752" i="85"/>
  <c r="A1752" i="85"/>
  <c r="AL1751" i="85"/>
  <c r="AK1751" i="85"/>
  <c r="N1751" i="85"/>
  <c r="H1751" i="85"/>
  <c r="A1751" i="85"/>
  <c r="AL1750" i="85"/>
  <c r="AK1750" i="85"/>
  <c r="N1750" i="85"/>
  <c r="H1750" i="85"/>
  <c r="A1750" i="85"/>
  <c r="AL1749" i="85"/>
  <c r="AK1749" i="85"/>
  <c r="N1749" i="85"/>
  <c r="H1749" i="85"/>
  <c r="A1749" i="85"/>
  <c r="AL1748" i="85"/>
  <c r="AK1748" i="85"/>
  <c r="N1748" i="85"/>
  <c r="H1748" i="85"/>
  <c r="A1748" i="85"/>
  <c r="AL1747" i="85"/>
  <c r="AK1747" i="85"/>
  <c r="N1747" i="85"/>
  <c r="H1747" i="85"/>
  <c r="A1747" i="85"/>
  <c r="AL1746" i="85"/>
  <c r="AK1746" i="85"/>
  <c r="N1746" i="85"/>
  <c r="H1746" i="85"/>
  <c r="A1746" i="85"/>
  <c r="AL1745" i="85"/>
  <c r="AK1745" i="85"/>
  <c r="N1745" i="85"/>
  <c r="H1745" i="85"/>
  <c r="A1745" i="85"/>
  <c r="AL1744" i="85"/>
  <c r="AK1744" i="85"/>
  <c r="N1744" i="85"/>
  <c r="H1744" i="85"/>
  <c r="A1744" i="85"/>
  <c r="AL1743" i="85"/>
  <c r="AK1743" i="85"/>
  <c r="N1743" i="85"/>
  <c r="H1743" i="85"/>
  <c r="A1743" i="85"/>
  <c r="AL1742" i="85"/>
  <c r="AK1742" i="85"/>
  <c r="N1742" i="85"/>
  <c r="H1742" i="85"/>
  <c r="A1742" i="85"/>
  <c r="AL1741" i="85"/>
  <c r="AK1741" i="85"/>
  <c r="N1741" i="85"/>
  <c r="H1741" i="85"/>
  <c r="A1741" i="85"/>
  <c r="AL1740" i="85"/>
  <c r="AK1740" i="85"/>
  <c r="N1740" i="85"/>
  <c r="H1740" i="85"/>
  <c r="A1740" i="85"/>
  <c r="AL1739" i="85"/>
  <c r="AK1739" i="85"/>
  <c r="N1739" i="85"/>
  <c r="H1739" i="85"/>
  <c r="A1739" i="85"/>
  <c r="AL1738" i="85"/>
  <c r="AK1738" i="85"/>
  <c r="N1738" i="85"/>
  <c r="H1738" i="85"/>
  <c r="A1738" i="85"/>
  <c r="AL1737" i="85"/>
  <c r="AK1737" i="85"/>
  <c r="N1737" i="85"/>
  <c r="H1737" i="85"/>
  <c r="A1737" i="85"/>
  <c r="AL1736" i="85"/>
  <c r="AK1736" i="85"/>
  <c r="N1736" i="85"/>
  <c r="H1736" i="85"/>
  <c r="A1736" i="85"/>
  <c r="AL1735" i="85"/>
  <c r="AK1735" i="85"/>
  <c r="N1735" i="85"/>
  <c r="H1735" i="85"/>
  <c r="A1735" i="85"/>
  <c r="AL1734" i="85"/>
  <c r="AK1734" i="85"/>
  <c r="N1734" i="85"/>
  <c r="H1734" i="85"/>
  <c r="A1734" i="85"/>
  <c r="AL1733" i="85"/>
  <c r="AK1733" i="85"/>
  <c r="N1733" i="85"/>
  <c r="H1733" i="85"/>
  <c r="A1733" i="85"/>
  <c r="AL1732" i="85"/>
  <c r="AK1732" i="85"/>
  <c r="N1732" i="85"/>
  <c r="H1732" i="85"/>
  <c r="A1732" i="85"/>
  <c r="AL1731" i="85"/>
  <c r="AK1731" i="85"/>
  <c r="N1731" i="85"/>
  <c r="H1731" i="85"/>
  <c r="A1731" i="85"/>
  <c r="AL1730" i="85"/>
  <c r="AK1730" i="85"/>
  <c r="N1730" i="85"/>
  <c r="H1730" i="85"/>
  <c r="A1730" i="85"/>
  <c r="AL1729" i="85"/>
  <c r="AK1729" i="85"/>
  <c r="N1729" i="85"/>
  <c r="H1729" i="85"/>
  <c r="A1729" i="85"/>
  <c r="AL1728" i="85"/>
  <c r="AK1728" i="85"/>
  <c r="AD1728" i="85"/>
  <c r="N1728" i="85"/>
  <c r="H1728" i="85"/>
  <c r="A1728" i="85"/>
  <c r="AL1727" i="85"/>
  <c r="AK1727" i="85"/>
  <c r="N1727" i="85"/>
  <c r="H1727" i="85"/>
  <c r="A1727" i="85"/>
  <c r="AL1726" i="85"/>
  <c r="AK1726" i="85"/>
  <c r="N1726" i="85"/>
  <c r="H1726" i="85"/>
  <c r="A1726" i="85"/>
  <c r="AL1725" i="85"/>
  <c r="AK1725" i="85"/>
  <c r="N1725" i="85"/>
  <c r="H1725" i="85"/>
  <c r="A1725" i="85"/>
  <c r="AL1724" i="85"/>
  <c r="AK1724" i="85"/>
  <c r="N1724" i="85"/>
  <c r="H1724" i="85"/>
  <c r="A1724" i="85"/>
  <c r="AL1723" i="85"/>
  <c r="AK1723" i="85"/>
  <c r="N1723" i="85"/>
  <c r="H1723" i="85"/>
  <c r="A1723" i="85"/>
  <c r="AL1722" i="85"/>
  <c r="AK1722" i="85"/>
  <c r="N1722" i="85"/>
  <c r="H1722" i="85"/>
  <c r="A1722" i="85"/>
  <c r="AL1721" i="85"/>
  <c r="AK1721" i="85"/>
  <c r="N1721" i="85"/>
  <c r="H1721" i="85"/>
  <c r="A1721" i="85"/>
  <c r="AL1720" i="85"/>
  <c r="AK1720" i="85"/>
  <c r="N1720" i="85"/>
  <c r="H1720" i="85"/>
  <c r="A1720" i="85"/>
  <c r="AL1719" i="85"/>
  <c r="AK1719" i="85"/>
  <c r="N1719" i="85"/>
  <c r="H1719" i="85"/>
  <c r="A1719" i="85"/>
  <c r="AL1718" i="85"/>
  <c r="AK1718" i="85"/>
  <c r="N1718" i="85"/>
  <c r="H1718" i="85"/>
  <c r="A1718" i="85"/>
  <c r="AL1717" i="85"/>
  <c r="AK1717" i="85"/>
  <c r="N1717" i="85"/>
  <c r="H1717" i="85"/>
  <c r="A1717" i="85"/>
  <c r="AL1716" i="85"/>
  <c r="AK1716" i="85"/>
  <c r="N1716" i="85"/>
  <c r="H1716" i="85"/>
  <c r="A1716" i="85"/>
  <c r="AL1715" i="85"/>
  <c r="AK1715" i="85"/>
  <c r="N1715" i="85"/>
  <c r="H1715" i="85"/>
  <c r="A1715" i="85"/>
  <c r="AL1714" i="85"/>
  <c r="AK1714" i="85"/>
  <c r="N1714" i="85"/>
  <c r="H1714" i="85"/>
  <c r="A1714" i="85"/>
  <c r="AL1713" i="85"/>
  <c r="AK1713" i="85"/>
  <c r="AD1713" i="85"/>
  <c r="N1713" i="85"/>
  <c r="H1713" i="85"/>
  <c r="A1713" i="85"/>
  <c r="AL1712" i="85"/>
  <c r="AK1712" i="85"/>
  <c r="N1712" i="85"/>
  <c r="H1712" i="85"/>
  <c r="A1712" i="85"/>
  <c r="AL1711" i="85"/>
  <c r="AK1711" i="85"/>
  <c r="N1711" i="85"/>
  <c r="H1711" i="85"/>
  <c r="A1711" i="85"/>
  <c r="AL1710" i="85"/>
  <c r="AK1710" i="85"/>
  <c r="N1710" i="85"/>
  <c r="H1710" i="85"/>
  <c r="A1710" i="85"/>
  <c r="AL1709" i="85"/>
  <c r="AK1709" i="85"/>
  <c r="N1709" i="85"/>
  <c r="H1709" i="85"/>
  <c r="A1709" i="85"/>
  <c r="AL1708" i="85"/>
  <c r="AK1708" i="85"/>
  <c r="N1708" i="85"/>
  <c r="H1708" i="85"/>
  <c r="A1708" i="85"/>
  <c r="AL1707" i="85"/>
  <c r="AK1707" i="85"/>
  <c r="N1707" i="85"/>
  <c r="H1707" i="85"/>
  <c r="A1707" i="85"/>
  <c r="AL1706" i="85"/>
  <c r="AK1706" i="85"/>
  <c r="N1706" i="85"/>
  <c r="H1706" i="85"/>
  <c r="A1706" i="85"/>
  <c r="AL1705" i="85"/>
  <c r="AK1705" i="85"/>
  <c r="N1705" i="85"/>
  <c r="H1705" i="85"/>
  <c r="A1705" i="85"/>
  <c r="AL1704" i="85"/>
  <c r="AK1704" i="85"/>
  <c r="N1704" i="85"/>
  <c r="H1704" i="85"/>
  <c r="A1704" i="85"/>
  <c r="AL1703" i="85"/>
  <c r="AK1703" i="85"/>
  <c r="N1703" i="85"/>
  <c r="H1703" i="85"/>
  <c r="A1703" i="85"/>
  <c r="AL1702" i="85"/>
  <c r="AK1702" i="85"/>
  <c r="N1702" i="85"/>
  <c r="H1702" i="85"/>
  <c r="A1702" i="85"/>
  <c r="AL1701" i="85"/>
  <c r="AK1701" i="85"/>
  <c r="N1701" i="85"/>
  <c r="H1701" i="85"/>
  <c r="A1701" i="85"/>
  <c r="AL1700" i="85"/>
  <c r="AK1700" i="85"/>
  <c r="N1700" i="85"/>
  <c r="H1700" i="85"/>
  <c r="A1700" i="85"/>
  <c r="AL1699" i="85"/>
  <c r="AK1699" i="85"/>
  <c r="N1699" i="85"/>
  <c r="H1699" i="85"/>
  <c r="A1699" i="85"/>
  <c r="AL1698" i="85"/>
  <c r="AK1698" i="85"/>
  <c r="AD1698" i="85"/>
  <c r="N1698" i="85"/>
  <c r="H1698" i="85"/>
  <c r="A1698" i="85"/>
  <c r="AL1697" i="85"/>
  <c r="AK1697" i="85"/>
  <c r="N1697" i="85"/>
  <c r="H1697" i="85"/>
  <c r="A1697" i="85"/>
  <c r="AL1696" i="85"/>
  <c r="AK1696" i="85"/>
  <c r="N1696" i="85"/>
  <c r="H1696" i="85"/>
  <c r="A1696" i="85"/>
  <c r="AL1695" i="85"/>
  <c r="AK1695" i="85"/>
  <c r="N1695" i="85"/>
  <c r="H1695" i="85"/>
  <c r="A1695" i="85"/>
  <c r="AL1694" i="85"/>
  <c r="AK1694" i="85"/>
  <c r="N1694" i="85"/>
  <c r="H1694" i="85"/>
  <c r="A1694" i="85"/>
  <c r="AL1693" i="85"/>
  <c r="AK1693" i="85"/>
  <c r="N1693" i="85"/>
  <c r="H1693" i="85"/>
  <c r="A1693" i="85"/>
  <c r="AL1692" i="85"/>
  <c r="AK1692" i="85"/>
  <c r="N1692" i="85"/>
  <c r="H1692" i="85"/>
  <c r="A1692" i="85"/>
  <c r="AL1691" i="85"/>
  <c r="AK1691" i="85"/>
  <c r="N1691" i="85"/>
  <c r="H1691" i="85"/>
  <c r="A1691" i="85"/>
  <c r="AL1690" i="85"/>
  <c r="AK1690" i="85"/>
  <c r="N1690" i="85"/>
  <c r="H1690" i="85"/>
  <c r="A1690" i="85"/>
  <c r="AL1689" i="85"/>
  <c r="AK1689" i="85"/>
  <c r="N1689" i="85"/>
  <c r="H1689" i="85"/>
  <c r="A1689" i="85"/>
  <c r="AL1688" i="85"/>
  <c r="AK1688" i="85"/>
  <c r="N1688" i="85"/>
  <c r="H1688" i="85"/>
  <c r="A1688" i="85"/>
  <c r="AL1687" i="85"/>
  <c r="AK1687" i="85"/>
  <c r="N1687" i="85"/>
  <c r="H1687" i="85"/>
  <c r="A1687" i="85"/>
  <c r="AM1686" i="85"/>
  <c r="AL1686" i="85"/>
  <c r="AK1686" i="85"/>
  <c r="N1686" i="85"/>
  <c r="H1686" i="85"/>
  <c r="A1686" i="85"/>
  <c r="AM1685" i="85"/>
  <c r="AL1685" i="85"/>
  <c r="AK1685" i="85"/>
  <c r="N1685" i="85"/>
  <c r="H1685" i="85"/>
  <c r="A1685" i="85"/>
  <c r="AL1684" i="85"/>
  <c r="AK1684" i="85"/>
  <c r="N1684" i="85"/>
  <c r="H1684" i="85"/>
  <c r="A1684" i="85"/>
  <c r="AL1683" i="85"/>
  <c r="AK1683" i="85"/>
  <c r="N1683" i="85"/>
  <c r="H1683" i="85"/>
  <c r="A1683" i="85"/>
  <c r="AL1682" i="85"/>
  <c r="AK1682" i="85"/>
  <c r="N1682" i="85"/>
  <c r="H1682" i="85"/>
  <c r="A1682" i="85"/>
  <c r="AL1681" i="85"/>
  <c r="AK1681" i="85"/>
  <c r="N1681" i="85"/>
  <c r="H1681" i="85"/>
  <c r="A1681" i="85"/>
  <c r="AL1680" i="85"/>
  <c r="AK1680" i="85"/>
  <c r="N1680" i="85"/>
  <c r="H1680" i="85"/>
  <c r="A1680" i="85"/>
  <c r="AL1679" i="85"/>
  <c r="AK1679" i="85"/>
  <c r="N1679" i="85"/>
  <c r="H1679" i="85"/>
  <c r="A1679" i="85"/>
  <c r="AL1678" i="85"/>
  <c r="AK1678" i="85"/>
  <c r="N1678" i="85"/>
  <c r="H1678" i="85"/>
  <c r="A1678" i="85"/>
  <c r="AL1677" i="85"/>
  <c r="AK1677" i="85"/>
  <c r="N1677" i="85"/>
  <c r="H1677" i="85"/>
  <c r="A1677" i="85"/>
  <c r="AL1676" i="85"/>
  <c r="AK1676" i="85"/>
  <c r="N1676" i="85"/>
  <c r="H1676" i="85"/>
  <c r="A1676" i="85"/>
  <c r="AL1675" i="85"/>
  <c r="AK1675" i="85"/>
  <c r="AD1675" i="85"/>
  <c r="N1675" i="85"/>
  <c r="H1675" i="85"/>
  <c r="A1675" i="85"/>
  <c r="AL1674" i="85"/>
  <c r="AK1674" i="85"/>
  <c r="N1674" i="85"/>
  <c r="H1674" i="85"/>
  <c r="A1674" i="85"/>
  <c r="AL1673" i="85"/>
  <c r="AK1673" i="85"/>
  <c r="N1673" i="85"/>
  <c r="H1673" i="85"/>
  <c r="A1673" i="85"/>
  <c r="AL1672" i="85"/>
  <c r="AK1672" i="85"/>
  <c r="N1672" i="85"/>
  <c r="H1672" i="85"/>
  <c r="A1672" i="85"/>
  <c r="AL1671" i="85"/>
  <c r="AK1671" i="85"/>
  <c r="N1671" i="85"/>
  <c r="H1671" i="85"/>
  <c r="A1671" i="85"/>
  <c r="AL1670" i="85"/>
  <c r="AK1670" i="85"/>
  <c r="N1670" i="85"/>
  <c r="H1670" i="85"/>
  <c r="A1670" i="85"/>
  <c r="AL1669" i="85"/>
  <c r="AK1669" i="85"/>
  <c r="N1669" i="85"/>
  <c r="H1669" i="85"/>
  <c r="A1669" i="85"/>
  <c r="AL1668" i="85"/>
  <c r="AK1668" i="85"/>
  <c r="N1668" i="85"/>
  <c r="H1668" i="85"/>
  <c r="A1668" i="85"/>
  <c r="AL1667" i="85"/>
  <c r="AK1667" i="85"/>
  <c r="N1667" i="85"/>
  <c r="H1667" i="85"/>
  <c r="A1667" i="85"/>
  <c r="AL1666" i="85"/>
  <c r="AK1666" i="85"/>
  <c r="N1666" i="85"/>
  <c r="H1666" i="85"/>
  <c r="A1666" i="85"/>
  <c r="AL1665" i="85"/>
  <c r="AK1665" i="85"/>
  <c r="N1665" i="85"/>
  <c r="H1665" i="85"/>
  <c r="A1665" i="85"/>
  <c r="AL1664" i="85"/>
  <c r="AK1664" i="85"/>
  <c r="N1664" i="85"/>
  <c r="H1664" i="85"/>
  <c r="A1664" i="85"/>
  <c r="AL1663" i="85"/>
  <c r="AK1663" i="85"/>
  <c r="N1663" i="85"/>
  <c r="H1663" i="85"/>
  <c r="A1663" i="85"/>
  <c r="AL1662" i="85"/>
  <c r="AK1662" i="85"/>
  <c r="N1662" i="85"/>
  <c r="H1662" i="85"/>
  <c r="A1662" i="85"/>
  <c r="AL1661" i="85"/>
  <c r="AK1661" i="85"/>
  <c r="N1661" i="85"/>
  <c r="H1661" i="85"/>
  <c r="A1661" i="85"/>
  <c r="AL1660" i="85"/>
  <c r="AK1660" i="85"/>
  <c r="N1660" i="85"/>
  <c r="H1660" i="85"/>
  <c r="A1660" i="85"/>
  <c r="AL1659" i="85"/>
  <c r="AK1659" i="85"/>
  <c r="N1659" i="85"/>
  <c r="H1659" i="85"/>
  <c r="A1659" i="85"/>
  <c r="AL1658" i="85"/>
  <c r="AK1658" i="85"/>
  <c r="N1658" i="85"/>
  <c r="H1658" i="85"/>
  <c r="A1658" i="85"/>
  <c r="AM1657" i="85"/>
  <c r="AL1657" i="85"/>
  <c r="AK1657" i="85"/>
  <c r="N1657" i="85"/>
  <c r="H1657" i="85"/>
  <c r="A1657" i="85"/>
  <c r="AL1656" i="85"/>
  <c r="AK1656" i="85"/>
  <c r="N1656" i="85"/>
  <c r="H1656" i="85"/>
  <c r="A1656" i="85"/>
  <c r="AL1655" i="85"/>
  <c r="AK1655" i="85"/>
  <c r="N1655" i="85"/>
  <c r="H1655" i="85"/>
  <c r="A1655" i="85"/>
  <c r="AL1654" i="85"/>
  <c r="AK1654" i="85"/>
  <c r="N1654" i="85"/>
  <c r="H1654" i="85"/>
  <c r="A1654" i="85"/>
  <c r="AL1653" i="85"/>
  <c r="AK1653" i="85"/>
  <c r="AD1653" i="85"/>
  <c r="N1653" i="85"/>
  <c r="H1653" i="85"/>
  <c r="A1653" i="85"/>
  <c r="AL1652" i="85"/>
  <c r="AK1652" i="85"/>
  <c r="N1652" i="85"/>
  <c r="H1652" i="85"/>
  <c r="A1652" i="85"/>
  <c r="AL1651" i="85"/>
  <c r="AK1651" i="85"/>
  <c r="N1651" i="85"/>
  <c r="H1651" i="85"/>
  <c r="A1651" i="85"/>
  <c r="AL1650" i="85"/>
  <c r="AK1650" i="85"/>
  <c r="N1650" i="85"/>
  <c r="H1650" i="85"/>
  <c r="A1650" i="85"/>
  <c r="AL1649" i="85"/>
  <c r="AK1649" i="85"/>
  <c r="AD1649" i="85"/>
  <c r="N1649" i="85"/>
  <c r="H1649" i="85"/>
  <c r="A1649" i="85"/>
  <c r="AL1648" i="85"/>
  <c r="AK1648" i="85"/>
  <c r="N1648" i="85"/>
  <c r="H1648" i="85"/>
  <c r="A1648" i="85"/>
  <c r="AL1647" i="85"/>
  <c r="AK1647" i="85"/>
  <c r="N1647" i="85"/>
  <c r="H1647" i="85"/>
  <c r="A1647" i="85"/>
  <c r="AL1646" i="85"/>
  <c r="AK1646" i="85"/>
  <c r="N1646" i="85"/>
  <c r="H1646" i="85"/>
  <c r="A1646" i="85"/>
  <c r="AL1645" i="85"/>
  <c r="AK1645" i="85"/>
  <c r="N1645" i="85"/>
  <c r="H1645" i="85"/>
  <c r="A1645" i="85"/>
  <c r="AL1644" i="85"/>
  <c r="AK1644" i="85"/>
  <c r="N1644" i="85"/>
  <c r="H1644" i="85"/>
  <c r="A1644" i="85"/>
  <c r="AL1643" i="85"/>
  <c r="AK1643" i="85"/>
  <c r="N1643" i="85"/>
  <c r="H1643" i="85"/>
  <c r="A1643" i="85"/>
  <c r="AL1642" i="85"/>
  <c r="AK1642" i="85"/>
  <c r="N1642" i="85"/>
  <c r="H1642" i="85"/>
  <c r="A1642" i="85"/>
  <c r="AL1641" i="85"/>
  <c r="AK1641" i="85"/>
  <c r="N1641" i="85"/>
  <c r="H1641" i="85"/>
  <c r="A1641" i="85"/>
  <c r="AL1640" i="85"/>
  <c r="AK1640" i="85"/>
  <c r="N1640" i="85"/>
  <c r="H1640" i="85"/>
  <c r="A1640" i="85"/>
  <c r="AL1639" i="85"/>
  <c r="AK1639" i="85"/>
  <c r="N1639" i="85"/>
  <c r="H1639" i="85"/>
  <c r="A1639" i="85"/>
  <c r="AL1638" i="85"/>
  <c r="AK1638" i="85"/>
  <c r="N1638" i="85"/>
  <c r="H1638" i="85"/>
  <c r="A1638" i="85"/>
  <c r="AL1637" i="85"/>
  <c r="AK1637" i="85"/>
  <c r="N1637" i="85"/>
  <c r="H1637" i="85"/>
  <c r="A1637" i="85"/>
  <c r="AL1636" i="85"/>
  <c r="AK1636" i="85"/>
  <c r="N1636" i="85"/>
  <c r="H1636" i="85"/>
  <c r="A1636" i="85"/>
  <c r="AL1635" i="85"/>
  <c r="AK1635" i="85"/>
  <c r="N1635" i="85"/>
  <c r="H1635" i="85"/>
  <c r="A1635" i="85"/>
  <c r="AL1634" i="85"/>
  <c r="AK1634" i="85"/>
  <c r="AD1634" i="85"/>
  <c r="N1634" i="85"/>
  <c r="H1634" i="85"/>
  <c r="A1634" i="85"/>
  <c r="AL1633" i="85"/>
  <c r="AK1633" i="85"/>
  <c r="AD1633" i="85"/>
  <c r="N1633" i="85"/>
  <c r="H1633" i="85"/>
  <c r="A1633" i="85"/>
  <c r="AL1632" i="85"/>
  <c r="AK1632" i="85"/>
  <c r="N1632" i="85"/>
  <c r="H1632" i="85"/>
  <c r="A1632" i="85"/>
  <c r="AL1631" i="85"/>
  <c r="AK1631" i="85"/>
  <c r="N1631" i="85"/>
  <c r="H1631" i="85"/>
  <c r="A1631" i="85"/>
  <c r="AL1630" i="85"/>
  <c r="AK1630" i="85"/>
  <c r="N1630" i="85"/>
  <c r="H1630" i="85"/>
  <c r="A1630" i="85"/>
  <c r="AL1629" i="85"/>
  <c r="AK1629" i="85"/>
  <c r="N1629" i="85"/>
  <c r="H1629" i="85"/>
  <c r="A1629" i="85"/>
  <c r="AL1628" i="85"/>
  <c r="AK1628" i="85"/>
  <c r="N1628" i="85"/>
  <c r="H1628" i="85"/>
  <c r="A1628" i="85"/>
  <c r="AL1627" i="85"/>
  <c r="AK1627" i="85"/>
  <c r="N1627" i="85"/>
  <c r="H1627" i="85"/>
  <c r="A1627" i="85"/>
  <c r="AL1626" i="85"/>
  <c r="AK1626" i="85"/>
  <c r="AD1626" i="85"/>
  <c r="N1626" i="85"/>
  <c r="H1626" i="85"/>
  <c r="A1626" i="85"/>
  <c r="AL1625" i="85"/>
  <c r="AK1625" i="85"/>
  <c r="N1625" i="85"/>
  <c r="H1625" i="85"/>
  <c r="A1625" i="85"/>
  <c r="AL1624" i="85"/>
  <c r="AK1624" i="85"/>
  <c r="N1624" i="85"/>
  <c r="H1624" i="85"/>
  <c r="A1624" i="85"/>
  <c r="AL1623" i="85"/>
  <c r="AK1623" i="85"/>
  <c r="N1623" i="85"/>
  <c r="H1623" i="85"/>
  <c r="A1623" i="85"/>
  <c r="AL1622" i="85"/>
  <c r="AK1622" i="85"/>
  <c r="N1622" i="85"/>
  <c r="H1622" i="85"/>
  <c r="A1622" i="85"/>
  <c r="AL1621" i="85"/>
  <c r="AK1621" i="85"/>
  <c r="N1621" i="85"/>
  <c r="H1621" i="85"/>
  <c r="A1621" i="85"/>
  <c r="AL1620" i="85"/>
  <c r="AK1620" i="85"/>
  <c r="N1620" i="85"/>
  <c r="H1620" i="85"/>
  <c r="A1620" i="85"/>
  <c r="AL1619" i="85"/>
  <c r="AK1619" i="85"/>
  <c r="N1619" i="85"/>
  <c r="H1619" i="85"/>
  <c r="A1619" i="85"/>
  <c r="AL1618" i="85"/>
  <c r="AK1618" i="85"/>
  <c r="AD1618" i="85"/>
  <c r="N1618" i="85"/>
  <c r="H1618" i="85"/>
  <c r="A1618" i="85"/>
  <c r="AL1617" i="85"/>
  <c r="AK1617" i="85"/>
  <c r="N1617" i="85"/>
  <c r="H1617" i="85"/>
  <c r="A1617" i="85"/>
  <c r="AL1616" i="85"/>
  <c r="AK1616" i="85"/>
  <c r="N1616" i="85"/>
  <c r="H1616" i="85"/>
  <c r="A1616" i="85"/>
  <c r="AL1615" i="85"/>
  <c r="AK1615" i="85"/>
  <c r="N1615" i="85"/>
  <c r="H1615" i="85"/>
  <c r="A1615" i="85"/>
  <c r="AL1614" i="85"/>
  <c r="AK1614" i="85"/>
  <c r="N1614" i="85"/>
  <c r="H1614" i="85"/>
  <c r="A1614" i="85"/>
  <c r="AL1613" i="85"/>
  <c r="AK1613" i="85"/>
  <c r="N1613" i="85"/>
  <c r="H1613" i="85"/>
  <c r="A1613" i="85"/>
  <c r="AL1612" i="85"/>
  <c r="AK1612" i="85"/>
  <c r="N1612" i="85"/>
  <c r="H1612" i="85"/>
  <c r="A1612" i="85"/>
  <c r="AL1611" i="85"/>
  <c r="AK1611" i="85"/>
  <c r="N1611" i="85"/>
  <c r="H1611" i="85"/>
  <c r="A1611" i="85"/>
  <c r="AL1610" i="85"/>
  <c r="AK1610" i="85"/>
  <c r="N1610" i="85"/>
  <c r="H1610" i="85"/>
  <c r="A1610" i="85"/>
  <c r="AL1609" i="85"/>
  <c r="AK1609" i="85"/>
  <c r="N1609" i="85"/>
  <c r="H1609" i="85"/>
  <c r="A1609" i="85"/>
  <c r="AL1608" i="85"/>
  <c r="AK1608" i="85"/>
  <c r="N1608" i="85"/>
  <c r="H1608" i="85"/>
  <c r="A1608" i="85"/>
  <c r="AL1607" i="85"/>
  <c r="AK1607" i="85"/>
  <c r="N1607" i="85"/>
  <c r="H1607" i="85"/>
  <c r="A1607" i="85"/>
  <c r="AM1606" i="85"/>
  <c r="AL1606" i="85"/>
  <c r="AK1606" i="85"/>
  <c r="N1606" i="85"/>
  <c r="H1606" i="85"/>
  <c r="A1606" i="85"/>
  <c r="AM1605" i="85"/>
  <c r="AL1605" i="85"/>
  <c r="AK1605" i="85"/>
  <c r="AD1605" i="85"/>
  <c r="N1605" i="85"/>
  <c r="H1605" i="85"/>
  <c r="A1605" i="85"/>
  <c r="AL1604" i="85"/>
  <c r="AK1604" i="85"/>
  <c r="N1604" i="85"/>
  <c r="H1604" i="85"/>
  <c r="A1604" i="85"/>
  <c r="AL1603" i="85"/>
  <c r="AK1603" i="85"/>
  <c r="N1603" i="85"/>
  <c r="H1603" i="85"/>
  <c r="A1603" i="85"/>
  <c r="AL1602" i="85"/>
  <c r="AK1602" i="85"/>
  <c r="N1602" i="85"/>
  <c r="H1602" i="85"/>
  <c r="A1602" i="85"/>
  <c r="AL1601" i="85"/>
  <c r="AK1601" i="85"/>
  <c r="N1601" i="85"/>
  <c r="H1601" i="85"/>
  <c r="A1601" i="85"/>
  <c r="AL1600" i="85"/>
  <c r="AK1600" i="85"/>
  <c r="N1600" i="85"/>
  <c r="H1600" i="85"/>
  <c r="A1600" i="85"/>
  <c r="AL1599" i="85"/>
  <c r="AK1599" i="85"/>
  <c r="N1599" i="85"/>
  <c r="H1599" i="85"/>
  <c r="A1599" i="85"/>
  <c r="AL1598" i="85"/>
  <c r="AK1598" i="85"/>
  <c r="N1598" i="85"/>
  <c r="H1598" i="85"/>
  <c r="A1598" i="85"/>
  <c r="AL1597" i="85"/>
  <c r="AK1597" i="85"/>
  <c r="N1597" i="85"/>
  <c r="H1597" i="85"/>
  <c r="A1597" i="85"/>
  <c r="AL1596" i="85"/>
  <c r="AK1596" i="85"/>
  <c r="N1596" i="85"/>
  <c r="H1596" i="85"/>
  <c r="A1596" i="85"/>
  <c r="AM1595" i="85"/>
  <c r="AL1595" i="85"/>
  <c r="AK1595" i="85"/>
  <c r="N1595" i="85"/>
  <c r="H1595" i="85"/>
  <c r="A1595" i="85"/>
  <c r="AL1594" i="85"/>
  <c r="AK1594" i="85"/>
  <c r="N1594" i="85"/>
  <c r="H1594" i="85"/>
  <c r="A1594" i="85"/>
  <c r="AL1593" i="85"/>
  <c r="AK1593" i="85"/>
  <c r="N1593" i="85"/>
  <c r="H1593" i="85"/>
  <c r="A1593" i="85"/>
  <c r="AL1592" i="85"/>
  <c r="AK1592" i="85"/>
  <c r="N1592" i="85"/>
  <c r="H1592" i="85"/>
  <c r="A1592" i="85"/>
  <c r="AL1591" i="85"/>
  <c r="AK1591" i="85"/>
  <c r="N1591" i="85"/>
  <c r="H1591" i="85"/>
  <c r="A1591" i="85"/>
  <c r="AL1590" i="85"/>
  <c r="AK1590" i="85"/>
  <c r="N1590" i="85"/>
  <c r="H1590" i="85"/>
  <c r="A1590" i="85"/>
  <c r="AL1589" i="85"/>
  <c r="AK1589" i="85"/>
  <c r="N1589" i="85"/>
  <c r="H1589" i="85"/>
  <c r="A1589" i="85"/>
  <c r="AL1588" i="85"/>
  <c r="AK1588" i="85"/>
  <c r="N1588" i="85"/>
  <c r="H1588" i="85"/>
  <c r="A1588" i="85"/>
  <c r="AL1587" i="85"/>
  <c r="AK1587" i="85"/>
  <c r="N1587" i="85"/>
  <c r="H1587" i="85"/>
  <c r="A1587" i="85"/>
  <c r="AL1586" i="85"/>
  <c r="AK1586" i="85"/>
  <c r="N1586" i="85"/>
  <c r="H1586" i="85"/>
  <c r="A1586" i="85"/>
  <c r="AL1585" i="85"/>
  <c r="AK1585" i="85"/>
  <c r="N1585" i="85"/>
  <c r="H1585" i="85"/>
  <c r="A1585" i="85"/>
  <c r="AL1584" i="85"/>
  <c r="AK1584" i="85"/>
  <c r="N1584" i="85"/>
  <c r="H1584" i="85"/>
  <c r="A1584" i="85"/>
  <c r="AL1583" i="85"/>
  <c r="AK1583" i="85"/>
  <c r="AD1583" i="85"/>
  <c r="N1583" i="85"/>
  <c r="H1583" i="85"/>
  <c r="A1583" i="85"/>
  <c r="AL1582" i="85"/>
  <c r="AK1582" i="85"/>
  <c r="N1582" i="85"/>
  <c r="H1582" i="85"/>
  <c r="A1582" i="85"/>
  <c r="AL1581" i="85"/>
  <c r="AK1581" i="85"/>
  <c r="N1581" i="85"/>
  <c r="H1581" i="85"/>
  <c r="A1581" i="85"/>
  <c r="AL1580" i="85"/>
  <c r="AK1580" i="85"/>
  <c r="N1580" i="85"/>
  <c r="H1580" i="85"/>
  <c r="A1580" i="85"/>
  <c r="AL1579" i="85"/>
  <c r="AK1579" i="85"/>
  <c r="N1579" i="85"/>
  <c r="H1579" i="85"/>
  <c r="A1579" i="85"/>
  <c r="AL1578" i="85"/>
  <c r="AK1578" i="85"/>
  <c r="N1578" i="85"/>
  <c r="H1578" i="85"/>
  <c r="A1578" i="85"/>
  <c r="AL1577" i="85"/>
  <c r="AK1577" i="85"/>
  <c r="N1577" i="85"/>
  <c r="H1577" i="85"/>
  <c r="A1577" i="85"/>
  <c r="AL1576" i="85"/>
  <c r="AK1576" i="85"/>
  <c r="N1576" i="85"/>
  <c r="H1576" i="85"/>
  <c r="A1576" i="85"/>
  <c r="AL1575" i="85"/>
  <c r="AK1575" i="85"/>
  <c r="N1575" i="85"/>
  <c r="H1575" i="85"/>
  <c r="A1575" i="85"/>
  <c r="AL1574" i="85"/>
  <c r="AK1574" i="85"/>
  <c r="N1574" i="85"/>
  <c r="H1574" i="85"/>
  <c r="A1574" i="85"/>
  <c r="AL1573" i="85"/>
  <c r="AK1573" i="85"/>
  <c r="N1573" i="85"/>
  <c r="H1573" i="85"/>
  <c r="A1573" i="85"/>
  <c r="AL1572" i="85"/>
  <c r="AK1572" i="85"/>
  <c r="N1572" i="85"/>
  <c r="H1572" i="85"/>
  <c r="A1572" i="85"/>
  <c r="AM1571" i="85"/>
  <c r="AL1571" i="85"/>
  <c r="AK1571" i="85"/>
  <c r="N1571" i="85"/>
  <c r="H1571" i="85"/>
  <c r="A1571" i="85"/>
  <c r="AL1570" i="85"/>
  <c r="AK1570" i="85"/>
  <c r="N1570" i="85"/>
  <c r="H1570" i="85"/>
  <c r="A1570" i="85"/>
  <c r="AL1569" i="85"/>
  <c r="AK1569" i="85"/>
  <c r="N1569" i="85"/>
  <c r="H1569" i="85"/>
  <c r="A1569" i="85"/>
  <c r="AL1568" i="85"/>
  <c r="AK1568" i="85"/>
  <c r="AD1568" i="85"/>
  <c r="N1568" i="85"/>
  <c r="H1568" i="85"/>
  <c r="A1568" i="85"/>
  <c r="AL1567" i="85"/>
  <c r="AK1567" i="85"/>
  <c r="N1567" i="85"/>
  <c r="H1567" i="85"/>
  <c r="A1567" i="85"/>
  <c r="AL1566" i="85"/>
  <c r="AK1566" i="85"/>
  <c r="N1566" i="85"/>
  <c r="H1566" i="85"/>
  <c r="A1566" i="85"/>
  <c r="AL1565" i="85"/>
  <c r="AK1565" i="85"/>
  <c r="N1565" i="85"/>
  <c r="H1565" i="85"/>
  <c r="A1565" i="85"/>
  <c r="AL1564" i="85"/>
  <c r="AK1564" i="85"/>
  <c r="N1564" i="85"/>
  <c r="H1564" i="85"/>
  <c r="A1564" i="85"/>
  <c r="AL1563" i="85"/>
  <c r="AK1563" i="85"/>
  <c r="N1563" i="85"/>
  <c r="H1563" i="85"/>
  <c r="A1563" i="85"/>
  <c r="AL1562" i="85"/>
  <c r="AK1562" i="85"/>
  <c r="N1562" i="85"/>
  <c r="H1562" i="85"/>
  <c r="A1562" i="85"/>
  <c r="AL1561" i="85"/>
  <c r="AK1561" i="85"/>
  <c r="N1561" i="85"/>
  <c r="H1561" i="85"/>
  <c r="A1561" i="85"/>
  <c r="AL1560" i="85"/>
  <c r="AK1560" i="85"/>
  <c r="N1560" i="85"/>
  <c r="H1560" i="85"/>
  <c r="A1560" i="85"/>
  <c r="AL1559" i="85"/>
  <c r="AK1559" i="85"/>
  <c r="N1559" i="85"/>
  <c r="H1559" i="85"/>
  <c r="A1559" i="85"/>
  <c r="AL1558" i="85"/>
  <c r="AK1558" i="85"/>
  <c r="N1558" i="85"/>
  <c r="H1558" i="85"/>
  <c r="A1558" i="85"/>
  <c r="AM1557" i="85"/>
  <c r="AL1557" i="85"/>
  <c r="AK1557" i="85"/>
  <c r="AD1557" i="85"/>
  <c r="N1557" i="85"/>
  <c r="H1557" i="85"/>
  <c r="A1557" i="85"/>
  <c r="AL1556" i="85"/>
  <c r="AK1556" i="85"/>
  <c r="N1556" i="85"/>
  <c r="H1556" i="85"/>
  <c r="A1556" i="85"/>
  <c r="AL1555" i="85"/>
  <c r="AK1555" i="85"/>
  <c r="N1555" i="85"/>
  <c r="H1555" i="85"/>
  <c r="A1555" i="85"/>
  <c r="AM1554" i="85"/>
  <c r="AL1554" i="85"/>
  <c r="AK1554" i="85"/>
  <c r="N1554" i="85"/>
  <c r="H1554" i="85"/>
  <c r="A1554" i="85"/>
  <c r="AL1553" i="85"/>
  <c r="AK1553" i="85"/>
  <c r="N1553" i="85"/>
  <c r="H1553" i="85"/>
  <c r="A1553" i="85"/>
  <c r="AL1552" i="85"/>
  <c r="AK1552" i="85"/>
  <c r="N1552" i="85"/>
  <c r="H1552" i="85"/>
  <c r="A1552" i="85"/>
  <c r="AL1551" i="85"/>
  <c r="AK1551" i="85"/>
  <c r="N1551" i="85"/>
  <c r="H1551" i="85"/>
  <c r="A1551" i="85"/>
  <c r="AL1550" i="85"/>
  <c r="AK1550" i="85"/>
  <c r="N1550" i="85"/>
  <c r="H1550" i="85"/>
  <c r="A1550" i="85"/>
  <c r="AL1549" i="85"/>
  <c r="AK1549" i="85"/>
  <c r="N1549" i="85"/>
  <c r="H1549" i="85"/>
  <c r="A1549" i="85"/>
  <c r="AL1548" i="85"/>
  <c r="AK1548" i="85"/>
  <c r="N1548" i="85"/>
  <c r="H1548" i="85"/>
  <c r="A1548" i="85"/>
  <c r="AL1547" i="85"/>
  <c r="AK1547" i="85"/>
  <c r="N1547" i="85"/>
  <c r="H1547" i="85"/>
  <c r="A1547" i="85"/>
  <c r="AL1546" i="85"/>
  <c r="AK1546" i="85"/>
  <c r="N1546" i="85"/>
  <c r="H1546" i="85"/>
  <c r="A1546" i="85"/>
  <c r="AL1545" i="85"/>
  <c r="AK1545" i="85"/>
  <c r="N1545" i="85"/>
  <c r="H1545" i="85"/>
  <c r="A1545" i="85"/>
  <c r="AL1544" i="85"/>
  <c r="AK1544" i="85"/>
  <c r="N1544" i="85"/>
  <c r="H1544" i="85"/>
  <c r="A1544" i="85"/>
  <c r="AM1543" i="85"/>
  <c r="AL1543" i="85"/>
  <c r="AK1543" i="85"/>
  <c r="N1543" i="85"/>
  <c r="H1543" i="85"/>
  <c r="A1543" i="85"/>
  <c r="AL1542" i="85"/>
  <c r="AK1542" i="85"/>
  <c r="N1542" i="85"/>
  <c r="H1542" i="85"/>
  <c r="A1542" i="85"/>
  <c r="AL1541" i="85"/>
  <c r="AK1541" i="85"/>
  <c r="N1541" i="85"/>
  <c r="H1541" i="85"/>
  <c r="A1541" i="85"/>
  <c r="AL1540" i="85"/>
  <c r="AK1540" i="85"/>
  <c r="N1540" i="85"/>
  <c r="H1540" i="85"/>
  <c r="A1540" i="85"/>
  <c r="AL1539" i="85"/>
  <c r="AK1539" i="85"/>
  <c r="AD1539" i="85"/>
  <c r="N1539" i="85"/>
  <c r="H1539" i="85"/>
  <c r="A1539" i="85"/>
  <c r="AL1538" i="85"/>
  <c r="AK1538" i="85"/>
  <c r="N1538" i="85"/>
  <c r="H1538" i="85"/>
  <c r="A1538" i="85"/>
  <c r="AL1537" i="85"/>
  <c r="AK1537" i="85"/>
  <c r="N1537" i="85"/>
  <c r="H1537" i="85"/>
  <c r="A1537" i="85"/>
  <c r="AL1536" i="85"/>
  <c r="AK1536" i="85"/>
  <c r="N1536" i="85"/>
  <c r="H1536" i="85"/>
  <c r="A1536" i="85"/>
  <c r="AL1535" i="85"/>
  <c r="AK1535" i="85"/>
  <c r="N1535" i="85"/>
  <c r="H1535" i="85"/>
  <c r="A1535" i="85"/>
  <c r="AL1534" i="85"/>
  <c r="AK1534" i="85"/>
  <c r="N1534" i="85"/>
  <c r="H1534" i="85"/>
  <c r="A1534" i="85"/>
  <c r="AL1533" i="85"/>
  <c r="AK1533" i="85"/>
  <c r="N1533" i="85"/>
  <c r="H1533" i="85"/>
  <c r="A1533" i="85"/>
  <c r="AL1532" i="85"/>
  <c r="AK1532" i="85"/>
  <c r="N1532" i="85"/>
  <c r="H1532" i="85"/>
  <c r="A1532" i="85"/>
  <c r="AM1531" i="85"/>
  <c r="AL1531" i="85"/>
  <c r="AK1531" i="85"/>
  <c r="N1531" i="85"/>
  <c r="H1531" i="85"/>
  <c r="A1531" i="85"/>
  <c r="AL1530" i="85"/>
  <c r="AK1530" i="85"/>
  <c r="N1530" i="85"/>
  <c r="H1530" i="85"/>
  <c r="A1530" i="85"/>
  <c r="AL1529" i="85"/>
  <c r="AK1529" i="85"/>
  <c r="N1529" i="85"/>
  <c r="H1529" i="85"/>
  <c r="A1529" i="85"/>
  <c r="AL1528" i="85"/>
  <c r="AK1528" i="85"/>
  <c r="N1528" i="85"/>
  <c r="H1528" i="85"/>
  <c r="A1528" i="85"/>
  <c r="AL1527" i="85"/>
  <c r="AK1527" i="85"/>
  <c r="N1527" i="85"/>
  <c r="H1527" i="85"/>
  <c r="A1527" i="85"/>
  <c r="AL1526" i="85"/>
  <c r="AK1526" i="85"/>
  <c r="N1526" i="85"/>
  <c r="H1526" i="85"/>
  <c r="A1526" i="85"/>
  <c r="AL1525" i="85"/>
  <c r="AK1525" i="85"/>
  <c r="N1525" i="85"/>
  <c r="H1525" i="85"/>
  <c r="A1525" i="85"/>
  <c r="AL1524" i="85"/>
  <c r="AK1524" i="85"/>
  <c r="N1524" i="85"/>
  <c r="H1524" i="85"/>
  <c r="A1524" i="85"/>
  <c r="AL1523" i="85"/>
  <c r="AK1523" i="85"/>
  <c r="N1523" i="85"/>
  <c r="H1523" i="85"/>
  <c r="A1523" i="85"/>
  <c r="AL1522" i="85"/>
  <c r="AK1522" i="85"/>
  <c r="N1522" i="85"/>
  <c r="H1522" i="85"/>
  <c r="A1522" i="85"/>
  <c r="AL1521" i="85"/>
  <c r="AK1521" i="85"/>
  <c r="N1521" i="85"/>
  <c r="H1521" i="85"/>
  <c r="A1521" i="85"/>
  <c r="AL1520" i="85"/>
  <c r="AK1520" i="85"/>
  <c r="N1520" i="85"/>
  <c r="H1520" i="85"/>
  <c r="A1520" i="85"/>
  <c r="AL1519" i="85"/>
  <c r="AK1519" i="85"/>
  <c r="N1519" i="85"/>
  <c r="H1519" i="85"/>
  <c r="A1519" i="85"/>
  <c r="AL1518" i="85"/>
  <c r="AK1518" i="85"/>
  <c r="N1518" i="85"/>
  <c r="H1518" i="85"/>
  <c r="A1518" i="85"/>
  <c r="AL1517" i="85"/>
  <c r="AK1517" i="85"/>
  <c r="N1517" i="85"/>
  <c r="H1517" i="85"/>
  <c r="A1517" i="85"/>
  <c r="AL1516" i="85"/>
  <c r="AK1516" i="85"/>
  <c r="N1516" i="85"/>
  <c r="H1516" i="85"/>
  <c r="A1516" i="85"/>
  <c r="AL1515" i="85"/>
  <c r="AK1515" i="85"/>
  <c r="N1515" i="85"/>
  <c r="H1515" i="85"/>
  <c r="A1515" i="85"/>
  <c r="AL1514" i="85"/>
  <c r="AK1514" i="85"/>
  <c r="N1514" i="85"/>
  <c r="H1514" i="85"/>
  <c r="A1514" i="85"/>
  <c r="AL1513" i="85"/>
  <c r="AK1513" i="85"/>
  <c r="N1513" i="85"/>
  <c r="H1513" i="85"/>
  <c r="A1513" i="85"/>
  <c r="AL1512" i="85"/>
  <c r="AK1512" i="85"/>
  <c r="N1512" i="85"/>
  <c r="H1512" i="85"/>
  <c r="A1512" i="85"/>
  <c r="AL1511" i="85"/>
  <c r="AK1511" i="85"/>
  <c r="N1511" i="85"/>
  <c r="H1511" i="85"/>
  <c r="A1511" i="85"/>
  <c r="AM1510" i="85"/>
  <c r="AL1510" i="85"/>
  <c r="AK1510" i="85"/>
  <c r="N1510" i="85"/>
  <c r="H1510" i="85"/>
  <c r="A1510" i="85"/>
  <c r="AL1509" i="85"/>
  <c r="AK1509" i="85"/>
  <c r="N1509" i="85"/>
  <c r="H1509" i="85"/>
  <c r="A1509" i="85"/>
  <c r="AL1508" i="85"/>
  <c r="AK1508" i="85"/>
  <c r="N1508" i="85"/>
  <c r="H1508" i="85"/>
  <c r="A1508" i="85"/>
  <c r="AL1507" i="85"/>
  <c r="AK1507" i="85"/>
  <c r="N1507" i="85"/>
  <c r="H1507" i="85"/>
  <c r="A1507" i="85"/>
  <c r="AL1506" i="85"/>
  <c r="AK1506" i="85"/>
  <c r="N1506" i="85"/>
  <c r="H1506" i="85"/>
  <c r="A1506" i="85"/>
  <c r="AL1505" i="85"/>
  <c r="AK1505" i="85"/>
  <c r="AD1505" i="85"/>
  <c r="N1505" i="85"/>
  <c r="H1505" i="85"/>
  <c r="A1505" i="85"/>
  <c r="AL1504" i="85"/>
  <c r="AK1504" i="85"/>
  <c r="N1504" i="85"/>
  <c r="H1504" i="85"/>
  <c r="A1504" i="85"/>
  <c r="AL1503" i="85"/>
  <c r="AK1503" i="85"/>
  <c r="N1503" i="85"/>
  <c r="H1503" i="85"/>
  <c r="A1503" i="85"/>
  <c r="AL1502" i="85"/>
  <c r="AK1502" i="85"/>
  <c r="N1502" i="85"/>
  <c r="H1502" i="85"/>
  <c r="A1502" i="85"/>
  <c r="AL1501" i="85"/>
  <c r="AK1501" i="85"/>
  <c r="N1501" i="85"/>
  <c r="H1501" i="85"/>
  <c r="A1501" i="85"/>
  <c r="AL1500" i="85"/>
  <c r="AK1500" i="85"/>
  <c r="N1500" i="85"/>
  <c r="H1500" i="85"/>
  <c r="A1500" i="85"/>
  <c r="AL1499" i="85"/>
  <c r="AK1499" i="85"/>
  <c r="N1499" i="85"/>
  <c r="H1499" i="85"/>
  <c r="A1499" i="85"/>
  <c r="AM1498" i="85"/>
  <c r="AL1498" i="85"/>
  <c r="AK1498" i="85"/>
  <c r="N1498" i="85"/>
  <c r="H1498" i="85"/>
  <c r="A1498" i="85"/>
  <c r="AL1497" i="85"/>
  <c r="AK1497" i="85"/>
  <c r="N1497" i="85"/>
  <c r="H1497" i="85"/>
  <c r="A1497" i="85"/>
  <c r="AL1496" i="85"/>
  <c r="AK1496" i="85"/>
  <c r="AD1496" i="85"/>
  <c r="N1496" i="85"/>
  <c r="H1496" i="85"/>
  <c r="A1496" i="85"/>
  <c r="AL1495" i="85"/>
  <c r="AK1495" i="85"/>
  <c r="N1495" i="85"/>
  <c r="H1495" i="85"/>
  <c r="A1495" i="85"/>
  <c r="AL1494" i="85"/>
  <c r="AK1494" i="85"/>
  <c r="AD1494" i="85"/>
  <c r="N1494" i="85"/>
  <c r="H1494" i="85"/>
  <c r="A1494" i="85"/>
  <c r="AL1493" i="85"/>
  <c r="AK1493" i="85"/>
  <c r="N1493" i="85"/>
  <c r="H1493" i="85"/>
  <c r="A1493" i="85"/>
  <c r="AL1492" i="85"/>
  <c r="AK1492" i="85"/>
  <c r="N1492" i="85"/>
  <c r="H1492" i="85"/>
  <c r="A1492" i="85"/>
  <c r="AL1491" i="85"/>
  <c r="AK1491" i="85"/>
  <c r="N1491" i="85"/>
  <c r="H1491" i="85"/>
  <c r="A1491" i="85"/>
  <c r="AL1490" i="85"/>
  <c r="AK1490" i="85"/>
  <c r="N1490" i="85"/>
  <c r="H1490" i="85"/>
  <c r="A1490" i="85"/>
  <c r="AL1489" i="85"/>
  <c r="AK1489" i="85"/>
  <c r="N1489" i="85"/>
  <c r="H1489" i="85"/>
  <c r="A1489" i="85"/>
  <c r="AL1488" i="85"/>
  <c r="AK1488" i="85"/>
  <c r="AI1488" i="85"/>
  <c r="AD1488" i="85"/>
  <c r="N1488" i="85"/>
  <c r="H1488" i="85"/>
  <c r="A1488" i="85"/>
  <c r="AL1487" i="85"/>
  <c r="AK1487" i="85"/>
  <c r="N1487" i="85"/>
  <c r="H1487" i="85"/>
  <c r="A1487" i="85"/>
  <c r="AL1486" i="85"/>
  <c r="AK1486" i="85"/>
  <c r="N1486" i="85"/>
  <c r="H1486" i="85"/>
  <c r="A1486" i="85"/>
  <c r="AL1485" i="85"/>
  <c r="AK1485" i="85"/>
  <c r="N1485" i="85"/>
  <c r="H1485" i="85"/>
  <c r="A1485" i="85"/>
  <c r="AL1484" i="85"/>
  <c r="AK1484" i="85"/>
  <c r="N1484" i="85"/>
  <c r="H1484" i="85"/>
  <c r="A1484" i="85"/>
  <c r="AL1483" i="85"/>
  <c r="AK1483" i="85"/>
  <c r="AD1483" i="85"/>
  <c r="N1483" i="85"/>
  <c r="H1483" i="85"/>
  <c r="A1483" i="85"/>
  <c r="AL1482" i="85"/>
  <c r="AK1482" i="85"/>
  <c r="N1482" i="85"/>
  <c r="H1482" i="85"/>
  <c r="A1482" i="85"/>
  <c r="AL1481" i="85"/>
  <c r="AK1481" i="85"/>
  <c r="N1481" i="85"/>
  <c r="H1481" i="85"/>
  <c r="A1481" i="85"/>
  <c r="AL1480" i="85"/>
  <c r="AK1480" i="85"/>
  <c r="AI1480" i="85"/>
  <c r="AD1480" i="85"/>
  <c r="N1480" i="85"/>
  <c r="H1480" i="85"/>
  <c r="A1480" i="85"/>
  <c r="AL1479" i="85"/>
  <c r="AK1479" i="85"/>
  <c r="N1479" i="85"/>
  <c r="H1479" i="85"/>
  <c r="A1479" i="85"/>
  <c r="AL1478" i="85"/>
  <c r="AK1478" i="85"/>
  <c r="AD1478" i="85"/>
  <c r="N1478" i="85"/>
  <c r="H1478" i="85"/>
  <c r="A1478" i="85"/>
  <c r="AL1477" i="85"/>
  <c r="AK1477" i="85"/>
  <c r="N1477" i="85"/>
  <c r="H1477" i="85"/>
  <c r="A1477" i="85"/>
  <c r="AL1476" i="85"/>
  <c r="AK1476" i="85"/>
  <c r="N1476" i="85"/>
  <c r="H1476" i="85"/>
  <c r="A1476" i="85"/>
  <c r="AL1475" i="85"/>
  <c r="AK1475" i="85"/>
  <c r="N1475" i="85"/>
  <c r="H1475" i="85"/>
  <c r="A1475" i="85"/>
  <c r="AL1474" i="85"/>
  <c r="AK1474" i="85"/>
  <c r="N1474" i="85"/>
  <c r="H1474" i="85"/>
  <c r="A1474" i="85"/>
  <c r="AL1473" i="85"/>
  <c r="AK1473" i="85"/>
  <c r="N1473" i="85"/>
  <c r="H1473" i="85"/>
  <c r="A1473" i="85"/>
  <c r="AL1472" i="85"/>
  <c r="AK1472" i="85"/>
  <c r="AD1472" i="85"/>
  <c r="N1472" i="85"/>
  <c r="H1472" i="85"/>
  <c r="A1472" i="85"/>
  <c r="AL1471" i="85"/>
  <c r="AK1471" i="85"/>
  <c r="N1471" i="85"/>
  <c r="H1471" i="85"/>
  <c r="A1471" i="85"/>
  <c r="AL1470" i="85"/>
  <c r="AK1470" i="85"/>
  <c r="N1470" i="85"/>
  <c r="H1470" i="85"/>
  <c r="A1470" i="85"/>
  <c r="AL1469" i="85"/>
  <c r="AK1469" i="85"/>
  <c r="N1469" i="85"/>
  <c r="H1469" i="85"/>
  <c r="A1469" i="85"/>
  <c r="AL1468" i="85"/>
  <c r="AK1468" i="85"/>
  <c r="N1468" i="85"/>
  <c r="H1468" i="85"/>
  <c r="A1468" i="85"/>
  <c r="AL1467" i="85"/>
  <c r="AK1467" i="85"/>
  <c r="N1467" i="85"/>
  <c r="H1467" i="85"/>
  <c r="A1467" i="85"/>
  <c r="AL1466" i="85"/>
  <c r="AK1466" i="85"/>
  <c r="N1466" i="85"/>
  <c r="H1466" i="85"/>
  <c r="A1466" i="85"/>
  <c r="AL1465" i="85"/>
  <c r="AK1465" i="85"/>
  <c r="N1465" i="85"/>
  <c r="H1465" i="85"/>
  <c r="A1465" i="85"/>
  <c r="AL1464" i="85"/>
  <c r="AK1464" i="85"/>
  <c r="N1464" i="85"/>
  <c r="H1464" i="85"/>
  <c r="A1464" i="85"/>
  <c r="AL1463" i="85"/>
  <c r="AK1463" i="85"/>
  <c r="N1463" i="85"/>
  <c r="H1463" i="85"/>
  <c r="A1463" i="85"/>
  <c r="AL1462" i="85"/>
  <c r="AK1462" i="85"/>
  <c r="N1462" i="85"/>
  <c r="H1462" i="85"/>
  <c r="A1462" i="85"/>
  <c r="AM1461" i="85"/>
  <c r="AL1461" i="85"/>
  <c r="AK1461" i="85"/>
  <c r="AD1461" i="85"/>
  <c r="N1461" i="85"/>
  <c r="H1461" i="85"/>
  <c r="A1461" i="85"/>
  <c r="AL1460" i="85"/>
  <c r="AK1460" i="85"/>
  <c r="N1460" i="85"/>
  <c r="H1460" i="85"/>
  <c r="A1460" i="85"/>
  <c r="AL1459" i="85"/>
  <c r="AK1459" i="85"/>
  <c r="AD1459" i="85"/>
  <c r="N1459" i="85"/>
  <c r="H1459" i="85"/>
  <c r="A1459" i="85"/>
  <c r="AL1458" i="85"/>
  <c r="AK1458" i="85"/>
  <c r="N1458" i="85"/>
  <c r="H1458" i="85"/>
  <c r="A1458" i="85"/>
  <c r="AL1457" i="85"/>
  <c r="AK1457" i="85"/>
  <c r="N1457" i="85"/>
  <c r="H1457" i="85"/>
  <c r="A1457" i="85"/>
  <c r="AL1456" i="85"/>
  <c r="AK1456" i="85"/>
  <c r="N1456" i="85"/>
  <c r="H1456" i="85"/>
  <c r="A1456" i="85"/>
  <c r="AL1455" i="85"/>
  <c r="AK1455" i="85"/>
  <c r="N1455" i="85"/>
  <c r="H1455" i="85"/>
  <c r="A1455" i="85"/>
  <c r="AL1454" i="85"/>
  <c r="AK1454" i="85"/>
  <c r="N1454" i="85"/>
  <c r="H1454" i="85"/>
  <c r="A1454" i="85"/>
  <c r="AL1453" i="85"/>
  <c r="AK1453" i="85"/>
  <c r="N1453" i="85"/>
  <c r="H1453" i="85"/>
  <c r="A1453" i="85"/>
  <c r="AL1452" i="85"/>
  <c r="AK1452" i="85"/>
  <c r="N1452" i="85"/>
  <c r="H1452" i="85"/>
  <c r="A1452" i="85"/>
  <c r="AL1451" i="85"/>
  <c r="AK1451" i="85"/>
  <c r="N1451" i="85"/>
  <c r="H1451" i="85"/>
  <c r="A1451" i="85"/>
  <c r="AL1450" i="85"/>
  <c r="AK1450" i="85"/>
  <c r="N1450" i="85"/>
  <c r="H1450" i="85"/>
  <c r="A1450" i="85"/>
  <c r="AL1449" i="85"/>
  <c r="AK1449" i="85"/>
  <c r="N1449" i="85"/>
  <c r="H1449" i="85"/>
  <c r="A1449" i="85"/>
  <c r="AL1448" i="85"/>
  <c r="AK1448" i="85"/>
  <c r="N1448" i="85"/>
  <c r="H1448" i="85"/>
  <c r="A1448" i="85"/>
  <c r="AL1447" i="85"/>
  <c r="AK1447" i="85"/>
  <c r="N1447" i="85"/>
  <c r="H1447" i="85"/>
  <c r="A1447" i="85"/>
  <c r="AM1446" i="85"/>
  <c r="AL1446" i="85"/>
  <c r="AK1446" i="85"/>
  <c r="N1446" i="85"/>
  <c r="H1446" i="85"/>
  <c r="A1446" i="85"/>
  <c r="AL1445" i="85"/>
  <c r="AK1445" i="85"/>
  <c r="N1445" i="85"/>
  <c r="H1445" i="85"/>
  <c r="A1445" i="85"/>
  <c r="AL1444" i="85"/>
  <c r="AK1444" i="85"/>
  <c r="N1444" i="85"/>
  <c r="H1444" i="85"/>
  <c r="A1444" i="85"/>
  <c r="AL1443" i="85"/>
  <c r="AK1443" i="85"/>
  <c r="AD1443" i="85"/>
  <c r="N1443" i="85"/>
  <c r="H1443" i="85"/>
  <c r="A1443" i="85"/>
  <c r="AL1442" i="85"/>
  <c r="AK1442" i="85"/>
  <c r="N1442" i="85"/>
  <c r="H1442" i="85"/>
  <c r="A1442" i="85"/>
  <c r="AL1441" i="85"/>
  <c r="AK1441" i="85"/>
  <c r="AD1441" i="85"/>
  <c r="N1441" i="85"/>
  <c r="H1441" i="85"/>
  <c r="A1441" i="85"/>
  <c r="AL1440" i="85"/>
  <c r="AK1440" i="85"/>
  <c r="N1440" i="85"/>
  <c r="H1440" i="85"/>
  <c r="A1440" i="85"/>
  <c r="AM1439" i="85"/>
  <c r="AL1439" i="85"/>
  <c r="AK1439" i="85"/>
  <c r="N1439" i="85"/>
  <c r="H1439" i="85"/>
  <c r="A1439" i="85"/>
  <c r="AM1438" i="85"/>
  <c r="AL1438" i="85"/>
  <c r="AK1438" i="85"/>
  <c r="N1438" i="85"/>
  <c r="H1438" i="85"/>
  <c r="A1438" i="85"/>
  <c r="AL1437" i="85"/>
  <c r="AK1437" i="85"/>
  <c r="N1437" i="85"/>
  <c r="H1437" i="85"/>
  <c r="A1437" i="85"/>
  <c r="AL1436" i="85"/>
  <c r="AK1436" i="85"/>
  <c r="N1436" i="85"/>
  <c r="H1436" i="85"/>
  <c r="A1436" i="85"/>
  <c r="AM1435" i="85"/>
  <c r="AL1435" i="85"/>
  <c r="AK1435" i="85"/>
  <c r="N1435" i="85"/>
  <c r="H1435" i="85"/>
  <c r="A1435" i="85"/>
  <c r="AL1434" i="85"/>
  <c r="AK1434" i="85"/>
  <c r="N1434" i="85"/>
  <c r="H1434" i="85"/>
  <c r="A1434" i="85"/>
  <c r="AM1433" i="85"/>
  <c r="AL1433" i="85"/>
  <c r="AK1433" i="85"/>
  <c r="N1433" i="85"/>
  <c r="H1433" i="85"/>
  <c r="A1433" i="85"/>
  <c r="AM1432" i="85"/>
  <c r="AL1432" i="85"/>
  <c r="AK1432" i="85"/>
  <c r="N1432" i="85"/>
  <c r="H1432" i="85"/>
  <c r="A1432" i="85"/>
  <c r="AL1431" i="85"/>
  <c r="AK1431" i="85"/>
  <c r="N1431" i="85"/>
  <c r="H1431" i="85"/>
  <c r="A1431" i="85"/>
  <c r="AL1430" i="85"/>
  <c r="AK1430" i="85"/>
  <c r="N1430" i="85"/>
  <c r="H1430" i="85"/>
  <c r="A1430" i="85"/>
  <c r="AL1429" i="85"/>
  <c r="AK1429" i="85"/>
  <c r="AD1429" i="85"/>
  <c r="N1429" i="85"/>
  <c r="H1429" i="85"/>
  <c r="A1429" i="85"/>
  <c r="AM1428" i="85"/>
  <c r="AL1428" i="85"/>
  <c r="AK1428" i="85"/>
  <c r="AD1428" i="85"/>
  <c r="N1428" i="85"/>
  <c r="H1428" i="85"/>
  <c r="A1428" i="85"/>
  <c r="AM1427" i="85"/>
  <c r="AL1427" i="85"/>
  <c r="AK1427" i="85"/>
  <c r="N1427" i="85"/>
  <c r="H1427" i="85"/>
  <c r="A1427" i="85"/>
  <c r="AL1426" i="85"/>
  <c r="AK1426" i="85"/>
  <c r="N1426" i="85"/>
  <c r="H1426" i="85"/>
  <c r="A1426" i="85"/>
  <c r="AL1425" i="85"/>
  <c r="AK1425" i="85"/>
  <c r="N1425" i="85"/>
  <c r="H1425" i="85"/>
  <c r="A1425" i="85"/>
  <c r="AL1424" i="85"/>
  <c r="AK1424" i="85"/>
  <c r="N1424" i="85"/>
  <c r="H1424" i="85"/>
  <c r="A1424" i="85"/>
  <c r="AL1423" i="85"/>
  <c r="AK1423" i="85"/>
  <c r="AD1423" i="85"/>
  <c r="N1423" i="85"/>
  <c r="H1423" i="85"/>
  <c r="A1423" i="85"/>
  <c r="AL1422" i="85"/>
  <c r="AK1422" i="85"/>
  <c r="N1422" i="85"/>
  <c r="H1422" i="85"/>
  <c r="A1422" i="85"/>
  <c r="AL1421" i="85"/>
  <c r="AK1421" i="85"/>
  <c r="AD1421" i="85"/>
  <c r="N1421" i="85"/>
  <c r="H1421" i="85"/>
  <c r="A1421" i="85"/>
  <c r="AL1420" i="85"/>
  <c r="AK1420" i="85"/>
  <c r="AD1420" i="85"/>
  <c r="N1420" i="85"/>
  <c r="H1420" i="85"/>
  <c r="A1420" i="85"/>
  <c r="AL1419" i="85"/>
  <c r="AK1419" i="85"/>
  <c r="N1419" i="85"/>
  <c r="H1419" i="85"/>
  <c r="A1419" i="85"/>
  <c r="AL1418" i="85"/>
  <c r="AK1418" i="85"/>
  <c r="N1418" i="85"/>
  <c r="H1418" i="85"/>
  <c r="A1418" i="85"/>
  <c r="AM1417" i="85"/>
  <c r="AL1417" i="85"/>
  <c r="AK1417" i="85"/>
  <c r="N1417" i="85"/>
  <c r="H1417" i="85"/>
  <c r="A1417" i="85"/>
  <c r="AL1416" i="85"/>
  <c r="AK1416" i="85"/>
  <c r="N1416" i="85"/>
  <c r="H1416" i="85"/>
  <c r="A1416" i="85"/>
  <c r="AL1415" i="85"/>
  <c r="AK1415" i="85"/>
  <c r="N1415" i="85"/>
  <c r="H1415" i="85"/>
  <c r="A1415" i="85"/>
  <c r="AL1414" i="85"/>
  <c r="AK1414" i="85"/>
  <c r="N1414" i="85"/>
  <c r="H1414" i="85"/>
  <c r="A1414" i="85"/>
  <c r="AL1413" i="85"/>
  <c r="AK1413" i="85"/>
  <c r="N1413" i="85"/>
  <c r="H1413" i="85"/>
  <c r="A1413" i="85"/>
  <c r="AL1412" i="85"/>
  <c r="AK1412" i="85"/>
  <c r="N1412" i="85"/>
  <c r="H1412" i="85"/>
  <c r="A1412" i="85"/>
  <c r="AL1411" i="85"/>
  <c r="AK1411" i="85"/>
  <c r="N1411" i="85"/>
  <c r="H1411" i="85"/>
  <c r="A1411" i="85"/>
  <c r="AL1410" i="85"/>
  <c r="AK1410" i="85"/>
  <c r="N1410" i="85"/>
  <c r="H1410" i="85"/>
  <c r="A1410" i="85"/>
  <c r="AL1409" i="85"/>
  <c r="AK1409" i="85"/>
  <c r="N1409" i="85"/>
  <c r="H1409" i="85"/>
  <c r="A1409" i="85"/>
  <c r="AL1408" i="85"/>
  <c r="AK1408" i="85"/>
  <c r="N1408" i="85"/>
  <c r="H1408" i="85"/>
  <c r="A1408" i="85"/>
  <c r="AL1407" i="85"/>
  <c r="AK1407" i="85"/>
  <c r="N1407" i="85"/>
  <c r="H1407" i="85"/>
  <c r="A1407" i="85"/>
  <c r="AL1406" i="85"/>
  <c r="AK1406" i="85"/>
  <c r="N1406" i="85"/>
  <c r="H1406" i="85"/>
  <c r="A1406" i="85"/>
  <c r="AL1405" i="85"/>
  <c r="AK1405" i="85"/>
  <c r="N1405" i="85"/>
  <c r="H1405" i="85"/>
  <c r="A1405" i="85"/>
  <c r="AL1404" i="85"/>
  <c r="AK1404" i="85"/>
  <c r="N1404" i="85"/>
  <c r="H1404" i="85"/>
  <c r="A1404" i="85"/>
  <c r="AL1403" i="85"/>
  <c r="AK1403" i="85"/>
  <c r="N1403" i="85"/>
  <c r="H1403" i="85"/>
  <c r="A1403" i="85"/>
  <c r="AL1402" i="85"/>
  <c r="AK1402" i="85"/>
  <c r="N1402" i="85"/>
  <c r="H1402" i="85"/>
  <c r="A1402" i="85"/>
  <c r="AL1401" i="85"/>
  <c r="AK1401" i="85"/>
  <c r="N1401" i="85"/>
  <c r="H1401" i="85"/>
  <c r="A1401" i="85"/>
  <c r="AL1400" i="85"/>
  <c r="AK1400" i="85"/>
  <c r="AD1400" i="85"/>
  <c r="N1400" i="85"/>
  <c r="H1400" i="85"/>
  <c r="A1400" i="85"/>
  <c r="AL1399" i="85"/>
  <c r="AK1399" i="85"/>
  <c r="N1399" i="85"/>
  <c r="H1399" i="85"/>
  <c r="A1399" i="85"/>
  <c r="AL1398" i="85"/>
  <c r="AK1398" i="85"/>
  <c r="N1398" i="85"/>
  <c r="H1398" i="85"/>
  <c r="A1398" i="85"/>
  <c r="AM1397" i="85"/>
  <c r="AL1397" i="85"/>
  <c r="AK1397" i="85"/>
  <c r="N1397" i="85"/>
  <c r="H1397" i="85"/>
  <c r="A1397" i="85"/>
  <c r="AL1396" i="85"/>
  <c r="AK1396" i="85"/>
  <c r="N1396" i="85"/>
  <c r="H1396" i="85"/>
  <c r="A1396" i="85"/>
  <c r="AL1395" i="85"/>
  <c r="AK1395" i="85"/>
  <c r="N1395" i="85"/>
  <c r="H1395" i="85"/>
  <c r="A1395" i="85"/>
  <c r="AL1394" i="85"/>
  <c r="AK1394" i="85"/>
  <c r="N1394" i="85"/>
  <c r="H1394" i="85"/>
  <c r="A1394" i="85"/>
  <c r="AL1393" i="85"/>
  <c r="AK1393" i="85"/>
  <c r="N1393" i="85"/>
  <c r="H1393" i="85"/>
  <c r="A1393" i="85"/>
  <c r="AL1392" i="85"/>
  <c r="AK1392" i="85"/>
  <c r="N1392" i="85"/>
  <c r="H1392" i="85"/>
  <c r="A1392" i="85"/>
  <c r="AL1391" i="85"/>
  <c r="AK1391" i="85"/>
  <c r="N1391" i="85"/>
  <c r="H1391" i="85"/>
  <c r="A1391" i="85"/>
  <c r="AL1390" i="85"/>
  <c r="AK1390" i="85"/>
  <c r="N1390" i="85"/>
  <c r="H1390" i="85"/>
  <c r="A1390" i="85"/>
  <c r="AL1389" i="85"/>
  <c r="AK1389" i="85"/>
  <c r="N1389" i="85"/>
  <c r="H1389" i="85"/>
  <c r="A1389" i="85"/>
  <c r="AL1388" i="85"/>
  <c r="AK1388" i="85"/>
  <c r="N1388" i="85"/>
  <c r="H1388" i="85"/>
  <c r="A1388" i="85"/>
  <c r="AL1387" i="85"/>
  <c r="AK1387" i="85"/>
  <c r="N1387" i="85"/>
  <c r="H1387" i="85"/>
  <c r="A1387" i="85"/>
  <c r="AL1386" i="85"/>
  <c r="AK1386" i="85"/>
  <c r="N1386" i="85"/>
  <c r="H1386" i="85"/>
  <c r="A1386" i="85"/>
  <c r="AL1385" i="85"/>
  <c r="AK1385" i="85"/>
  <c r="N1385" i="85"/>
  <c r="H1385" i="85"/>
  <c r="A1385" i="85"/>
  <c r="AL1384" i="85"/>
  <c r="AK1384" i="85"/>
  <c r="N1384" i="85"/>
  <c r="H1384" i="85"/>
  <c r="A1384" i="85"/>
  <c r="AL1383" i="85"/>
  <c r="AK1383" i="85"/>
  <c r="N1383" i="85"/>
  <c r="H1383" i="85"/>
  <c r="A1383" i="85"/>
  <c r="AL1382" i="85"/>
  <c r="AK1382" i="85"/>
  <c r="N1382" i="85"/>
  <c r="H1382" i="85"/>
  <c r="A1382" i="85"/>
  <c r="AL1381" i="85"/>
  <c r="AK1381" i="85"/>
  <c r="N1381" i="85"/>
  <c r="H1381" i="85"/>
  <c r="A1381" i="85"/>
  <c r="AL1380" i="85"/>
  <c r="AK1380" i="85"/>
  <c r="N1380" i="85"/>
  <c r="H1380" i="85"/>
  <c r="A1380" i="85"/>
  <c r="AL1379" i="85"/>
  <c r="AK1379" i="85"/>
  <c r="N1379" i="85"/>
  <c r="H1379" i="85"/>
  <c r="A1379" i="85"/>
  <c r="AL1378" i="85"/>
  <c r="AK1378" i="85"/>
  <c r="AD1378" i="85"/>
  <c r="N1378" i="85"/>
  <c r="H1378" i="85"/>
  <c r="A1378" i="85"/>
  <c r="AL1377" i="85"/>
  <c r="AK1377" i="85"/>
  <c r="N1377" i="85"/>
  <c r="H1377" i="85"/>
  <c r="A1377" i="85"/>
  <c r="AL1376" i="85"/>
  <c r="AK1376" i="85"/>
  <c r="N1376" i="85"/>
  <c r="H1376" i="85"/>
  <c r="A1376" i="85"/>
  <c r="AL1375" i="85"/>
  <c r="AK1375" i="85"/>
  <c r="N1375" i="85"/>
  <c r="H1375" i="85"/>
  <c r="A1375" i="85"/>
  <c r="AL1374" i="85"/>
  <c r="AK1374" i="85"/>
  <c r="N1374" i="85"/>
  <c r="H1374" i="85"/>
  <c r="A1374" i="85"/>
  <c r="AL1373" i="85"/>
  <c r="AK1373" i="85"/>
  <c r="AD1373" i="85"/>
  <c r="N1373" i="85"/>
  <c r="H1373" i="85"/>
  <c r="A1373" i="85"/>
  <c r="AL1372" i="85"/>
  <c r="AK1372" i="85"/>
  <c r="N1372" i="85"/>
  <c r="H1372" i="85"/>
  <c r="A1372" i="85"/>
  <c r="AM1371" i="85"/>
  <c r="AL1371" i="85"/>
  <c r="AK1371" i="85"/>
  <c r="N1371" i="85"/>
  <c r="H1371" i="85"/>
  <c r="A1371" i="85"/>
  <c r="AL1370" i="85"/>
  <c r="AK1370" i="85"/>
  <c r="N1370" i="85"/>
  <c r="H1370" i="85"/>
  <c r="A1370" i="85"/>
  <c r="AL1369" i="85"/>
  <c r="AK1369" i="85"/>
  <c r="N1369" i="85"/>
  <c r="H1369" i="85"/>
  <c r="A1369" i="85"/>
  <c r="AL1368" i="85"/>
  <c r="AK1368" i="85"/>
  <c r="AD1368" i="85"/>
  <c r="N1368" i="85"/>
  <c r="H1368" i="85"/>
  <c r="A1368" i="85"/>
  <c r="AL1367" i="85"/>
  <c r="AK1367" i="85"/>
  <c r="N1367" i="85"/>
  <c r="H1367" i="85"/>
  <c r="A1367" i="85"/>
  <c r="AL1366" i="85"/>
  <c r="AK1366" i="85"/>
  <c r="N1366" i="85"/>
  <c r="H1366" i="85"/>
  <c r="A1366" i="85"/>
  <c r="AL1365" i="85"/>
  <c r="AK1365" i="85"/>
  <c r="N1365" i="85"/>
  <c r="H1365" i="85"/>
  <c r="A1365" i="85"/>
  <c r="AL1364" i="85"/>
  <c r="AK1364" i="85"/>
  <c r="N1364" i="85"/>
  <c r="H1364" i="85"/>
  <c r="A1364" i="85"/>
  <c r="AL1363" i="85"/>
  <c r="AK1363" i="85"/>
  <c r="N1363" i="85"/>
  <c r="H1363" i="85"/>
  <c r="A1363" i="85"/>
  <c r="AL1362" i="85"/>
  <c r="AK1362" i="85"/>
  <c r="N1362" i="85"/>
  <c r="H1362" i="85"/>
  <c r="A1362" i="85"/>
  <c r="AL1361" i="85"/>
  <c r="AK1361" i="85"/>
  <c r="N1361" i="85"/>
  <c r="H1361" i="85"/>
  <c r="A1361" i="85"/>
  <c r="AL1360" i="85"/>
  <c r="AK1360" i="85"/>
  <c r="N1360" i="85"/>
  <c r="H1360" i="85"/>
  <c r="A1360" i="85"/>
  <c r="AL1359" i="85"/>
  <c r="AK1359" i="85"/>
  <c r="N1359" i="85"/>
  <c r="H1359" i="85"/>
  <c r="A1359" i="85"/>
  <c r="AL1358" i="85"/>
  <c r="AK1358" i="85"/>
  <c r="AD1358" i="85"/>
  <c r="N1358" i="85"/>
  <c r="H1358" i="85"/>
  <c r="A1358" i="85"/>
  <c r="AL1357" i="85"/>
  <c r="AK1357" i="85"/>
  <c r="N1357" i="85"/>
  <c r="H1357" i="85"/>
  <c r="A1357" i="85"/>
  <c r="AL1356" i="85"/>
  <c r="AK1356" i="85"/>
  <c r="N1356" i="85"/>
  <c r="H1356" i="85"/>
  <c r="A1356" i="85"/>
  <c r="AL1355" i="85"/>
  <c r="AK1355" i="85"/>
  <c r="N1355" i="85"/>
  <c r="H1355" i="85"/>
  <c r="A1355" i="85"/>
  <c r="AL1354" i="85"/>
  <c r="AK1354" i="85"/>
  <c r="N1354" i="85"/>
  <c r="H1354" i="85"/>
  <c r="A1354" i="85"/>
  <c r="AL1353" i="85"/>
  <c r="AK1353" i="85"/>
  <c r="N1353" i="85"/>
  <c r="H1353" i="85"/>
  <c r="A1353" i="85"/>
  <c r="AL1352" i="85"/>
  <c r="AK1352" i="85"/>
  <c r="N1352" i="85"/>
  <c r="H1352" i="85"/>
  <c r="A1352" i="85"/>
  <c r="AL1351" i="85"/>
  <c r="AK1351" i="85"/>
  <c r="N1351" i="85"/>
  <c r="H1351" i="85"/>
  <c r="A1351" i="85"/>
  <c r="AL1350" i="85"/>
  <c r="AK1350" i="85"/>
  <c r="N1350" i="85"/>
  <c r="H1350" i="85"/>
  <c r="A1350" i="85"/>
  <c r="AL1349" i="85"/>
  <c r="AK1349" i="85"/>
  <c r="N1349" i="85"/>
  <c r="H1349" i="85"/>
  <c r="A1349" i="85"/>
  <c r="AL1348" i="85"/>
  <c r="AK1348" i="85"/>
  <c r="N1348" i="85"/>
  <c r="H1348" i="85"/>
  <c r="A1348" i="85"/>
  <c r="AL1347" i="85"/>
  <c r="AK1347" i="85"/>
  <c r="AD1347" i="85"/>
  <c r="N1347" i="85"/>
  <c r="H1347" i="85"/>
  <c r="A1347" i="85"/>
  <c r="AL1346" i="85"/>
  <c r="AK1346" i="85"/>
  <c r="AD1346" i="85"/>
  <c r="N1346" i="85"/>
  <c r="H1346" i="85"/>
  <c r="A1346" i="85"/>
  <c r="AL1345" i="85"/>
  <c r="AK1345" i="85"/>
  <c r="N1345" i="85"/>
  <c r="H1345" i="85"/>
  <c r="A1345" i="85"/>
  <c r="AM1344" i="85"/>
  <c r="AL1344" i="85"/>
  <c r="AK1344" i="85"/>
  <c r="AD1344" i="85"/>
  <c r="N1344" i="85"/>
  <c r="H1344" i="85"/>
  <c r="A1344" i="85"/>
  <c r="AL1343" i="85"/>
  <c r="AK1343" i="85"/>
  <c r="N1343" i="85"/>
  <c r="H1343" i="85"/>
  <c r="A1343" i="85"/>
  <c r="AL1342" i="85"/>
  <c r="AK1342" i="85"/>
  <c r="AD1342" i="85"/>
  <c r="N1342" i="85"/>
  <c r="H1342" i="85"/>
  <c r="A1342" i="85"/>
  <c r="AL1341" i="85"/>
  <c r="AK1341" i="85"/>
  <c r="N1341" i="85"/>
  <c r="H1341" i="85"/>
  <c r="A1341" i="85"/>
  <c r="AM1340" i="85"/>
  <c r="AL1340" i="85"/>
  <c r="AK1340" i="85"/>
  <c r="N1340" i="85"/>
  <c r="H1340" i="85"/>
  <c r="A1340" i="85"/>
  <c r="AL1339" i="85"/>
  <c r="AK1339" i="85"/>
  <c r="N1339" i="85"/>
  <c r="H1339" i="85"/>
  <c r="A1339" i="85"/>
  <c r="AL1338" i="85"/>
  <c r="AK1338" i="85"/>
  <c r="N1338" i="85"/>
  <c r="H1338" i="85"/>
  <c r="A1338" i="85"/>
  <c r="AL1337" i="85"/>
  <c r="AK1337" i="85"/>
  <c r="N1337" i="85"/>
  <c r="H1337" i="85"/>
  <c r="A1337" i="85"/>
  <c r="AM1336" i="85"/>
  <c r="AL1336" i="85"/>
  <c r="AK1336" i="85"/>
  <c r="N1336" i="85"/>
  <c r="H1336" i="85"/>
  <c r="A1336" i="85"/>
  <c r="AL1335" i="85"/>
  <c r="AK1335" i="85"/>
  <c r="N1335" i="85"/>
  <c r="H1335" i="85"/>
  <c r="A1335" i="85"/>
  <c r="AL1334" i="85"/>
  <c r="AK1334" i="85"/>
  <c r="N1334" i="85"/>
  <c r="H1334" i="85"/>
  <c r="A1334" i="85"/>
  <c r="AL1333" i="85"/>
  <c r="AK1333" i="85"/>
  <c r="N1333" i="85"/>
  <c r="H1333" i="85"/>
  <c r="A1333" i="85"/>
  <c r="AL1332" i="85"/>
  <c r="AK1332" i="85"/>
  <c r="N1332" i="85"/>
  <c r="H1332" i="85"/>
  <c r="A1332" i="85"/>
  <c r="AL1331" i="85"/>
  <c r="AK1331" i="85"/>
  <c r="N1331" i="85"/>
  <c r="H1331" i="85"/>
  <c r="A1331" i="85"/>
  <c r="AL1330" i="85"/>
  <c r="AK1330" i="85"/>
  <c r="N1330" i="85"/>
  <c r="H1330" i="85"/>
  <c r="A1330" i="85"/>
  <c r="AL1329" i="85"/>
  <c r="AK1329" i="85"/>
  <c r="AD1329" i="85"/>
  <c r="N1329" i="85"/>
  <c r="H1329" i="85"/>
  <c r="A1329" i="85"/>
  <c r="AL1328" i="85"/>
  <c r="AK1328" i="85"/>
  <c r="N1328" i="85"/>
  <c r="H1328" i="85"/>
  <c r="A1328" i="85"/>
  <c r="AL1327" i="85"/>
  <c r="AK1327" i="85"/>
  <c r="N1327" i="85"/>
  <c r="H1327" i="85"/>
  <c r="A1327" i="85"/>
  <c r="AL1326" i="85"/>
  <c r="AK1326" i="85"/>
  <c r="N1326" i="85"/>
  <c r="H1326" i="85"/>
  <c r="A1326" i="85"/>
  <c r="AL1325" i="85"/>
  <c r="AK1325" i="85"/>
  <c r="N1325" i="85"/>
  <c r="H1325" i="85"/>
  <c r="A1325" i="85"/>
  <c r="AL1324" i="85"/>
  <c r="AK1324" i="85"/>
  <c r="N1324" i="85"/>
  <c r="H1324" i="85"/>
  <c r="A1324" i="85"/>
  <c r="AL1323" i="85"/>
  <c r="AK1323" i="85"/>
  <c r="N1323" i="85"/>
  <c r="H1323" i="85"/>
  <c r="A1323" i="85"/>
  <c r="AL1322" i="85"/>
  <c r="AK1322" i="85"/>
  <c r="N1322" i="85"/>
  <c r="H1322" i="85"/>
  <c r="A1322" i="85"/>
  <c r="AL1321" i="85"/>
  <c r="AK1321" i="85"/>
  <c r="N1321" i="85"/>
  <c r="H1321" i="85"/>
  <c r="A1321" i="85"/>
  <c r="AL1320" i="85"/>
  <c r="AK1320" i="85"/>
  <c r="N1320" i="85"/>
  <c r="H1320" i="85"/>
  <c r="A1320" i="85"/>
  <c r="AL1319" i="85"/>
  <c r="AK1319" i="85"/>
  <c r="N1319" i="85"/>
  <c r="H1319" i="85"/>
  <c r="A1319" i="85"/>
  <c r="AL1318" i="85"/>
  <c r="AK1318" i="85"/>
  <c r="N1318" i="85"/>
  <c r="H1318" i="85"/>
  <c r="A1318" i="85"/>
  <c r="AL1317" i="85"/>
  <c r="AK1317" i="85"/>
  <c r="N1317" i="85"/>
  <c r="H1317" i="85"/>
  <c r="A1317" i="85"/>
  <c r="AL1316" i="85"/>
  <c r="AK1316" i="85"/>
  <c r="AD1316" i="85"/>
  <c r="N1316" i="85"/>
  <c r="H1316" i="85"/>
  <c r="A1316" i="85"/>
  <c r="AL1315" i="85"/>
  <c r="AK1315" i="85"/>
  <c r="N1315" i="85"/>
  <c r="H1315" i="85"/>
  <c r="A1315" i="85"/>
  <c r="AL1314" i="85"/>
  <c r="AK1314" i="85"/>
  <c r="N1314" i="85"/>
  <c r="H1314" i="85"/>
  <c r="A1314" i="85"/>
  <c r="AL1313" i="85"/>
  <c r="AK1313" i="85"/>
  <c r="N1313" i="85"/>
  <c r="H1313" i="85"/>
  <c r="A1313" i="85"/>
  <c r="AL1312" i="85"/>
  <c r="AK1312" i="85"/>
  <c r="N1312" i="85"/>
  <c r="H1312" i="85"/>
  <c r="A1312" i="85"/>
  <c r="AL1311" i="85"/>
  <c r="AK1311" i="85"/>
  <c r="AD1311" i="85"/>
  <c r="N1311" i="85"/>
  <c r="H1311" i="85"/>
  <c r="A1311" i="85"/>
  <c r="AL1310" i="85"/>
  <c r="AK1310" i="85"/>
  <c r="N1310" i="85"/>
  <c r="H1310" i="85"/>
  <c r="A1310" i="85"/>
  <c r="AL1309" i="85"/>
  <c r="AK1309" i="85"/>
  <c r="N1309" i="85"/>
  <c r="H1309" i="85"/>
  <c r="A1309" i="85"/>
  <c r="AL1308" i="85"/>
  <c r="AK1308" i="85"/>
  <c r="N1308" i="85"/>
  <c r="H1308" i="85"/>
  <c r="A1308" i="85"/>
  <c r="AL1307" i="85"/>
  <c r="AK1307" i="85"/>
  <c r="N1307" i="85"/>
  <c r="H1307" i="85"/>
  <c r="A1307" i="85"/>
  <c r="AL1306" i="85"/>
  <c r="AK1306" i="85"/>
  <c r="N1306" i="85"/>
  <c r="H1306" i="85"/>
  <c r="A1306" i="85"/>
  <c r="AL1305" i="85"/>
  <c r="AK1305" i="85"/>
  <c r="N1305" i="85"/>
  <c r="H1305" i="85"/>
  <c r="A1305" i="85"/>
  <c r="AL1304" i="85"/>
  <c r="AK1304" i="85"/>
  <c r="N1304" i="85"/>
  <c r="H1304" i="85"/>
  <c r="A1304" i="85"/>
  <c r="AL1303" i="85"/>
  <c r="AK1303" i="85"/>
  <c r="N1303" i="85"/>
  <c r="H1303" i="85"/>
  <c r="A1303" i="85"/>
  <c r="AL1302" i="85"/>
  <c r="AK1302" i="85"/>
  <c r="N1302" i="85"/>
  <c r="H1302" i="85"/>
  <c r="A1302" i="85"/>
  <c r="AL1301" i="85"/>
  <c r="AK1301" i="85"/>
  <c r="N1301" i="85"/>
  <c r="H1301" i="85"/>
  <c r="A1301" i="85"/>
  <c r="AL1300" i="85"/>
  <c r="AK1300" i="85"/>
  <c r="N1300" i="85"/>
  <c r="H1300" i="85"/>
  <c r="A1300" i="85"/>
  <c r="AL1299" i="85"/>
  <c r="AK1299" i="85"/>
  <c r="N1299" i="85"/>
  <c r="H1299" i="85"/>
  <c r="A1299" i="85"/>
  <c r="AL1298" i="85"/>
  <c r="AK1298" i="85"/>
  <c r="N1298" i="85"/>
  <c r="H1298" i="85"/>
  <c r="A1298" i="85"/>
  <c r="AL1297" i="85"/>
  <c r="AK1297" i="85"/>
  <c r="N1297" i="85"/>
  <c r="H1297" i="85"/>
  <c r="A1297" i="85"/>
  <c r="AL1296" i="85"/>
  <c r="AK1296" i="85"/>
  <c r="N1296" i="85"/>
  <c r="H1296" i="85"/>
  <c r="A1296" i="85"/>
  <c r="AL1295" i="85"/>
  <c r="AK1295" i="85"/>
  <c r="N1295" i="85"/>
  <c r="H1295" i="85"/>
  <c r="A1295" i="85"/>
  <c r="AL1294" i="85"/>
  <c r="AK1294" i="85"/>
  <c r="N1294" i="85"/>
  <c r="H1294" i="85"/>
  <c r="A1294" i="85"/>
  <c r="AL1293" i="85"/>
  <c r="AK1293" i="85"/>
  <c r="N1293" i="85"/>
  <c r="H1293" i="85"/>
  <c r="A1293" i="85"/>
  <c r="AL1292" i="85"/>
  <c r="AK1292" i="85"/>
  <c r="N1292" i="85"/>
  <c r="H1292" i="85"/>
  <c r="A1292" i="85"/>
  <c r="AL1291" i="85"/>
  <c r="AK1291" i="85"/>
  <c r="N1291" i="85"/>
  <c r="H1291" i="85"/>
  <c r="A1291" i="85"/>
  <c r="AL1290" i="85"/>
  <c r="AK1290" i="85"/>
  <c r="N1290" i="85"/>
  <c r="H1290" i="85"/>
  <c r="A1290" i="85"/>
  <c r="AL1289" i="85"/>
  <c r="AK1289" i="85"/>
  <c r="N1289" i="85"/>
  <c r="H1289" i="85"/>
  <c r="A1289" i="85"/>
  <c r="AL1288" i="85"/>
  <c r="AK1288" i="85"/>
  <c r="N1288" i="85"/>
  <c r="H1288" i="85"/>
  <c r="A1288" i="85"/>
  <c r="AL1287" i="85"/>
  <c r="AK1287" i="85"/>
  <c r="N1287" i="85"/>
  <c r="H1287" i="85"/>
  <c r="A1287" i="85"/>
  <c r="AL1286" i="85"/>
  <c r="AK1286" i="85"/>
  <c r="N1286" i="85"/>
  <c r="H1286" i="85"/>
  <c r="A1286" i="85"/>
  <c r="AL1285" i="85"/>
  <c r="AK1285" i="85"/>
  <c r="AI1285" i="85"/>
  <c r="AD1285" i="85"/>
  <c r="N1285" i="85"/>
  <c r="H1285" i="85"/>
  <c r="A1285" i="85"/>
  <c r="AL1284" i="85"/>
  <c r="AK1284" i="85"/>
  <c r="N1284" i="85"/>
  <c r="H1284" i="85"/>
  <c r="A1284" i="85"/>
  <c r="AL1283" i="85"/>
  <c r="AK1283" i="85"/>
  <c r="N1283" i="85"/>
  <c r="H1283" i="85"/>
  <c r="A1283" i="85"/>
  <c r="AL1282" i="85"/>
  <c r="AK1282" i="85"/>
  <c r="N1282" i="85"/>
  <c r="H1282" i="85"/>
  <c r="A1282" i="85"/>
  <c r="AL1281" i="85"/>
  <c r="AK1281" i="85"/>
  <c r="N1281" i="85"/>
  <c r="H1281" i="85"/>
  <c r="A1281" i="85"/>
  <c r="AL1280" i="85"/>
  <c r="AK1280" i="85"/>
  <c r="N1280" i="85"/>
  <c r="H1280" i="85"/>
  <c r="A1280" i="85"/>
  <c r="AL1279" i="85"/>
  <c r="AK1279" i="85"/>
  <c r="N1279" i="85"/>
  <c r="H1279" i="85"/>
  <c r="A1279" i="85"/>
  <c r="AL1278" i="85"/>
  <c r="AK1278" i="85"/>
  <c r="AD1278" i="85"/>
  <c r="N1278" i="85"/>
  <c r="H1278" i="85"/>
  <c r="A1278" i="85"/>
  <c r="AL1277" i="85"/>
  <c r="AK1277" i="85"/>
  <c r="AI1277" i="85"/>
  <c r="AD1277" i="85"/>
  <c r="N1277" i="85"/>
  <c r="H1277" i="85"/>
  <c r="A1277" i="85"/>
  <c r="AL1276" i="85"/>
  <c r="AK1276" i="85"/>
  <c r="N1276" i="85"/>
  <c r="H1276" i="85"/>
  <c r="A1276" i="85"/>
  <c r="AL1275" i="85"/>
  <c r="AK1275" i="85"/>
  <c r="N1275" i="85"/>
  <c r="H1275" i="85"/>
  <c r="A1275" i="85"/>
  <c r="AL1274" i="85"/>
  <c r="AK1274" i="85"/>
  <c r="N1274" i="85"/>
  <c r="H1274" i="85"/>
  <c r="A1274" i="85"/>
  <c r="AL1273" i="85"/>
  <c r="AK1273" i="85"/>
  <c r="N1273" i="85"/>
  <c r="H1273" i="85"/>
  <c r="A1273" i="85"/>
  <c r="AL1272" i="85"/>
  <c r="AK1272" i="85"/>
  <c r="AD1272" i="85"/>
  <c r="N1272" i="85"/>
  <c r="H1272" i="85"/>
  <c r="A1272" i="85"/>
  <c r="AL1271" i="85"/>
  <c r="AK1271" i="85"/>
  <c r="N1271" i="85"/>
  <c r="H1271" i="85"/>
  <c r="A1271" i="85"/>
  <c r="AL1270" i="85"/>
  <c r="AK1270" i="85"/>
  <c r="N1270" i="85"/>
  <c r="H1270" i="85"/>
  <c r="A1270" i="85"/>
  <c r="AL1269" i="85"/>
  <c r="AK1269" i="85"/>
  <c r="N1269" i="85"/>
  <c r="H1269" i="85"/>
  <c r="A1269" i="85"/>
  <c r="AL1268" i="85"/>
  <c r="AK1268" i="85"/>
  <c r="N1268" i="85"/>
  <c r="H1268" i="85"/>
  <c r="A1268" i="85"/>
  <c r="AL1267" i="85"/>
  <c r="AK1267" i="85"/>
  <c r="N1267" i="85"/>
  <c r="H1267" i="85"/>
  <c r="A1267" i="85"/>
  <c r="AM1266" i="85"/>
  <c r="AL1266" i="85"/>
  <c r="AK1266" i="85"/>
  <c r="N1266" i="85"/>
  <c r="H1266" i="85"/>
  <c r="A1266" i="85"/>
  <c r="AL1265" i="85"/>
  <c r="AK1265" i="85"/>
  <c r="N1265" i="85"/>
  <c r="H1265" i="85"/>
  <c r="A1265" i="85"/>
  <c r="AL1264" i="85"/>
  <c r="AK1264" i="85"/>
  <c r="N1264" i="85"/>
  <c r="H1264" i="85"/>
  <c r="A1264" i="85"/>
  <c r="AL1263" i="85"/>
  <c r="AK1263" i="85"/>
  <c r="N1263" i="85"/>
  <c r="H1263" i="85"/>
  <c r="A1263" i="85"/>
  <c r="AL1262" i="85"/>
  <c r="AK1262" i="85"/>
  <c r="N1262" i="85"/>
  <c r="H1262" i="85"/>
  <c r="A1262" i="85"/>
  <c r="AL1261" i="85"/>
  <c r="AK1261" i="85"/>
  <c r="N1261" i="85"/>
  <c r="H1261" i="85"/>
  <c r="A1261" i="85"/>
  <c r="AL1260" i="85"/>
  <c r="AK1260" i="85"/>
  <c r="N1260" i="85"/>
  <c r="H1260" i="85"/>
  <c r="A1260" i="85"/>
  <c r="AL1259" i="85"/>
  <c r="AK1259" i="85"/>
  <c r="N1259" i="85"/>
  <c r="H1259" i="85"/>
  <c r="A1259" i="85"/>
  <c r="AL1258" i="85"/>
  <c r="AK1258" i="85"/>
  <c r="N1258" i="85"/>
  <c r="H1258" i="85"/>
  <c r="A1258" i="85"/>
  <c r="AL1257" i="85"/>
  <c r="AK1257" i="85"/>
  <c r="N1257" i="85"/>
  <c r="H1257" i="85"/>
  <c r="A1257" i="85"/>
  <c r="AL1256" i="85"/>
  <c r="AK1256" i="85"/>
  <c r="N1256" i="85"/>
  <c r="H1256" i="85"/>
  <c r="A1256" i="85"/>
  <c r="AL1255" i="85"/>
  <c r="AK1255" i="85"/>
  <c r="N1255" i="85"/>
  <c r="H1255" i="85"/>
  <c r="A1255" i="85"/>
  <c r="AL1254" i="85"/>
  <c r="AK1254" i="85"/>
  <c r="N1254" i="85"/>
  <c r="H1254" i="85"/>
  <c r="A1254" i="85"/>
  <c r="AL1253" i="85"/>
  <c r="AK1253" i="85"/>
  <c r="N1253" i="85"/>
  <c r="H1253" i="85"/>
  <c r="A1253" i="85"/>
  <c r="AL1252" i="85"/>
  <c r="AK1252" i="85"/>
  <c r="N1252" i="85"/>
  <c r="H1252" i="85"/>
  <c r="A1252" i="85"/>
  <c r="AL1251" i="85"/>
  <c r="AK1251" i="85"/>
  <c r="N1251" i="85"/>
  <c r="H1251" i="85"/>
  <c r="A1251" i="85"/>
  <c r="AL1250" i="85"/>
  <c r="AK1250" i="85"/>
  <c r="N1250" i="85"/>
  <c r="H1250" i="85"/>
  <c r="A1250" i="85"/>
  <c r="AL1249" i="85"/>
  <c r="AK1249" i="85"/>
  <c r="N1249" i="85"/>
  <c r="H1249" i="85"/>
  <c r="A1249" i="85"/>
  <c r="AL1248" i="85"/>
  <c r="AK1248" i="85"/>
  <c r="N1248" i="85"/>
  <c r="H1248" i="85"/>
  <c r="A1248" i="85"/>
  <c r="AL1247" i="85"/>
  <c r="AK1247" i="85"/>
  <c r="AD1247" i="85"/>
  <c r="N1247" i="85"/>
  <c r="H1247" i="85"/>
  <c r="A1247" i="85"/>
  <c r="AL1246" i="85"/>
  <c r="AK1246" i="85"/>
  <c r="N1246" i="85"/>
  <c r="H1246" i="85"/>
  <c r="A1246" i="85"/>
  <c r="AL1245" i="85"/>
  <c r="AK1245" i="85"/>
  <c r="N1245" i="85"/>
  <c r="H1245" i="85"/>
  <c r="A1245" i="85"/>
  <c r="AL1244" i="85"/>
  <c r="AK1244" i="85"/>
  <c r="N1244" i="85"/>
  <c r="H1244" i="85"/>
  <c r="A1244" i="85"/>
  <c r="AL1243" i="85"/>
  <c r="AK1243" i="85"/>
  <c r="AD1243" i="85"/>
  <c r="N1243" i="85"/>
  <c r="H1243" i="85"/>
  <c r="A1243" i="85"/>
  <c r="AL1242" i="85"/>
  <c r="AK1242" i="85"/>
  <c r="N1242" i="85"/>
  <c r="H1242" i="85"/>
  <c r="A1242" i="85"/>
  <c r="AL1241" i="85"/>
  <c r="AK1241" i="85"/>
  <c r="AD1241" i="85"/>
  <c r="N1241" i="85"/>
  <c r="H1241" i="85"/>
  <c r="A1241" i="85"/>
  <c r="AL1240" i="85"/>
  <c r="AK1240" i="85"/>
  <c r="AI1240" i="85"/>
  <c r="AD1240" i="85"/>
  <c r="N1240" i="85"/>
  <c r="H1240" i="85"/>
  <c r="A1240" i="85"/>
  <c r="AL1239" i="85"/>
  <c r="AK1239" i="85"/>
  <c r="N1239" i="85"/>
  <c r="H1239" i="85"/>
  <c r="A1239" i="85"/>
  <c r="AL1238" i="85"/>
  <c r="AK1238" i="85"/>
  <c r="N1238" i="85"/>
  <c r="H1238" i="85"/>
  <c r="A1238" i="85"/>
  <c r="AL1237" i="85"/>
  <c r="AK1237" i="85"/>
  <c r="N1237" i="85"/>
  <c r="H1237" i="85"/>
  <c r="A1237" i="85"/>
  <c r="AL1236" i="85"/>
  <c r="AK1236" i="85"/>
  <c r="N1236" i="85"/>
  <c r="H1236" i="85"/>
  <c r="A1236" i="85"/>
  <c r="AL1235" i="85"/>
  <c r="AK1235" i="85"/>
  <c r="N1235" i="85"/>
  <c r="H1235" i="85"/>
  <c r="A1235" i="85"/>
  <c r="AL1234" i="85"/>
  <c r="AK1234" i="85"/>
  <c r="N1234" i="85"/>
  <c r="H1234" i="85"/>
  <c r="A1234" i="85"/>
  <c r="AL1233" i="85"/>
  <c r="AK1233" i="85"/>
  <c r="N1233" i="85"/>
  <c r="H1233" i="85"/>
  <c r="A1233" i="85"/>
  <c r="AL1232" i="85"/>
  <c r="AK1232" i="85"/>
  <c r="N1232" i="85"/>
  <c r="H1232" i="85"/>
  <c r="A1232" i="85"/>
  <c r="AL1231" i="85"/>
  <c r="AK1231" i="85"/>
  <c r="N1231" i="85"/>
  <c r="H1231" i="85"/>
  <c r="A1231" i="85"/>
  <c r="AL1230" i="85"/>
  <c r="AK1230" i="85"/>
  <c r="N1230" i="85"/>
  <c r="H1230" i="85"/>
  <c r="A1230" i="85"/>
  <c r="AL1229" i="85"/>
  <c r="AK1229" i="85"/>
  <c r="N1229" i="85"/>
  <c r="H1229" i="85"/>
  <c r="A1229" i="85"/>
  <c r="AL1228" i="85"/>
  <c r="AK1228" i="85"/>
  <c r="N1228" i="85"/>
  <c r="H1228" i="85"/>
  <c r="A1228" i="85"/>
  <c r="AL1227" i="85"/>
  <c r="AK1227" i="85"/>
  <c r="N1227" i="85"/>
  <c r="H1227" i="85"/>
  <c r="A1227" i="85"/>
  <c r="AL1226" i="85"/>
  <c r="AK1226" i="85"/>
  <c r="N1226" i="85"/>
  <c r="H1226" i="85"/>
  <c r="A1226" i="85"/>
  <c r="AL1225" i="85"/>
  <c r="AK1225" i="85"/>
  <c r="N1225" i="85"/>
  <c r="H1225" i="85"/>
  <c r="A1225" i="85"/>
  <c r="AL1224" i="85"/>
  <c r="AK1224" i="85"/>
  <c r="N1224" i="85"/>
  <c r="H1224" i="85"/>
  <c r="A1224" i="85"/>
  <c r="AL1223" i="85"/>
  <c r="AK1223" i="85"/>
  <c r="N1223" i="85"/>
  <c r="H1223" i="85"/>
  <c r="A1223" i="85"/>
  <c r="AL1222" i="85"/>
  <c r="AK1222" i="85"/>
  <c r="N1222" i="85"/>
  <c r="H1222" i="85"/>
  <c r="A1222" i="85"/>
  <c r="AL1221" i="85"/>
  <c r="AK1221" i="85"/>
  <c r="N1221" i="85"/>
  <c r="H1221" i="85"/>
  <c r="A1221" i="85"/>
  <c r="AL1220" i="85"/>
  <c r="AK1220" i="85"/>
  <c r="AD1220" i="85"/>
  <c r="N1220" i="85"/>
  <c r="H1220" i="85"/>
  <c r="A1220" i="85"/>
  <c r="AL1219" i="85"/>
  <c r="AK1219" i="85"/>
  <c r="N1219" i="85"/>
  <c r="H1219" i="85"/>
  <c r="A1219" i="85"/>
  <c r="AL1218" i="85"/>
  <c r="AK1218" i="85"/>
  <c r="N1218" i="85"/>
  <c r="H1218" i="85"/>
  <c r="A1218" i="85"/>
  <c r="AL1217" i="85"/>
  <c r="AK1217" i="85"/>
  <c r="N1217" i="85"/>
  <c r="H1217" i="85"/>
  <c r="A1217" i="85"/>
  <c r="AL1216" i="85"/>
  <c r="AK1216" i="85"/>
  <c r="N1216" i="85"/>
  <c r="H1216" i="85"/>
  <c r="A1216" i="85"/>
  <c r="AL1215" i="85"/>
  <c r="AK1215" i="85"/>
  <c r="N1215" i="85"/>
  <c r="H1215" i="85"/>
  <c r="A1215" i="85"/>
  <c r="AL1214" i="85"/>
  <c r="AK1214" i="85"/>
  <c r="N1214" i="85"/>
  <c r="H1214" i="85"/>
  <c r="A1214" i="85"/>
  <c r="AL1213" i="85"/>
  <c r="AK1213" i="85"/>
  <c r="N1213" i="85"/>
  <c r="H1213" i="85"/>
  <c r="A1213" i="85"/>
  <c r="AL1212" i="85"/>
  <c r="AK1212" i="85"/>
  <c r="N1212" i="85"/>
  <c r="H1212" i="85"/>
  <c r="A1212" i="85"/>
  <c r="AL1211" i="85"/>
  <c r="AK1211" i="85"/>
  <c r="N1211" i="85"/>
  <c r="H1211" i="85"/>
  <c r="A1211" i="85"/>
  <c r="AL1210" i="85"/>
  <c r="AK1210" i="85"/>
  <c r="N1210" i="85"/>
  <c r="H1210" i="85"/>
  <c r="A1210" i="85"/>
  <c r="AL1209" i="85"/>
  <c r="AK1209" i="85"/>
  <c r="N1209" i="85"/>
  <c r="H1209" i="85"/>
  <c r="A1209" i="85"/>
  <c r="AL1208" i="85"/>
  <c r="AK1208" i="85"/>
  <c r="AD1208" i="85"/>
  <c r="N1208" i="85"/>
  <c r="H1208" i="85"/>
  <c r="A1208" i="85"/>
  <c r="AL1207" i="85"/>
  <c r="AK1207" i="85"/>
  <c r="AD1207" i="85"/>
  <c r="N1207" i="85"/>
  <c r="H1207" i="85"/>
  <c r="A1207" i="85"/>
  <c r="AL1206" i="85"/>
  <c r="AK1206" i="85"/>
  <c r="AD1206" i="85"/>
  <c r="N1206" i="85"/>
  <c r="H1206" i="85"/>
  <c r="A1206" i="85"/>
  <c r="AL1205" i="85"/>
  <c r="AK1205" i="85"/>
  <c r="N1205" i="85"/>
  <c r="H1205" i="85"/>
  <c r="A1205" i="85"/>
  <c r="AL1204" i="85"/>
  <c r="AK1204" i="85"/>
  <c r="N1204" i="85"/>
  <c r="H1204" i="85"/>
  <c r="A1204" i="85"/>
  <c r="AL1203" i="85"/>
  <c r="AK1203" i="85"/>
  <c r="N1203" i="85"/>
  <c r="H1203" i="85"/>
  <c r="A1203" i="85"/>
  <c r="AL1202" i="85"/>
  <c r="AK1202" i="85"/>
  <c r="AD1202" i="85"/>
  <c r="N1202" i="85"/>
  <c r="H1202" i="85"/>
  <c r="A1202" i="85"/>
  <c r="AL1201" i="85"/>
  <c r="AK1201" i="85"/>
  <c r="N1201" i="85"/>
  <c r="H1201" i="85"/>
  <c r="A1201" i="85"/>
  <c r="AL1200" i="85"/>
  <c r="AK1200" i="85"/>
  <c r="N1200" i="85"/>
  <c r="H1200" i="85"/>
  <c r="A1200" i="85"/>
  <c r="AL1199" i="85"/>
  <c r="AK1199" i="85"/>
  <c r="N1199" i="85"/>
  <c r="H1199" i="85"/>
  <c r="A1199" i="85"/>
  <c r="AL1198" i="85"/>
  <c r="AK1198" i="85"/>
  <c r="AI1198" i="85"/>
  <c r="AD1198" i="85"/>
  <c r="N1198" i="85"/>
  <c r="H1198" i="85"/>
  <c r="A1198" i="85"/>
  <c r="AL1197" i="85"/>
  <c r="AK1197" i="85"/>
  <c r="N1197" i="85"/>
  <c r="H1197" i="85"/>
  <c r="A1197" i="85"/>
  <c r="AL1196" i="85"/>
  <c r="AK1196" i="85"/>
  <c r="N1196" i="85"/>
  <c r="H1196" i="85"/>
  <c r="A1196" i="85"/>
  <c r="AL1195" i="85"/>
  <c r="AK1195" i="85"/>
  <c r="N1195" i="85"/>
  <c r="H1195" i="85"/>
  <c r="A1195" i="85"/>
  <c r="AL1194" i="85"/>
  <c r="AK1194" i="85"/>
  <c r="N1194" i="85"/>
  <c r="H1194" i="85"/>
  <c r="A1194" i="85"/>
  <c r="AL1193" i="85"/>
  <c r="AK1193" i="85"/>
  <c r="N1193" i="85"/>
  <c r="H1193" i="85"/>
  <c r="A1193" i="85"/>
  <c r="AL1192" i="85"/>
  <c r="AK1192" i="85"/>
  <c r="N1192" i="85"/>
  <c r="H1192" i="85"/>
  <c r="A1192" i="85"/>
  <c r="AL1191" i="85"/>
  <c r="AK1191" i="85"/>
  <c r="N1191" i="85"/>
  <c r="H1191" i="85"/>
  <c r="A1191" i="85"/>
  <c r="AL1190" i="85"/>
  <c r="AK1190" i="85"/>
  <c r="N1190" i="85"/>
  <c r="H1190" i="85"/>
  <c r="A1190" i="85"/>
  <c r="AL1189" i="85"/>
  <c r="AK1189" i="85"/>
  <c r="N1189" i="85"/>
  <c r="H1189" i="85"/>
  <c r="A1189" i="85"/>
  <c r="AL1188" i="85"/>
  <c r="AK1188" i="85"/>
  <c r="N1188" i="85"/>
  <c r="H1188" i="85"/>
  <c r="A1188" i="85"/>
  <c r="AL1187" i="85"/>
  <c r="AK1187" i="85"/>
  <c r="N1187" i="85"/>
  <c r="H1187" i="85"/>
  <c r="A1187" i="85"/>
  <c r="AL1186" i="85"/>
  <c r="AK1186" i="85"/>
  <c r="N1186" i="85"/>
  <c r="H1186" i="85"/>
  <c r="A1186" i="85"/>
  <c r="AL1185" i="85"/>
  <c r="AK1185" i="85"/>
  <c r="N1185" i="85"/>
  <c r="H1185" i="85"/>
  <c r="A1185" i="85"/>
  <c r="AL1184" i="85"/>
  <c r="AK1184" i="85"/>
  <c r="N1184" i="85"/>
  <c r="H1184" i="85"/>
  <c r="A1184" i="85"/>
  <c r="AL1183" i="85"/>
  <c r="AK1183" i="85"/>
  <c r="N1183" i="85"/>
  <c r="H1183" i="85"/>
  <c r="A1183" i="85"/>
  <c r="AL1182" i="85"/>
  <c r="AK1182" i="85"/>
  <c r="N1182" i="85"/>
  <c r="H1182" i="85"/>
  <c r="A1182" i="85"/>
  <c r="AM1181" i="85"/>
  <c r="AL1181" i="85"/>
  <c r="AK1181" i="85"/>
  <c r="N1181" i="85"/>
  <c r="H1181" i="85"/>
  <c r="A1181" i="85"/>
  <c r="AL1180" i="85"/>
  <c r="AK1180" i="85"/>
  <c r="N1180" i="85"/>
  <c r="H1180" i="85"/>
  <c r="A1180" i="85"/>
  <c r="AL1179" i="85"/>
  <c r="AK1179" i="85"/>
  <c r="N1179" i="85"/>
  <c r="H1179" i="85"/>
  <c r="A1179" i="85"/>
  <c r="AL1178" i="85"/>
  <c r="AK1178" i="85"/>
  <c r="N1178" i="85"/>
  <c r="H1178" i="85"/>
  <c r="A1178" i="85"/>
  <c r="AL1177" i="85"/>
  <c r="AK1177" i="85"/>
  <c r="N1177" i="85"/>
  <c r="H1177" i="85"/>
  <c r="A1177" i="85"/>
  <c r="AL1176" i="85"/>
  <c r="AK1176" i="85"/>
  <c r="N1176" i="85"/>
  <c r="H1176" i="85"/>
  <c r="A1176" i="85"/>
  <c r="AL1175" i="85"/>
  <c r="AK1175" i="85"/>
  <c r="N1175" i="85"/>
  <c r="H1175" i="85"/>
  <c r="A1175" i="85"/>
  <c r="AL1174" i="85"/>
  <c r="AK1174" i="85"/>
  <c r="N1174" i="85"/>
  <c r="H1174" i="85"/>
  <c r="A1174" i="85"/>
  <c r="AL1173" i="85"/>
  <c r="AK1173" i="85"/>
  <c r="N1173" i="85"/>
  <c r="H1173" i="85"/>
  <c r="A1173" i="85"/>
  <c r="AL1172" i="85"/>
  <c r="AK1172" i="85"/>
  <c r="N1172" i="85"/>
  <c r="H1172" i="85"/>
  <c r="A1172" i="85"/>
  <c r="AL1171" i="85"/>
  <c r="AK1171" i="85"/>
  <c r="N1171" i="85"/>
  <c r="H1171" i="85"/>
  <c r="A1171" i="85"/>
  <c r="AL1170" i="85"/>
  <c r="AK1170" i="85"/>
  <c r="N1170" i="85"/>
  <c r="H1170" i="85"/>
  <c r="A1170" i="85"/>
  <c r="AL1169" i="85"/>
  <c r="AK1169" i="85"/>
  <c r="N1169" i="85"/>
  <c r="H1169" i="85"/>
  <c r="A1169" i="85"/>
  <c r="AL1168" i="85"/>
  <c r="AK1168" i="85"/>
  <c r="N1168" i="85"/>
  <c r="H1168" i="85"/>
  <c r="A1168" i="85"/>
  <c r="AL1167" i="85"/>
  <c r="AK1167" i="85"/>
  <c r="N1167" i="85"/>
  <c r="H1167" i="85"/>
  <c r="A1167" i="85"/>
  <c r="AL1166" i="85"/>
  <c r="AK1166" i="85"/>
  <c r="N1166" i="85"/>
  <c r="H1166" i="85"/>
  <c r="A1166" i="85"/>
  <c r="AL1165" i="85"/>
  <c r="AK1165" i="85"/>
  <c r="N1165" i="85"/>
  <c r="H1165" i="85"/>
  <c r="A1165" i="85"/>
  <c r="AL1164" i="85"/>
  <c r="AK1164" i="85"/>
  <c r="N1164" i="85"/>
  <c r="H1164" i="85"/>
  <c r="A1164" i="85"/>
  <c r="AL1163" i="85"/>
  <c r="AK1163" i="85"/>
  <c r="N1163" i="85"/>
  <c r="H1163" i="85"/>
  <c r="A1163" i="85"/>
  <c r="AL1162" i="85"/>
  <c r="AK1162" i="85"/>
  <c r="N1162" i="85"/>
  <c r="H1162" i="85"/>
  <c r="A1162" i="85"/>
  <c r="AL1161" i="85"/>
  <c r="AK1161" i="85"/>
  <c r="N1161" i="85"/>
  <c r="H1161" i="85"/>
  <c r="A1161" i="85"/>
  <c r="AL1160" i="85"/>
  <c r="AK1160" i="85"/>
  <c r="N1160" i="85"/>
  <c r="H1160" i="85"/>
  <c r="A1160" i="85"/>
  <c r="AL1159" i="85"/>
  <c r="AK1159" i="85"/>
  <c r="N1159" i="85"/>
  <c r="H1159" i="85"/>
  <c r="A1159" i="85"/>
  <c r="AL1158" i="85"/>
  <c r="AK1158" i="85"/>
  <c r="N1158" i="85"/>
  <c r="H1158" i="85"/>
  <c r="A1158" i="85"/>
  <c r="AL1157" i="85"/>
  <c r="AK1157" i="85"/>
  <c r="N1157" i="85"/>
  <c r="H1157" i="85"/>
  <c r="A1157" i="85"/>
  <c r="AL1156" i="85"/>
  <c r="AK1156" i="85"/>
  <c r="N1156" i="85"/>
  <c r="H1156" i="85"/>
  <c r="A1156" i="85"/>
  <c r="AL1155" i="85"/>
  <c r="AK1155" i="85"/>
  <c r="N1155" i="85"/>
  <c r="H1155" i="85"/>
  <c r="A1155" i="85"/>
  <c r="AL1154" i="85"/>
  <c r="AK1154" i="85"/>
  <c r="N1154" i="85"/>
  <c r="H1154" i="85"/>
  <c r="A1154" i="85"/>
  <c r="AL1153" i="85"/>
  <c r="AK1153" i="85"/>
  <c r="N1153" i="85"/>
  <c r="H1153" i="85"/>
  <c r="A1153" i="85"/>
  <c r="AL1152" i="85"/>
  <c r="AK1152" i="85"/>
  <c r="N1152" i="85"/>
  <c r="H1152" i="85"/>
  <c r="A1152" i="85"/>
  <c r="AL1151" i="85"/>
  <c r="AK1151" i="85"/>
  <c r="N1151" i="85"/>
  <c r="H1151" i="85"/>
  <c r="A1151" i="85"/>
  <c r="AL1150" i="85"/>
  <c r="AK1150" i="85"/>
  <c r="N1150" i="85"/>
  <c r="H1150" i="85"/>
  <c r="A1150" i="85"/>
  <c r="AL1149" i="85"/>
  <c r="AK1149" i="85"/>
  <c r="N1149" i="85"/>
  <c r="H1149" i="85"/>
  <c r="A1149" i="85"/>
  <c r="AL1148" i="85"/>
  <c r="AK1148" i="85"/>
  <c r="N1148" i="85"/>
  <c r="H1148" i="85"/>
  <c r="A1148" i="85"/>
  <c r="AL1147" i="85"/>
  <c r="AK1147" i="85"/>
  <c r="N1147" i="85"/>
  <c r="H1147" i="85"/>
  <c r="A1147" i="85"/>
  <c r="AL1146" i="85"/>
  <c r="AK1146" i="85"/>
  <c r="N1146" i="85"/>
  <c r="H1146" i="85"/>
  <c r="A1146" i="85"/>
  <c r="AL1145" i="85"/>
  <c r="AK1145" i="85"/>
  <c r="N1145" i="85"/>
  <c r="H1145" i="85"/>
  <c r="A1145" i="85"/>
  <c r="AL1144" i="85"/>
  <c r="AK1144" i="85"/>
  <c r="N1144" i="85"/>
  <c r="H1144" i="85"/>
  <c r="A1144" i="85"/>
  <c r="AM1143" i="85"/>
  <c r="AL1143" i="85"/>
  <c r="AK1143" i="85"/>
  <c r="N1143" i="85"/>
  <c r="H1143" i="85"/>
  <c r="A1143" i="85"/>
  <c r="AL1142" i="85"/>
  <c r="AK1142" i="85"/>
  <c r="N1142" i="85"/>
  <c r="H1142" i="85"/>
  <c r="A1142" i="85"/>
  <c r="AL1141" i="85"/>
  <c r="AK1141" i="85"/>
  <c r="N1141" i="85"/>
  <c r="H1141" i="85"/>
  <c r="A1141" i="85"/>
  <c r="AL1140" i="85"/>
  <c r="AK1140" i="85"/>
  <c r="N1140" i="85"/>
  <c r="H1140" i="85"/>
  <c r="A1140" i="85"/>
  <c r="AL1139" i="85"/>
  <c r="AK1139" i="85"/>
  <c r="AD1139" i="85"/>
  <c r="N1139" i="85"/>
  <c r="H1139" i="85"/>
  <c r="A1139" i="85"/>
  <c r="AL1138" i="85"/>
  <c r="AK1138" i="85"/>
  <c r="AD1138" i="85"/>
  <c r="N1138" i="85"/>
  <c r="H1138" i="85"/>
  <c r="A1138" i="85"/>
  <c r="AL1137" i="85"/>
  <c r="AK1137" i="85"/>
  <c r="AD1137" i="85"/>
  <c r="N1137" i="85"/>
  <c r="H1137" i="85"/>
  <c r="A1137" i="85"/>
  <c r="AL1136" i="85"/>
  <c r="AK1136" i="85"/>
  <c r="N1136" i="85"/>
  <c r="H1136" i="85"/>
  <c r="A1136" i="85"/>
  <c r="AL1135" i="85"/>
  <c r="AK1135" i="85"/>
  <c r="N1135" i="85"/>
  <c r="H1135" i="85"/>
  <c r="A1135" i="85"/>
  <c r="AL1134" i="85"/>
  <c r="AK1134" i="85"/>
  <c r="N1134" i="85"/>
  <c r="H1134" i="85"/>
  <c r="A1134" i="85"/>
  <c r="AL1133" i="85"/>
  <c r="AK1133" i="85"/>
  <c r="N1133" i="85"/>
  <c r="H1133" i="85"/>
  <c r="A1133" i="85"/>
  <c r="AL1132" i="85"/>
  <c r="AK1132" i="85"/>
  <c r="N1132" i="85"/>
  <c r="H1132" i="85"/>
  <c r="A1132" i="85"/>
  <c r="AM1131" i="85"/>
  <c r="AL1131" i="85"/>
  <c r="AK1131" i="85"/>
  <c r="N1131" i="85"/>
  <c r="H1131" i="85"/>
  <c r="A1131" i="85"/>
  <c r="AL1130" i="85"/>
  <c r="AK1130" i="85"/>
  <c r="N1130" i="85"/>
  <c r="H1130" i="85"/>
  <c r="A1130" i="85"/>
  <c r="AL1129" i="85"/>
  <c r="AK1129" i="85"/>
  <c r="N1129" i="85"/>
  <c r="H1129" i="85"/>
  <c r="A1129" i="85"/>
  <c r="AL1128" i="85"/>
  <c r="AK1128" i="85"/>
  <c r="N1128" i="85"/>
  <c r="H1128" i="85"/>
  <c r="A1128" i="85"/>
  <c r="AL1127" i="85"/>
  <c r="AK1127" i="85"/>
  <c r="N1127" i="85"/>
  <c r="H1127" i="85"/>
  <c r="A1127" i="85"/>
  <c r="AL1126" i="85"/>
  <c r="AK1126" i="85"/>
  <c r="N1126" i="85"/>
  <c r="H1126" i="85"/>
  <c r="A1126" i="85"/>
  <c r="AL1125" i="85"/>
  <c r="AK1125" i="85"/>
  <c r="N1125" i="85"/>
  <c r="H1125" i="85"/>
  <c r="A1125" i="85"/>
  <c r="AL1124" i="85"/>
  <c r="AK1124" i="85"/>
  <c r="N1124" i="85"/>
  <c r="H1124" i="85"/>
  <c r="A1124" i="85"/>
  <c r="AL1123" i="85"/>
  <c r="AK1123" i="85"/>
  <c r="N1123" i="85"/>
  <c r="H1123" i="85"/>
  <c r="A1123" i="85"/>
  <c r="AL1122" i="85"/>
  <c r="AK1122" i="85"/>
  <c r="N1122" i="85"/>
  <c r="H1122" i="85"/>
  <c r="A1122" i="85"/>
  <c r="AL1121" i="85"/>
  <c r="AK1121" i="85"/>
  <c r="N1121" i="85"/>
  <c r="H1121" i="85"/>
  <c r="A1121" i="85"/>
  <c r="AL1120" i="85"/>
  <c r="AK1120" i="85"/>
  <c r="N1120" i="85"/>
  <c r="H1120" i="85"/>
  <c r="A1120" i="85"/>
  <c r="AL1119" i="85"/>
  <c r="AK1119" i="85"/>
  <c r="N1119" i="85"/>
  <c r="H1119" i="85"/>
  <c r="A1119" i="85"/>
  <c r="AM1118" i="85"/>
  <c r="AL1118" i="85"/>
  <c r="AK1118" i="85"/>
  <c r="N1118" i="85"/>
  <c r="H1118" i="85"/>
  <c r="A1118" i="85"/>
  <c r="AL1117" i="85"/>
  <c r="AK1117" i="85"/>
  <c r="N1117" i="85"/>
  <c r="H1117" i="85"/>
  <c r="A1117" i="85"/>
  <c r="AL1116" i="85"/>
  <c r="AK1116" i="85"/>
  <c r="N1116" i="85"/>
  <c r="H1116" i="85"/>
  <c r="A1116" i="85"/>
  <c r="AL1115" i="85"/>
  <c r="AK1115" i="85"/>
  <c r="N1115" i="85"/>
  <c r="H1115" i="85"/>
  <c r="A1115" i="85"/>
  <c r="AL1114" i="85"/>
  <c r="AK1114" i="85"/>
  <c r="N1114" i="85"/>
  <c r="H1114" i="85"/>
  <c r="A1114" i="85"/>
  <c r="AL1113" i="85"/>
  <c r="AK1113" i="85"/>
  <c r="AD1113" i="85"/>
  <c r="N1113" i="85"/>
  <c r="H1113" i="85"/>
  <c r="A1113" i="85"/>
  <c r="AL1112" i="85"/>
  <c r="AK1112" i="85"/>
  <c r="N1112" i="85"/>
  <c r="H1112" i="85"/>
  <c r="A1112" i="85"/>
  <c r="AL1111" i="85"/>
  <c r="AK1111" i="85"/>
  <c r="N1111" i="85"/>
  <c r="H1111" i="85"/>
  <c r="A1111" i="85"/>
  <c r="AL1110" i="85"/>
  <c r="AK1110" i="85"/>
  <c r="N1110" i="85"/>
  <c r="H1110" i="85"/>
  <c r="A1110" i="85"/>
  <c r="AL1109" i="85"/>
  <c r="AK1109" i="85"/>
  <c r="N1109" i="85"/>
  <c r="H1109" i="85"/>
  <c r="A1109" i="85"/>
  <c r="AL1108" i="85"/>
  <c r="AK1108" i="85"/>
  <c r="N1108" i="85"/>
  <c r="H1108" i="85"/>
  <c r="A1108" i="85"/>
  <c r="AL1107" i="85"/>
  <c r="AK1107" i="85"/>
  <c r="N1107" i="85"/>
  <c r="H1107" i="85"/>
  <c r="A1107" i="85"/>
  <c r="AL1106" i="85"/>
  <c r="AK1106" i="85"/>
  <c r="N1106" i="85"/>
  <c r="H1106" i="85"/>
  <c r="A1106" i="85"/>
  <c r="AL1105" i="85"/>
  <c r="AK1105" i="85"/>
  <c r="N1105" i="85"/>
  <c r="H1105" i="85"/>
  <c r="A1105" i="85"/>
  <c r="AL1104" i="85"/>
  <c r="AK1104" i="85"/>
  <c r="N1104" i="85"/>
  <c r="H1104" i="85"/>
  <c r="A1104" i="85"/>
  <c r="AM1103" i="85"/>
  <c r="AL1103" i="85"/>
  <c r="AK1103" i="85"/>
  <c r="N1103" i="85"/>
  <c r="H1103" i="85"/>
  <c r="A1103" i="85"/>
  <c r="AL1102" i="85"/>
  <c r="AK1102" i="85"/>
  <c r="N1102" i="85"/>
  <c r="H1102" i="85"/>
  <c r="A1102" i="85"/>
  <c r="AL1101" i="85"/>
  <c r="AK1101" i="85"/>
  <c r="N1101" i="85"/>
  <c r="H1101" i="85"/>
  <c r="A1101" i="85"/>
  <c r="AL1100" i="85"/>
  <c r="AK1100" i="85"/>
  <c r="N1100" i="85"/>
  <c r="H1100" i="85"/>
  <c r="A1100" i="85"/>
  <c r="AL1099" i="85"/>
  <c r="AK1099" i="85"/>
  <c r="N1099" i="85"/>
  <c r="H1099" i="85"/>
  <c r="A1099" i="85"/>
  <c r="AL1098" i="85"/>
  <c r="AK1098" i="85"/>
  <c r="N1098" i="85"/>
  <c r="H1098" i="85"/>
  <c r="A1098" i="85"/>
  <c r="AL1097" i="85"/>
  <c r="AK1097" i="85"/>
  <c r="N1097" i="85"/>
  <c r="H1097" i="85"/>
  <c r="A1097" i="85"/>
  <c r="AL1096" i="85"/>
  <c r="AK1096" i="85"/>
  <c r="N1096" i="85"/>
  <c r="H1096" i="85"/>
  <c r="A1096" i="85"/>
  <c r="AL1095" i="85"/>
  <c r="AK1095" i="85"/>
  <c r="N1095" i="85"/>
  <c r="H1095" i="85"/>
  <c r="A1095" i="85"/>
  <c r="AL1094" i="85"/>
  <c r="AK1094" i="85"/>
  <c r="AD1094" i="85"/>
  <c r="N1094" i="85"/>
  <c r="H1094" i="85"/>
  <c r="A1094" i="85"/>
  <c r="AL1093" i="85"/>
  <c r="AK1093" i="85"/>
  <c r="N1093" i="85"/>
  <c r="H1093" i="85"/>
  <c r="A1093" i="85"/>
  <c r="AL1092" i="85"/>
  <c r="AK1092" i="85"/>
  <c r="N1092" i="85"/>
  <c r="H1092" i="85"/>
  <c r="A1092" i="85"/>
  <c r="AL1091" i="85"/>
  <c r="AK1091" i="85"/>
  <c r="N1091" i="85"/>
  <c r="H1091" i="85"/>
  <c r="A1091" i="85"/>
  <c r="AL1090" i="85"/>
  <c r="AK1090" i="85"/>
  <c r="N1090" i="85"/>
  <c r="H1090" i="85"/>
  <c r="A1090" i="85"/>
  <c r="AL1089" i="85"/>
  <c r="AK1089" i="85"/>
  <c r="N1089" i="85"/>
  <c r="H1089" i="85"/>
  <c r="A1089" i="85"/>
  <c r="AL1088" i="85"/>
  <c r="AK1088" i="85"/>
  <c r="N1088" i="85"/>
  <c r="H1088" i="85"/>
  <c r="A1088" i="85"/>
  <c r="AL1087" i="85"/>
  <c r="AK1087" i="85"/>
  <c r="N1087" i="85"/>
  <c r="H1087" i="85"/>
  <c r="A1087" i="85"/>
  <c r="AL1086" i="85"/>
  <c r="AK1086" i="85"/>
  <c r="N1086" i="85"/>
  <c r="H1086" i="85"/>
  <c r="A1086" i="85"/>
  <c r="AL1085" i="85"/>
  <c r="AK1085" i="85"/>
  <c r="N1085" i="85"/>
  <c r="H1085" i="85"/>
  <c r="A1085" i="85"/>
  <c r="AL1084" i="85"/>
  <c r="AK1084" i="85"/>
  <c r="N1084" i="85"/>
  <c r="H1084" i="85"/>
  <c r="A1084" i="85"/>
  <c r="AL1083" i="85"/>
  <c r="AK1083" i="85"/>
  <c r="N1083" i="85"/>
  <c r="H1083" i="85"/>
  <c r="A1083" i="85"/>
  <c r="AL1082" i="85"/>
  <c r="AK1082" i="85"/>
  <c r="N1082" i="85"/>
  <c r="H1082" i="85"/>
  <c r="A1082" i="85"/>
  <c r="AL1081" i="85"/>
  <c r="AK1081" i="85"/>
  <c r="AD1081" i="85"/>
  <c r="N1081" i="85"/>
  <c r="H1081" i="85"/>
  <c r="A1081" i="85"/>
  <c r="AL1080" i="85"/>
  <c r="AK1080" i="85"/>
  <c r="N1080" i="85"/>
  <c r="H1080" i="85"/>
  <c r="A1080" i="85"/>
  <c r="AL1079" i="85"/>
  <c r="AK1079" i="85"/>
  <c r="N1079" i="85"/>
  <c r="H1079" i="85"/>
  <c r="A1079" i="85"/>
  <c r="AL1078" i="85"/>
  <c r="AK1078" i="85"/>
  <c r="N1078" i="85"/>
  <c r="H1078" i="85"/>
  <c r="A1078" i="85"/>
  <c r="AL1077" i="85"/>
  <c r="AK1077" i="85"/>
  <c r="N1077" i="85"/>
  <c r="H1077" i="85"/>
  <c r="A1077" i="85"/>
  <c r="AL1076" i="85"/>
  <c r="AK1076" i="85"/>
  <c r="AD1076" i="85"/>
  <c r="N1076" i="85"/>
  <c r="H1076" i="85"/>
  <c r="A1076" i="85"/>
  <c r="AL1075" i="85"/>
  <c r="AK1075" i="85"/>
  <c r="N1075" i="85"/>
  <c r="H1075" i="85"/>
  <c r="A1075" i="85"/>
  <c r="AL1074" i="85"/>
  <c r="AK1074" i="85"/>
  <c r="N1074" i="85"/>
  <c r="H1074" i="85"/>
  <c r="A1074" i="85"/>
  <c r="AL1073" i="85"/>
  <c r="AK1073" i="85"/>
  <c r="N1073" i="85"/>
  <c r="H1073" i="85"/>
  <c r="A1073" i="85"/>
  <c r="AL1072" i="85"/>
  <c r="AK1072" i="85"/>
  <c r="N1072" i="85"/>
  <c r="H1072" i="85"/>
  <c r="A1072" i="85"/>
  <c r="AL1071" i="85"/>
  <c r="AK1071" i="85"/>
  <c r="N1071" i="85"/>
  <c r="H1071" i="85"/>
  <c r="A1071" i="85"/>
  <c r="AL1070" i="85"/>
  <c r="AK1070" i="85"/>
  <c r="N1070" i="85"/>
  <c r="H1070" i="85"/>
  <c r="A1070" i="85"/>
  <c r="AL1069" i="85"/>
  <c r="AK1069" i="85"/>
  <c r="N1069" i="85"/>
  <c r="H1069" i="85"/>
  <c r="A1069" i="85"/>
  <c r="AL1068" i="85"/>
  <c r="AK1068" i="85"/>
  <c r="N1068" i="85"/>
  <c r="H1068" i="85"/>
  <c r="A1068" i="85"/>
  <c r="AL1067" i="85"/>
  <c r="AK1067" i="85"/>
  <c r="N1067" i="85"/>
  <c r="H1067" i="85"/>
  <c r="A1067" i="85"/>
  <c r="AM1066" i="85"/>
  <c r="AL1066" i="85"/>
  <c r="AK1066" i="85"/>
  <c r="N1066" i="85"/>
  <c r="H1066" i="85"/>
  <c r="A1066" i="85"/>
  <c r="AL1065" i="85"/>
  <c r="AK1065" i="85"/>
  <c r="N1065" i="85"/>
  <c r="H1065" i="85"/>
  <c r="A1065" i="85"/>
  <c r="AL1064" i="85"/>
  <c r="AK1064" i="85"/>
  <c r="N1064" i="85"/>
  <c r="H1064" i="85"/>
  <c r="A1064" i="85"/>
  <c r="AL1063" i="85"/>
  <c r="AK1063" i="85"/>
  <c r="N1063" i="85"/>
  <c r="H1063" i="85"/>
  <c r="A1063" i="85"/>
  <c r="AL1062" i="85"/>
  <c r="AK1062" i="85"/>
  <c r="N1062" i="85"/>
  <c r="H1062" i="85"/>
  <c r="A1062" i="85"/>
  <c r="AL1061" i="85"/>
  <c r="AK1061" i="85"/>
  <c r="N1061" i="85"/>
  <c r="H1061" i="85"/>
  <c r="A1061" i="85"/>
  <c r="AL1060" i="85"/>
  <c r="AK1060" i="85"/>
  <c r="N1060" i="85"/>
  <c r="H1060" i="85"/>
  <c r="A1060" i="85"/>
  <c r="AL1059" i="85"/>
  <c r="AK1059" i="85"/>
  <c r="N1059" i="85"/>
  <c r="H1059" i="85"/>
  <c r="A1059" i="85"/>
  <c r="AL1058" i="85"/>
  <c r="AK1058" i="85"/>
  <c r="N1058" i="85"/>
  <c r="H1058" i="85"/>
  <c r="A1058" i="85"/>
  <c r="AM1057" i="85"/>
  <c r="AL1057" i="85"/>
  <c r="AK1057" i="85"/>
  <c r="N1057" i="85"/>
  <c r="H1057" i="85"/>
  <c r="A1057" i="85"/>
  <c r="AL1056" i="85"/>
  <c r="AK1056" i="85"/>
  <c r="N1056" i="85"/>
  <c r="H1056" i="85"/>
  <c r="A1056" i="85"/>
  <c r="AL1055" i="85"/>
  <c r="AK1055" i="85"/>
  <c r="N1055" i="85"/>
  <c r="H1055" i="85"/>
  <c r="A1055" i="85"/>
  <c r="AL1054" i="85"/>
  <c r="AK1054" i="85"/>
  <c r="N1054" i="85"/>
  <c r="H1054" i="85"/>
  <c r="A1054" i="85"/>
  <c r="AL1053" i="85"/>
  <c r="AK1053" i="85"/>
  <c r="N1053" i="85"/>
  <c r="H1053" i="85"/>
  <c r="A1053" i="85"/>
  <c r="AM1052" i="85"/>
  <c r="AL1052" i="85"/>
  <c r="AK1052" i="85"/>
  <c r="AD1052" i="85"/>
  <c r="N1052" i="85"/>
  <c r="H1052" i="85"/>
  <c r="A1052" i="85"/>
  <c r="AL1051" i="85"/>
  <c r="AK1051" i="85"/>
  <c r="N1051" i="85"/>
  <c r="H1051" i="85"/>
  <c r="A1051" i="85"/>
  <c r="AL1050" i="85"/>
  <c r="AK1050" i="85"/>
  <c r="N1050" i="85"/>
  <c r="H1050" i="85"/>
  <c r="A1050" i="85"/>
  <c r="AM1049" i="85"/>
  <c r="AL1049" i="85"/>
  <c r="AK1049" i="85"/>
  <c r="N1049" i="85"/>
  <c r="H1049" i="85"/>
  <c r="A1049" i="85"/>
  <c r="AL1048" i="85"/>
  <c r="AK1048" i="85"/>
  <c r="AD1048" i="85"/>
  <c r="N1048" i="85"/>
  <c r="H1048" i="85"/>
  <c r="A1048" i="85"/>
  <c r="AL1047" i="85"/>
  <c r="AK1047" i="85"/>
  <c r="N1047" i="85"/>
  <c r="H1047" i="85"/>
  <c r="A1047" i="85"/>
  <c r="AM1046" i="85"/>
  <c r="AL1046" i="85"/>
  <c r="AK1046" i="85"/>
  <c r="N1046" i="85"/>
  <c r="H1046" i="85"/>
  <c r="A1046" i="85"/>
  <c r="AL1045" i="85"/>
  <c r="AK1045" i="85"/>
  <c r="N1045" i="85"/>
  <c r="H1045" i="85"/>
  <c r="A1045" i="85"/>
  <c r="AL1044" i="85"/>
  <c r="AK1044" i="85"/>
  <c r="N1044" i="85"/>
  <c r="H1044" i="85"/>
  <c r="A1044" i="85"/>
  <c r="AL1043" i="85"/>
  <c r="AK1043" i="85"/>
  <c r="N1043" i="85"/>
  <c r="H1043" i="85"/>
  <c r="A1043" i="85"/>
  <c r="AL1042" i="85"/>
  <c r="AK1042" i="85"/>
  <c r="N1042" i="85"/>
  <c r="H1042" i="85"/>
  <c r="A1042" i="85"/>
  <c r="AL1041" i="85"/>
  <c r="AK1041" i="85"/>
  <c r="N1041" i="85"/>
  <c r="H1041" i="85"/>
  <c r="A1041" i="85"/>
  <c r="AL1040" i="85"/>
  <c r="AK1040" i="85"/>
  <c r="N1040" i="85"/>
  <c r="H1040" i="85"/>
  <c r="A1040" i="85"/>
  <c r="AM1039" i="85"/>
  <c r="AL1039" i="85"/>
  <c r="AK1039" i="85"/>
  <c r="AD1039" i="85"/>
  <c r="N1039" i="85"/>
  <c r="H1039" i="85"/>
  <c r="A1039" i="85"/>
  <c r="AL1038" i="85"/>
  <c r="AK1038" i="85"/>
  <c r="N1038" i="85"/>
  <c r="H1038" i="85"/>
  <c r="A1038" i="85"/>
  <c r="AL1037" i="85"/>
  <c r="AK1037" i="85"/>
  <c r="N1037" i="85"/>
  <c r="H1037" i="85"/>
  <c r="A1037" i="85"/>
  <c r="AL1036" i="85"/>
  <c r="AK1036" i="85"/>
  <c r="N1036" i="85"/>
  <c r="H1036" i="85"/>
  <c r="A1036" i="85"/>
  <c r="AL1035" i="85"/>
  <c r="AK1035" i="85"/>
  <c r="N1035" i="85"/>
  <c r="H1035" i="85"/>
  <c r="A1035" i="85"/>
  <c r="AL1034" i="85"/>
  <c r="AK1034" i="85"/>
  <c r="N1034" i="85"/>
  <c r="H1034" i="85"/>
  <c r="A1034" i="85"/>
  <c r="AL1033" i="85"/>
  <c r="AK1033" i="85"/>
  <c r="N1033" i="85"/>
  <c r="H1033" i="85"/>
  <c r="A1033" i="85"/>
  <c r="AL1032" i="85"/>
  <c r="AK1032" i="85"/>
  <c r="N1032" i="85"/>
  <c r="H1032" i="85"/>
  <c r="A1032" i="85"/>
  <c r="AL1031" i="85"/>
  <c r="AK1031" i="85"/>
  <c r="N1031" i="85"/>
  <c r="H1031" i="85"/>
  <c r="A1031" i="85"/>
  <c r="AL1030" i="85"/>
  <c r="AK1030" i="85"/>
  <c r="AI1030" i="85"/>
  <c r="AD1030" i="85"/>
  <c r="N1030" i="85"/>
  <c r="H1030" i="85"/>
  <c r="A1030" i="85"/>
  <c r="AL1029" i="85"/>
  <c r="AK1029" i="85"/>
  <c r="N1029" i="85"/>
  <c r="H1029" i="85"/>
  <c r="A1029" i="85"/>
  <c r="AL1028" i="85"/>
  <c r="AK1028" i="85"/>
  <c r="N1028" i="85"/>
  <c r="H1028" i="85"/>
  <c r="A1028" i="85"/>
  <c r="AL1027" i="85"/>
  <c r="AK1027" i="85"/>
  <c r="N1027" i="85"/>
  <c r="H1027" i="85"/>
  <c r="A1027" i="85"/>
  <c r="AL1026" i="85"/>
  <c r="AK1026" i="85"/>
  <c r="AD1026" i="85"/>
  <c r="N1026" i="85"/>
  <c r="H1026" i="85"/>
  <c r="A1026" i="85"/>
  <c r="AL1025" i="85"/>
  <c r="AK1025" i="85"/>
  <c r="AD1025" i="85"/>
  <c r="N1025" i="85"/>
  <c r="H1025" i="85"/>
  <c r="A1025" i="85"/>
  <c r="AL1024" i="85"/>
  <c r="AK1024" i="85"/>
  <c r="N1024" i="85"/>
  <c r="H1024" i="85"/>
  <c r="A1024" i="85"/>
  <c r="AL1023" i="85"/>
  <c r="AK1023" i="85"/>
  <c r="AD1023" i="85"/>
  <c r="N1023" i="85"/>
  <c r="H1023" i="85"/>
  <c r="A1023" i="85"/>
  <c r="AL1022" i="85"/>
  <c r="AK1022" i="85"/>
  <c r="N1022" i="85"/>
  <c r="H1022" i="85"/>
  <c r="A1022" i="85"/>
  <c r="AL1021" i="85"/>
  <c r="AK1021" i="85"/>
  <c r="N1021" i="85"/>
  <c r="H1021" i="85"/>
  <c r="A1021" i="85"/>
  <c r="AL1020" i="85"/>
  <c r="AK1020" i="85"/>
  <c r="N1020" i="85"/>
  <c r="H1020" i="85"/>
  <c r="A1020" i="85"/>
  <c r="AL1019" i="85"/>
  <c r="AK1019" i="85"/>
  <c r="N1019" i="85"/>
  <c r="H1019" i="85"/>
  <c r="A1019" i="85"/>
  <c r="AM1018" i="85"/>
  <c r="AL1018" i="85"/>
  <c r="AK1018" i="85"/>
  <c r="N1018" i="85"/>
  <c r="H1018" i="85"/>
  <c r="A1018" i="85"/>
  <c r="AL1017" i="85"/>
  <c r="AK1017" i="85"/>
  <c r="AD1017" i="85"/>
  <c r="N1017" i="85"/>
  <c r="H1017" i="85"/>
  <c r="A1017" i="85"/>
  <c r="AL1016" i="85"/>
  <c r="AK1016" i="85"/>
  <c r="AD1016" i="85"/>
  <c r="N1016" i="85"/>
  <c r="H1016" i="85"/>
  <c r="A1016" i="85"/>
  <c r="AL1015" i="85"/>
  <c r="AK1015" i="85"/>
  <c r="N1015" i="85"/>
  <c r="H1015" i="85"/>
  <c r="A1015" i="85"/>
  <c r="AL1014" i="85"/>
  <c r="AK1014" i="85"/>
  <c r="N1014" i="85"/>
  <c r="H1014" i="85"/>
  <c r="A1014" i="85"/>
  <c r="AL1013" i="85"/>
  <c r="AK1013" i="85"/>
  <c r="AD1013" i="85"/>
  <c r="N1013" i="85"/>
  <c r="H1013" i="85"/>
  <c r="A1013" i="85"/>
  <c r="AL1012" i="85"/>
  <c r="AK1012" i="85"/>
  <c r="N1012" i="85"/>
  <c r="H1012" i="85"/>
  <c r="A1012" i="85"/>
  <c r="AL1011" i="85"/>
  <c r="AK1011" i="85"/>
  <c r="N1011" i="85"/>
  <c r="H1011" i="85"/>
  <c r="A1011" i="85"/>
  <c r="AL1010" i="85"/>
  <c r="AK1010" i="85"/>
  <c r="N1010" i="85"/>
  <c r="H1010" i="85"/>
  <c r="A1010" i="85"/>
  <c r="AL1009" i="85"/>
  <c r="AK1009" i="85"/>
  <c r="AD1009" i="85"/>
  <c r="N1009" i="85"/>
  <c r="H1009" i="85"/>
  <c r="A1009" i="85"/>
  <c r="AL1008" i="85"/>
  <c r="AK1008" i="85"/>
  <c r="N1008" i="85"/>
  <c r="H1008" i="85"/>
  <c r="A1008" i="85"/>
  <c r="AL1007" i="85"/>
  <c r="AK1007" i="85"/>
  <c r="N1007" i="85"/>
  <c r="H1007" i="85"/>
  <c r="A1007" i="85"/>
  <c r="AL1006" i="85"/>
  <c r="AK1006" i="85"/>
  <c r="AI1006" i="85"/>
  <c r="AD1006" i="85"/>
  <c r="N1006" i="85"/>
  <c r="H1006" i="85"/>
  <c r="A1006" i="85"/>
  <c r="AL1005" i="85"/>
  <c r="AK1005" i="85"/>
  <c r="N1005" i="85"/>
  <c r="H1005" i="85"/>
  <c r="A1005" i="85"/>
  <c r="AL1004" i="85"/>
  <c r="AK1004" i="85"/>
  <c r="N1004" i="85"/>
  <c r="H1004" i="85"/>
  <c r="A1004" i="85"/>
  <c r="AL1003" i="85"/>
  <c r="AK1003" i="85"/>
  <c r="N1003" i="85"/>
  <c r="H1003" i="85"/>
  <c r="A1003" i="85"/>
  <c r="AL1002" i="85"/>
  <c r="AK1002" i="85"/>
  <c r="N1002" i="85"/>
  <c r="H1002" i="85"/>
  <c r="A1002" i="85"/>
  <c r="AL1001" i="85"/>
  <c r="AK1001" i="85"/>
  <c r="N1001" i="85"/>
  <c r="H1001" i="85"/>
  <c r="A1001" i="85"/>
  <c r="AL1000" i="85"/>
  <c r="AK1000" i="85"/>
  <c r="N1000" i="85"/>
  <c r="H1000" i="85"/>
  <c r="A1000" i="85"/>
  <c r="AL999" i="85"/>
  <c r="AK999" i="85"/>
  <c r="N999" i="85"/>
  <c r="H999" i="85"/>
  <c r="A999" i="85"/>
  <c r="AL998" i="85"/>
  <c r="AK998" i="85"/>
  <c r="N998" i="85"/>
  <c r="H998" i="85"/>
  <c r="A998" i="85"/>
  <c r="AL997" i="85"/>
  <c r="AK997" i="85"/>
  <c r="AD997" i="85"/>
  <c r="N997" i="85"/>
  <c r="H997" i="85"/>
  <c r="A997" i="85"/>
  <c r="AL996" i="85"/>
  <c r="AK996" i="85"/>
  <c r="N996" i="85"/>
  <c r="H996" i="85"/>
  <c r="A996" i="85"/>
  <c r="AL995" i="85"/>
  <c r="AK995" i="85"/>
  <c r="AD995" i="85"/>
  <c r="N995" i="85"/>
  <c r="H995" i="85"/>
  <c r="A995" i="85"/>
  <c r="AL994" i="85"/>
  <c r="AK994" i="85"/>
  <c r="N994" i="85"/>
  <c r="H994" i="85"/>
  <c r="A994" i="85"/>
  <c r="AL993" i="85"/>
  <c r="AK993" i="85"/>
  <c r="N993" i="85"/>
  <c r="H993" i="85"/>
  <c r="A993" i="85"/>
  <c r="AL992" i="85"/>
  <c r="AK992" i="85"/>
  <c r="N992" i="85"/>
  <c r="H992" i="85"/>
  <c r="A992" i="85"/>
  <c r="AL991" i="85"/>
  <c r="AK991" i="85"/>
  <c r="N991" i="85"/>
  <c r="H991" i="85"/>
  <c r="A991" i="85"/>
  <c r="AL990" i="85"/>
  <c r="AK990" i="85"/>
  <c r="AD990" i="85"/>
  <c r="N990" i="85"/>
  <c r="H990" i="85"/>
  <c r="A990" i="85"/>
  <c r="AL989" i="85"/>
  <c r="AK989" i="85"/>
  <c r="N989" i="85"/>
  <c r="H989" i="85"/>
  <c r="A989" i="85"/>
  <c r="AL988" i="85"/>
  <c r="AK988" i="85"/>
  <c r="N988" i="85"/>
  <c r="H988" i="85"/>
  <c r="A988" i="85"/>
  <c r="AL987" i="85"/>
  <c r="AK987" i="85"/>
  <c r="N987" i="85"/>
  <c r="H987" i="85"/>
  <c r="A987" i="85"/>
  <c r="AL986" i="85"/>
  <c r="AK986" i="85"/>
  <c r="AD986" i="85"/>
  <c r="N986" i="85"/>
  <c r="H986" i="85"/>
  <c r="A986" i="85"/>
  <c r="AL985" i="85"/>
  <c r="AK985" i="85"/>
  <c r="AD985" i="85"/>
  <c r="N985" i="85"/>
  <c r="H985" i="85"/>
  <c r="A985" i="85"/>
  <c r="AL984" i="85"/>
  <c r="AK984" i="85"/>
  <c r="N984" i="85"/>
  <c r="H984" i="85"/>
  <c r="A984" i="85"/>
  <c r="AL983" i="85"/>
  <c r="AK983" i="85"/>
  <c r="N983" i="85"/>
  <c r="H983" i="85"/>
  <c r="A983" i="85"/>
  <c r="AL982" i="85"/>
  <c r="AK982" i="85"/>
  <c r="N982" i="85"/>
  <c r="H982" i="85"/>
  <c r="A982" i="85"/>
  <c r="AL981" i="85"/>
  <c r="AK981" i="85"/>
  <c r="N981" i="85"/>
  <c r="H981" i="85"/>
  <c r="A981" i="85"/>
  <c r="AL980" i="85"/>
  <c r="AK980" i="85"/>
  <c r="N980" i="85"/>
  <c r="H980" i="85"/>
  <c r="A980" i="85"/>
  <c r="AL979" i="85"/>
  <c r="AK979" i="85"/>
  <c r="AD979" i="85"/>
  <c r="N979" i="85"/>
  <c r="H979" i="85"/>
  <c r="A979" i="85"/>
  <c r="AL978" i="85"/>
  <c r="AK978" i="85"/>
  <c r="N978" i="85"/>
  <c r="H978" i="85"/>
  <c r="A978" i="85"/>
  <c r="AL977" i="85"/>
  <c r="AK977" i="85"/>
  <c r="N977" i="85"/>
  <c r="H977" i="85"/>
  <c r="A977" i="85"/>
  <c r="AL976" i="85"/>
  <c r="AK976" i="85"/>
  <c r="N976" i="85"/>
  <c r="H976" i="85"/>
  <c r="A976" i="85"/>
  <c r="AL975" i="85"/>
  <c r="AK975" i="85"/>
  <c r="N975" i="85"/>
  <c r="H975" i="85"/>
  <c r="A975" i="85"/>
  <c r="AL974" i="85"/>
  <c r="AK974" i="85"/>
  <c r="AD974" i="85"/>
  <c r="N974" i="85"/>
  <c r="H974" i="85"/>
  <c r="A974" i="85"/>
  <c r="AL973" i="85"/>
  <c r="AK973" i="85"/>
  <c r="N973" i="85"/>
  <c r="H973" i="85"/>
  <c r="A973" i="85"/>
  <c r="AL972" i="85"/>
  <c r="AK972" i="85"/>
  <c r="N972" i="85"/>
  <c r="H972" i="85"/>
  <c r="A972" i="85"/>
  <c r="AL971" i="85"/>
  <c r="AK971" i="85"/>
  <c r="N971" i="85"/>
  <c r="H971" i="85"/>
  <c r="A971" i="85"/>
  <c r="AL970" i="85"/>
  <c r="AK970" i="85"/>
  <c r="N970" i="85"/>
  <c r="H970" i="85"/>
  <c r="A970" i="85"/>
  <c r="AL969" i="85"/>
  <c r="AK969" i="85"/>
  <c r="N969" i="85"/>
  <c r="H969" i="85"/>
  <c r="A969" i="85"/>
  <c r="AL968" i="85"/>
  <c r="AK968" i="85"/>
  <c r="N968" i="85"/>
  <c r="H968" i="85"/>
  <c r="A968" i="85"/>
  <c r="AL967" i="85"/>
  <c r="AK967" i="85"/>
  <c r="AD967" i="85"/>
  <c r="N967" i="85"/>
  <c r="H967" i="85"/>
  <c r="A967" i="85"/>
  <c r="AL966" i="85"/>
  <c r="AK966" i="85"/>
  <c r="N966" i="85"/>
  <c r="H966" i="85"/>
  <c r="A966" i="85"/>
  <c r="AM965" i="85"/>
  <c r="AL965" i="85"/>
  <c r="AK965" i="85"/>
  <c r="N965" i="85"/>
  <c r="H965" i="85"/>
  <c r="A965" i="85"/>
  <c r="AL964" i="85"/>
  <c r="AK964" i="85"/>
  <c r="N964" i="85"/>
  <c r="H964" i="85"/>
  <c r="A964" i="85"/>
  <c r="AL963" i="85"/>
  <c r="AK963" i="85"/>
  <c r="N963" i="85"/>
  <c r="H963" i="85"/>
  <c r="A963" i="85"/>
  <c r="AL962" i="85"/>
  <c r="AK962" i="85"/>
  <c r="N962" i="85"/>
  <c r="H962" i="85"/>
  <c r="A962" i="85"/>
  <c r="AL961" i="85"/>
  <c r="AK961" i="85"/>
  <c r="AD961" i="85"/>
  <c r="N961" i="85"/>
  <c r="H961" i="85"/>
  <c r="A961" i="85"/>
  <c r="AL960" i="85"/>
  <c r="AK960" i="85"/>
  <c r="AD960" i="85"/>
  <c r="N960" i="85"/>
  <c r="H960" i="85"/>
  <c r="A960" i="85"/>
  <c r="AM959" i="85"/>
  <c r="AL959" i="85"/>
  <c r="AK959" i="85"/>
  <c r="N959" i="85"/>
  <c r="H959" i="85"/>
  <c r="A959" i="85"/>
  <c r="AL958" i="85"/>
  <c r="AK958" i="85"/>
  <c r="N958" i="85"/>
  <c r="H958" i="85"/>
  <c r="A958" i="85"/>
  <c r="AL957" i="85"/>
  <c r="AK957" i="85"/>
  <c r="N957" i="85"/>
  <c r="H957" i="85"/>
  <c r="A957" i="85"/>
  <c r="AL956" i="85"/>
  <c r="AK956" i="85"/>
  <c r="N956" i="85"/>
  <c r="H956" i="85"/>
  <c r="A956" i="85"/>
  <c r="AL955" i="85"/>
  <c r="AK955" i="85"/>
  <c r="N955" i="85"/>
  <c r="H955" i="85"/>
  <c r="A955" i="85"/>
  <c r="AL954" i="85"/>
  <c r="AK954" i="85"/>
  <c r="N954" i="85"/>
  <c r="H954" i="85"/>
  <c r="A954" i="85"/>
  <c r="AL953" i="85"/>
  <c r="AK953" i="85"/>
  <c r="N953" i="85"/>
  <c r="H953" i="85"/>
  <c r="A953" i="85"/>
  <c r="AM952" i="85"/>
  <c r="AL952" i="85"/>
  <c r="AK952" i="85"/>
  <c r="N952" i="85"/>
  <c r="H952" i="85"/>
  <c r="A952" i="85"/>
  <c r="AL951" i="85"/>
  <c r="AK951" i="85"/>
  <c r="AD951" i="85"/>
  <c r="N951" i="85"/>
  <c r="H951" i="85"/>
  <c r="A951" i="85"/>
  <c r="AL950" i="85"/>
  <c r="AK950" i="85"/>
  <c r="N950" i="85"/>
  <c r="H950" i="85"/>
  <c r="A950" i="85"/>
  <c r="AL949" i="85"/>
  <c r="AK949" i="85"/>
  <c r="N949" i="85"/>
  <c r="H949" i="85"/>
  <c r="A949" i="85"/>
  <c r="AL948" i="85"/>
  <c r="AK948" i="85"/>
  <c r="N948" i="85"/>
  <c r="H948" i="85"/>
  <c r="A948" i="85"/>
  <c r="AL947" i="85"/>
  <c r="AK947" i="85"/>
  <c r="N947" i="85"/>
  <c r="H947" i="85"/>
  <c r="A947" i="85"/>
  <c r="AL946" i="85"/>
  <c r="AK946" i="85"/>
  <c r="AD946" i="85"/>
  <c r="N946" i="85"/>
  <c r="H946" i="85"/>
  <c r="A946" i="85"/>
  <c r="AL945" i="85"/>
  <c r="AK945" i="85"/>
  <c r="AD945" i="85"/>
  <c r="N945" i="85"/>
  <c r="H945" i="85"/>
  <c r="A945" i="85"/>
  <c r="AL944" i="85"/>
  <c r="AK944" i="85"/>
  <c r="N944" i="85"/>
  <c r="H944" i="85"/>
  <c r="A944" i="85"/>
  <c r="AL943" i="85"/>
  <c r="AK943" i="85"/>
  <c r="N943" i="85"/>
  <c r="H943" i="85"/>
  <c r="A943" i="85"/>
  <c r="AL942" i="85"/>
  <c r="AK942" i="85"/>
  <c r="N942" i="85"/>
  <c r="H942" i="85"/>
  <c r="A942" i="85"/>
  <c r="AL941" i="85"/>
  <c r="AK941" i="85"/>
  <c r="N941" i="85"/>
  <c r="H941" i="85"/>
  <c r="A941" i="85"/>
  <c r="AL940" i="85"/>
  <c r="AK940" i="85"/>
  <c r="N940" i="85"/>
  <c r="H940" i="85"/>
  <c r="A940" i="85"/>
  <c r="AL939" i="85"/>
  <c r="AK939" i="85"/>
  <c r="N939" i="85"/>
  <c r="H939" i="85"/>
  <c r="A939" i="85"/>
  <c r="AL938" i="85"/>
  <c r="AK938" i="85"/>
  <c r="N938" i="85"/>
  <c r="H938" i="85"/>
  <c r="A938" i="85"/>
  <c r="AL937" i="85"/>
  <c r="AK937" i="85"/>
  <c r="N937" i="85"/>
  <c r="H937" i="85"/>
  <c r="A937" i="85"/>
  <c r="AL936" i="85"/>
  <c r="AK936" i="85"/>
  <c r="N936" i="85"/>
  <c r="H936" i="85"/>
  <c r="A936" i="85"/>
  <c r="AL935" i="85"/>
  <c r="AK935" i="85"/>
  <c r="N935" i="85"/>
  <c r="H935" i="85"/>
  <c r="A935" i="85"/>
  <c r="AL934" i="85"/>
  <c r="AK934" i="85"/>
  <c r="AD934" i="85"/>
  <c r="N934" i="85"/>
  <c r="H934" i="85"/>
  <c r="A934" i="85"/>
  <c r="AL933" i="85"/>
  <c r="AK933" i="85"/>
  <c r="N933" i="85"/>
  <c r="H933" i="85"/>
  <c r="A933" i="85"/>
  <c r="AL932" i="85"/>
  <c r="AK932" i="85"/>
  <c r="N932" i="85"/>
  <c r="H932" i="85"/>
  <c r="A932" i="85"/>
  <c r="AL931" i="85"/>
  <c r="AK931" i="85"/>
  <c r="N931" i="85"/>
  <c r="H931" i="85"/>
  <c r="A931" i="85"/>
  <c r="AL930" i="85"/>
  <c r="AK930" i="85"/>
  <c r="N930" i="85"/>
  <c r="H930" i="85"/>
  <c r="A930" i="85"/>
  <c r="AL929" i="85"/>
  <c r="AK929" i="85"/>
  <c r="AD929" i="85"/>
  <c r="N929" i="85"/>
  <c r="H929" i="85"/>
  <c r="A929" i="85"/>
  <c r="AL928" i="85"/>
  <c r="AK928" i="85"/>
  <c r="N928" i="85"/>
  <c r="H928" i="85"/>
  <c r="A928" i="85"/>
  <c r="AL927" i="85"/>
  <c r="AK927" i="85"/>
  <c r="N927" i="85"/>
  <c r="H927" i="85"/>
  <c r="A927" i="85"/>
  <c r="AL926" i="85"/>
  <c r="AK926" i="85"/>
  <c r="N926" i="85"/>
  <c r="H926" i="85"/>
  <c r="A926" i="85"/>
  <c r="AL925" i="85"/>
  <c r="AK925" i="85"/>
  <c r="N925" i="85"/>
  <c r="H925" i="85"/>
  <c r="A925" i="85"/>
  <c r="AL924" i="85"/>
  <c r="AK924" i="85"/>
  <c r="N924" i="85"/>
  <c r="H924" i="85"/>
  <c r="A924" i="85"/>
  <c r="AL923" i="85"/>
  <c r="AK923" i="85"/>
  <c r="N923" i="85"/>
  <c r="H923" i="85"/>
  <c r="A923" i="85"/>
  <c r="AL922" i="85"/>
  <c r="AK922" i="85"/>
  <c r="N922" i="85"/>
  <c r="H922" i="85"/>
  <c r="A922" i="85"/>
  <c r="AL921" i="85"/>
  <c r="AK921" i="85"/>
  <c r="N921" i="85"/>
  <c r="H921" i="85"/>
  <c r="A921" i="85"/>
  <c r="AL920" i="85"/>
  <c r="AK920" i="85"/>
  <c r="N920" i="85"/>
  <c r="H920" i="85"/>
  <c r="A920" i="85"/>
  <c r="AL919" i="85"/>
  <c r="AK919" i="85"/>
  <c r="N919" i="85"/>
  <c r="H919" i="85"/>
  <c r="A919" i="85"/>
  <c r="AL918" i="85"/>
  <c r="AK918" i="85"/>
  <c r="AD918" i="85"/>
  <c r="N918" i="85"/>
  <c r="H918" i="85"/>
  <c r="A918" i="85"/>
  <c r="AL917" i="85"/>
  <c r="AK917" i="85"/>
  <c r="N917" i="85"/>
  <c r="H917" i="85"/>
  <c r="A917" i="85"/>
  <c r="AL916" i="85"/>
  <c r="AK916" i="85"/>
  <c r="AD916" i="85"/>
  <c r="N916" i="85"/>
  <c r="H916" i="85"/>
  <c r="A916" i="85"/>
  <c r="AL915" i="85"/>
  <c r="AK915" i="85"/>
  <c r="N915" i="85"/>
  <c r="H915" i="85"/>
  <c r="A915" i="85"/>
  <c r="AL914" i="85"/>
  <c r="AK914" i="85"/>
  <c r="N914" i="85"/>
  <c r="H914" i="85"/>
  <c r="A914" i="85"/>
  <c r="AL913" i="85"/>
  <c r="AK913" i="85"/>
  <c r="N913" i="85"/>
  <c r="H913" i="85"/>
  <c r="A913" i="85"/>
  <c r="AL912" i="85"/>
  <c r="AK912" i="85"/>
  <c r="N912" i="85"/>
  <c r="H912" i="85"/>
  <c r="A912" i="85"/>
  <c r="AL911" i="85"/>
  <c r="AK911" i="85"/>
  <c r="N911" i="85"/>
  <c r="H911" i="85"/>
  <c r="A911" i="85"/>
  <c r="AL910" i="85"/>
  <c r="AK910" i="85"/>
  <c r="N910" i="85"/>
  <c r="H910" i="85"/>
  <c r="A910" i="85"/>
  <c r="AL909" i="85"/>
  <c r="AK909" i="85"/>
  <c r="N909" i="85"/>
  <c r="H909" i="85"/>
  <c r="A909" i="85"/>
  <c r="AL908" i="85"/>
  <c r="AK908" i="85"/>
  <c r="N908" i="85"/>
  <c r="H908" i="85"/>
  <c r="A908" i="85"/>
  <c r="AL907" i="85"/>
  <c r="AK907" i="85"/>
  <c r="N907" i="85"/>
  <c r="H907" i="85"/>
  <c r="A907" i="85"/>
  <c r="AL906" i="85"/>
  <c r="AK906" i="85"/>
  <c r="N906" i="85"/>
  <c r="H906" i="85"/>
  <c r="A906" i="85"/>
  <c r="AL905" i="85"/>
  <c r="AK905" i="85"/>
  <c r="N905" i="85"/>
  <c r="H905" i="85"/>
  <c r="A905" i="85"/>
  <c r="AL904" i="85"/>
  <c r="AK904" i="85"/>
  <c r="N904" i="85"/>
  <c r="H904" i="85"/>
  <c r="A904" i="85"/>
  <c r="AL903" i="85"/>
  <c r="AK903" i="85"/>
  <c r="N903" i="85"/>
  <c r="H903" i="85"/>
  <c r="A903" i="85"/>
  <c r="AL902" i="85"/>
  <c r="AK902" i="85"/>
  <c r="N902" i="85"/>
  <c r="H902" i="85"/>
  <c r="A902" i="85"/>
  <c r="AL901" i="85"/>
  <c r="AK901" i="85"/>
  <c r="N901" i="85"/>
  <c r="H901" i="85"/>
  <c r="A901" i="85"/>
  <c r="AL900" i="85"/>
  <c r="AK900" i="85"/>
  <c r="AI900" i="85"/>
  <c r="AD900" i="85"/>
  <c r="N900" i="85"/>
  <c r="H900" i="85"/>
  <c r="A900" i="85"/>
  <c r="AL899" i="85"/>
  <c r="AK899" i="85"/>
  <c r="N899" i="85"/>
  <c r="H899" i="85"/>
  <c r="A899" i="85"/>
  <c r="AL898" i="85"/>
  <c r="AK898" i="85"/>
  <c r="N898" i="85"/>
  <c r="H898" i="85"/>
  <c r="A898" i="85"/>
  <c r="AL897" i="85"/>
  <c r="AK897" i="85"/>
  <c r="N897" i="85"/>
  <c r="H897" i="85"/>
  <c r="A897" i="85"/>
  <c r="AL896" i="85"/>
  <c r="AK896" i="85"/>
  <c r="N896" i="85"/>
  <c r="H896" i="85"/>
  <c r="A896" i="85"/>
  <c r="AM895" i="85"/>
  <c r="AL895" i="85"/>
  <c r="AK895" i="85"/>
  <c r="N895" i="85"/>
  <c r="H895" i="85"/>
  <c r="A895" i="85"/>
  <c r="AL894" i="85"/>
  <c r="AK894" i="85"/>
  <c r="N894" i="85"/>
  <c r="H894" i="85"/>
  <c r="A894" i="85"/>
  <c r="AL893" i="85"/>
  <c r="AK893" i="85"/>
  <c r="N893" i="85"/>
  <c r="H893" i="85"/>
  <c r="A893" i="85"/>
  <c r="AL892" i="85"/>
  <c r="AK892" i="85"/>
  <c r="N892" i="85"/>
  <c r="H892" i="85"/>
  <c r="A892" i="85"/>
  <c r="AL891" i="85"/>
  <c r="AK891" i="85"/>
  <c r="N891" i="85"/>
  <c r="H891" i="85"/>
  <c r="A891" i="85"/>
  <c r="AL890" i="85"/>
  <c r="AK890" i="85"/>
  <c r="N890" i="85"/>
  <c r="H890" i="85"/>
  <c r="A890" i="85"/>
  <c r="AL889" i="85"/>
  <c r="AK889" i="85"/>
  <c r="N889" i="85"/>
  <c r="H889" i="85"/>
  <c r="A889" i="85"/>
  <c r="AL888" i="85"/>
  <c r="AK888" i="85"/>
  <c r="N888" i="85"/>
  <c r="H888" i="85"/>
  <c r="A888" i="85"/>
  <c r="AL887" i="85"/>
  <c r="AK887" i="85"/>
  <c r="N887" i="85"/>
  <c r="H887" i="85"/>
  <c r="A887" i="85"/>
  <c r="AL886" i="85"/>
  <c r="AK886" i="85"/>
  <c r="N886" i="85"/>
  <c r="H886" i="85"/>
  <c r="A886" i="85"/>
  <c r="AL885" i="85"/>
  <c r="AK885" i="85"/>
  <c r="AD885" i="85"/>
  <c r="N885" i="85"/>
  <c r="H885" i="85"/>
  <c r="A885" i="85"/>
  <c r="AL884" i="85"/>
  <c r="AK884" i="85"/>
  <c r="N884" i="85"/>
  <c r="H884" i="85"/>
  <c r="A884" i="85"/>
  <c r="AL883" i="85"/>
  <c r="AK883" i="85"/>
  <c r="N883" i="85"/>
  <c r="H883" i="85"/>
  <c r="A883" i="85"/>
  <c r="AL882" i="85"/>
  <c r="AK882" i="85"/>
  <c r="N882" i="85"/>
  <c r="H882" i="85"/>
  <c r="A882" i="85"/>
  <c r="AL881" i="85"/>
  <c r="AK881" i="85"/>
  <c r="N881" i="85"/>
  <c r="H881" i="85"/>
  <c r="A881" i="85"/>
  <c r="AL880" i="85"/>
  <c r="AK880" i="85"/>
  <c r="AI880" i="85"/>
  <c r="AD880" i="85"/>
  <c r="N880" i="85"/>
  <c r="H880" i="85"/>
  <c r="A880" i="85"/>
  <c r="AL879" i="85"/>
  <c r="AK879" i="85"/>
  <c r="N879" i="85"/>
  <c r="H879" i="85"/>
  <c r="A879" i="85"/>
  <c r="AL878" i="85"/>
  <c r="AK878" i="85"/>
  <c r="N878" i="85"/>
  <c r="H878" i="85"/>
  <c r="A878" i="85"/>
  <c r="AL877" i="85"/>
  <c r="AK877" i="85"/>
  <c r="N877" i="85"/>
  <c r="H877" i="85"/>
  <c r="A877" i="85"/>
  <c r="AL876" i="85"/>
  <c r="AK876" i="85"/>
  <c r="N876" i="85"/>
  <c r="H876" i="85"/>
  <c r="A876" i="85"/>
  <c r="AL875" i="85"/>
  <c r="AK875" i="85"/>
  <c r="N875" i="85"/>
  <c r="H875" i="85"/>
  <c r="A875" i="85"/>
  <c r="AL874" i="85"/>
  <c r="AK874" i="85"/>
  <c r="N874" i="85"/>
  <c r="H874" i="85"/>
  <c r="A874" i="85"/>
  <c r="AL873" i="85"/>
  <c r="AK873" i="85"/>
  <c r="AD873" i="85"/>
  <c r="N873" i="85"/>
  <c r="H873" i="85"/>
  <c r="A873" i="85"/>
  <c r="AL872" i="85"/>
  <c r="AK872" i="85"/>
  <c r="AD872" i="85"/>
  <c r="N872" i="85"/>
  <c r="H872" i="85"/>
  <c r="A872" i="85"/>
  <c r="AL871" i="85"/>
  <c r="AK871" i="85"/>
  <c r="N871" i="85"/>
  <c r="H871" i="85"/>
  <c r="A871" i="85"/>
  <c r="AL870" i="85"/>
  <c r="AK870" i="85"/>
  <c r="N870" i="85"/>
  <c r="H870" i="85"/>
  <c r="A870" i="85"/>
  <c r="AL869" i="85"/>
  <c r="AK869" i="85"/>
  <c r="N869" i="85"/>
  <c r="H869" i="85"/>
  <c r="A869" i="85"/>
  <c r="AL868" i="85"/>
  <c r="AK868" i="85"/>
  <c r="N868" i="85"/>
  <c r="H868" i="85"/>
  <c r="A868" i="85"/>
  <c r="AL867" i="85"/>
  <c r="AK867" i="85"/>
  <c r="N867" i="85"/>
  <c r="H867" i="85"/>
  <c r="A867" i="85"/>
  <c r="AL866" i="85"/>
  <c r="AK866" i="85"/>
  <c r="N866" i="85"/>
  <c r="H866" i="85"/>
  <c r="A866" i="85"/>
  <c r="AM865" i="85"/>
  <c r="AL865" i="85"/>
  <c r="AK865" i="85"/>
  <c r="N865" i="85"/>
  <c r="H865" i="85"/>
  <c r="A865" i="85"/>
  <c r="AL864" i="85"/>
  <c r="AK864" i="85"/>
  <c r="N864" i="85"/>
  <c r="H864" i="85"/>
  <c r="A864" i="85"/>
  <c r="AL863" i="85"/>
  <c r="AK863" i="85"/>
  <c r="N863" i="85"/>
  <c r="H863" i="85"/>
  <c r="A863" i="85"/>
  <c r="AL862" i="85"/>
  <c r="AK862" i="85"/>
  <c r="N862" i="85"/>
  <c r="H862" i="85"/>
  <c r="A862" i="85"/>
  <c r="AL861" i="85"/>
  <c r="AK861" i="85"/>
  <c r="N861" i="85"/>
  <c r="H861" i="85"/>
  <c r="A861" i="85"/>
  <c r="AL860" i="85"/>
  <c r="AK860" i="85"/>
  <c r="N860" i="85"/>
  <c r="H860" i="85"/>
  <c r="A860" i="85"/>
  <c r="AM859" i="85"/>
  <c r="AL859" i="85"/>
  <c r="AK859" i="85"/>
  <c r="AD859" i="85"/>
  <c r="N859" i="85"/>
  <c r="H859" i="85"/>
  <c r="A859" i="85"/>
  <c r="AL858" i="85"/>
  <c r="AK858" i="85"/>
  <c r="N858" i="85"/>
  <c r="H858" i="85"/>
  <c r="A858" i="85"/>
  <c r="AL857" i="85"/>
  <c r="AK857" i="85"/>
  <c r="N857" i="85"/>
  <c r="H857" i="85"/>
  <c r="A857" i="85"/>
  <c r="AL856" i="85"/>
  <c r="AK856" i="85"/>
  <c r="N856" i="85"/>
  <c r="H856" i="85"/>
  <c r="A856" i="85"/>
  <c r="AL855" i="85"/>
  <c r="AK855" i="85"/>
  <c r="N855" i="85"/>
  <c r="H855" i="85"/>
  <c r="A855" i="85"/>
  <c r="AL854" i="85"/>
  <c r="AK854" i="85"/>
  <c r="AD854" i="85"/>
  <c r="N854" i="85"/>
  <c r="H854" i="85"/>
  <c r="A854" i="85"/>
  <c r="AL853" i="85"/>
  <c r="AK853" i="85"/>
  <c r="N853" i="85"/>
  <c r="H853" i="85"/>
  <c r="A853" i="85"/>
  <c r="AL852" i="85"/>
  <c r="AK852" i="85"/>
  <c r="AD852" i="85"/>
  <c r="N852" i="85"/>
  <c r="H852" i="85"/>
  <c r="A852" i="85"/>
  <c r="AL851" i="85"/>
  <c r="AK851" i="85"/>
  <c r="N851" i="85"/>
  <c r="H851" i="85"/>
  <c r="A851" i="85"/>
  <c r="AL850" i="85"/>
  <c r="AK850" i="85"/>
  <c r="N850" i="85"/>
  <c r="H850" i="85"/>
  <c r="A850" i="85"/>
  <c r="AL849" i="85"/>
  <c r="AK849" i="85"/>
  <c r="N849" i="85"/>
  <c r="H849" i="85"/>
  <c r="A849" i="85"/>
  <c r="AL848" i="85"/>
  <c r="AK848" i="85"/>
  <c r="N848" i="85"/>
  <c r="H848" i="85"/>
  <c r="A848" i="85"/>
  <c r="AL847" i="85"/>
  <c r="AK847" i="85"/>
  <c r="N847" i="85"/>
  <c r="H847" i="85"/>
  <c r="A847" i="85"/>
  <c r="AL846" i="85"/>
  <c r="AK846" i="85"/>
  <c r="N846" i="85"/>
  <c r="H846" i="85"/>
  <c r="A846" i="85"/>
  <c r="AL845" i="85"/>
  <c r="AK845" i="85"/>
  <c r="N845" i="85"/>
  <c r="H845" i="85"/>
  <c r="A845" i="85"/>
  <c r="AL844" i="85"/>
  <c r="AK844" i="85"/>
  <c r="N844" i="85"/>
  <c r="H844" i="85"/>
  <c r="A844" i="85"/>
  <c r="AL843" i="85"/>
  <c r="AK843" i="85"/>
  <c r="N843" i="85"/>
  <c r="H843" i="85"/>
  <c r="A843" i="85"/>
  <c r="AL842" i="85"/>
  <c r="AK842" i="85"/>
  <c r="N842" i="85"/>
  <c r="H842" i="85"/>
  <c r="A842" i="85"/>
  <c r="AL841" i="85"/>
  <c r="AK841" i="85"/>
  <c r="AD841" i="85"/>
  <c r="N841" i="85"/>
  <c r="H841" i="85"/>
  <c r="A841" i="85"/>
  <c r="AL840" i="85"/>
  <c r="AK840" i="85"/>
  <c r="N840" i="85"/>
  <c r="H840" i="85"/>
  <c r="A840" i="85"/>
  <c r="AL839" i="85"/>
  <c r="AK839" i="85"/>
  <c r="AD839" i="85"/>
  <c r="N839" i="85"/>
  <c r="H839" i="85"/>
  <c r="A839" i="85"/>
  <c r="AM838" i="85"/>
  <c r="AL838" i="85"/>
  <c r="AK838" i="85"/>
  <c r="N838" i="85"/>
  <c r="H838" i="85"/>
  <c r="A838" i="85"/>
  <c r="AL837" i="85"/>
  <c r="AK837" i="85"/>
  <c r="N837" i="85"/>
  <c r="H837" i="85"/>
  <c r="A837" i="85"/>
  <c r="AL836" i="85"/>
  <c r="AK836" i="85"/>
  <c r="AD836" i="85"/>
  <c r="N836" i="85"/>
  <c r="H836" i="85"/>
  <c r="A836" i="85"/>
  <c r="AL835" i="85"/>
  <c r="AK835" i="85"/>
  <c r="N835" i="85"/>
  <c r="H835" i="85"/>
  <c r="A835" i="85"/>
  <c r="AL834" i="85"/>
  <c r="AK834" i="85"/>
  <c r="AD834" i="85"/>
  <c r="N834" i="85"/>
  <c r="H834" i="85"/>
  <c r="A834" i="85"/>
  <c r="AL833" i="85"/>
  <c r="AK833" i="85"/>
  <c r="N833" i="85"/>
  <c r="H833" i="85"/>
  <c r="A833" i="85"/>
  <c r="AL832" i="85"/>
  <c r="AK832" i="85"/>
  <c r="N832" i="85"/>
  <c r="H832" i="85"/>
  <c r="A832" i="85"/>
  <c r="AL831" i="85"/>
  <c r="AK831" i="85"/>
  <c r="AD831" i="85"/>
  <c r="N831" i="85"/>
  <c r="H831" i="85"/>
  <c r="A831" i="85"/>
  <c r="AM830" i="85"/>
  <c r="AL830" i="85"/>
  <c r="AK830" i="85"/>
  <c r="N830" i="85"/>
  <c r="H830" i="85"/>
  <c r="A830" i="85"/>
  <c r="AL829" i="85"/>
  <c r="AK829" i="85"/>
  <c r="N829" i="85"/>
  <c r="H829" i="85"/>
  <c r="A829" i="85"/>
  <c r="AL828" i="85"/>
  <c r="AK828" i="85"/>
  <c r="AD828" i="85"/>
  <c r="N828" i="85"/>
  <c r="H828" i="85"/>
  <c r="A828" i="85"/>
  <c r="AL827" i="85"/>
  <c r="AK827" i="85"/>
  <c r="N827" i="85"/>
  <c r="H827" i="85"/>
  <c r="A827" i="85"/>
  <c r="AL826" i="85"/>
  <c r="AK826" i="85"/>
  <c r="N826" i="85"/>
  <c r="H826" i="85"/>
  <c r="A826" i="85"/>
  <c r="AL825" i="85"/>
  <c r="AK825" i="85"/>
  <c r="N825" i="85"/>
  <c r="H825" i="85"/>
  <c r="A825" i="85"/>
  <c r="AL824" i="85"/>
  <c r="AK824" i="85"/>
  <c r="N824" i="85"/>
  <c r="H824" i="85"/>
  <c r="A824" i="85"/>
  <c r="AL823" i="85"/>
  <c r="AK823" i="85"/>
  <c r="N823" i="85"/>
  <c r="H823" i="85"/>
  <c r="A823" i="85"/>
  <c r="AL822" i="85"/>
  <c r="AK822" i="85"/>
  <c r="N822" i="85"/>
  <c r="H822" i="85"/>
  <c r="A822" i="85"/>
  <c r="AL821" i="85"/>
  <c r="AK821" i="85"/>
  <c r="N821" i="85"/>
  <c r="H821" i="85"/>
  <c r="A821" i="85"/>
  <c r="AL820" i="85"/>
  <c r="AK820" i="85"/>
  <c r="N820" i="85"/>
  <c r="H820" i="85"/>
  <c r="A820" i="85"/>
  <c r="AL819" i="85"/>
  <c r="AK819" i="85"/>
  <c r="N819" i="85"/>
  <c r="H819" i="85"/>
  <c r="A819" i="85"/>
  <c r="AL818" i="85"/>
  <c r="AK818" i="85"/>
  <c r="N818" i="85"/>
  <c r="H818" i="85"/>
  <c r="A818" i="85"/>
  <c r="AL817" i="85"/>
  <c r="AK817" i="85"/>
  <c r="N817" i="85"/>
  <c r="H817" i="85"/>
  <c r="A817" i="85"/>
  <c r="AL816" i="85"/>
  <c r="AK816" i="85"/>
  <c r="N816" i="85"/>
  <c r="H816" i="85"/>
  <c r="A816" i="85"/>
  <c r="AL815" i="85"/>
  <c r="AK815" i="85"/>
  <c r="N815" i="85"/>
  <c r="H815" i="85"/>
  <c r="A815" i="85"/>
  <c r="AL814" i="85"/>
  <c r="AK814" i="85"/>
  <c r="N814" i="85"/>
  <c r="H814" i="85"/>
  <c r="A814" i="85"/>
  <c r="AL813" i="85"/>
  <c r="AK813" i="85"/>
  <c r="N813" i="85"/>
  <c r="H813" i="85"/>
  <c r="A813" i="85"/>
  <c r="AL812" i="85"/>
  <c r="AK812" i="85"/>
  <c r="N812" i="85"/>
  <c r="H812" i="85"/>
  <c r="A812" i="85"/>
  <c r="AL811" i="85"/>
  <c r="AK811" i="85"/>
  <c r="N811" i="85"/>
  <c r="H811" i="85"/>
  <c r="A811" i="85"/>
  <c r="AL810" i="85"/>
  <c r="AK810" i="85"/>
  <c r="N810" i="85"/>
  <c r="H810" i="85"/>
  <c r="A810" i="85"/>
  <c r="AL809" i="85"/>
  <c r="AK809" i="85"/>
  <c r="N809" i="85"/>
  <c r="H809" i="85"/>
  <c r="A809" i="85"/>
  <c r="AL808" i="85"/>
  <c r="AK808" i="85"/>
  <c r="N808" i="85"/>
  <c r="H808" i="85"/>
  <c r="A808" i="85"/>
  <c r="AL807" i="85"/>
  <c r="AK807" i="85"/>
  <c r="N807" i="85"/>
  <c r="H807" i="85"/>
  <c r="A807" i="85"/>
  <c r="AL806" i="85"/>
  <c r="AK806" i="85"/>
  <c r="N806" i="85"/>
  <c r="H806" i="85"/>
  <c r="A806" i="85"/>
  <c r="AL805" i="85"/>
  <c r="AK805" i="85"/>
  <c r="N805" i="85"/>
  <c r="H805" i="85"/>
  <c r="A805" i="85"/>
  <c r="AL804" i="85"/>
  <c r="AK804" i="85"/>
  <c r="N804" i="85"/>
  <c r="H804" i="85"/>
  <c r="A804" i="85"/>
  <c r="AM803" i="85"/>
  <c r="AL803" i="85"/>
  <c r="AK803" i="85"/>
  <c r="N803" i="85"/>
  <c r="H803" i="85"/>
  <c r="A803" i="85"/>
  <c r="AL802" i="85"/>
  <c r="AK802" i="85"/>
  <c r="AD802" i="85"/>
  <c r="N802" i="85"/>
  <c r="H802" i="85"/>
  <c r="A802" i="85"/>
  <c r="AL801" i="85"/>
  <c r="AK801" i="85"/>
  <c r="N801" i="85"/>
  <c r="H801" i="85"/>
  <c r="A801" i="85"/>
  <c r="AL800" i="85"/>
  <c r="AK800" i="85"/>
  <c r="N800" i="85"/>
  <c r="H800" i="85"/>
  <c r="A800" i="85"/>
  <c r="AL799" i="85"/>
  <c r="AK799" i="85"/>
  <c r="AD799" i="85"/>
  <c r="N799" i="85"/>
  <c r="H799" i="85"/>
  <c r="A799" i="85"/>
  <c r="AL798" i="85"/>
  <c r="AK798" i="85"/>
  <c r="AD798" i="85"/>
  <c r="N798" i="85"/>
  <c r="H798" i="85"/>
  <c r="A798" i="85"/>
  <c r="AL797" i="85"/>
  <c r="AK797" i="85"/>
  <c r="N797" i="85"/>
  <c r="H797" i="85"/>
  <c r="A797" i="85"/>
  <c r="AL796" i="85"/>
  <c r="AK796" i="85"/>
  <c r="N796" i="85"/>
  <c r="H796" i="85"/>
  <c r="A796" i="85"/>
  <c r="AL795" i="85"/>
  <c r="AK795" i="85"/>
  <c r="N795" i="85"/>
  <c r="H795" i="85"/>
  <c r="A795" i="85"/>
  <c r="AL794" i="85"/>
  <c r="AK794" i="85"/>
  <c r="N794" i="85"/>
  <c r="H794" i="85"/>
  <c r="A794" i="85"/>
  <c r="AL793" i="85"/>
  <c r="AK793" i="85"/>
  <c r="N793" i="85"/>
  <c r="H793" i="85"/>
  <c r="A793" i="85"/>
  <c r="AL792" i="85"/>
  <c r="AK792" i="85"/>
  <c r="N792" i="85"/>
  <c r="H792" i="85"/>
  <c r="A792" i="85"/>
  <c r="AL791" i="85"/>
  <c r="AK791" i="85"/>
  <c r="N791" i="85"/>
  <c r="H791" i="85"/>
  <c r="A791" i="85"/>
  <c r="AL790" i="85"/>
  <c r="AK790" i="85"/>
  <c r="N790" i="85"/>
  <c r="H790" i="85"/>
  <c r="A790" i="85"/>
  <c r="AL789" i="85"/>
  <c r="AK789" i="85"/>
  <c r="N789" i="85"/>
  <c r="H789" i="85"/>
  <c r="A789" i="85"/>
  <c r="AL788" i="85"/>
  <c r="AK788" i="85"/>
  <c r="AD788" i="85"/>
  <c r="N788" i="85"/>
  <c r="H788" i="85"/>
  <c r="A788" i="85"/>
  <c r="AL787" i="85"/>
  <c r="AK787" i="85"/>
  <c r="N787" i="85"/>
  <c r="H787" i="85"/>
  <c r="A787" i="85"/>
  <c r="AL786" i="85"/>
  <c r="AK786" i="85"/>
  <c r="AD786" i="85"/>
  <c r="N786" i="85"/>
  <c r="H786" i="85"/>
  <c r="A786" i="85"/>
  <c r="AL785" i="85"/>
  <c r="AK785" i="85"/>
  <c r="N785" i="85"/>
  <c r="H785" i="85"/>
  <c r="A785" i="85"/>
  <c r="AL784" i="85"/>
  <c r="AK784" i="85"/>
  <c r="N784" i="85"/>
  <c r="H784" i="85"/>
  <c r="A784" i="85"/>
  <c r="AL783" i="85"/>
  <c r="AK783" i="85"/>
  <c r="AD783" i="85"/>
  <c r="N783" i="85"/>
  <c r="H783" i="85"/>
  <c r="A783" i="85"/>
  <c r="AL782" i="85"/>
  <c r="AK782" i="85"/>
  <c r="N782" i="85"/>
  <c r="H782" i="85"/>
  <c r="A782" i="85"/>
  <c r="AL781" i="85"/>
  <c r="AK781" i="85"/>
  <c r="AD781" i="85"/>
  <c r="N781" i="85"/>
  <c r="H781" i="85"/>
  <c r="A781" i="85"/>
  <c r="AL780" i="85"/>
  <c r="AK780" i="85"/>
  <c r="N780" i="85"/>
  <c r="H780" i="85"/>
  <c r="A780" i="85"/>
  <c r="AL779" i="85"/>
  <c r="AK779" i="85"/>
  <c r="AD779" i="85"/>
  <c r="N779" i="85"/>
  <c r="H779" i="85"/>
  <c r="A779" i="85"/>
  <c r="AL778" i="85"/>
  <c r="AK778" i="85"/>
  <c r="AD778" i="85"/>
  <c r="N778" i="85"/>
  <c r="H778" i="85"/>
  <c r="A778" i="85"/>
  <c r="AL777" i="85"/>
  <c r="AK777" i="85"/>
  <c r="N777" i="85"/>
  <c r="H777" i="85"/>
  <c r="A777" i="85"/>
  <c r="AL776" i="85"/>
  <c r="AK776" i="85"/>
  <c r="N776" i="85"/>
  <c r="H776" i="85"/>
  <c r="A776" i="85"/>
  <c r="AL775" i="85"/>
  <c r="AK775" i="85"/>
  <c r="AD775" i="85"/>
  <c r="N775" i="85"/>
  <c r="H775" i="85"/>
  <c r="A775" i="85"/>
  <c r="AM774" i="85"/>
  <c r="AL774" i="85"/>
  <c r="AK774" i="85"/>
  <c r="N774" i="85"/>
  <c r="H774" i="85"/>
  <c r="A774" i="85"/>
  <c r="AL773" i="85"/>
  <c r="AK773" i="85"/>
  <c r="N773" i="85"/>
  <c r="H773" i="85"/>
  <c r="A773" i="85"/>
  <c r="AL772" i="85"/>
  <c r="AK772" i="85"/>
  <c r="N772" i="85"/>
  <c r="H772" i="85"/>
  <c r="A772" i="85"/>
  <c r="AL771" i="85"/>
  <c r="AK771" i="85"/>
  <c r="N771" i="85"/>
  <c r="H771" i="85"/>
  <c r="A771" i="85"/>
  <c r="AL770" i="85"/>
  <c r="AK770" i="85"/>
  <c r="N770" i="85"/>
  <c r="H770" i="85"/>
  <c r="A770" i="85"/>
  <c r="AL769" i="85"/>
  <c r="AK769" i="85"/>
  <c r="N769" i="85"/>
  <c r="H769" i="85"/>
  <c r="A769" i="85"/>
  <c r="AL768" i="85"/>
  <c r="AK768" i="85"/>
  <c r="N768" i="85"/>
  <c r="H768" i="85"/>
  <c r="A768" i="85"/>
  <c r="AL767" i="85"/>
  <c r="AK767" i="85"/>
  <c r="N767" i="85"/>
  <c r="H767" i="85"/>
  <c r="A767" i="85"/>
  <c r="AL766" i="85"/>
  <c r="AK766" i="85"/>
  <c r="N766" i="85"/>
  <c r="H766" i="85"/>
  <c r="A766" i="85"/>
  <c r="AL765" i="85"/>
  <c r="AK765" i="85"/>
  <c r="N765" i="85"/>
  <c r="H765" i="85"/>
  <c r="A765" i="85"/>
  <c r="AL764" i="85"/>
  <c r="AK764" i="85"/>
  <c r="N764" i="85"/>
  <c r="H764" i="85"/>
  <c r="A764" i="85"/>
  <c r="AM763" i="85"/>
  <c r="AL763" i="85"/>
  <c r="AK763" i="85"/>
  <c r="N763" i="85"/>
  <c r="H763" i="85"/>
  <c r="A763" i="85"/>
  <c r="AM762" i="85"/>
  <c r="AL762" i="85"/>
  <c r="AK762" i="85"/>
  <c r="N762" i="85"/>
  <c r="H762" i="85"/>
  <c r="A762" i="85"/>
  <c r="AL761" i="85"/>
  <c r="AK761" i="85"/>
  <c r="N761" i="85"/>
  <c r="H761" i="85"/>
  <c r="A761" i="85"/>
  <c r="AL760" i="85"/>
  <c r="AK760" i="85"/>
  <c r="N760" i="85"/>
  <c r="H760" i="85"/>
  <c r="A760" i="85"/>
  <c r="AL759" i="85"/>
  <c r="AK759" i="85"/>
  <c r="N759" i="85"/>
  <c r="H759" i="85"/>
  <c r="A759" i="85"/>
  <c r="AL758" i="85"/>
  <c r="AK758" i="85"/>
  <c r="N758" i="85"/>
  <c r="H758" i="85"/>
  <c r="A758" i="85"/>
  <c r="AL757" i="85"/>
  <c r="AK757" i="85"/>
  <c r="N757" i="85"/>
  <c r="H757" i="85"/>
  <c r="A757" i="85"/>
  <c r="AL756" i="85"/>
  <c r="AK756" i="85"/>
  <c r="N756" i="85"/>
  <c r="H756" i="85"/>
  <c r="A756" i="85"/>
  <c r="AL755" i="85"/>
  <c r="AK755" i="85"/>
  <c r="AD755" i="85"/>
  <c r="N755" i="85"/>
  <c r="H755" i="85"/>
  <c r="A755" i="85"/>
  <c r="AL754" i="85"/>
  <c r="AK754" i="85"/>
  <c r="N754" i="85"/>
  <c r="H754" i="85"/>
  <c r="A754" i="85"/>
  <c r="AL753" i="85"/>
  <c r="AK753" i="85"/>
  <c r="N753" i="85"/>
  <c r="H753" i="85"/>
  <c r="A753" i="85"/>
  <c r="AM752" i="85"/>
  <c r="AL752" i="85"/>
  <c r="AK752" i="85"/>
  <c r="N752" i="85"/>
  <c r="H752" i="85"/>
  <c r="A752" i="85"/>
  <c r="AL751" i="85"/>
  <c r="AK751" i="85"/>
  <c r="N751" i="85"/>
  <c r="H751" i="85"/>
  <c r="A751" i="85"/>
  <c r="AL750" i="85"/>
  <c r="AK750" i="85"/>
  <c r="N750" i="85"/>
  <c r="H750" i="85"/>
  <c r="A750" i="85"/>
  <c r="AL749" i="85"/>
  <c r="AK749" i="85"/>
  <c r="N749" i="85"/>
  <c r="H749" i="85"/>
  <c r="A749" i="85"/>
  <c r="AL748" i="85"/>
  <c r="AK748" i="85"/>
  <c r="AD748" i="85"/>
  <c r="N748" i="85"/>
  <c r="H748" i="85"/>
  <c r="A748" i="85"/>
  <c r="AL747" i="85"/>
  <c r="AK747" i="85"/>
  <c r="N747" i="85"/>
  <c r="H747" i="85"/>
  <c r="A747" i="85"/>
  <c r="AL746" i="85"/>
  <c r="AK746" i="85"/>
  <c r="N746" i="85"/>
  <c r="H746" i="85"/>
  <c r="A746" i="85"/>
  <c r="AL745" i="85"/>
  <c r="AK745" i="85"/>
  <c r="N745" i="85"/>
  <c r="H745" i="85"/>
  <c r="A745" i="85"/>
  <c r="AL744" i="85"/>
  <c r="AK744" i="85"/>
  <c r="AD744" i="85"/>
  <c r="N744" i="85"/>
  <c r="H744" i="85"/>
  <c r="A744" i="85"/>
  <c r="AL743" i="85"/>
  <c r="AK743" i="85"/>
  <c r="AD743" i="85"/>
  <c r="N743" i="85"/>
  <c r="H743" i="85"/>
  <c r="A743" i="85"/>
  <c r="AL742" i="85"/>
  <c r="AK742" i="85"/>
  <c r="N742" i="85"/>
  <c r="H742" i="85"/>
  <c r="A742" i="85"/>
  <c r="AL741" i="85"/>
  <c r="AK741" i="85"/>
  <c r="N741" i="85"/>
  <c r="H741" i="85"/>
  <c r="A741" i="85"/>
  <c r="AL740" i="85"/>
  <c r="AK740" i="85"/>
  <c r="N740" i="85"/>
  <c r="H740" i="85"/>
  <c r="A740" i="85"/>
  <c r="AL739" i="85"/>
  <c r="AK739" i="85"/>
  <c r="N739" i="85"/>
  <c r="H739" i="85"/>
  <c r="A739" i="85"/>
  <c r="AL738" i="85"/>
  <c r="AK738" i="85"/>
  <c r="N738" i="85"/>
  <c r="H738" i="85"/>
  <c r="A738" i="85"/>
  <c r="AL737" i="85"/>
  <c r="AK737" i="85"/>
  <c r="N737" i="85"/>
  <c r="H737" i="85"/>
  <c r="A737" i="85"/>
  <c r="AL736" i="85"/>
  <c r="AK736" i="85"/>
  <c r="N736" i="85"/>
  <c r="H736" i="85"/>
  <c r="A736" i="85"/>
  <c r="AL735" i="85"/>
  <c r="AK735" i="85"/>
  <c r="N735" i="85"/>
  <c r="H735" i="85"/>
  <c r="A735" i="85"/>
  <c r="AL734" i="85"/>
  <c r="AK734" i="85"/>
  <c r="N734" i="85"/>
  <c r="H734" i="85"/>
  <c r="A734" i="85"/>
  <c r="AL733" i="85"/>
  <c r="AK733" i="85"/>
  <c r="N733" i="85"/>
  <c r="H733" i="85"/>
  <c r="A733" i="85"/>
  <c r="AL732" i="85"/>
  <c r="AK732" i="85"/>
  <c r="N732" i="85"/>
  <c r="H732" i="85"/>
  <c r="A732" i="85"/>
  <c r="AL731" i="85"/>
  <c r="AK731" i="85"/>
  <c r="N731" i="85"/>
  <c r="H731" i="85"/>
  <c r="A731" i="85"/>
  <c r="AL730" i="85"/>
  <c r="AK730" i="85"/>
  <c r="N730" i="85"/>
  <c r="H730" i="85"/>
  <c r="A730" i="85"/>
  <c r="AL729" i="85"/>
  <c r="AK729" i="85"/>
  <c r="N729" i="85"/>
  <c r="H729" i="85"/>
  <c r="A729" i="85"/>
  <c r="AL728" i="85"/>
  <c r="AK728" i="85"/>
  <c r="N728" i="85"/>
  <c r="H728" i="85"/>
  <c r="A728" i="85"/>
  <c r="AL727" i="85"/>
  <c r="AK727" i="85"/>
  <c r="AI727" i="85"/>
  <c r="AD727" i="85"/>
  <c r="N727" i="85"/>
  <c r="H727" i="85"/>
  <c r="A727" i="85"/>
  <c r="AL726" i="85"/>
  <c r="AK726" i="85"/>
  <c r="N726" i="85"/>
  <c r="H726" i="85"/>
  <c r="A726" i="85"/>
  <c r="AL725" i="85"/>
  <c r="AK725" i="85"/>
  <c r="N725" i="85"/>
  <c r="H725" i="85"/>
  <c r="A725" i="85"/>
  <c r="AL724" i="85"/>
  <c r="AK724" i="85"/>
  <c r="N724" i="85"/>
  <c r="H724" i="85"/>
  <c r="A724" i="85"/>
  <c r="AM723" i="85"/>
  <c r="AL723" i="85"/>
  <c r="AK723" i="85"/>
  <c r="N723" i="85"/>
  <c r="H723" i="85"/>
  <c r="A723" i="85"/>
  <c r="AL722" i="85"/>
  <c r="AK722" i="85"/>
  <c r="N722" i="85"/>
  <c r="H722" i="85"/>
  <c r="A722" i="85"/>
  <c r="AL721" i="85"/>
  <c r="AK721" i="85"/>
  <c r="N721" i="85"/>
  <c r="H721" i="85"/>
  <c r="A721" i="85"/>
  <c r="AL720" i="85"/>
  <c r="AK720" i="85"/>
  <c r="N720" i="85"/>
  <c r="H720" i="85"/>
  <c r="A720" i="85"/>
  <c r="AL719" i="85"/>
  <c r="AK719" i="85"/>
  <c r="N719" i="85"/>
  <c r="H719" i="85"/>
  <c r="A719" i="85"/>
  <c r="AL718" i="85"/>
  <c r="AK718" i="85"/>
  <c r="N718" i="85"/>
  <c r="H718" i="85"/>
  <c r="A718" i="85"/>
  <c r="AL717" i="85"/>
  <c r="AK717" i="85"/>
  <c r="N717" i="85"/>
  <c r="H717" i="85"/>
  <c r="A717" i="85"/>
  <c r="AL716" i="85"/>
  <c r="AK716" i="85"/>
  <c r="AD716" i="85"/>
  <c r="N716" i="85"/>
  <c r="H716" i="85"/>
  <c r="A716" i="85"/>
  <c r="AL715" i="85"/>
  <c r="AK715" i="85"/>
  <c r="N715" i="85"/>
  <c r="H715" i="85"/>
  <c r="A715" i="85"/>
  <c r="AL714" i="85"/>
  <c r="AK714" i="85"/>
  <c r="N714" i="85"/>
  <c r="H714" i="85"/>
  <c r="A714" i="85"/>
  <c r="AL713" i="85"/>
  <c r="AK713" i="85"/>
  <c r="N713" i="85"/>
  <c r="H713" i="85"/>
  <c r="A713" i="85"/>
  <c r="AL712" i="85"/>
  <c r="AK712" i="85"/>
  <c r="N712" i="85"/>
  <c r="H712" i="85"/>
  <c r="A712" i="85"/>
  <c r="AL711" i="85"/>
  <c r="AK711" i="85"/>
  <c r="N711" i="85"/>
  <c r="H711" i="85"/>
  <c r="A711" i="85"/>
  <c r="AL710" i="85"/>
  <c r="AK710" i="85"/>
  <c r="N710" i="85"/>
  <c r="H710" i="85"/>
  <c r="A710" i="85"/>
  <c r="AL709" i="85"/>
  <c r="AK709" i="85"/>
  <c r="N709" i="85"/>
  <c r="H709" i="85"/>
  <c r="A709" i="85"/>
  <c r="AL708" i="85"/>
  <c r="AK708" i="85"/>
  <c r="N708" i="85"/>
  <c r="H708" i="85"/>
  <c r="A708" i="85"/>
  <c r="AL707" i="85"/>
  <c r="AK707" i="85"/>
  <c r="AD707" i="85"/>
  <c r="N707" i="85"/>
  <c r="H707" i="85"/>
  <c r="A707" i="85"/>
  <c r="AL706" i="85"/>
  <c r="AK706" i="85"/>
  <c r="N706" i="85"/>
  <c r="H706" i="85"/>
  <c r="A706" i="85"/>
  <c r="AL705" i="85"/>
  <c r="AK705" i="85"/>
  <c r="N705" i="85"/>
  <c r="H705" i="85"/>
  <c r="A705" i="85"/>
  <c r="AL704" i="85"/>
  <c r="AK704" i="85"/>
  <c r="AD704" i="85"/>
  <c r="N704" i="85"/>
  <c r="H704" i="85"/>
  <c r="A704" i="85"/>
  <c r="AL703" i="85"/>
  <c r="AK703" i="85"/>
  <c r="AD703" i="85"/>
  <c r="N703" i="85"/>
  <c r="H703" i="85"/>
  <c r="A703" i="85"/>
  <c r="AL702" i="85"/>
  <c r="AK702" i="85"/>
  <c r="N702" i="85"/>
  <c r="H702" i="85"/>
  <c r="A702" i="85"/>
  <c r="AL701" i="85"/>
  <c r="AK701" i="85"/>
  <c r="N701" i="85"/>
  <c r="H701" i="85"/>
  <c r="A701" i="85"/>
  <c r="AL700" i="85"/>
  <c r="AK700" i="85"/>
  <c r="N700" i="85"/>
  <c r="H700" i="85"/>
  <c r="A700" i="85"/>
  <c r="AL699" i="85"/>
  <c r="AK699" i="85"/>
  <c r="N699" i="85"/>
  <c r="H699" i="85"/>
  <c r="A699" i="85"/>
  <c r="AL698" i="85"/>
  <c r="AK698" i="85"/>
  <c r="N698" i="85"/>
  <c r="H698" i="85"/>
  <c r="A698" i="85"/>
  <c r="AL697" i="85"/>
  <c r="AK697" i="85"/>
  <c r="N697" i="85"/>
  <c r="H697" i="85"/>
  <c r="A697" i="85"/>
  <c r="AL696" i="85"/>
  <c r="AK696" i="85"/>
  <c r="AI696" i="85"/>
  <c r="AD696" i="85"/>
  <c r="N696" i="85"/>
  <c r="H696" i="85"/>
  <c r="A696" i="85"/>
  <c r="AL695" i="85"/>
  <c r="AK695" i="85"/>
  <c r="N695" i="85"/>
  <c r="H695" i="85"/>
  <c r="A695" i="85"/>
  <c r="AL694" i="85"/>
  <c r="AK694" i="85"/>
  <c r="N694" i="85"/>
  <c r="H694" i="85"/>
  <c r="A694" i="85"/>
  <c r="AL693" i="85"/>
  <c r="AK693" i="85"/>
  <c r="AD693" i="85"/>
  <c r="N693" i="85"/>
  <c r="H693" i="85"/>
  <c r="A693" i="85"/>
  <c r="AL692" i="85"/>
  <c r="AK692" i="85"/>
  <c r="N692" i="85"/>
  <c r="H692" i="85"/>
  <c r="A692" i="85"/>
  <c r="AL691" i="85"/>
  <c r="AK691" i="85"/>
  <c r="N691" i="85"/>
  <c r="H691" i="85"/>
  <c r="A691" i="85"/>
  <c r="AL690" i="85"/>
  <c r="AK690" i="85"/>
  <c r="AD690" i="85"/>
  <c r="N690" i="85"/>
  <c r="H690" i="85"/>
  <c r="A690" i="85"/>
  <c r="AL689" i="85"/>
  <c r="AK689" i="85"/>
  <c r="AD689" i="85"/>
  <c r="N689" i="85"/>
  <c r="H689" i="85"/>
  <c r="A689" i="85"/>
  <c r="AL688" i="85"/>
  <c r="AK688" i="85"/>
  <c r="N688" i="85"/>
  <c r="H688" i="85"/>
  <c r="A688" i="85"/>
  <c r="AL687" i="85"/>
  <c r="AK687" i="85"/>
  <c r="N687" i="85"/>
  <c r="H687" i="85"/>
  <c r="A687" i="85"/>
  <c r="AL686" i="85"/>
  <c r="AK686" i="85"/>
  <c r="N686" i="85"/>
  <c r="H686" i="85"/>
  <c r="A686" i="85"/>
  <c r="AL685" i="85"/>
  <c r="AK685" i="85"/>
  <c r="N685" i="85"/>
  <c r="H685" i="85"/>
  <c r="A685" i="85"/>
  <c r="AL684" i="85"/>
  <c r="AK684" i="85"/>
  <c r="N684" i="85"/>
  <c r="H684" i="85"/>
  <c r="A684" i="85"/>
  <c r="AL683" i="85"/>
  <c r="AK683" i="85"/>
  <c r="N683" i="85"/>
  <c r="H683" i="85"/>
  <c r="A683" i="85"/>
  <c r="AL682" i="85"/>
  <c r="AK682" i="85"/>
  <c r="N682" i="85"/>
  <c r="H682" i="85"/>
  <c r="A682" i="85"/>
  <c r="AL681" i="85"/>
  <c r="AK681" i="85"/>
  <c r="N681" i="85"/>
  <c r="H681" i="85"/>
  <c r="A681" i="85"/>
  <c r="AL680" i="85"/>
  <c r="AK680" i="85"/>
  <c r="N680" i="85"/>
  <c r="H680" i="85"/>
  <c r="A680" i="85"/>
  <c r="AL679" i="85"/>
  <c r="AK679" i="85"/>
  <c r="AD679" i="85"/>
  <c r="N679" i="85"/>
  <c r="H679" i="85"/>
  <c r="A679" i="85"/>
  <c r="AL678" i="85"/>
  <c r="AK678" i="85"/>
  <c r="N678" i="85"/>
  <c r="H678" i="85"/>
  <c r="A678" i="85"/>
  <c r="AL677" i="85"/>
  <c r="AK677" i="85"/>
  <c r="N677" i="85"/>
  <c r="H677" i="85"/>
  <c r="A677" i="85"/>
  <c r="AL676" i="85"/>
  <c r="AK676" i="85"/>
  <c r="N676" i="85"/>
  <c r="H676" i="85"/>
  <c r="A676" i="85"/>
  <c r="AL675" i="85"/>
  <c r="AK675" i="85"/>
  <c r="N675" i="85"/>
  <c r="H675" i="85"/>
  <c r="A675" i="85"/>
  <c r="AL674" i="85"/>
  <c r="AK674" i="85"/>
  <c r="N674" i="85"/>
  <c r="H674" i="85"/>
  <c r="A674" i="85"/>
  <c r="AL673" i="85"/>
  <c r="AK673" i="85"/>
  <c r="N673" i="85"/>
  <c r="H673" i="85"/>
  <c r="A673" i="85"/>
  <c r="AL672" i="85"/>
  <c r="AK672" i="85"/>
  <c r="N672" i="85"/>
  <c r="H672" i="85"/>
  <c r="A672" i="85"/>
  <c r="AL671" i="85"/>
  <c r="AK671" i="85"/>
  <c r="N671" i="85"/>
  <c r="H671" i="85"/>
  <c r="A671" i="85"/>
  <c r="AL670" i="85"/>
  <c r="AK670" i="85"/>
  <c r="N670" i="85"/>
  <c r="H670" i="85"/>
  <c r="A670" i="85"/>
  <c r="AL669" i="85"/>
  <c r="AK669" i="85"/>
  <c r="N669" i="85"/>
  <c r="H669" i="85"/>
  <c r="A669" i="85"/>
  <c r="AL668" i="85"/>
  <c r="AK668" i="85"/>
  <c r="N668" i="85"/>
  <c r="H668" i="85"/>
  <c r="A668" i="85"/>
  <c r="AL667" i="85"/>
  <c r="AK667" i="85"/>
  <c r="N667" i="85"/>
  <c r="H667" i="85"/>
  <c r="A667" i="85"/>
  <c r="AL666" i="85"/>
  <c r="AK666" i="85"/>
  <c r="N666" i="85"/>
  <c r="H666" i="85"/>
  <c r="A666" i="85"/>
  <c r="AL665" i="85"/>
  <c r="AK665" i="85"/>
  <c r="N665" i="85"/>
  <c r="H665" i="85"/>
  <c r="A665" i="85"/>
  <c r="AL664" i="85"/>
  <c r="AK664" i="85"/>
  <c r="N664" i="85"/>
  <c r="H664" i="85"/>
  <c r="A664" i="85"/>
  <c r="AL663" i="85"/>
  <c r="AK663" i="85"/>
  <c r="N663" i="85"/>
  <c r="H663" i="85"/>
  <c r="A663" i="85"/>
  <c r="AL662" i="85"/>
  <c r="AK662" i="85"/>
  <c r="AD662" i="85"/>
  <c r="N662" i="85"/>
  <c r="H662" i="85"/>
  <c r="A662" i="85"/>
  <c r="AL661" i="85"/>
  <c r="AK661" i="85"/>
  <c r="N661" i="85"/>
  <c r="H661" i="85"/>
  <c r="A661" i="85"/>
  <c r="AL660" i="85"/>
  <c r="AK660" i="85"/>
  <c r="N660" i="85"/>
  <c r="H660" i="85"/>
  <c r="A660" i="85"/>
  <c r="AL659" i="85"/>
  <c r="AK659" i="85"/>
  <c r="N659" i="85"/>
  <c r="H659" i="85"/>
  <c r="A659" i="85"/>
  <c r="AL658" i="85"/>
  <c r="AK658" i="85"/>
  <c r="N658" i="85"/>
  <c r="H658" i="85"/>
  <c r="A658" i="85"/>
  <c r="AL657" i="85"/>
  <c r="AK657" i="85"/>
  <c r="N657" i="85"/>
  <c r="H657" i="85"/>
  <c r="A657" i="85"/>
  <c r="AL656" i="85"/>
  <c r="AK656" i="85"/>
  <c r="N656" i="85"/>
  <c r="H656" i="85"/>
  <c r="A656" i="85"/>
  <c r="AL655" i="85"/>
  <c r="AK655" i="85"/>
  <c r="N655" i="85"/>
  <c r="H655" i="85"/>
  <c r="A655" i="85"/>
  <c r="AL654" i="85"/>
  <c r="AK654" i="85"/>
  <c r="N654" i="85"/>
  <c r="H654" i="85"/>
  <c r="A654" i="85"/>
  <c r="AL653" i="85"/>
  <c r="AK653" i="85"/>
  <c r="N653" i="85"/>
  <c r="H653" i="85"/>
  <c r="A653" i="85"/>
  <c r="AL652" i="85"/>
  <c r="AK652" i="85"/>
  <c r="N652" i="85"/>
  <c r="H652" i="85"/>
  <c r="A652" i="85"/>
  <c r="AL651" i="85"/>
  <c r="AK651" i="85"/>
  <c r="N651" i="85"/>
  <c r="H651" i="85"/>
  <c r="A651" i="85"/>
  <c r="AL650" i="85"/>
  <c r="AK650" i="85"/>
  <c r="N650" i="85"/>
  <c r="H650" i="85"/>
  <c r="A650" i="85"/>
  <c r="AL649" i="85"/>
  <c r="AK649" i="85"/>
  <c r="N649" i="85"/>
  <c r="H649" i="85"/>
  <c r="A649" i="85"/>
  <c r="AL648" i="85"/>
  <c r="AK648" i="85"/>
  <c r="N648" i="85"/>
  <c r="H648" i="85"/>
  <c r="A648" i="85"/>
  <c r="AL647" i="85"/>
  <c r="AK647" i="85"/>
  <c r="AI647" i="85"/>
  <c r="AD647" i="85"/>
  <c r="N647" i="85"/>
  <c r="H647" i="85"/>
  <c r="A647" i="85"/>
  <c r="AL646" i="85"/>
  <c r="AK646" i="85"/>
  <c r="N646" i="85"/>
  <c r="H646" i="85"/>
  <c r="A646" i="85"/>
  <c r="AL645" i="85"/>
  <c r="AK645" i="85"/>
  <c r="AD645" i="85"/>
  <c r="N645" i="85"/>
  <c r="H645" i="85"/>
  <c r="A645" i="85"/>
  <c r="AL644" i="85"/>
  <c r="AK644" i="85"/>
  <c r="N644" i="85"/>
  <c r="H644" i="85"/>
  <c r="A644" i="85"/>
  <c r="AL643" i="85"/>
  <c r="AK643" i="85"/>
  <c r="N643" i="85"/>
  <c r="H643" i="85"/>
  <c r="A643" i="85"/>
  <c r="AL642" i="85"/>
  <c r="AK642" i="85"/>
  <c r="N642" i="85"/>
  <c r="H642" i="85"/>
  <c r="A642" i="85"/>
  <c r="AL641" i="85"/>
  <c r="AK641" i="85"/>
  <c r="N641" i="85"/>
  <c r="H641" i="85"/>
  <c r="A641" i="85"/>
  <c r="AL640" i="85"/>
  <c r="AK640" i="85"/>
  <c r="AD640" i="85"/>
  <c r="N640" i="85"/>
  <c r="H640" i="85"/>
  <c r="A640" i="85"/>
  <c r="AL639" i="85"/>
  <c r="AK639" i="85"/>
  <c r="N639" i="85"/>
  <c r="H639" i="85"/>
  <c r="A639" i="85"/>
  <c r="AL638" i="85"/>
  <c r="AK638" i="85"/>
  <c r="N638" i="85"/>
  <c r="H638" i="85"/>
  <c r="A638" i="85"/>
  <c r="AL637" i="85"/>
  <c r="AK637" i="85"/>
  <c r="N637" i="85"/>
  <c r="H637" i="85"/>
  <c r="A637" i="85"/>
  <c r="AL636" i="85"/>
  <c r="AK636" i="85"/>
  <c r="N636" i="85"/>
  <c r="H636" i="85"/>
  <c r="A636" i="85"/>
  <c r="AL635" i="85"/>
  <c r="AK635" i="85"/>
  <c r="N635" i="85"/>
  <c r="H635" i="85"/>
  <c r="A635" i="85"/>
  <c r="AL634" i="85"/>
  <c r="AK634" i="85"/>
  <c r="N634" i="85"/>
  <c r="H634" i="85"/>
  <c r="A634" i="85"/>
  <c r="AL633" i="85"/>
  <c r="AK633" i="85"/>
  <c r="N633" i="85"/>
  <c r="H633" i="85"/>
  <c r="A633" i="85"/>
  <c r="AL632" i="85"/>
  <c r="AK632" i="85"/>
  <c r="N632" i="85"/>
  <c r="H632" i="85"/>
  <c r="A632" i="85"/>
  <c r="AL631" i="85"/>
  <c r="AK631" i="85"/>
  <c r="N631" i="85"/>
  <c r="H631" i="85"/>
  <c r="A631" i="85"/>
  <c r="AL630" i="85"/>
  <c r="AK630" i="85"/>
  <c r="N630" i="85"/>
  <c r="H630" i="85"/>
  <c r="A630" i="85"/>
  <c r="AL629" i="85"/>
  <c r="AK629" i="85"/>
  <c r="N629" i="85"/>
  <c r="H629" i="85"/>
  <c r="A629" i="85"/>
  <c r="AL628" i="85"/>
  <c r="AK628" i="85"/>
  <c r="N628" i="85"/>
  <c r="H628" i="85"/>
  <c r="A628" i="85"/>
  <c r="AL627" i="85"/>
  <c r="AK627" i="85"/>
  <c r="N627" i="85"/>
  <c r="H627" i="85"/>
  <c r="A627" i="85"/>
  <c r="AL626" i="85"/>
  <c r="AK626" i="85"/>
  <c r="N626" i="85"/>
  <c r="H626" i="85"/>
  <c r="A626" i="85"/>
  <c r="AL625" i="85"/>
  <c r="AK625" i="85"/>
  <c r="AI625" i="85"/>
  <c r="AD625" i="85"/>
  <c r="N625" i="85"/>
  <c r="H625" i="85"/>
  <c r="A625" i="85"/>
  <c r="AL624" i="85"/>
  <c r="AK624" i="85"/>
  <c r="N624" i="85"/>
  <c r="H624" i="85"/>
  <c r="A624" i="85"/>
  <c r="AL623" i="85"/>
  <c r="AK623" i="85"/>
  <c r="N623" i="85"/>
  <c r="H623" i="85"/>
  <c r="A623" i="85"/>
  <c r="AL622" i="85"/>
  <c r="AK622" i="85"/>
  <c r="N622" i="85"/>
  <c r="H622" i="85"/>
  <c r="A622" i="85"/>
  <c r="AL621" i="85"/>
  <c r="AK621" i="85"/>
  <c r="N621" i="85"/>
  <c r="H621" i="85"/>
  <c r="A621" i="85"/>
  <c r="AL620" i="85"/>
  <c r="AK620" i="85"/>
  <c r="N620" i="85"/>
  <c r="H620" i="85"/>
  <c r="A620" i="85"/>
  <c r="AL619" i="85"/>
  <c r="AK619" i="85"/>
  <c r="N619" i="85"/>
  <c r="H619" i="85"/>
  <c r="A619" i="85"/>
  <c r="AL618" i="85"/>
  <c r="AK618" i="85"/>
  <c r="AD618" i="85"/>
  <c r="N618" i="85"/>
  <c r="H618" i="85"/>
  <c r="A618" i="85"/>
  <c r="AL617" i="85"/>
  <c r="AK617" i="85"/>
  <c r="N617" i="85"/>
  <c r="H617" i="85"/>
  <c r="A617" i="85"/>
  <c r="AL616" i="85"/>
  <c r="AK616" i="85"/>
  <c r="N616" i="85"/>
  <c r="H616" i="85"/>
  <c r="A616" i="85"/>
  <c r="AL615" i="85"/>
  <c r="AK615" i="85"/>
  <c r="N615" i="85"/>
  <c r="H615" i="85"/>
  <c r="A615" i="85"/>
  <c r="AL614" i="85"/>
  <c r="AK614" i="85"/>
  <c r="AD614" i="85"/>
  <c r="N614" i="85"/>
  <c r="H614" i="85"/>
  <c r="A614" i="85"/>
  <c r="AL613" i="85"/>
  <c r="AK613" i="85"/>
  <c r="AI613" i="85"/>
  <c r="AD613" i="85"/>
  <c r="N613" i="85"/>
  <c r="H613" i="85"/>
  <c r="A613" i="85"/>
  <c r="AL612" i="85"/>
  <c r="AK612" i="85"/>
  <c r="AD612" i="85"/>
  <c r="N612" i="85"/>
  <c r="H612" i="85"/>
  <c r="A612" i="85"/>
  <c r="AL611" i="85"/>
  <c r="AK611" i="85"/>
  <c r="N611" i="85"/>
  <c r="H611" i="85"/>
  <c r="A611" i="85"/>
  <c r="AL610" i="85"/>
  <c r="AK610" i="85"/>
  <c r="N610" i="85"/>
  <c r="H610" i="85"/>
  <c r="A610" i="85"/>
  <c r="AL609" i="85"/>
  <c r="AK609" i="85"/>
  <c r="N609" i="85"/>
  <c r="H609" i="85"/>
  <c r="A609" i="85"/>
  <c r="AL608" i="85"/>
  <c r="AK608" i="85"/>
  <c r="N608" i="85"/>
  <c r="H608" i="85"/>
  <c r="A608" i="85"/>
  <c r="AL607" i="85"/>
  <c r="AK607" i="85"/>
  <c r="N607" i="85"/>
  <c r="H607" i="85"/>
  <c r="A607" i="85"/>
  <c r="AL606" i="85"/>
  <c r="AK606" i="85"/>
  <c r="N606" i="85"/>
  <c r="H606" i="85"/>
  <c r="A606" i="85"/>
  <c r="AL605" i="85"/>
  <c r="AK605" i="85"/>
  <c r="AD605" i="85"/>
  <c r="N605" i="85"/>
  <c r="H605" i="85"/>
  <c r="A605" i="85"/>
  <c r="AL604" i="85"/>
  <c r="AK604" i="85"/>
  <c r="N604" i="85"/>
  <c r="H604" i="85"/>
  <c r="A604" i="85"/>
  <c r="AL603" i="85"/>
  <c r="AK603" i="85"/>
  <c r="N603" i="85"/>
  <c r="H603" i="85"/>
  <c r="A603" i="85"/>
  <c r="AL602" i="85"/>
  <c r="AK602" i="85"/>
  <c r="N602" i="85"/>
  <c r="H602" i="85"/>
  <c r="A602" i="85"/>
  <c r="AL601" i="85"/>
  <c r="AK601" i="85"/>
  <c r="N601" i="85"/>
  <c r="H601" i="85"/>
  <c r="A601" i="85"/>
  <c r="AL600" i="85"/>
  <c r="AK600" i="85"/>
  <c r="N600" i="85"/>
  <c r="H600" i="85"/>
  <c r="A600" i="85"/>
  <c r="AL599" i="85"/>
  <c r="AK599" i="85"/>
  <c r="N599" i="85"/>
  <c r="H599" i="85"/>
  <c r="A599" i="85"/>
  <c r="AL598" i="85"/>
  <c r="AK598" i="85"/>
  <c r="N598" i="85"/>
  <c r="H598" i="85"/>
  <c r="A598" i="85"/>
  <c r="AL597" i="85"/>
  <c r="AK597" i="85"/>
  <c r="N597" i="85"/>
  <c r="H597" i="85"/>
  <c r="A597" i="85"/>
  <c r="AL596" i="85"/>
  <c r="AK596" i="85"/>
  <c r="N596" i="85"/>
  <c r="H596" i="85"/>
  <c r="A596" i="85"/>
  <c r="AL595" i="85"/>
  <c r="AK595" i="85"/>
  <c r="AD595" i="85"/>
  <c r="N595" i="85"/>
  <c r="H595" i="85"/>
  <c r="A595" i="85"/>
  <c r="AL594" i="85"/>
  <c r="AK594" i="85"/>
  <c r="N594" i="85"/>
  <c r="H594" i="85"/>
  <c r="A594" i="85"/>
  <c r="AL593" i="85"/>
  <c r="AK593" i="85"/>
  <c r="N593" i="85"/>
  <c r="H593" i="85"/>
  <c r="A593" i="85"/>
  <c r="AL592" i="85"/>
  <c r="AK592" i="85"/>
  <c r="N592" i="85"/>
  <c r="H592" i="85"/>
  <c r="A592" i="85"/>
  <c r="AL591" i="85"/>
  <c r="AK591" i="85"/>
  <c r="N591" i="85"/>
  <c r="H591" i="85"/>
  <c r="A591" i="85"/>
  <c r="AL590" i="85"/>
  <c r="AK590" i="85"/>
  <c r="N590" i="85"/>
  <c r="H590" i="85"/>
  <c r="A590" i="85"/>
  <c r="AL589" i="85"/>
  <c r="AK589" i="85"/>
  <c r="N589" i="85"/>
  <c r="H589" i="85"/>
  <c r="A589" i="85"/>
  <c r="AL588" i="85"/>
  <c r="AK588" i="85"/>
  <c r="AI588" i="85"/>
  <c r="AD588" i="85"/>
  <c r="N588" i="85"/>
  <c r="H588" i="85"/>
  <c r="A588" i="85"/>
  <c r="AL587" i="85"/>
  <c r="AK587" i="85"/>
  <c r="N587" i="85"/>
  <c r="H587" i="85"/>
  <c r="A587" i="85"/>
  <c r="AL586" i="85"/>
  <c r="AK586" i="85"/>
  <c r="N586" i="85"/>
  <c r="H586" i="85"/>
  <c r="A586" i="85"/>
  <c r="AL585" i="85"/>
  <c r="AK585" i="85"/>
  <c r="AD585" i="85"/>
  <c r="N585" i="85"/>
  <c r="H585" i="85"/>
  <c r="A585" i="85"/>
  <c r="AM584" i="85"/>
  <c r="AL584" i="85"/>
  <c r="AK584" i="85"/>
  <c r="N584" i="85"/>
  <c r="H584" i="85"/>
  <c r="A584" i="85"/>
  <c r="AL583" i="85"/>
  <c r="AK583" i="85"/>
  <c r="N583" i="85"/>
  <c r="H583" i="85"/>
  <c r="A583" i="85"/>
  <c r="AL582" i="85"/>
  <c r="AK582" i="85"/>
  <c r="N582" i="85"/>
  <c r="H582" i="85"/>
  <c r="A582" i="85"/>
  <c r="AL581" i="85"/>
  <c r="AK581" i="85"/>
  <c r="N581" i="85"/>
  <c r="H581" i="85"/>
  <c r="A581" i="85"/>
  <c r="AL580" i="85"/>
  <c r="AK580" i="85"/>
  <c r="N580" i="85"/>
  <c r="H580" i="85"/>
  <c r="A580" i="85"/>
  <c r="AL579" i="85"/>
  <c r="AK579" i="85"/>
  <c r="N579" i="85"/>
  <c r="H579" i="85"/>
  <c r="A579" i="85"/>
  <c r="AL578" i="85"/>
  <c r="AK578" i="85"/>
  <c r="N578" i="85"/>
  <c r="H578" i="85"/>
  <c r="A578" i="85"/>
  <c r="AL577" i="85"/>
  <c r="AK577" i="85"/>
  <c r="AI577" i="85"/>
  <c r="AD577" i="85"/>
  <c r="N577" i="85"/>
  <c r="H577" i="85"/>
  <c r="A577" i="85"/>
  <c r="AL576" i="85"/>
  <c r="AK576" i="85"/>
  <c r="N576" i="85"/>
  <c r="H576" i="85"/>
  <c r="A576" i="85"/>
  <c r="AL575" i="85"/>
  <c r="AK575" i="85"/>
  <c r="N575" i="85"/>
  <c r="H575" i="85"/>
  <c r="A575" i="85"/>
  <c r="AL574" i="85"/>
  <c r="AK574" i="85"/>
  <c r="N574" i="85"/>
  <c r="H574" i="85"/>
  <c r="A574" i="85"/>
  <c r="AL573" i="85"/>
  <c r="AK573" i="85"/>
  <c r="AD573" i="85"/>
  <c r="N573" i="85"/>
  <c r="H573" i="85"/>
  <c r="A573" i="85"/>
  <c r="AL572" i="85"/>
  <c r="AK572" i="85"/>
  <c r="N572" i="85"/>
  <c r="H572" i="85"/>
  <c r="A572" i="85"/>
  <c r="AL571" i="85"/>
  <c r="AK571" i="85"/>
  <c r="N571" i="85"/>
  <c r="H571" i="85"/>
  <c r="A571" i="85"/>
  <c r="AL570" i="85"/>
  <c r="AK570" i="85"/>
  <c r="N570" i="85"/>
  <c r="H570" i="85"/>
  <c r="A570" i="85"/>
  <c r="AL569" i="85"/>
  <c r="AK569" i="85"/>
  <c r="AD569" i="85"/>
  <c r="N569" i="85"/>
  <c r="H569" i="85"/>
  <c r="A569" i="85"/>
  <c r="AL568" i="85"/>
  <c r="AK568" i="85"/>
  <c r="N568" i="85"/>
  <c r="H568" i="85"/>
  <c r="A568" i="85"/>
  <c r="AL567" i="85"/>
  <c r="AK567" i="85"/>
  <c r="N567" i="85"/>
  <c r="H567" i="85"/>
  <c r="A567" i="85"/>
  <c r="AL566" i="85"/>
  <c r="AK566" i="85"/>
  <c r="N566" i="85"/>
  <c r="H566" i="85"/>
  <c r="A566" i="85"/>
  <c r="AL565" i="85"/>
  <c r="AK565" i="85"/>
  <c r="N565" i="85"/>
  <c r="H565" i="85"/>
  <c r="A565" i="85"/>
  <c r="AL564" i="85"/>
  <c r="AK564" i="85"/>
  <c r="N564" i="85"/>
  <c r="H564" i="85"/>
  <c r="A564" i="85"/>
  <c r="AL563" i="85"/>
  <c r="AK563" i="85"/>
  <c r="N563" i="85"/>
  <c r="H563" i="85"/>
  <c r="A563" i="85"/>
  <c r="AL562" i="85"/>
  <c r="AK562" i="85"/>
  <c r="N562" i="85"/>
  <c r="H562" i="85"/>
  <c r="A562" i="85"/>
  <c r="AL561" i="85"/>
  <c r="AK561" i="85"/>
  <c r="N561" i="85"/>
  <c r="H561" i="85"/>
  <c r="A561" i="85"/>
  <c r="AL560" i="85"/>
  <c r="AK560" i="85"/>
  <c r="N560" i="85"/>
  <c r="H560" i="85"/>
  <c r="A560" i="85"/>
  <c r="AL559" i="85"/>
  <c r="AK559" i="85"/>
  <c r="N559" i="85"/>
  <c r="H559" i="85"/>
  <c r="A559" i="85"/>
  <c r="AL558" i="85"/>
  <c r="AK558" i="85"/>
  <c r="N558" i="85"/>
  <c r="H558" i="85"/>
  <c r="A558" i="85"/>
  <c r="AL557" i="85"/>
  <c r="AK557" i="85"/>
  <c r="N557" i="85"/>
  <c r="H557" i="85"/>
  <c r="A557" i="85"/>
  <c r="AL556" i="85"/>
  <c r="AK556" i="85"/>
  <c r="N556" i="85"/>
  <c r="H556" i="85"/>
  <c r="A556" i="85"/>
  <c r="AL555" i="85"/>
  <c r="AK555" i="85"/>
  <c r="AD555" i="85"/>
  <c r="N555" i="85"/>
  <c r="H555" i="85"/>
  <c r="A555" i="85"/>
  <c r="AL554" i="85"/>
  <c r="AK554" i="85"/>
  <c r="N554" i="85"/>
  <c r="H554" i="85"/>
  <c r="A554" i="85"/>
  <c r="AL553" i="85"/>
  <c r="AK553" i="85"/>
  <c r="N553" i="85"/>
  <c r="H553" i="85"/>
  <c r="A553" i="85"/>
  <c r="AL552" i="85"/>
  <c r="AK552" i="85"/>
  <c r="N552" i="85"/>
  <c r="H552" i="85"/>
  <c r="A552" i="85"/>
  <c r="AL551" i="85"/>
  <c r="AK551" i="85"/>
  <c r="N551" i="85"/>
  <c r="H551" i="85"/>
  <c r="A551" i="85"/>
  <c r="AL550" i="85"/>
  <c r="AK550" i="85"/>
  <c r="AD550" i="85"/>
  <c r="N550" i="85"/>
  <c r="H550" i="85"/>
  <c r="A550" i="85"/>
  <c r="AL549" i="85"/>
  <c r="AK549" i="85"/>
  <c r="N549" i="85"/>
  <c r="H549" i="85"/>
  <c r="A549" i="85"/>
  <c r="AL548" i="85"/>
  <c r="AK548" i="85"/>
  <c r="N548" i="85"/>
  <c r="H548" i="85"/>
  <c r="A548" i="85"/>
  <c r="AL547" i="85"/>
  <c r="AK547" i="85"/>
  <c r="AD547" i="85"/>
  <c r="N547" i="85"/>
  <c r="H547" i="85"/>
  <c r="A547" i="85"/>
  <c r="AL546" i="85"/>
  <c r="AK546" i="85"/>
  <c r="N546" i="85"/>
  <c r="H546" i="85"/>
  <c r="A546" i="85"/>
  <c r="AL545" i="85"/>
  <c r="AK545" i="85"/>
  <c r="AD545" i="85"/>
  <c r="N545" i="85"/>
  <c r="H545" i="85"/>
  <c r="A545" i="85"/>
  <c r="AL544" i="85"/>
  <c r="AK544" i="85"/>
  <c r="N544" i="85"/>
  <c r="H544" i="85"/>
  <c r="A544" i="85"/>
  <c r="AL543" i="85"/>
  <c r="AK543" i="85"/>
  <c r="N543" i="85"/>
  <c r="H543" i="85"/>
  <c r="A543" i="85"/>
  <c r="AL542" i="85"/>
  <c r="AK542" i="85"/>
  <c r="N542" i="85"/>
  <c r="H542" i="85"/>
  <c r="A542" i="85"/>
  <c r="AL541" i="85"/>
  <c r="AK541" i="85"/>
  <c r="N541" i="85"/>
  <c r="H541" i="85"/>
  <c r="A541" i="85"/>
  <c r="AL540" i="85"/>
  <c r="AK540" i="85"/>
  <c r="N540" i="85"/>
  <c r="H540" i="85"/>
  <c r="A540" i="85"/>
  <c r="AL539" i="85"/>
  <c r="AK539" i="85"/>
  <c r="N539" i="85"/>
  <c r="H539" i="85"/>
  <c r="A539" i="85"/>
  <c r="AL538" i="85"/>
  <c r="AK538" i="85"/>
  <c r="N538" i="85"/>
  <c r="H538" i="85"/>
  <c r="A538" i="85"/>
  <c r="AL537" i="85"/>
  <c r="AK537" i="85"/>
  <c r="N537" i="85"/>
  <c r="H537" i="85"/>
  <c r="A537" i="85"/>
  <c r="AL536" i="85"/>
  <c r="AK536" i="85"/>
  <c r="N536" i="85"/>
  <c r="H536" i="85"/>
  <c r="A536" i="85"/>
  <c r="AL535" i="85"/>
  <c r="AK535" i="85"/>
  <c r="AD535" i="85"/>
  <c r="N535" i="85"/>
  <c r="H535" i="85"/>
  <c r="A535" i="85"/>
  <c r="AL534" i="85"/>
  <c r="AK534" i="85"/>
  <c r="N534" i="85"/>
  <c r="H534" i="85"/>
  <c r="A534" i="85"/>
  <c r="AL533" i="85"/>
  <c r="AK533" i="85"/>
  <c r="N533" i="85"/>
  <c r="H533" i="85"/>
  <c r="A533" i="85"/>
  <c r="AL532" i="85"/>
  <c r="AK532" i="85"/>
  <c r="N532" i="85"/>
  <c r="H532" i="85"/>
  <c r="A532" i="85"/>
  <c r="AL531" i="85"/>
  <c r="AK531" i="85"/>
  <c r="N531" i="85"/>
  <c r="H531" i="85"/>
  <c r="A531" i="85"/>
  <c r="AL530" i="85"/>
  <c r="AK530" i="85"/>
  <c r="N530" i="85"/>
  <c r="H530" i="85"/>
  <c r="A530" i="85"/>
  <c r="AL529" i="85"/>
  <c r="AK529" i="85"/>
  <c r="N529" i="85"/>
  <c r="H529" i="85"/>
  <c r="A529" i="85"/>
  <c r="AM528" i="85"/>
  <c r="AL528" i="85"/>
  <c r="AK528" i="85"/>
  <c r="AD528" i="85"/>
  <c r="N528" i="85"/>
  <c r="H528" i="85"/>
  <c r="A528" i="85"/>
  <c r="AL527" i="85"/>
  <c r="AK527" i="85"/>
  <c r="N527" i="85"/>
  <c r="H527" i="85"/>
  <c r="A527" i="85"/>
  <c r="AL526" i="85"/>
  <c r="AK526" i="85"/>
  <c r="N526" i="85"/>
  <c r="H526" i="85"/>
  <c r="A526" i="85"/>
  <c r="AL525" i="85"/>
  <c r="AK525" i="85"/>
  <c r="N525" i="85"/>
  <c r="H525" i="85"/>
  <c r="A525" i="85"/>
  <c r="AL524" i="85"/>
  <c r="AK524" i="85"/>
  <c r="N524" i="85"/>
  <c r="H524" i="85"/>
  <c r="A524" i="85"/>
  <c r="AL523" i="85"/>
  <c r="AK523" i="85"/>
  <c r="N523" i="85"/>
  <c r="H523" i="85"/>
  <c r="A523" i="85"/>
  <c r="AL522" i="85"/>
  <c r="AK522" i="85"/>
  <c r="AD522" i="85"/>
  <c r="N522" i="85"/>
  <c r="H522" i="85"/>
  <c r="A522" i="85"/>
  <c r="AL521" i="85"/>
  <c r="AK521" i="85"/>
  <c r="N521" i="85"/>
  <c r="H521" i="85"/>
  <c r="A521" i="85"/>
  <c r="AL520" i="85"/>
  <c r="AK520" i="85"/>
  <c r="N520" i="85"/>
  <c r="H520" i="85"/>
  <c r="A520" i="85"/>
  <c r="AL519" i="85"/>
  <c r="AK519" i="85"/>
  <c r="N519" i="85"/>
  <c r="H519" i="85"/>
  <c r="A519" i="85"/>
  <c r="AL518" i="85"/>
  <c r="AK518" i="85"/>
  <c r="AD518" i="85"/>
  <c r="N518" i="85"/>
  <c r="H518" i="85"/>
  <c r="A518" i="85"/>
  <c r="AL517" i="85"/>
  <c r="AK517" i="85"/>
  <c r="N517" i="85"/>
  <c r="H517" i="85"/>
  <c r="A517" i="85"/>
  <c r="AL516" i="85"/>
  <c r="AK516" i="85"/>
  <c r="N516" i="85"/>
  <c r="H516" i="85"/>
  <c r="A516" i="85"/>
  <c r="AL515" i="85"/>
  <c r="AK515" i="85"/>
  <c r="N515" i="85"/>
  <c r="H515" i="85"/>
  <c r="A515" i="85"/>
  <c r="AL514" i="85"/>
  <c r="AK514" i="85"/>
  <c r="AD514" i="85"/>
  <c r="N514" i="85"/>
  <c r="H514" i="85"/>
  <c r="A514" i="85"/>
  <c r="AL513" i="85"/>
  <c r="AK513" i="85"/>
  <c r="N513" i="85"/>
  <c r="H513" i="85"/>
  <c r="A513" i="85"/>
  <c r="AL512" i="85"/>
  <c r="AK512" i="85"/>
  <c r="N512" i="85"/>
  <c r="H512" i="85"/>
  <c r="A512" i="85"/>
  <c r="AL511" i="85"/>
  <c r="AK511" i="85"/>
  <c r="AD511" i="85"/>
  <c r="N511" i="85"/>
  <c r="H511" i="85"/>
  <c r="A511" i="85"/>
  <c r="AL510" i="85"/>
  <c r="AK510" i="85"/>
  <c r="N510" i="85"/>
  <c r="H510" i="85"/>
  <c r="A510" i="85"/>
  <c r="AM509" i="85"/>
  <c r="AL509" i="85"/>
  <c r="AK509" i="85"/>
  <c r="AD509" i="85"/>
  <c r="N509" i="85"/>
  <c r="H509" i="85"/>
  <c r="A509" i="85"/>
  <c r="AL508" i="85"/>
  <c r="AK508" i="85"/>
  <c r="AD508" i="85"/>
  <c r="N508" i="85"/>
  <c r="H508" i="85"/>
  <c r="A508" i="85"/>
  <c r="AL507" i="85"/>
  <c r="AK507" i="85"/>
  <c r="N507" i="85"/>
  <c r="H507" i="85"/>
  <c r="A507" i="85"/>
  <c r="AL506" i="85"/>
  <c r="AK506" i="85"/>
  <c r="N506" i="85"/>
  <c r="H506" i="85"/>
  <c r="A506" i="85"/>
  <c r="AL505" i="85"/>
  <c r="AK505" i="85"/>
  <c r="AD505" i="85"/>
  <c r="N505" i="85"/>
  <c r="H505" i="85"/>
  <c r="A505" i="85"/>
  <c r="AL504" i="85"/>
  <c r="AK504" i="85"/>
  <c r="AD504" i="85"/>
  <c r="N504" i="85"/>
  <c r="H504" i="85"/>
  <c r="A504" i="85"/>
  <c r="AL503" i="85"/>
  <c r="AK503" i="85"/>
  <c r="N503" i="85"/>
  <c r="H503" i="85"/>
  <c r="A503" i="85"/>
  <c r="AL502" i="85"/>
  <c r="AK502" i="85"/>
  <c r="AD502" i="85"/>
  <c r="N502" i="85"/>
  <c r="H502" i="85"/>
  <c r="A502" i="85"/>
  <c r="AL501" i="85"/>
  <c r="AK501" i="85"/>
  <c r="AD501" i="85"/>
  <c r="N501" i="85"/>
  <c r="H501" i="85"/>
  <c r="A501" i="85"/>
  <c r="AM500" i="85"/>
  <c r="AL500" i="85"/>
  <c r="AK500" i="85"/>
  <c r="N500" i="85"/>
  <c r="H500" i="85"/>
  <c r="A500" i="85"/>
  <c r="AL499" i="85"/>
  <c r="AK499" i="85"/>
  <c r="N499" i="85"/>
  <c r="H499" i="85"/>
  <c r="A499" i="85"/>
  <c r="AL498" i="85"/>
  <c r="AK498" i="85"/>
  <c r="N498" i="85"/>
  <c r="H498" i="85"/>
  <c r="A498" i="85"/>
  <c r="AL497" i="85"/>
  <c r="AK497" i="85"/>
  <c r="N497" i="85"/>
  <c r="H497" i="85"/>
  <c r="A497" i="85"/>
  <c r="AL496" i="85"/>
  <c r="AK496" i="85"/>
  <c r="AD496" i="85"/>
  <c r="N496" i="85"/>
  <c r="H496" i="85"/>
  <c r="A496" i="85"/>
  <c r="AL495" i="85"/>
  <c r="AK495" i="85"/>
  <c r="N495" i="85"/>
  <c r="H495" i="85"/>
  <c r="A495" i="85"/>
  <c r="AL494" i="85"/>
  <c r="AK494" i="85"/>
  <c r="N494" i="85"/>
  <c r="H494" i="85"/>
  <c r="A494" i="85"/>
  <c r="AL493" i="85"/>
  <c r="AK493" i="85"/>
  <c r="N493" i="85"/>
  <c r="H493" i="85"/>
  <c r="A493" i="85"/>
  <c r="AL492" i="85"/>
  <c r="AK492" i="85"/>
  <c r="N492" i="85"/>
  <c r="H492" i="85"/>
  <c r="A492" i="85"/>
  <c r="AL491" i="85"/>
  <c r="AK491" i="85"/>
  <c r="N491" i="85"/>
  <c r="H491" i="85"/>
  <c r="A491" i="85"/>
  <c r="AL490" i="85"/>
  <c r="AK490" i="85"/>
  <c r="N490" i="85"/>
  <c r="H490" i="85"/>
  <c r="A490" i="85"/>
  <c r="AL489" i="85"/>
  <c r="AK489" i="85"/>
  <c r="N489" i="85"/>
  <c r="H489" i="85"/>
  <c r="A489" i="85"/>
  <c r="AL488" i="85"/>
  <c r="AK488" i="85"/>
  <c r="N488" i="85"/>
  <c r="H488" i="85"/>
  <c r="A488" i="85"/>
  <c r="AL487" i="85"/>
  <c r="AK487" i="85"/>
  <c r="AD487" i="85"/>
  <c r="N487" i="85"/>
  <c r="H487" i="85"/>
  <c r="A487" i="85"/>
  <c r="AL486" i="85"/>
  <c r="AK486" i="85"/>
  <c r="N486" i="85"/>
  <c r="H486" i="85"/>
  <c r="A486" i="85"/>
  <c r="AL485" i="85"/>
  <c r="AK485" i="85"/>
  <c r="N485" i="85"/>
  <c r="H485" i="85"/>
  <c r="A485" i="85"/>
  <c r="AL484" i="85"/>
  <c r="AK484" i="85"/>
  <c r="N484" i="85"/>
  <c r="H484" i="85"/>
  <c r="A484" i="85"/>
  <c r="AL483" i="85"/>
  <c r="AK483" i="85"/>
  <c r="AD483" i="85"/>
  <c r="N483" i="85"/>
  <c r="H483" i="85"/>
  <c r="A483" i="85"/>
  <c r="AL482" i="85"/>
  <c r="AK482" i="85"/>
  <c r="N482" i="85"/>
  <c r="H482" i="85"/>
  <c r="A482" i="85"/>
  <c r="AL481" i="85"/>
  <c r="AK481" i="85"/>
  <c r="N481" i="85"/>
  <c r="H481" i="85"/>
  <c r="A481" i="85"/>
  <c r="AL480" i="85"/>
  <c r="AK480" i="85"/>
  <c r="N480" i="85"/>
  <c r="H480" i="85"/>
  <c r="A480" i="85"/>
  <c r="AL479" i="85"/>
  <c r="AK479" i="85"/>
  <c r="N479" i="85"/>
  <c r="H479" i="85"/>
  <c r="A479" i="85"/>
  <c r="AL478" i="85"/>
  <c r="AK478" i="85"/>
  <c r="N478" i="85"/>
  <c r="H478" i="85"/>
  <c r="A478" i="85"/>
  <c r="AM477" i="85"/>
  <c r="AL477" i="85"/>
  <c r="AK477" i="85"/>
  <c r="N477" i="85"/>
  <c r="H477" i="85"/>
  <c r="A477" i="85"/>
  <c r="AL476" i="85"/>
  <c r="AK476" i="85"/>
  <c r="N476" i="85"/>
  <c r="H476" i="85"/>
  <c r="A476" i="85"/>
  <c r="AL475" i="85"/>
  <c r="AK475" i="85"/>
  <c r="N475" i="85"/>
  <c r="H475" i="85"/>
  <c r="A475" i="85"/>
  <c r="AL474" i="85"/>
  <c r="AK474" i="85"/>
  <c r="N474" i="85"/>
  <c r="H474" i="85"/>
  <c r="A474" i="85"/>
  <c r="AL473" i="85"/>
  <c r="AK473" i="85"/>
  <c r="N473" i="85"/>
  <c r="H473" i="85"/>
  <c r="A473" i="85"/>
  <c r="AL472" i="85"/>
  <c r="AK472" i="85"/>
  <c r="N472" i="85"/>
  <c r="H472" i="85"/>
  <c r="A472" i="85"/>
  <c r="AL471" i="85"/>
  <c r="AK471" i="85"/>
  <c r="N471" i="85"/>
  <c r="H471" i="85"/>
  <c r="A471" i="85"/>
  <c r="AL470" i="85"/>
  <c r="AK470" i="85"/>
  <c r="AI470" i="85"/>
  <c r="AD470" i="85"/>
  <c r="N470" i="85"/>
  <c r="H470" i="85"/>
  <c r="A470" i="85"/>
  <c r="AL469" i="85"/>
  <c r="AK469" i="85"/>
  <c r="AD469" i="85"/>
  <c r="N469" i="85"/>
  <c r="H469" i="85"/>
  <c r="A469" i="85"/>
  <c r="AL468" i="85"/>
  <c r="AK468" i="85"/>
  <c r="N468" i="85"/>
  <c r="H468" i="85"/>
  <c r="A468" i="85"/>
  <c r="AL467" i="85"/>
  <c r="AK467" i="85"/>
  <c r="N467" i="85"/>
  <c r="H467" i="85"/>
  <c r="A467" i="85"/>
  <c r="AL466" i="85"/>
  <c r="AK466" i="85"/>
  <c r="N466" i="85"/>
  <c r="H466" i="85"/>
  <c r="A466" i="85"/>
  <c r="AL465" i="85"/>
  <c r="AK465" i="85"/>
  <c r="N465" i="85"/>
  <c r="H465" i="85"/>
  <c r="A465" i="85"/>
  <c r="AM464" i="85"/>
  <c r="AL464" i="85"/>
  <c r="AK464" i="85"/>
  <c r="AD464" i="85"/>
  <c r="N464" i="85"/>
  <c r="H464" i="85"/>
  <c r="A464" i="85"/>
  <c r="AL463" i="85"/>
  <c r="AK463" i="85"/>
  <c r="N463" i="85"/>
  <c r="H463" i="85"/>
  <c r="A463" i="85"/>
  <c r="AL462" i="85"/>
  <c r="AK462" i="85"/>
  <c r="N462" i="85"/>
  <c r="H462" i="85"/>
  <c r="A462" i="85"/>
  <c r="AL461" i="85"/>
  <c r="AK461" i="85"/>
  <c r="N461" i="85"/>
  <c r="H461" i="85"/>
  <c r="A461" i="85"/>
  <c r="AL460" i="85"/>
  <c r="AK460" i="85"/>
  <c r="N460" i="85"/>
  <c r="H460" i="85"/>
  <c r="A460" i="85"/>
  <c r="AL459" i="85"/>
  <c r="AK459" i="85"/>
  <c r="N459" i="85"/>
  <c r="H459" i="85"/>
  <c r="A459" i="85"/>
  <c r="AL458" i="85"/>
  <c r="AK458" i="85"/>
  <c r="N458" i="85"/>
  <c r="H458" i="85"/>
  <c r="A458" i="85"/>
  <c r="AL457" i="85"/>
  <c r="AK457" i="85"/>
  <c r="N457" i="85"/>
  <c r="H457" i="85"/>
  <c r="A457" i="85"/>
  <c r="AL456" i="85"/>
  <c r="AK456" i="85"/>
  <c r="N456" i="85"/>
  <c r="H456" i="85"/>
  <c r="A456" i="85"/>
  <c r="AL455" i="85"/>
  <c r="AK455" i="85"/>
  <c r="N455" i="85"/>
  <c r="H455" i="85"/>
  <c r="A455" i="85"/>
  <c r="AL454" i="85"/>
  <c r="AK454" i="85"/>
  <c r="N454" i="85"/>
  <c r="H454" i="85"/>
  <c r="A454" i="85"/>
  <c r="AL453" i="85"/>
  <c r="AK453" i="85"/>
  <c r="N453" i="85"/>
  <c r="H453" i="85"/>
  <c r="A453" i="85"/>
  <c r="AL452" i="85"/>
  <c r="AK452" i="85"/>
  <c r="N452" i="85"/>
  <c r="H452" i="85"/>
  <c r="A452" i="85"/>
  <c r="AL451" i="85"/>
  <c r="AK451" i="85"/>
  <c r="N451" i="85"/>
  <c r="H451" i="85"/>
  <c r="A451" i="85"/>
  <c r="AL450" i="85"/>
  <c r="AK450" i="85"/>
  <c r="N450" i="85"/>
  <c r="H450" i="85"/>
  <c r="A450" i="85"/>
  <c r="AL449" i="85"/>
  <c r="AK449" i="85"/>
  <c r="N449" i="85"/>
  <c r="H449" i="85"/>
  <c r="A449" i="85"/>
  <c r="AL448" i="85"/>
  <c r="AK448" i="85"/>
  <c r="N448" i="85"/>
  <c r="H448" i="85"/>
  <c r="A448" i="85"/>
  <c r="AL447" i="85"/>
  <c r="AK447" i="85"/>
  <c r="AD447" i="85"/>
  <c r="N447" i="85"/>
  <c r="H447" i="85"/>
  <c r="A447" i="85"/>
  <c r="AL446" i="85"/>
  <c r="AK446" i="85"/>
  <c r="N446" i="85"/>
  <c r="H446" i="85"/>
  <c r="A446" i="85"/>
  <c r="AL445" i="85"/>
  <c r="AK445" i="85"/>
  <c r="N445" i="85"/>
  <c r="H445" i="85"/>
  <c r="A445" i="85"/>
  <c r="AL444" i="85"/>
  <c r="AK444" i="85"/>
  <c r="N444" i="85"/>
  <c r="H444" i="85"/>
  <c r="A444" i="85"/>
  <c r="AL443" i="85"/>
  <c r="AK443" i="85"/>
  <c r="AD443" i="85"/>
  <c r="N443" i="85"/>
  <c r="H443" i="85"/>
  <c r="A443" i="85"/>
  <c r="AL442" i="85"/>
  <c r="AK442" i="85"/>
  <c r="N442" i="85"/>
  <c r="H442" i="85"/>
  <c r="A442" i="85"/>
  <c r="AL441" i="85"/>
  <c r="AK441" i="85"/>
  <c r="N441" i="85"/>
  <c r="H441" i="85"/>
  <c r="A441" i="85"/>
  <c r="AL440" i="85"/>
  <c r="AK440" i="85"/>
  <c r="N440" i="85"/>
  <c r="H440" i="85"/>
  <c r="A440" i="85"/>
  <c r="AL439" i="85"/>
  <c r="AK439" i="85"/>
  <c r="AD439" i="85"/>
  <c r="N439" i="85"/>
  <c r="H439" i="85"/>
  <c r="A439" i="85"/>
  <c r="AL438" i="85"/>
  <c r="AK438" i="85"/>
  <c r="N438" i="85"/>
  <c r="H438" i="85"/>
  <c r="A438" i="85"/>
  <c r="AL437" i="85"/>
  <c r="AK437" i="85"/>
  <c r="N437" i="85"/>
  <c r="H437" i="85"/>
  <c r="A437" i="85"/>
  <c r="AL436" i="85"/>
  <c r="AK436" i="85"/>
  <c r="N436" i="85"/>
  <c r="H436" i="85"/>
  <c r="A436" i="85"/>
  <c r="AL435" i="85"/>
  <c r="AK435" i="85"/>
  <c r="N435" i="85"/>
  <c r="H435" i="85"/>
  <c r="A435" i="85"/>
  <c r="AL434" i="85"/>
  <c r="AK434" i="85"/>
  <c r="N434" i="85"/>
  <c r="H434" i="85"/>
  <c r="A434" i="85"/>
  <c r="AL433" i="85"/>
  <c r="AK433" i="85"/>
  <c r="N433" i="85"/>
  <c r="H433" i="85"/>
  <c r="A433" i="85"/>
  <c r="AL432" i="85"/>
  <c r="AK432" i="85"/>
  <c r="N432" i="85"/>
  <c r="H432" i="85"/>
  <c r="A432" i="85"/>
  <c r="AL431" i="85"/>
  <c r="AK431" i="85"/>
  <c r="N431" i="85"/>
  <c r="H431" i="85"/>
  <c r="A431" i="85"/>
  <c r="AL430" i="85"/>
  <c r="AK430" i="85"/>
  <c r="AD430" i="85"/>
  <c r="N430" i="85"/>
  <c r="H430" i="85"/>
  <c r="A430" i="85"/>
  <c r="AL429" i="85"/>
  <c r="AK429" i="85"/>
  <c r="N429" i="85"/>
  <c r="H429" i="85"/>
  <c r="A429" i="85"/>
  <c r="AL428" i="85"/>
  <c r="AK428" i="85"/>
  <c r="N428" i="85"/>
  <c r="H428" i="85"/>
  <c r="A428" i="85"/>
  <c r="AL427" i="85"/>
  <c r="AK427" i="85"/>
  <c r="N427" i="85"/>
  <c r="H427" i="85"/>
  <c r="A427" i="85"/>
  <c r="AL426" i="85"/>
  <c r="AK426" i="85"/>
  <c r="N426" i="85"/>
  <c r="H426" i="85"/>
  <c r="A426" i="85"/>
  <c r="AL425" i="85"/>
  <c r="AK425" i="85"/>
  <c r="N425" i="85"/>
  <c r="H425" i="85"/>
  <c r="A425" i="85"/>
  <c r="AM424" i="85"/>
  <c r="AL424" i="85"/>
  <c r="AK424" i="85"/>
  <c r="N424" i="85"/>
  <c r="H424" i="85"/>
  <c r="A424" i="85"/>
  <c r="AL423" i="85"/>
  <c r="AK423" i="85"/>
  <c r="N423" i="85"/>
  <c r="H423" i="85"/>
  <c r="A423" i="85"/>
  <c r="AL422" i="85"/>
  <c r="AK422" i="85"/>
  <c r="AD422" i="85"/>
  <c r="N422" i="85"/>
  <c r="H422" i="85"/>
  <c r="A422" i="85"/>
  <c r="AL421" i="85"/>
  <c r="AK421" i="85"/>
  <c r="N421" i="85"/>
  <c r="H421" i="85"/>
  <c r="A421" i="85"/>
  <c r="AL420" i="85"/>
  <c r="AK420" i="85"/>
  <c r="N420" i="85"/>
  <c r="H420" i="85"/>
  <c r="A420" i="85"/>
  <c r="AL419" i="85"/>
  <c r="AK419" i="85"/>
  <c r="N419" i="85"/>
  <c r="H419" i="85"/>
  <c r="A419" i="85"/>
  <c r="AL418" i="85"/>
  <c r="AK418" i="85"/>
  <c r="N418" i="85"/>
  <c r="H418" i="85"/>
  <c r="A418" i="85"/>
  <c r="AL417" i="85"/>
  <c r="AK417" i="85"/>
  <c r="N417" i="85"/>
  <c r="H417" i="85"/>
  <c r="A417" i="85"/>
  <c r="AL416" i="85"/>
  <c r="AK416" i="85"/>
  <c r="N416" i="85"/>
  <c r="H416" i="85"/>
  <c r="A416" i="85"/>
  <c r="AM415" i="85"/>
  <c r="AL415" i="85"/>
  <c r="AK415" i="85"/>
  <c r="N415" i="85"/>
  <c r="H415" i="85"/>
  <c r="A415" i="85"/>
  <c r="AL414" i="85"/>
  <c r="AK414" i="85"/>
  <c r="N414" i="85"/>
  <c r="H414" i="85"/>
  <c r="A414" i="85"/>
  <c r="AL413" i="85"/>
  <c r="AK413" i="85"/>
  <c r="N413" i="85"/>
  <c r="H413" i="85"/>
  <c r="A413" i="85"/>
  <c r="AL412" i="85"/>
  <c r="AK412" i="85"/>
  <c r="AD412" i="85"/>
  <c r="N412" i="85"/>
  <c r="H412" i="85"/>
  <c r="A412" i="85"/>
  <c r="AL411" i="85"/>
  <c r="AK411" i="85"/>
  <c r="N411" i="85"/>
  <c r="H411" i="85"/>
  <c r="A411" i="85"/>
  <c r="AL410" i="85"/>
  <c r="AK410" i="85"/>
  <c r="N410" i="85"/>
  <c r="H410" i="85"/>
  <c r="A410" i="85"/>
  <c r="AL409" i="85"/>
  <c r="AK409" i="85"/>
  <c r="N409" i="85"/>
  <c r="H409" i="85"/>
  <c r="A409" i="85"/>
  <c r="AL408" i="85"/>
  <c r="AK408" i="85"/>
  <c r="AD408" i="85"/>
  <c r="N408" i="85"/>
  <c r="H408" i="85"/>
  <c r="A408" i="85"/>
  <c r="AL407" i="85"/>
  <c r="AK407" i="85"/>
  <c r="N407" i="85"/>
  <c r="H407" i="85"/>
  <c r="A407" i="85"/>
  <c r="AL406" i="85"/>
  <c r="AK406" i="85"/>
  <c r="N406" i="85"/>
  <c r="H406" i="85"/>
  <c r="A406" i="85"/>
  <c r="AL405" i="85"/>
  <c r="AK405" i="85"/>
  <c r="N405" i="85"/>
  <c r="H405" i="85"/>
  <c r="A405" i="85"/>
  <c r="AL404" i="85"/>
  <c r="AK404" i="85"/>
  <c r="N404" i="85"/>
  <c r="H404" i="85"/>
  <c r="A404" i="85"/>
  <c r="AL403" i="85"/>
  <c r="AK403" i="85"/>
  <c r="N403" i="85"/>
  <c r="H403" i="85"/>
  <c r="A403" i="85"/>
  <c r="AL402" i="85"/>
  <c r="AK402" i="85"/>
  <c r="AI402" i="85"/>
  <c r="AD402" i="85"/>
  <c r="N402" i="85"/>
  <c r="H402" i="85"/>
  <c r="A402" i="85"/>
  <c r="AL401" i="85"/>
  <c r="AK401" i="85"/>
  <c r="N401" i="85"/>
  <c r="H401" i="85"/>
  <c r="A401" i="85"/>
  <c r="AL400" i="85"/>
  <c r="AK400" i="85"/>
  <c r="N400" i="85"/>
  <c r="H400" i="85"/>
  <c r="A400" i="85"/>
  <c r="AL399" i="85"/>
  <c r="AK399" i="85"/>
  <c r="AD399" i="85"/>
  <c r="N399" i="85"/>
  <c r="H399" i="85"/>
  <c r="A399" i="85"/>
  <c r="AL398" i="85"/>
  <c r="AK398" i="85"/>
  <c r="AI398" i="85"/>
  <c r="AD398" i="85"/>
  <c r="N398" i="85"/>
  <c r="H398" i="85"/>
  <c r="A398" i="85"/>
  <c r="AL397" i="85"/>
  <c r="AK397" i="85"/>
  <c r="N397" i="85"/>
  <c r="H397" i="85"/>
  <c r="A397" i="85"/>
  <c r="AL396" i="85"/>
  <c r="AK396" i="85"/>
  <c r="N396" i="85"/>
  <c r="H396" i="85"/>
  <c r="A396" i="85"/>
  <c r="AL395" i="85"/>
  <c r="AK395" i="85"/>
  <c r="N395" i="85"/>
  <c r="H395" i="85"/>
  <c r="A395" i="85"/>
  <c r="AM394" i="85"/>
  <c r="AL394" i="85"/>
  <c r="AK394" i="85"/>
  <c r="N394" i="85"/>
  <c r="H394" i="85"/>
  <c r="A394" i="85"/>
  <c r="AL393" i="85"/>
  <c r="AK393" i="85"/>
  <c r="N393" i="85"/>
  <c r="H393" i="85"/>
  <c r="A393" i="85"/>
  <c r="AL392" i="85"/>
  <c r="AK392" i="85"/>
  <c r="AD392" i="85"/>
  <c r="N392" i="85"/>
  <c r="H392" i="85"/>
  <c r="A392" i="85"/>
  <c r="AL391" i="85"/>
  <c r="AK391" i="85"/>
  <c r="N391" i="85"/>
  <c r="H391" i="85"/>
  <c r="A391" i="85"/>
  <c r="AL390" i="85"/>
  <c r="AK390" i="85"/>
  <c r="N390" i="85"/>
  <c r="H390" i="85"/>
  <c r="A390" i="85"/>
  <c r="AL389" i="85"/>
  <c r="AK389" i="85"/>
  <c r="N389" i="85"/>
  <c r="H389" i="85"/>
  <c r="A389" i="85"/>
  <c r="AL388" i="85"/>
  <c r="AK388" i="85"/>
  <c r="N388" i="85"/>
  <c r="H388" i="85"/>
  <c r="A388" i="85"/>
  <c r="AL387" i="85"/>
  <c r="AK387" i="85"/>
  <c r="AD387" i="85"/>
  <c r="N387" i="85"/>
  <c r="H387" i="85"/>
  <c r="A387" i="85"/>
  <c r="AL386" i="85"/>
  <c r="AK386" i="85"/>
  <c r="N386" i="85"/>
  <c r="H386" i="85"/>
  <c r="A386" i="85"/>
  <c r="AM385" i="85"/>
  <c r="AL385" i="85"/>
  <c r="AK385" i="85"/>
  <c r="AD385" i="85"/>
  <c r="N385" i="85"/>
  <c r="H385" i="85"/>
  <c r="A385" i="85"/>
  <c r="AL384" i="85"/>
  <c r="AK384" i="85"/>
  <c r="N384" i="85"/>
  <c r="H384" i="85"/>
  <c r="A384" i="85"/>
  <c r="AL383" i="85"/>
  <c r="AK383" i="85"/>
  <c r="N383" i="85"/>
  <c r="H383" i="85"/>
  <c r="A383" i="85"/>
  <c r="AL382" i="85"/>
  <c r="AK382" i="85"/>
  <c r="AD382" i="85"/>
  <c r="N382" i="85"/>
  <c r="H382" i="85"/>
  <c r="A382" i="85"/>
  <c r="AL381" i="85"/>
  <c r="AK381" i="85"/>
  <c r="N381" i="85"/>
  <c r="H381" i="85"/>
  <c r="A381" i="85"/>
  <c r="AL380" i="85"/>
  <c r="AK380" i="85"/>
  <c r="AI380" i="85"/>
  <c r="AD380" i="85"/>
  <c r="N380" i="85"/>
  <c r="H380" i="85"/>
  <c r="A380" i="85"/>
  <c r="AL379" i="85"/>
  <c r="AK379" i="85"/>
  <c r="N379" i="85"/>
  <c r="H379" i="85"/>
  <c r="A379" i="85"/>
  <c r="AL378" i="85"/>
  <c r="AK378" i="85"/>
  <c r="AI378" i="85"/>
  <c r="AD378" i="85"/>
  <c r="N378" i="85"/>
  <c r="H378" i="85"/>
  <c r="A378" i="85"/>
  <c r="AL377" i="85"/>
  <c r="AK377" i="85"/>
  <c r="N377" i="85"/>
  <c r="H377" i="85"/>
  <c r="A377" i="85"/>
  <c r="AL376" i="85"/>
  <c r="AK376" i="85"/>
  <c r="N376" i="85"/>
  <c r="H376" i="85"/>
  <c r="A376" i="85"/>
  <c r="AL375" i="85"/>
  <c r="AK375" i="85"/>
  <c r="N375" i="85"/>
  <c r="H375" i="85"/>
  <c r="A375" i="85"/>
  <c r="AL374" i="85"/>
  <c r="AK374" i="85"/>
  <c r="N374" i="85"/>
  <c r="H374" i="85"/>
  <c r="A374" i="85"/>
  <c r="AL373" i="85"/>
  <c r="AK373" i="85"/>
  <c r="N373" i="85"/>
  <c r="H373" i="85"/>
  <c r="A373" i="85"/>
  <c r="AL372" i="85"/>
  <c r="AK372" i="85"/>
  <c r="N372" i="85"/>
  <c r="H372" i="85"/>
  <c r="A372" i="85"/>
  <c r="AL371" i="85"/>
  <c r="AK371" i="85"/>
  <c r="N371" i="85"/>
  <c r="H371" i="85"/>
  <c r="A371" i="85"/>
  <c r="AL370" i="85"/>
  <c r="AK370" i="85"/>
  <c r="AD370" i="85"/>
  <c r="N370" i="85"/>
  <c r="H370" i="85"/>
  <c r="A370" i="85"/>
  <c r="AL369" i="85"/>
  <c r="AK369" i="85"/>
  <c r="N369" i="85"/>
  <c r="H369" i="85"/>
  <c r="A369" i="85"/>
  <c r="AL368" i="85"/>
  <c r="AK368" i="85"/>
  <c r="N368" i="85"/>
  <c r="H368" i="85"/>
  <c r="A368" i="85"/>
  <c r="AL367" i="85"/>
  <c r="AK367" i="85"/>
  <c r="N367" i="85"/>
  <c r="H367" i="85"/>
  <c r="A367" i="85"/>
  <c r="AL366" i="85"/>
  <c r="AK366" i="85"/>
  <c r="N366" i="85"/>
  <c r="H366" i="85"/>
  <c r="A366" i="85"/>
  <c r="AL365" i="85"/>
  <c r="AK365" i="85"/>
  <c r="N365" i="85"/>
  <c r="H365" i="85"/>
  <c r="A365" i="85"/>
  <c r="AL364" i="85"/>
  <c r="AK364" i="85"/>
  <c r="AD364" i="85"/>
  <c r="N364" i="85"/>
  <c r="H364" i="85"/>
  <c r="A364" i="85"/>
  <c r="AL363" i="85"/>
  <c r="AK363" i="85"/>
  <c r="N363" i="85"/>
  <c r="H363" i="85"/>
  <c r="A363" i="85"/>
  <c r="AL362" i="85"/>
  <c r="AK362" i="85"/>
  <c r="N362" i="85"/>
  <c r="H362" i="85"/>
  <c r="A362" i="85"/>
  <c r="AL361" i="85"/>
  <c r="AK361" i="85"/>
  <c r="N361" i="85"/>
  <c r="H361" i="85"/>
  <c r="A361" i="85"/>
  <c r="AL360" i="85"/>
  <c r="AK360" i="85"/>
  <c r="N360" i="85"/>
  <c r="H360" i="85"/>
  <c r="A360" i="85"/>
  <c r="AL359" i="85"/>
  <c r="AK359" i="85"/>
  <c r="N359" i="85"/>
  <c r="H359" i="85"/>
  <c r="A359" i="85"/>
  <c r="AL358" i="85"/>
  <c r="AK358" i="85"/>
  <c r="AD358" i="85"/>
  <c r="N358" i="85"/>
  <c r="H358" i="85"/>
  <c r="A358" i="85"/>
  <c r="AL357" i="85"/>
  <c r="AK357" i="85"/>
  <c r="N357" i="85"/>
  <c r="H357" i="85"/>
  <c r="A357" i="85"/>
  <c r="AL356" i="85"/>
  <c r="AK356" i="85"/>
  <c r="N356" i="85"/>
  <c r="H356" i="85"/>
  <c r="A356" i="85"/>
  <c r="AL355" i="85"/>
  <c r="AK355" i="85"/>
  <c r="AD355" i="85"/>
  <c r="N355" i="85"/>
  <c r="H355" i="85"/>
  <c r="A355" i="85"/>
  <c r="AL354" i="85"/>
  <c r="AK354" i="85"/>
  <c r="N354" i="85"/>
  <c r="H354" i="85"/>
  <c r="A354" i="85"/>
  <c r="AL353" i="85"/>
  <c r="AK353" i="85"/>
  <c r="N353" i="85"/>
  <c r="H353" i="85"/>
  <c r="A353" i="85"/>
  <c r="AL352" i="85"/>
  <c r="AK352" i="85"/>
  <c r="N352" i="85"/>
  <c r="H352" i="85"/>
  <c r="A352" i="85"/>
  <c r="AL351" i="85"/>
  <c r="AK351" i="85"/>
  <c r="N351" i="85"/>
  <c r="H351" i="85"/>
  <c r="A351" i="85"/>
  <c r="AL350" i="85"/>
  <c r="AK350" i="85"/>
  <c r="N350" i="85"/>
  <c r="H350" i="85"/>
  <c r="A350" i="85"/>
  <c r="AL349" i="85"/>
  <c r="AK349" i="85"/>
  <c r="N349" i="85"/>
  <c r="H349" i="85"/>
  <c r="A349" i="85"/>
  <c r="AL348" i="85"/>
  <c r="AK348" i="85"/>
  <c r="N348" i="85"/>
  <c r="H348" i="85"/>
  <c r="A348" i="85"/>
  <c r="AL347" i="85"/>
  <c r="AK347" i="85"/>
  <c r="N347" i="85"/>
  <c r="H347" i="85"/>
  <c r="A347" i="85"/>
  <c r="AL346" i="85"/>
  <c r="AK346" i="85"/>
  <c r="AD346" i="85"/>
  <c r="N346" i="85"/>
  <c r="H346" i="85"/>
  <c r="A346" i="85"/>
  <c r="AL345" i="85"/>
  <c r="AK345" i="85"/>
  <c r="N345" i="85"/>
  <c r="H345" i="85"/>
  <c r="A345" i="85"/>
  <c r="AL344" i="85"/>
  <c r="AK344" i="85"/>
  <c r="AD344" i="85"/>
  <c r="N344" i="85"/>
  <c r="H344" i="85"/>
  <c r="A344" i="85"/>
  <c r="AL343" i="85"/>
  <c r="AK343" i="85"/>
  <c r="N343" i="85"/>
  <c r="H343" i="85"/>
  <c r="A343" i="85"/>
  <c r="AL342" i="85"/>
  <c r="AK342" i="85"/>
  <c r="N342" i="85"/>
  <c r="H342" i="85"/>
  <c r="A342" i="85"/>
  <c r="AL341" i="85"/>
  <c r="AK341" i="85"/>
  <c r="N341" i="85"/>
  <c r="H341" i="85"/>
  <c r="A341" i="85"/>
  <c r="AL340" i="85"/>
  <c r="AK340" i="85"/>
  <c r="N340" i="85"/>
  <c r="H340" i="85"/>
  <c r="A340" i="85"/>
  <c r="AM339" i="85"/>
  <c r="AL339" i="85"/>
  <c r="AK339" i="85"/>
  <c r="N339" i="85"/>
  <c r="H339" i="85"/>
  <c r="A339" i="85"/>
  <c r="AL338" i="85"/>
  <c r="AK338" i="85"/>
  <c r="N338" i="85"/>
  <c r="H338" i="85"/>
  <c r="A338" i="85"/>
  <c r="AL337" i="85"/>
  <c r="AK337" i="85"/>
  <c r="N337" i="85"/>
  <c r="H337" i="85"/>
  <c r="A337" i="85"/>
  <c r="AL336" i="85"/>
  <c r="AK336" i="85"/>
  <c r="N336" i="85"/>
  <c r="H336" i="85"/>
  <c r="A336" i="85"/>
  <c r="AL335" i="85"/>
  <c r="AK335" i="85"/>
  <c r="N335" i="85"/>
  <c r="H335" i="85"/>
  <c r="A335" i="85"/>
  <c r="AL334" i="85"/>
  <c r="AK334" i="85"/>
  <c r="N334" i="85"/>
  <c r="H334" i="85"/>
  <c r="A334" i="85"/>
  <c r="AL333" i="85"/>
  <c r="AK333" i="85"/>
  <c r="AD333" i="85"/>
  <c r="N333" i="85"/>
  <c r="H333" i="85"/>
  <c r="A333" i="85"/>
  <c r="AL332" i="85"/>
  <c r="AK332" i="85"/>
  <c r="N332" i="85"/>
  <c r="H332" i="85"/>
  <c r="A332" i="85"/>
  <c r="AL331" i="85"/>
  <c r="AK331" i="85"/>
  <c r="N331" i="85"/>
  <c r="H331" i="85"/>
  <c r="A331" i="85"/>
  <c r="AL330" i="85"/>
  <c r="AK330" i="85"/>
  <c r="N330" i="85"/>
  <c r="H330" i="85"/>
  <c r="A330" i="85"/>
  <c r="AL329" i="85"/>
  <c r="AK329" i="85"/>
  <c r="N329" i="85"/>
  <c r="H329" i="85"/>
  <c r="A329" i="85"/>
  <c r="AL328" i="85"/>
  <c r="AK328" i="85"/>
  <c r="N328" i="85"/>
  <c r="H328" i="85"/>
  <c r="A328" i="85"/>
  <c r="AL327" i="85"/>
  <c r="AK327" i="85"/>
  <c r="N327" i="85"/>
  <c r="H327" i="85"/>
  <c r="A327" i="85"/>
  <c r="AL326" i="85"/>
  <c r="AK326" i="85"/>
  <c r="N326" i="85"/>
  <c r="H326" i="85"/>
  <c r="A326" i="85"/>
  <c r="AL325" i="85"/>
  <c r="AK325" i="85"/>
  <c r="N325" i="85"/>
  <c r="H325" i="85"/>
  <c r="A325" i="85"/>
  <c r="AL324" i="85"/>
  <c r="AK324" i="85"/>
  <c r="AD324" i="85"/>
  <c r="N324" i="85"/>
  <c r="H324" i="85"/>
  <c r="A324" i="85"/>
  <c r="AL323" i="85"/>
  <c r="AK323" i="85"/>
  <c r="N323" i="85"/>
  <c r="H323" i="85"/>
  <c r="A323" i="85"/>
  <c r="AL322" i="85"/>
  <c r="AK322" i="85"/>
  <c r="N322" i="85"/>
  <c r="H322" i="85"/>
  <c r="A322" i="85"/>
  <c r="AL321" i="85"/>
  <c r="AK321" i="85"/>
  <c r="N321" i="85"/>
  <c r="H321" i="85"/>
  <c r="A321" i="85"/>
  <c r="AL320" i="85"/>
  <c r="AK320" i="85"/>
  <c r="N320" i="85"/>
  <c r="H320" i="85"/>
  <c r="A320" i="85"/>
  <c r="AL319" i="85"/>
  <c r="AK319" i="85"/>
  <c r="N319" i="85"/>
  <c r="H319" i="85"/>
  <c r="A319" i="85"/>
  <c r="AL318" i="85"/>
  <c r="AK318" i="85"/>
  <c r="N318" i="85"/>
  <c r="H318" i="85"/>
  <c r="A318" i="85"/>
  <c r="AL317" i="85"/>
  <c r="AK317" i="85"/>
  <c r="N317" i="85"/>
  <c r="H317" i="85"/>
  <c r="A317" i="85"/>
  <c r="AL316" i="85"/>
  <c r="AK316" i="85"/>
  <c r="N316" i="85"/>
  <c r="H316" i="85"/>
  <c r="A316" i="85"/>
  <c r="AL315" i="85"/>
  <c r="AK315" i="85"/>
  <c r="N315" i="85"/>
  <c r="H315" i="85"/>
  <c r="A315" i="85"/>
  <c r="AL314" i="85"/>
  <c r="AK314" i="85"/>
  <c r="AD314" i="85"/>
  <c r="N314" i="85"/>
  <c r="H314" i="85"/>
  <c r="A314" i="85"/>
  <c r="AL313" i="85"/>
  <c r="AK313" i="85"/>
  <c r="N313" i="85"/>
  <c r="H313" i="85"/>
  <c r="A313" i="85"/>
  <c r="AL312" i="85"/>
  <c r="AK312" i="85"/>
  <c r="N312" i="85"/>
  <c r="H312" i="85"/>
  <c r="A312" i="85"/>
  <c r="AL311" i="85"/>
  <c r="AK311" i="85"/>
  <c r="N311" i="85"/>
  <c r="H311" i="85"/>
  <c r="A311" i="85"/>
  <c r="AL310" i="85"/>
  <c r="AK310" i="85"/>
  <c r="N310" i="85"/>
  <c r="H310" i="85"/>
  <c r="A310" i="85"/>
  <c r="AL309" i="85"/>
  <c r="AK309" i="85"/>
  <c r="AD309" i="85"/>
  <c r="N309" i="85"/>
  <c r="H309" i="85"/>
  <c r="A309" i="85"/>
  <c r="AL308" i="85"/>
  <c r="AK308" i="85"/>
  <c r="AI308" i="85"/>
  <c r="AD308" i="85"/>
  <c r="N308" i="85"/>
  <c r="H308" i="85"/>
  <c r="A308" i="85"/>
  <c r="AL307" i="85"/>
  <c r="AK307" i="85"/>
  <c r="N307" i="85"/>
  <c r="H307" i="85"/>
  <c r="A307" i="85"/>
  <c r="AL306" i="85"/>
  <c r="AK306" i="85"/>
  <c r="N306" i="85"/>
  <c r="H306" i="85"/>
  <c r="A306" i="85"/>
  <c r="AL305" i="85"/>
  <c r="AK305" i="85"/>
  <c r="N305" i="85"/>
  <c r="H305" i="85"/>
  <c r="A305" i="85"/>
  <c r="AL304" i="85"/>
  <c r="AK304" i="85"/>
  <c r="N304" i="85"/>
  <c r="H304" i="85"/>
  <c r="A304" i="85"/>
  <c r="AL303" i="85"/>
  <c r="AK303" i="85"/>
  <c r="N303" i="85"/>
  <c r="H303" i="85"/>
  <c r="A303" i="85"/>
  <c r="AL302" i="85"/>
  <c r="AK302" i="85"/>
  <c r="N302" i="85"/>
  <c r="H302" i="85"/>
  <c r="A302" i="85"/>
  <c r="AL301" i="85"/>
  <c r="AK301" i="85"/>
  <c r="AD301" i="85"/>
  <c r="N301" i="85"/>
  <c r="H301" i="85"/>
  <c r="A301" i="85"/>
  <c r="AL300" i="85"/>
  <c r="AK300" i="85"/>
  <c r="N300" i="85"/>
  <c r="H300" i="85"/>
  <c r="A300" i="85"/>
  <c r="AL299" i="85"/>
  <c r="AK299" i="85"/>
  <c r="N299" i="85"/>
  <c r="H299" i="85"/>
  <c r="A299" i="85"/>
  <c r="AL298" i="85"/>
  <c r="AK298" i="85"/>
  <c r="N298" i="85"/>
  <c r="H298" i="85"/>
  <c r="A298" i="85"/>
  <c r="AL297" i="85"/>
  <c r="AK297" i="85"/>
  <c r="AD297" i="85"/>
  <c r="N297" i="85"/>
  <c r="H297" i="85"/>
  <c r="A297" i="85"/>
  <c r="AL296" i="85"/>
  <c r="AK296" i="85"/>
  <c r="N296" i="85"/>
  <c r="H296" i="85"/>
  <c r="A296" i="85"/>
  <c r="AL295" i="85"/>
  <c r="AK295" i="85"/>
  <c r="N295" i="85"/>
  <c r="H295" i="85"/>
  <c r="A295" i="85"/>
  <c r="AL294" i="85"/>
  <c r="AK294" i="85"/>
  <c r="N294" i="85"/>
  <c r="H294" i="85"/>
  <c r="A294" i="85"/>
  <c r="AL293" i="85"/>
  <c r="AK293" i="85"/>
  <c r="AD293" i="85"/>
  <c r="N293" i="85"/>
  <c r="H293" i="85"/>
  <c r="A293" i="85"/>
  <c r="AL292" i="85"/>
  <c r="AK292" i="85"/>
  <c r="N292" i="85"/>
  <c r="H292" i="85"/>
  <c r="A292" i="85"/>
  <c r="AL291" i="85"/>
  <c r="AK291" i="85"/>
  <c r="N291" i="85"/>
  <c r="H291" i="85"/>
  <c r="A291" i="85"/>
  <c r="AL290" i="85"/>
  <c r="AK290" i="85"/>
  <c r="N290" i="85"/>
  <c r="H290" i="85"/>
  <c r="A290" i="85"/>
  <c r="AL289" i="85"/>
  <c r="AK289" i="85"/>
  <c r="N289" i="85"/>
  <c r="H289" i="85"/>
  <c r="A289" i="85"/>
  <c r="AM288" i="85"/>
  <c r="AL288" i="85"/>
  <c r="AK288" i="85"/>
  <c r="AD288" i="85"/>
  <c r="N288" i="85"/>
  <c r="H288" i="85"/>
  <c r="A288" i="85"/>
  <c r="AL287" i="85"/>
  <c r="AK287" i="85"/>
  <c r="N287" i="85"/>
  <c r="H287" i="85"/>
  <c r="A287" i="85"/>
  <c r="AL286" i="85"/>
  <c r="AK286" i="85"/>
  <c r="N286" i="85"/>
  <c r="H286" i="85"/>
  <c r="A286" i="85"/>
  <c r="AL285" i="85"/>
  <c r="AK285" i="85"/>
  <c r="N285" i="85"/>
  <c r="H285" i="85"/>
  <c r="A285" i="85"/>
  <c r="AL284" i="85"/>
  <c r="AK284" i="85"/>
  <c r="N284" i="85"/>
  <c r="H284" i="85"/>
  <c r="A284" i="85"/>
  <c r="AL283" i="85"/>
  <c r="AK283" i="85"/>
  <c r="N283" i="85"/>
  <c r="H283" i="85"/>
  <c r="A283" i="85"/>
  <c r="AL282" i="85"/>
  <c r="AK282" i="85"/>
  <c r="N282" i="85"/>
  <c r="H282" i="85"/>
  <c r="A282" i="85"/>
  <c r="AL281" i="85"/>
  <c r="AK281" i="85"/>
  <c r="N281" i="85"/>
  <c r="H281" i="85"/>
  <c r="A281" i="85"/>
  <c r="AL280" i="85"/>
  <c r="AK280" i="85"/>
  <c r="AD280" i="85"/>
  <c r="N280" i="85"/>
  <c r="H280" i="85"/>
  <c r="A280" i="85"/>
  <c r="AL279" i="85"/>
  <c r="AK279" i="85"/>
  <c r="N279" i="85"/>
  <c r="H279" i="85"/>
  <c r="A279" i="85"/>
  <c r="AL278" i="85"/>
  <c r="AK278" i="85"/>
  <c r="N278" i="85"/>
  <c r="H278" i="85"/>
  <c r="A278" i="85"/>
  <c r="AM277" i="85"/>
  <c r="AL277" i="85"/>
  <c r="AK277" i="85"/>
  <c r="N277" i="85"/>
  <c r="H277" i="85"/>
  <c r="A277" i="85"/>
  <c r="AL276" i="85"/>
  <c r="AK276" i="85"/>
  <c r="N276" i="85"/>
  <c r="H276" i="85"/>
  <c r="A276" i="85"/>
  <c r="AL275" i="85"/>
  <c r="AK275" i="85"/>
  <c r="AD275" i="85"/>
  <c r="N275" i="85"/>
  <c r="H275" i="85"/>
  <c r="A275" i="85"/>
  <c r="AM274" i="85"/>
  <c r="AL274" i="85"/>
  <c r="AK274" i="85"/>
  <c r="N274" i="85"/>
  <c r="H274" i="85"/>
  <c r="A274" i="85"/>
  <c r="AL273" i="85"/>
  <c r="AK273" i="85"/>
  <c r="N273" i="85"/>
  <c r="H273" i="85"/>
  <c r="A273" i="85"/>
  <c r="AL272" i="85"/>
  <c r="AK272" i="85"/>
  <c r="N272" i="85"/>
  <c r="H272" i="85"/>
  <c r="A272" i="85"/>
  <c r="AL271" i="85"/>
  <c r="AK271" i="85"/>
  <c r="N271" i="85"/>
  <c r="H271" i="85"/>
  <c r="A271" i="85"/>
  <c r="AL270" i="85"/>
  <c r="AK270" i="85"/>
  <c r="N270" i="85"/>
  <c r="H270" i="85"/>
  <c r="A270" i="85"/>
  <c r="AL269" i="85"/>
  <c r="AK269" i="85"/>
  <c r="AI269" i="85"/>
  <c r="AD269" i="85"/>
  <c r="N269" i="85"/>
  <c r="H269" i="85"/>
  <c r="A269" i="85"/>
  <c r="AL268" i="85"/>
  <c r="AK268" i="85"/>
  <c r="N268" i="85"/>
  <c r="H268" i="85"/>
  <c r="A268" i="85"/>
  <c r="AL267" i="85"/>
  <c r="AK267" i="85"/>
  <c r="N267" i="85"/>
  <c r="H267" i="85"/>
  <c r="A267" i="85"/>
  <c r="AL266" i="85"/>
  <c r="AK266" i="85"/>
  <c r="N266" i="85"/>
  <c r="H266" i="85"/>
  <c r="A266" i="85"/>
  <c r="AL265" i="85"/>
  <c r="AK265" i="85"/>
  <c r="N265" i="85"/>
  <c r="H265" i="85"/>
  <c r="A265" i="85"/>
  <c r="AM264" i="85"/>
  <c r="AL264" i="85"/>
  <c r="AK264" i="85"/>
  <c r="AI264" i="85"/>
  <c r="AD264" i="85"/>
  <c r="N264" i="85"/>
  <c r="H264" i="85"/>
  <c r="A264" i="85"/>
  <c r="AL263" i="85"/>
  <c r="AK263" i="85"/>
  <c r="N263" i="85"/>
  <c r="H263" i="85"/>
  <c r="A263" i="85"/>
  <c r="AL262" i="85"/>
  <c r="AK262" i="85"/>
  <c r="N262" i="85"/>
  <c r="H262" i="85"/>
  <c r="A262" i="85"/>
  <c r="AL261" i="85"/>
  <c r="AK261" i="85"/>
  <c r="N261" i="85"/>
  <c r="H261" i="85"/>
  <c r="A261" i="85"/>
  <c r="AL260" i="85"/>
  <c r="AK260" i="85"/>
  <c r="N260" i="85"/>
  <c r="H260" i="85"/>
  <c r="A260" i="85"/>
  <c r="AL259" i="85"/>
  <c r="AK259" i="85"/>
  <c r="N259" i="85"/>
  <c r="H259" i="85"/>
  <c r="A259" i="85"/>
  <c r="AL258" i="85"/>
  <c r="AK258" i="85"/>
  <c r="N258" i="85"/>
  <c r="H258" i="85"/>
  <c r="A258" i="85"/>
  <c r="AL257" i="85"/>
  <c r="AK257" i="85"/>
  <c r="AD257" i="85"/>
  <c r="N257" i="85"/>
  <c r="H257" i="85"/>
  <c r="A257" i="85"/>
  <c r="AL256" i="85"/>
  <c r="AK256" i="85"/>
  <c r="AD256" i="85"/>
  <c r="N256" i="85"/>
  <c r="H256" i="85"/>
  <c r="A256" i="85"/>
  <c r="AL255" i="85"/>
  <c r="AK255" i="85"/>
  <c r="AD255" i="85"/>
  <c r="N255" i="85"/>
  <c r="H255" i="85"/>
  <c r="A255" i="85"/>
  <c r="AL254" i="85"/>
  <c r="AK254" i="85"/>
  <c r="N254" i="85"/>
  <c r="H254" i="85"/>
  <c r="A254" i="85"/>
  <c r="AL253" i="85"/>
  <c r="AK253" i="85"/>
  <c r="N253" i="85"/>
  <c r="H253" i="85"/>
  <c r="A253" i="85"/>
  <c r="AL252" i="85"/>
  <c r="AK252" i="85"/>
  <c r="N252" i="85"/>
  <c r="H252" i="85"/>
  <c r="A252" i="85"/>
  <c r="AL251" i="85"/>
  <c r="AK251" i="85"/>
  <c r="N251" i="85"/>
  <c r="H251" i="85"/>
  <c r="A251" i="85"/>
  <c r="AL250" i="85"/>
  <c r="AK250" i="85"/>
  <c r="AD250" i="85"/>
  <c r="N250" i="85"/>
  <c r="H250" i="85"/>
  <c r="A250" i="85"/>
  <c r="AL249" i="85"/>
  <c r="AK249" i="85"/>
  <c r="N249" i="85"/>
  <c r="H249" i="85"/>
  <c r="A249" i="85"/>
  <c r="AL248" i="85"/>
  <c r="AK248" i="85"/>
  <c r="N248" i="85"/>
  <c r="H248" i="85"/>
  <c r="A248" i="85"/>
  <c r="AL247" i="85"/>
  <c r="AK247" i="85"/>
  <c r="N247" i="85"/>
  <c r="H247" i="85"/>
  <c r="A247" i="85"/>
  <c r="AL246" i="85"/>
  <c r="AK246" i="85"/>
  <c r="N246" i="85"/>
  <c r="H246" i="85"/>
  <c r="A246" i="85"/>
  <c r="AL245" i="85"/>
  <c r="AK245" i="85"/>
  <c r="N245" i="85"/>
  <c r="H245" i="85"/>
  <c r="A245" i="85"/>
  <c r="AL244" i="85"/>
  <c r="AK244" i="85"/>
  <c r="N244" i="85"/>
  <c r="H244" i="85"/>
  <c r="A244" i="85"/>
  <c r="AL243" i="85"/>
  <c r="AK243" i="85"/>
  <c r="N243" i="85"/>
  <c r="H243" i="85"/>
  <c r="A243" i="85"/>
  <c r="AL242" i="85"/>
  <c r="AK242" i="85"/>
  <c r="N242" i="85"/>
  <c r="H242" i="85"/>
  <c r="A242" i="85"/>
  <c r="AL241" i="85"/>
  <c r="AK241" i="85"/>
  <c r="N241" i="85"/>
  <c r="H241" i="85"/>
  <c r="A241" i="85"/>
  <c r="AL240" i="85"/>
  <c r="AK240" i="85"/>
  <c r="N240" i="85"/>
  <c r="H240" i="85"/>
  <c r="A240" i="85"/>
  <c r="AL239" i="85"/>
  <c r="AK239" i="85"/>
  <c r="N239" i="85"/>
  <c r="H239" i="85"/>
  <c r="A239" i="85"/>
  <c r="AL238" i="85"/>
  <c r="AK238" i="85"/>
  <c r="N238" i="85"/>
  <c r="H238" i="85"/>
  <c r="A238" i="85"/>
  <c r="AL237" i="85"/>
  <c r="AK237" i="85"/>
  <c r="AD237" i="85"/>
  <c r="N237" i="85"/>
  <c r="H237" i="85"/>
  <c r="A237" i="85"/>
  <c r="AL236" i="85"/>
  <c r="AK236" i="85"/>
  <c r="N236" i="85"/>
  <c r="H236" i="85"/>
  <c r="A236" i="85"/>
  <c r="AL235" i="85"/>
  <c r="AK235" i="85"/>
  <c r="N235" i="85"/>
  <c r="H235" i="85"/>
  <c r="A235" i="85"/>
  <c r="AL234" i="85"/>
  <c r="AK234" i="85"/>
  <c r="N234" i="85"/>
  <c r="H234" i="85"/>
  <c r="A234" i="85"/>
  <c r="AL233" i="85"/>
  <c r="AK233" i="85"/>
  <c r="N233" i="85"/>
  <c r="H233" i="85"/>
  <c r="A233" i="85"/>
  <c r="AL232" i="85"/>
  <c r="AK232" i="85"/>
  <c r="N232" i="85"/>
  <c r="H232" i="85"/>
  <c r="A232" i="85"/>
  <c r="AL231" i="85"/>
  <c r="AK231" i="85"/>
  <c r="N231" i="85"/>
  <c r="H231" i="85"/>
  <c r="A231" i="85"/>
  <c r="AL230" i="85"/>
  <c r="AK230" i="85"/>
  <c r="N230" i="85"/>
  <c r="H230" i="85"/>
  <c r="A230" i="85"/>
  <c r="AL229" i="85"/>
  <c r="AK229" i="85"/>
  <c r="N229" i="85"/>
  <c r="H229" i="85"/>
  <c r="A229" i="85"/>
  <c r="AL228" i="85"/>
  <c r="AK228" i="85"/>
  <c r="N228" i="85"/>
  <c r="H228" i="85"/>
  <c r="A228" i="85"/>
  <c r="AL227" i="85"/>
  <c r="AK227" i="85"/>
  <c r="N227" i="85"/>
  <c r="H227" i="85"/>
  <c r="A227" i="85"/>
  <c r="AL226" i="85"/>
  <c r="AK226" i="85"/>
  <c r="N226" i="85"/>
  <c r="H226" i="85"/>
  <c r="A226" i="85"/>
  <c r="AL225" i="85"/>
  <c r="AK225" i="85"/>
  <c r="N225" i="85"/>
  <c r="H225" i="85"/>
  <c r="A225" i="85"/>
  <c r="AL224" i="85"/>
  <c r="AK224" i="85"/>
  <c r="N224" i="85"/>
  <c r="H224" i="85"/>
  <c r="A224" i="85"/>
  <c r="AL223" i="85"/>
  <c r="AK223" i="85"/>
  <c r="N223" i="85"/>
  <c r="H223" i="85"/>
  <c r="A223" i="85"/>
  <c r="AL222" i="85"/>
  <c r="AK222" i="85"/>
  <c r="N222" i="85"/>
  <c r="H222" i="85"/>
  <c r="A222" i="85"/>
  <c r="AL221" i="85"/>
  <c r="AK221" i="85"/>
  <c r="N221" i="85"/>
  <c r="H221" i="85"/>
  <c r="A221" i="85"/>
  <c r="AL220" i="85"/>
  <c r="AK220" i="85"/>
  <c r="N220" i="85"/>
  <c r="H220" i="85"/>
  <c r="A220" i="85"/>
  <c r="AL219" i="85"/>
  <c r="AK219" i="85"/>
  <c r="N219" i="85"/>
  <c r="H219" i="85"/>
  <c r="A219" i="85"/>
  <c r="AL218" i="85"/>
  <c r="AK218" i="85"/>
  <c r="N218" i="85"/>
  <c r="H218" i="85"/>
  <c r="A218" i="85"/>
  <c r="AL217" i="85"/>
  <c r="AK217" i="85"/>
  <c r="N217" i="85"/>
  <c r="H217" i="85"/>
  <c r="A217" i="85"/>
  <c r="AL216" i="85"/>
  <c r="AK216" i="85"/>
  <c r="N216" i="85"/>
  <c r="H216" i="85"/>
  <c r="A216" i="85"/>
  <c r="AL215" i="85"/>
  <c r="AK215" i="85"/>
  <c r="AD215" i="85"/>
  <c r="N215" i="85"/>
  <c r="H215" i="85"/>
  <c r="A215" i="85"/>
  <c r="AL214" i="85"/>
  <c r="AK214" i="85"/>
  <c r="AD214" i="85"/>
  <c r="N214" i="85"/>
  <c r="H214" i="85"/>
  <c r="A214" i="85"/>
  <c r="AL213" i="85"/>
  <c r="AK213" i="85"/>
  <c r="N213" i="85"/>
  <c r="H213" i="85"/>
  <c r="A213" i="85"/>
  <c r="AL212" i="85"/>
  <c r="AK212" i="85"/>
  <c r="N212" i="85"/>
  <c r="H212" i="85"/>
  <c r="A212" i="85"/>
  <c r="AL211" i="85"/>
  <c r="AK211" i="85"/>
  <c r="N211" i="85"/>
  <c r="H211" i="85"/>
  <c r="A211" i="85"/>
  <c r="AL210" i="85"/>
  <c r="AK210" i="85"/>
  <c r="AD210" i="85"/>
  <c r="N210" i="85"/>
  <c r="H210" i="85"/>
  <c r="A210" i="85"/>
  <c r="AL209" i="85"/>
  <c r="AK209" i="85"/>
  <c r="N209" i="85"/>
  <c r="H209" i="85"/>
  <c r="A209" i="85"/>
  <c r="AL208" i="85"/>
  <c r="AK208" i="85"/>
  <c r="N208" i="85"/>
  <c r="H208" i="85"/>
  <c r="A208" i="85"/>
  <c r="AL207" i="85"/>
  <c r="AK207" i="85"/>
  <c r="N207" i="85"/>
  <c r="H207" i="85"/>
  <c r="A207" i="85"/>
  <c r="AL206" i="85"/>
  <c r="AK206" i="85"/>
  <c r="AD206" i="85"/>
  <c r="N206" i="85"/>
  <c r="H206" i="85"/>
  <c r="A206" i="85"/>
  <c r="AL205" i="85"/>
  <c r="AK205" i="85"/>
  <c r="N205" i="85"/>
  <c r="H205" i="85"/>
  <c r="A205" i="85"/>
  <c r="AL204" i="85"/>
  <c r="AK204" i="85"/>
  <c r="N204" i="85"/>
  <c r="H204" i="85"/>
  <c r="A204" i="85"/>
  <c r="AL203" i="85"/>
  <c r="AK203" i="85"/>
  <c r="N203" i="85"/>
  <c r="H203" i="85"/>
  <c r="A203" i="85"/>
  <c r="AL202" i="85"/>
  <c r="AK202" i="85"/>
  <c r="N202" i="85"/>
  <c r="H202" i="85"/>
  <c r="A202" i="85"/>
  <c r="AL201" i="85"/>
  <c r="AK201" i="85"/>
  <c r="N201" i="85"/>
  <c r="H201" i="85"/>
  <c r="A201" i="85"/>
  <c r="AL200" i="85"/>
  <c r="AK200" i="85"/>
  <c r="AD200" i="85"/>
  <c r="N200" i="85"/>
  <c r="H200" i="85"/>
  <c r="A200" i="85"/>
  <c r="AL199" i="85"/>
  <c r="AK199" i="85"/>
  <c r="N199" i="85"/>
  <c r="H199" i="85"/>
  <c r="A199" i="85"/>
  <c r="AL198" i="85"/>
  <c r="AK198" i="85"/>
  <c r="N198" i="85"/>
  <c r="H198" i="85"/>
  <c r="A198" i="85"/>
  <c r="AL197" i="85"/>
  <c r="AK197" i="85"/>
  <c r="N197" i="85"/>
  <c r="H197" i="85"/>
  <c r="A197" i="85"/>
  <c r="AL196" i="85"/>
  <c r="AK196" i="85"/>
  <c r="N196" i="85"/>
  <c r="H196" i="85"/>
  <c r="A196" i="85"/>
  <c r="AL195" i="85"/>
  <c r="AK195" i="85"/>
  <c r="N195" i="85"/>
  <c r="H195" i="85"/>
  <c r="A195" i="85"/>
  <c r="AL194" i="85"/>
  <c r="AK194" i="85"/>
  <c r="N194" i="85"/>
  <c r="H194" i="85"/>
  <c r="A194" i="85"/>
  <c r="AL193" i="85"/>
  <c r="AK193" i="85"/>
  <c r="N193" i="85"/>
  <c r="H193" i="85"/>
  <c r="A193" i="85"/>
  <c r="AL192" i="85"/>
  <c r="AK192" i="85"/>
  <c r="AD192" i="85"/>
  <c r="N192" i="85"/>
  <c r="H192" i="85"/>
  <c r="A192" i="85"/>
  <c r="AL191" i="85"/>
  <c r="AK191" i="85"/>
  <c r="N191" i="85"/>
  <c r="H191" i="85"/>
  <c r="A191" i="85"/>
  <c r="AL190" i="85"/>
  <c r="AK190" i="85"/>
  <c r="N190" i="85"/>
  <c r="H190" i="85"/>
  <c r="A190" i="85"/>
  <c r="AL189" i="85"/>
  <c r="AK189" i="85"/>
  <c r="N189" i="85"/>
  <c r="H189" i="85"/>
  <c r="A189" i="85"/>
  <c r="AL188" i="85"/>
  <c r="AK188" i="85"/>
  <c r="N188" i="85"/>
  <c r="H188" i="85"/>
  <c r="A188" i="85"/>
  <c r="AL187" i="85"/>
  <c r="AK187" i="85"/>
  <c r="N187" i="85"/>
  <c r="H187" i="85"/>
  <c r="A187" i="85"/>
  <c r="AL186" i="85"/>
  <c r="AK186" i="85"/>
  <c r="AD186" i="85"/>
  <c r="N186" i="85"/>
  <c r="H186" i="85"/>
  <c r="A186" i="85"/>
  <c r="AL185" i="85"/>
  <c r="AK185" i="85"/>
  <c r="N185" i="85"/>
  <c r="H185" i="85"/>
  <c r="A185" i="85"/>
  <c r="AL184" i="85"/>
  <c r="AK184" i="85"/>
  <c r="N184" i="85"/>
  <c r="H184" i="85"/>
  <c r="A184" i="85"/>
  <c r="AL183" i="85"/>
  <c r="AK183" i="85"/>
  <c r="N183" i="85"/>
  <c r="H183" i="85"/>
  <c r="A183" i="85"/>
  <c r="AL182" i="85"/>
  <c r="AK182" i="85"/>
  <c r="N182" i="85"/>
  <c r="H182" i="85"/>
  <c r="A182" i="85"/>
  <c r="AL181" i="85"/>
  <c r="AK181" i="85"/>
  <c r="N181" i="85"/>
  <c r="H181" i="85"/>
  <c r="A181" i="85"/>
  <c r="AL180" i="85"/>
  <c r="AK180" i="85"/>
  <c r="N180" i="85"/>
  <c r="H180" i="85"/>
  <c r="A180" i="85"/>
  <c r="AL179" i="85"/>
  <c r="AK179" i="85"/>
  <c r="N179" i="85"/>
  <c r="H179" i="85"/>
  <c r="A179" i="85"/>
  <c r="AL178" i="85"/>
  <c r="AK178" i="85"/>
  <c r="N178" i="85"/>
  <c r="H178" i="85"/>
  <c r="A178" i="85"/>
  <c r="AL177" i="85"/>
  <c r="AK177" i="85"/>
  <c r="N177" i="85"/>
  <c r="H177" i="85"/>
  <c r="A177" i="85"/>
  <c r="AL176" i="85"/>
  <c r="AK176" i="85"/>
  <c r="N176" i="85"/>
  <c r="H176" i="85"/>
  <c r="A176" i="85"/>
  <c r="AL175" i="85"/>
  <c r="AK175" i="85"/>
  <c r="N175" i="85"/>
  <c r="H175" i="85"/>
  <c r="A175" i="85"/>
  <c r="AL174" i="85"/>
  <c r="AK174" i="85"/>
  <c r="N174" i="85"/>
  <c r="H174" i="85"/>
  <c r="A174" i="85"/>
  <c r="AL173" i="85"/>
  <c r="AK173" i="85"/>
  <c r="AD173" i="85"/>
  <c r="N173" i="85"/>
  <c r="H173" i="85"/>
  <c r="A173" i="85"/>
  <c r="AL172" i="85"/>
  <c r="AK172" i="85"/>
  <c r="N172" i="85"/>
  <c r="H172" i="85"/>
  <c r="A172" i="85"/>
  <c r="AL171" i="85"/>
  <c r="AK171" i="85"/>
  <c r="N171" i="85"/>
  <c r="H171" i="85"/>
  <c r="A171" i="85"/>
  <c r="AL170" i="85"/>
  <c r="AK170" i="85"/>
  <c r="N170" i="85"/>
  <c r="H170" i="85"/>
  <c r="A170" i="85"/>
  <c r="AL169" i="85"/>
  <c r="AK169" i="85"/>
  <c r="N169" i="85"/>
  <c r="H169" i="85"/>
  <c r="A169" i="85"/>
  <c r="AL168" i="85"/>
  <c r="AK168" i="85"/>
  <c r="N168" i="85"/>
  <c r="H168" i="85"/>
  <c r="A168" i="85"/>
  <c r="AL167" i="85"/>
  <c r="AK167" i="85"/>
  <c r="AD167" i="85"/>
  <c r="N167" i="85"/>
  <c r="H167" i="85"/>
  <c r="A167" i="85"/>
  <c r="AL166" i="85"/>
  <c r="AK166" i="85"/>
  <c r="N166" i="85"/>
  <c r="H166" i="85"/>
  <c r="A166" i="85"/>
  <c r="AL165" i="85"/>
  <c r="AK165" i="85"/>
  <c r="N165" i="85"/>
  <c r="H165" i="85"/>
  <c r="A165" i="85"/>
  <c r="AL164" i="85"/>
  <c r="AK164" i="85"/>
  <c r="N164" i="85"/>
  <c r="H164" i="85"/>
  <c r="A164" i="85"/>
  <c r="AM163" i="85"/>
  <c r="AL163" i="85"/>
  <c r="AK163" i="85"/>
  <c r="AD163" i="85"/>
  <c r="N163" i="85"/>
  <c r="H163" i="85"/>
  <c r="A163" i="85"/>
  <c r="AL162" i="85"/>
  <c r="AK162" i="85"/>
  <c r="N162" i="85"/>
  <c r="H162" i="85"/>
  <c r="A162" i="85"/>
  <c r="AL161" i="85"/>
  <c r="AK161" i="85"/>
  <c r="N161" i="85"/>
  <c r="H161" i="85"/>
  <c r="A161" i="85"/>
  <c r="AL160" i="85"/>
  <c r="AK160" i="85"/>
  <c r="N160" i="85"/>
  <c r="H160" i="85"/>
  <c r="A160" i="85"/>
  <c r="AL159" i="85"/>
  <c r="AK159" i="85"/>
  <c r="N159" i="85"/>
  <c r="H159" i="85"/>
  <c r="A159" i="85"/>
  <c r="AL158" i="85"/>
  <c r="AK158" i="85"/>
  <c r="N158" i="85"/>
  <c r="H158" i="85"/>
  <c r="A158" i="85"/>
  <c r="AL157" i="85"/>
  <c r="AK157" i="85"/>
  <c r="N157" i="85"/>
  <c r="H157" i="85"/>
  <c r="A157" i="85"/>
  <c r="AL156" i="85"/>
  <c r="AK156" i="85"/>
  <c r="N156" i="85"/>
  <c r="H156" i="85"/>
  <c r="A156" i="85"/>
  <c r="AL155" i="85"/>
  <c r="AK155" i="85"/>
  <c r="AD155" i="85"/>
  <c r="N155" i="85"/>
  <c r="H155" i="85"/>
  <c r="A155" i="85"/>
  <c r="AL154" i="85"/>
  <c r="AK154" i="85"/>
  <c r="N154" i="85"/>
  <c r="H154" i="85"/>
  <c r="A154" i="85"/>
  <c r="AM153" i="85"/>
  <c r="AL153" i="85"/>
  <c r="AK153" i="85"/>
  <c r="N153" i="85"/>
  <c r="H153" i="85"/>
  <c r="A153" i="85"/>
  <c r="AL152" i="85"/>
  <c r="AK152" i="85"/>
  <c r="N152" i="85"/>
  <c r="H152" i="85"/>
  <c r="A152" i="85"/>
  <c r="AL151" i="85"/>
  <c r="AK151" i="85"/>
  <c r="N151" i="85"/>
  <c r="H151" i="85"/>
  <c r="A151" i="85"/>
  <c r="AL150" i="85"/>
  <c r="AK150" i="85"/>
  <c r="N150" i="85"/>
  <c r="H150" i="85"/>
  <c r="A150" i="85"/>
  <c r="AL149" i="85"/>
  <c r="AK149" i="85"/>
  <c r="N149" i="85"/>
  <c r="H149" i="85"/>
  <c r="A149" i="85"/>
  <c r="AL148" i="85"/>
  <c r="AK148" i="85"/>
  <c r="N148" i="85"/>
  <c r="H148" i="85"/>
  <c r="A148" i="85"/>
  <c r="AL147" i="85"/>
  <c r="AK147" i="85"/>
  <c r="N147" i="85"/>
  <c r="H147" i="85"/>
  <c r="A147" i="85"/>
  <c r="AL146" i="85"/>
  <c r="AK146" i="85"/>
  <c r="N146" i="85"/>
  <c r="H146" i="85"/>
  <c r="A146" i="85"/>
  <c r="AL145" i="85"/>
  <c r="AK145" i="85"/>
  <c r="N145" i="85"/>
  <c r="H145" i="85"/>
  <c r="A145" i="85"/>
  <c r="AL144" i="85"/>
  <c r="AK144" i="85"/>
  <c r="N144" i="85"/>
  <c r="H144" i="85"/>
  <c r="A144" i="85"/>
  <c r="AL143" i="85"/>
  <c r="AK143" i="85"/>
  <c r="N143" i="85"/>
  <c r="H143" i="85"/>
  <c r="A143" i="85"/>
  <c r="AL142" i="85"/>
  <c r="AK142" i="85"/>
  <c r="N142" i="85"/>
  <c r="H142" i="85"/>
  <c r="A142" i="85"/>
  <c r="AL141" i="85"/>
  <c r="AK141" i="85"/>
  <c r="N141" i="85"/>
  <c r="H141" i="85"/>
  <c r="A141" i="85"/>
  <c r="AL140" i="85"/>
  <c r="AK140" i="85"/>
  <c r="N140" i="85"/>
  <c r="H140" i="85"/>
  <c r="A140" i="85"/>
  <c r="AL139" i="85"/>
  <c r="AK139" i="85"/>
  <c r="N139" i="85"/>
  <c r="H139" i="85"/>
  <c r="A139" i="85"/>
  <c r="AL138" i="85"/>
  <c r="AK138" i="85"/>
  <c r="N138" i="85"/>
  <c r="H138" i="85"/>
  <c r="A138" i="85"/>
  <c r="AL137" i="85"/>
  <c r="AK137" i="85"/>
  <c r="N137" i="85"/>
  <c r="H137" i="85"/>
  <c r="A137" i="85"/>
  <c r="AL136" i="85"/>
  <c r="AK136" i="85"/>
  <c r="N136" i="85"/>
  <c r="H136" i="85"/>
  <c r="A136" i="85"/>
  <c r="AL135" i="85"/>
  <c r="AK135" i="85"/>
  <c r="N135" i="85"/>
  <c r="H135" i="85"/>
  <c r="A135" i="85"/>
  <c r="AM134" i="85"/>
  <c r="AL134" i="85"/>
  <c r="AK134" i="85"/>
  <c r="N134" i="85"/>
  <c r="H134" i="85"/>
  <c r="A134" i="85"/>
  <c r="AL133" i="85"/>
  <c r="AK133" i="85"/>
  <c r="N133" i="85"/>
  <c r="H133" i="85"/>
  <c r="A133" i="85"/>
  <c r="AL132" i="85"/>
  <c r="AK132" i="85"/>
  <c r="AD132" i="85"/>
  <c r="N132" i="85"/>
  <c r="H132" i="85"/>
  <c r="A132" i="85"/>
  <c r="AL131" i="85"/>
  <c r="AK131" i="85"/>
  <c r="N131" i="85"/>
  <c r="H131" i="85"/>
  <c r="A131" i="85"/>
  <c r="AL130" i="85"/>
  <c r="AK130" i="85"/>
  <c r="AD130" i="85"/>
  <c r="N130" i="85"/>
  <c r="H130" i="85"/>
  <c r="A130" i="85"/>
  <c r="AL129" i="85"/>
  <c r="AK129" i="85"/>
  <c r="N129" i="85"/>
  <c r="H129" i="85"/>
  <c r="A129" i="85"/>
  <c r="AL128" i="85"/>
  <c r="AK128" i="85"/>
  <c r="N128" i="85"/>
  <c r="H128" i="85"/>
  <c r="A128" i="85"/>
  <c r="AL127" i="85"/>
  <c r="AK127" i="85"/>
  <c r="AD127" i="85"/>
  <c r="N127" i="85"/>
  <c r="H127" i="85"/>
  <c r="A127" i="85"/>
  <c r="AL126" i="85"/>
  <c r="AK126" i="85"/>
  <c r="N126" i="85"/>
  <c r="H126" i="85"/>
  <c r="A126" i="85"/>
  <c r="AL125" i="85"/>
  <c r="AK125" i="85"/>
  <c r="N125" i="85"/>
  <c r="H125" i="85"/>
  <c r="A125" i="85"/>
  <c r="AL124" i="85"/>
  <c r="AK124" i="85"/>
  <c r="N124" i="85"/>
  <c r="H124" i="85"/>
  <c r="A124" i="85"/>
  <c r="AL123" i="85"/>
  <c r="AK123" i="85"/>
  <c r="N123" i="85"/>
  <c r="H123" i="85"/>
  <c r="A123" i="85"/>
  <c r="AL122" i="85"/>
  <c r="AK122" i="85"/>
  <c r="N122" i="85"/>
  <c r="H122" i="85"/>
  <c r="A122" i="85"/>
  <c r="AL121" i="85"/>
  <c r="AK121" i="85"/>
  <c r="N121" i="85"/>
  <c r="H121" i="85"/>
  <c r="A121" i="85"/>
  <c r="AL120" i="85"/>
  <c r="AK120" i="85"/>
  <c r="N120" i="85"/>
  <c r="H120" i="85"/>
  <c r="A120" i="85"/>
  <c r="AL119" i="85"/>
  <c r="AK119" i="85"/>
  <c r="N119" i="85"/>
  <c r="H119" i="85"/>
  <c r="A119" i="85"/>
  <c r="AL118" i="85"/>
  <c r="AK118" i="85"/>
  <c r="N118" i="85"/>
  <c r="H118" i="85"/>
  <c r="A118" i="85"/>
  <c r="AL117" i="85"/>
  <c r="AK117" i="85"/>
  <c r="N117" i="85"/>
  <c r="H117" i="85"/>
  <c r="A117" i="85"/>
  <c r="AL116" i="85"/>
  <c r="AK116" i="85"/>
  <c r="N116" i="85"/>
  <c r="H116" i="85"/>
  <c r="A116" i="85"/>
  <c r="AL115" i="85"/>
  <c r="AK115" i="85"/>
  <c r="N115" i="85"/>
  <c r="H115" i="85"/>
  <c r="A115" i="85"/>
  <c r="AL114" i="85"/>
  <c r="AK114" i="85"/>
  <c r="N114" i="85"/>
  <c r="H114" i="85"/>
  <c r="A114" i="85"/>
  <c r="AL113" i="85"/>
  <c r="AK113" i="85"/>
  <c r="N113" i="85"/>
  <c r="H113" i="85"/>
  <c r="A113" i="85"/>
  <c r="AL112" i="85"/>
  <c r="AK112" i="85"/>
  <c r="N112" i="85"/>
  <c r="H112" i="85"/>
  <c r="A112" i="85"/>
  <c r="AL111" i="85"/>
  <c r="AK111" i="85"/>
  <c r="N111" i="85"/>
  <c r="H111" i="85"/>
  <c r="A111" i="85"/>
  <c r="AL110" i="85"/>
  <c r="AK110" i="85"/>
  <c r="N110" i="85"/>
  <c r="H110" i="85"/>
  <c r="A110" i="85"/>
  <c r="AL109" i="85"/>
  <c r="AK109" i="85"/>
  <c r="N109" i="85"/>
  <c r="H109" i="85"/>
  <c r="A109" i="85"/>
  <c r="AL108" i="85"/>
  <c r="AK108" i="85"/>
  <c r="N108" i="85"/>
  <c r="H108" i="85"/>
  <c r="A108" i="85"/>
  <c r="AL107" i="85"/>
  <c r="AK107" i="85"/>
  <c r="N107" i="85"/>
  <c r="H107" i="85"/>
  <c r="A107" i="85"/>
  <c r="AL106" i="85"/>
  <c r="AK106" i="85"/>
  <c r="N106" i="85"/>
  <c r="H106" i="85"/>
  <c r="A106" i="85"/>
  <c r="AL105" i="85"/>
  <c r="AK105" i="85"/>
  <c r="N105" i="85"/>
  <c r="H105" i="85"/>
  <c r="A105" i="85"/>
  <c r="AL104" i="85"/>
  <c r="AK104" i="85"/>
  <c r="N104" i="85"/>
  <c r="H104" i="85"/>
  <c r="A104" i="85"/>
  <c r="AL103" i="85"/>
  <c r="AK103" i="85"/>
  <c r="N103" i="85"/>
  <c r="H103" i="85"/>
  <c r="A103" i="85"/>
  <c r="AL102" i="85"/>
  <c r="AK102" i="85"/>
  <c r="N102" i="85"/>
  <c r="H102" i="85"/>
  <c r="A102" i="85"/>
  <c r="AL101" i="85"/>
  <c r="AK101" i="85"/>
  <c r="N101" i="85"/>
  <c r="H101" i="85"/>
  <c r="A101" i="85"/>
  <c r="AL100" i="85"/>
  <c r="AK100" i="85"/>
  <c r="AD100" i="85"/>
  <c r="N100" i="85"/>
  <c r="H100" i="85"/>
  <c r="A100" i="85"/>
  <c r="AL99" i="85"/>
  <c r="AK99" i="85"/>
  <c r="N99" i="85"/>
  <c r="H99" i="85"/>
  <c r="A99" i="85"/>
  <c r="AL98" i="85"/>
  <c r="AK98" i="85"/>
  <c r="AD98" i="85"/>
  <c r="N98" i="85"/>
  <c r="H98" i="85"/>
  <c r="A98" i="85"/>
  <c r="AL97" i="85"/>
  <c r="AK97" i="85"/>
  <c r="N97" i="85"/>
  <c r="H97" i="85"/>
  <c r="A97" i="85"/>
  <c r="AL96" i="85"/>
  <c r="AK96" i="85"/>
  <c r="N96" i="85"/>
  <c r="H96" i="85"/>
  <c r="A96" i="85"/>
  <c r="AL95" i="85"/>
  <c r="AK95" i="85"/>
  <c r="N95" i="85"/>
  <c r="H95" i="85"/>
  <c r="A95" i="85"/>
  <c r="AL94" i="85"/>
  <c r="AK94" i="85"/>
  <c r="N94" i="85"/>
  <c r="H94" i="85"/>
  <c r="A94" i="85"/>
  <c r="AL93" i="85"/>
  <c r="AK93" i="85"/>
  <c r="N93" i="85"/>
  <c r="H93" i="85"/>
  <c r="A93" i="85"/>
  <c r="AL92" i="85"/>
  <c r="AK92" i="85"/>
  <c r="N92" i="85"/>
  <c r="H92" i="85"/>
  <c r="A92" i="85"/>
  <c r="AM91" i="85"/>
  <c r="AL91" i="85"/>
  <c r="AK91" i="85"/>
  <c r="AI91" i="85"/>
  <c r="AD91" i="85"/>
  <c r="N91" i="85"/>
  <c r="H91" i="85"/>
  <c r="A91" i="85"/>
  <c r="AL90" i="85"/>
  <c r="AK90" i="85"/>
  <c r="N90" i="85"/>
  <c r="H90" i="85"/>
  <c r="A90" i="85"/>
  <c r="AL89" i="85"/>
  <c r="AK89" i="85"/>
  <c r="N89" i="85"/>
  <c r="H89" i="85"/>
  <c r="A89" i="85"/>
  <c r="AL88" i="85"/>
  <c r="AK88" i="85"/>
  <c r="N88" i="85"/>
  <c r="H88" i="85"/>
  <c r="A88" i="85"/>
  <c r="AL87" i="85"/>
  <c r="AK87" i="85"/>
  <c r="N87" i="85"/>
  <c r="H87" i="85"/>
  <c r="A87" i="85"/>
  <c r="AL86" i="85"/>
  <c r="AK86" i="85"/>
  <c r="N86" i="85"/>
  <c r="H86" i="85"/>
  <c r="A86" i="85"/>
  <c r="AL85" i="85"/>
  <c r="AK85" i="85"/>
  <c r="N85" i="85"/>
  <c r="H85" i="85"/>
  <c r="A85" i="85"/>
  <c r="AL84" i="85"/>
  <c r="AK84" i="85"/>
  <c r="N84" i="85"/>
  <c r="H84" i="85"/>
  <c r="A84" i="85"/>
  <c r="AL83" i="85"/>
  <c r="AK83" i="85"/>
  <c r="N83" i="85"/>
  <c r="H83" i="85"/>
  <c r="A83" i="85"/>
  <c r="AL82" i="85"/>
  <c r="AK82" i="85"/>
  <c r="N82" i="85"/>
  <c r="H82" i="85"/>
  <c r="A82" i="85"/>
  <c r="AL81" i="85"/>
  <c r="AK81" i="85"/>
  <c r="AD81" i="85"/>
  <c r="N81" i="85"/>
  <c r="H81" i="85"/>
  <c r="A81" i="85"/>
  <c r="AL80" i="85"/>
  <c r="AK80" i="85"/>
  <c r="N80" i="85"/>
  <c r="H80" i="85"/>
  <c r="A80" i="85"/>
  <c r="AL79" i="85"/>
  <c r="AK79" i="85"/>
  <c r="N79" i="85"/>
  <c r="H79" i="85"/>
  <c r="A79" i="85"/>
  <c r="AL78" i="85"/>
  <c r="AK78" i="85"/>
  <c r="N78" i="85"/>
  <c r="H78" i="85"/>
  <c r="A78" i="85"/>
  <c r="AL77" i="85"/>
  <c r="AK77" i="85"/>
  <c r="N77" i="85"/>
  <c r="H77" i="85"/>
  <c r="A77" i="85"/>
  <c r="AL76" i="85"/>
  <c r="AK76" i="85"/>
  <c r="N76" i="85"/>
  <c r="H76" i="85"/>
  <c r="A76" i="85"/>
  <c r="AL75" i="85"/>
  <c r="AK75" i="85"/>
  <c r="N75" i="85"/>
  <c r="H75" i="85"/>
  <c r="A75" i="85"/>
  <c r="AL74" i="85"/>
  <c r="AK74" i="85"/>
  <c r="N74" i="85"/>
  <c r="H74" i="85"/>
  <c r="A74" i="85"/>
  <c r="AL73" i="85"/>
  <c r="AK73" i="85"/>
  <c r="N73" i="85"/>
  <c r="H73" i="85"/>
  <c r="A73" i="85"/>
  <c r="AL72" i="85"/>
  <c r="AK72" i="85"/>
  <c r="N72" i="85"/>
  <c r="H72" i="85"/>
  <c r="A72" i="85"/>
  <c r="AL71" i="85"/>
  <c r="AK71" i="85"/>
  <c r="AD71" i="85"/>
  <c r="N71" i="85"/>
  <c r="H71" i="85"/>
  <c r="A71" i="85"/>
  <c r="AL70" i="85"/>
  <c r="AK70" i="85"/>
  <c r="N70" i="85"/>
  <c r="H70" i="85"/>
  <c r="A70" i="85"/>
  <c r="AL69" i="85"/>
  <c r="AK69" i="85"/>
  <c r="N69" i="85"/>
  <c r="H69" i="85"/>
  <c r="A69" i="85"/>
  <c r="AL68" i="85"/>
  <c r="AK68" i="85"/>
  <c r="N68" i="85"/>
  <c r="H68" i="85"/>
  <c r="A68" i="85"/>
  <c r="AL67" i="85"/>
  <c r="AK67" i="85"/>
  <c r="N67" i="85"/>
  <c r="H67" i="85"/>
  <c r="A67" i="85"/>
  <c r="AL66" i="85"/>
  <c r="AK66" i="85"/>
  <c r="AD66" i="85"/>
  <c r="N66" i="85"/>
  <c r="H66" i="85"/>
  <c r="A66" i="85"/>
  <c r="AL65" i="85"/>
  <c r="AK65" i="85"/>
  <c r="N65" i="85"/>
  <c r="H65" i="85"/>
  <c r="A65" i="85"/>
  <c r="AL64" i="85"/>
  <c r="AK64" i="85"/>
  <c r="N64" i="85"/>
  <c r="H64" i="85"/>
  <c r="A64" i="85"/>
  <c r="AM63" i="85"/>
  <c r="AL63" i="85"/>
  <c r="AK63" i="85"/>
  <c r="N63" i="85"/>
  <c r="H63" i="85"/>
  <c r="A63" i="85"/>
  <c r="AL62" i="85"/>
  <c r="AK62" i="85"/>
  <c r="N62" i="85"/>
  <c r="H62" i="85"/>
  <c r="A62" i="85"/>
  <c r="AL61" i="85"/>
  <c r="AK61" i="85"/>
  <c r="N61" i="85"/>
  <c r="H61" i="85"/>
  <c r="A61" i="85"/>
  <c r="AL60" i="85"/>
  <c r="AK60" i="85"/>
  <c r="AD60" i="85"/>
  <c r="N60" i="85"/>
  <c r="H60" i="85"/>
  <c r="A60" i="85"/>
  <c r="AL59" i="85"/>
  <c r="AK59" i="85"/>
  <c r="N59" i="85"/>
  <c r="H59" i="85"/>
  <c r="A59" i="85"/>
  <c r="AL58" i="85"/>
  <c r="AK58" i="85"/>
  <c r="N58" i="85"/>
  <c r="H58" i="85"/>
  <c r="A58" i="85"/>
  <c r="AL57" i="85"/>
  <c r="AK57" i="85"/>
  <c r="AD57" i="85"/>
  <c r="N57" i="85"/>
  <c r="H57" i="85"/>
  <c r="A57" i="85"/>
  <c r="AL56" i="85"/>
  <c r="AK56" i="85"/>
  <c r="N56" i="85"/>
  <c r="H56" i="85"/>
  <c r="A56" i="85"/>
  <c r="AL55" i="85"/>
  <c r="AK55" i="85"/>
  <c r="N55" i="85"/>
  <c r="H55" i="85"/>
  <c r="A55" i="85"/>
  <c r="AL54" i="85"/>
  <c r="AK54" i="85"/>
  <c r="N54" i="85"/>
  <c r="H54" i="85"/>
  <c r="A54" i="85"/>
  <c r="AL53" i="85"/>
  <c r="AK53" i="85"/>
  <c r="N53" i="85"/>
  <c r="H53" i="85"/>
  <c r="A53" i="85"/>
  <c r="AL52" i="85"/>
  <c r="AK52" i="85"/>
  <c r="N52" i="85"/>
  <c r="H52" i="85"/>
  <c r="A52" i="85"/>
  <c r="AL51" i="85"/>
  <c r="AK51" i="85"/>
  <c r="N51" i="85"/>
  <c r="H51" i="85"/>
  <c r="A51" i="85"/>
  <c r="AL50" i="85"/>
  <c r="AK50" i="85"/>
  <c r="N50" i="85"/>
  <c r="H50" i="85"/>
  <c r="A50" i="85"/>
  <c r="AL49" i="85"/>
  <c r="AK49" i="85"/>
  <c r="N49" i="85"/>
  <c r="H49" i="85"/>
  <c r="A49" i="85"/>
  <c r="AL48" i="85"/>
  <c r="AK48" i="85"/>
  <c r="N48" i="85"/>
  <c r="H48" i="85"/>
  <c r="A48" i="85"/>
  <c r="AL47" i="85"/>
  <c r="AK47" i="85"/>
  <c r="N47" i="85"/>
  <c r="H47" i="85"/>
  <c r="A47" i="85"/>
  <c r="AL46" i="85"/>
  <c r="AK46" i="85"/>
  <c r="AD46" i="85"/>
  <c r="N46" i="85"/>
  <c r="H46" i="85"/>
  <c r="A46" i="85"/>
  <c r="AL45" i="85"/>
  <c r="AK45" i="85"/>
  <c r="N45" i="85"/>
  <c r="H45" i="85"/>
  <c r="A45" i="85"/>
  <c r="AL44" i="85"/>
  <c r="AK44" i="85"/>
  <c r="AD44" i="85"/>
  <c r="N44" i="85"/>
  <c r="H44" i="85"/>
  <c r="A44" i="85"/>
  <c r="AL43" i="85"/>
  <c r="AK43" i="85"/>
  <c r="N43" i="85"/>
  <c r="H43" i="85"/>
  <c r="A43" i="85"/>
  <c r="AL42" i="85"/>
  <c r="AK42" i="85"/>
  <c r="N42" i="85"/>
  <c r="H42" i="85"/>
  <c r="A42" i="85"/>
  <c r="AL41" i="85"/>
  <c r="AK41" i="85"/>
  <c r="AI41" i="85"/>
  <c r="AD41" i="85"/>
  <c r="N41" i="85"/>
  <c r="H41" i="85"/>
  <c r="A41" i="85"/>
  <c r="AL40" i="85"/>
  <c r="AK40" i="85"/>
  <c r="N40" i="85"/>
  <c r="H40" i="85"/>
  <c r="A40" i="85"/>
  <c r="AL39" i="85"/>
  <c r="AK39" i="85"/>
  <c r="N39" i="85"/>
  <c r="H39" i="85"/>
  <c r="A39" i="85"/>
  <c r="AL38" i="85"/>
  <c r="AK38" i="85"/>
  <c r="N38" i="85"/>
  <c r="H38" i="85"/>
  <c r="A38" i="85"/>
  <c r="AL37" i="85"/>
  <c r="AK37" i="85"/>
  <c r="N37" i="85"/>
  <c r="H37" i="85"/>
  <c r="A37" i="85"/>
  <c r="AL36" i="85"/>
  <c r="AK36" i="85"/>
  <c r="AD36" i="85"/>
  <c r="N36" i="85"/>
  <c r="H36" i="85"/>
  <c r="A36" i="85"/>
  <c r="AL35" i="85"/>
  <c r="AK35" i="85"/>
  <c r="N35" i="85"/>
  <c r="H35" i="85"/>
  <c r="A35" i="85"/>
  <c r="AL34" i="85"/>
  <c r="AK34" i="85"/>
  <c r="N34" i="85"/>
  <c r="H34" i="85"/>
  <c r="A34" i="85"/>
  <c r="AL33" i="85"/>
  <c r="AK33" i="85"/>
  <c r="N33" i="85"/>
  <c r="H33" i="85"/>
  <c r="A33" i="85"/>
  <c r="AL32" i="85"/>
  <c r="AK32" i="85"/>
  <c r="N32" i="85"/>
  <c r="H32" i="85"/>
  <c r="A32" i="85"/>
  <c r="AL31" i="85"/>
  <c r="AK31" i="85"/>
  <c r="N31" i="85"/>
  <c r="H31" i="85"/>
  <c r="A31" i="85"/>
  <c r="AL30" i="85"/>
  <c r="AK30" i="85"/>
  <c r="N30" i="85"/>
  <c r="H30" i="85"/>
  <c r="A30" i="85"/>
  <c r="AL29" i="85"/>
  <c r="AK29" i="85"/>
  <c r="N29" i="85"/>
  <c r="H29" i="85"/>
  <c r="A29" i="85"/>
  <c r="AL28" i="85"/>
  <c r="AK28" i="85"/>
  <c r="N28" i="85"/>
  <c r="H28" i="85"/>
  <c r="A28" i="85"/>
  <c r="AL27" i="85"/>
  <c r="AK27" i="85"/>
  <c r="AD27" i="85"/>
  <c r="N27" i="85"/>
  <c r="H27" i="85"/>
  <c r="A27" i="85"/>
  <c r="AL26" i="85"/>
  <c r="AK26" i="85"/>
  <c r="N26" i="85"/>
  <c r="H26" i="85"/>
  <c r="A26" i="85"/>
  <c r="AL25" i="85"/>
  <c r="AK25" i="85"/>
  <c r="AD25" i="85"/>
  <c r="N25" i="85"/>
  <c r="H25" i="85"/>
  <c r="A25" i="85"/>
  <c r="AL24" i="85"/>
  <c r="AK24" i="85"/>
  <c r="AD24" i="85"/>
  <c r="N24" i="85"/>
  <c r="H24" i="85"/>
  <c r="A24" i="85"/>
  <c r="AL23" i="85"/>
  <c r="AK23" i="85"/>
  <c r="N23" i="85"/>
  <c r="H23" i="85"/>
  <c r="A23" i="85"/>
  <c r="AL22" i="85"/>
  <c r="AK22" i="85"/>
  <c r="N22" i="85"/>
  <c r="H22" i="85"/>
  <c r="A22" i="85"/>
  <c r="AL21" i="85"/>
  <c r="AK21" i="85"/>
  <c r="N21" i="85"/>
  <c r="H21" i="85"/>
  <c r="A21" i="85"/>
  <c r="AL20" i="85"/>
  <c r="AK20" i="85"/>
  <c r="N20" i="85"/>
  <c r="H20" i="85"/>
  <c r="A20" i="85"/>
  <c r="AL19" i="85"/>
  <c r="AK19" i="85"/>
  <c r="N19" i="85"/>
  <c r="H19" i="85"/>
  <c r="A19" i="85"/>
  <c r="AL18" i="85"/>
  <c r="AK18" i="85"/>
  <c r="N18" i="85"/>
  <c r="H18" i="85"/>
  <c r="A18" i="85"/>
  <c r="AL17" i="85"/>
  <c r="AK17" i="85"/>
  <c r="N17" i="85"/>
  <c r="H17" i="85"/>
  <c r="A17" i="85"/>
  <c r="AL16" i="85"/>
  <c r="AK16" i="85"/>
  <c r="AI16" i="85"/>
  <c r="AD16" i="85"/>
  <c r="N16" i="85"/>
  <c r="H16" i="85"/>
  <c r="A16" i="85"/>
  <c r="AL15" i="85"/>
  <c r="AK15" i="85"/>
  <c r="N15" i="85"/>
  <c r="H15" i="85"/>
  <c r="A15" i="85"/>
  <c r="AL14" i="85"/>
  <c r="AK14" i="85"/>
  <c r="N14" i="85"/>
  <c r="H14" i="85"/>
  <c r="A14" i="85"/>
  <c r="AM13" i="85"/>
  <c r="AL13" i="85"/>
  <c r="AK13" i="85"/>
  <c r="AD13" i="85"/>
  <c r="N13" i="85"/>
  <c r="H13" i="85"/>
  <c r="A13" i="85"/>
  <c r="AL12" i="85"/>
  <c r="AK12" i="85"/>
  <c r="AD12" i="85"/>
  <c r="N12" i="85"/>
  <c r="H12" i="85"/>
  <c r="A12" i="85"/>
  <c r="AL11" i="85"/>
  <c r="AK11" i="85"/>
  <c r="N11" i="85"/>
  <c r="H11" i="85"/>
  <c r="A11" i="85"/>
  <c r="AL10" i="85"/>
  <c r="AK10" i="85"/>
  <c r="N10" i="85"/>
  <c r="H10" i="85"/>
  <c r="A10" i="85"/>
  <c r="AL9" i="85"/>
  <c r="AK9" i="85"/>
  <c r="AD9" i="85"/>
  <c r="N9" i="85"/>
  <c r="H9" i="85"/>
  <c r="A9" i="85"/>
  <c r="AL8" i="85"/>
  <c r="AK8" i="85"/>
  <c r="N8" i="85"/>
  <c r="H8" i="85"/>
  <c r="A8" i="85"/>
  <c r="AL7" i="85"/>
  <c r="AK7" i="85"/>
  <c r="N7" i="85"/>
  <c r="H7" i="85"/>
  <c r="A7" i="85"/>
  <c r="AM6" i="85"/>
  <c r="AL6" i="85"/>
  <c r="AK6" i="85"/>
  <c r="AD6" i="85"/>
  <c r="N6" i="85"/>
  <c r="H6" i="85"/>
  <c r="A6" i="85"/>
  <c r="AL5" i="85"/>
  <c r="AK5" i="85"/>
  <c r="N5" i="85"/>
  <c r="H5" i="85"/>
  <c r="A5" i="85"/>
  <c r="AL4" i="85"/>
  <c r="AK4" i="85"/>
  <c r="N4" i="85"/>
  <c r="H4" i="85"/>
  <c r="A4" i="85"/>
  <c r="AL3" i="85"/>
  <c r="AK3" i="85"/>
  <c r="N3" i="85"/>
  <c r="H3" i="85"/>
  <c r="A3" i="85"/>
  <c r="AL2" i="85"/>
  <c r="AK2" i="85"/>
  <c r="N2" i="85"/>
  <c r="H2" i="85"/>
  <c r="A2" i="85"/>
  <c r="E3" i="85"/>
  <c r="E17" i="85"/>
  <c r="E31" i="85"/>
  <c r="E45" i="85"/>
  <c r="E59" i="85"/>
  <c r="E73" i="85"/>
  <c r="E87" i="85"/>
  <c r="E101" i="85"/>
  <c r="E115" i="85"/>
  <c r="E129" i="85"/>
  <c r="E143" i="85"/>
  <c r="E157" i="85"/>
  <c r="E171" i="85"/>
  <c r="E185" i="85"/>
  <c r="E199" i="85"/>
  <c r="E213" i="85"/>
  <c r="E227" i="85"/>
  <c r="E241" i="85"/>
  <c r="E255" i="85"/>
  <c r="E269" i="85"/>
  <c r="E283" i="85"/>
  <c r="E297" i="85"/>
  <c r="E311" i="85"/>
  <c r="E325" i="85"/>
  <c r="E339" i="85"/>
  <c r="E353" i="85"/>
  <c r="E367" i="85"/>
  <c r="E381" i="85"/>
  <c r="E395" i="85"/>
  <c r="E409" i="85"/>
  <c r="E423" i="85"/>
  <c r="E437" i="85"/>
  <c r="E451" i="85"/>
  <c r="E465" i="85"/>
  <c r="E479" i="85"/>
  <c r="E493" i="85"/>
  <c r="E507" i="85"/>
  <c r="E521" i="85"/>
  <c r="E535" i="85"/>
  <c r="E549" i="85"/>
  <c r="E563" i="85"/>
  <c r="E577" i="85"/>
  <c r="E591" i="85"/>
  <c r="E605" i="85"/>
  <c r="E619" i="85"/>
  <c r="E633" i="85"/>
  <c r="E647" i="85"/>
  <c r="E661" i="85"/>
  <c r="E675" i="85"/>
  <c r="E689" i="85"/>
  <c r="E703" i="85"/>
  <c r="E717" i="85"/>
  <c r="E731" i="85"/>
  <c r="E745" i="85"/>
  <c r="E759" i="85"/>
  <c r="E773" i="85"/>
  <c r="E787" i="85"/>
  <c r="E801" i="85"/>
  <c r="E815" i="85"/>
  <c r="E829" i="85"/>
  <c r="E843" i="85"/>
  <c r="E857" i="85"/>
  <c r="E871" i="85"/>
  <c r="E885" i="85"/>
  <c r="E899" i="85"/>
  <c r="E913" i="85"/>
  <c r="E927" i="85"/>
  <c r="E941" i="85"/>
  <c r="E955" i="85"/>
  <c r="E969" i="85"/>
  <c r="E983" i="85"/>
  <c r="E997" i="85"/>
  <c r="E1011" i="85"/>
  <c r="E1025" i="85"/>
  <c r="E1039" i="85"/>
  <c r="E1053" i="85"/>
  <c r="E1067" i="85"/>
  <c r="E1081" i="85"/>
  <c r="E1095" i="85"/>
  <c r="E1109" i="85"/>
  <c r="E1123" i="85"/>
  <c r="E1137" i="85"/>
  <c r="E1151" i="85"/>
  <c r="E1165" i="85"/>
  <c r="E1179" i="85"/>
  <c r="E1193" i="85"/>
  <c r="E1207" i="85"/>
  <c r="E1221" i="85"/>
  <c r="E1235" i="85"/>
  <c r="E1249" i="85"/>
  <c r="E1263" i="85"/>
  <c r="E1277" i="85"/>
  <c r="E1291" i="85"/>
  <c r="E1305" i="85"/>
  <c r="E1319" i="85"/>
  <c r="E1333" i="85"/>
  <c r="E1347" i="85"/>
  <c r="E1361" i="85"/>
  <c r="E1375" i="85"/>
  <c r="E1389" i="85"/>
  <c r="E1403" i="85"/>
  <c r="E1417" i="85"/>
  <c r="E1431" i="85"/>
  <c r="E1445" i="85"/>
  <c r="E1459" i="85"/>
  <c r="E1473" i="85"/>
  <c r="E1487" i="85"/>
  <c r="E1501" i="85"/>
  <c r="E1515" i="85"/>
  <c r="E1529" i="85"/>
  <c r="E1543" i="85"/>
  <c r="E1557" i="85"/>
  <c r="E1571" i="85"/>
  <c r="E1585" i="85"/>
  <c r="E1599" i="85"/>
  <c r="E1613" i="85"/>
  <c r="E1627" i="85"/>
  <c r="E1641" i="85"/>
  <c r="E1655" i="85"/>
  <c r="E1669" i="85"/>
  <c r="E1683" i="85"/>
  <c r="E1697" i="85"/>
  <c r="E1711" i="85"/>
  <c r="E1725" i="85"/>
  <c r="E1739" i="85"/>
  <c r="E1753" i="85"/>
  <c r="E1767" i="85"/>
  <c r="E4" i="85"/>
  <c r="E19" i="85"/>
  <c r="E34" i="85"/>
  <c r="E49" i="85"/>
  <c r="E64" i="85"/>
  <c r="E79" i="85"/>
  <c r="E94" i="85"/>
  <c r="E109" i="85"/>
  <c r="E124" i="85"/>
  <c r="E139" i="85"/>
  <c r="E154" i="85"/>
  <c r="E169" i="85"/>
  <c r="E184" i="85"/>
  <c r="E200" i="85"/>
  <c r="E215" i="85"/>
  <c r="E230" i="85"/>
  <c r="E245" i="85"/>
  <c r="E260" i="85"/>
  <c r="E275" i="85"/>
  <c r="E290" i="85"/>
  <c r="E305" i="85"/>
  <c r="E320" i="85"/>
  <c r="E335" i="85"/>
  <c r="E350" i="85"/>
  <c r="E365" i="85"/>
  <c r="E380" i="85"/>
  <c r="E396" i="85"/>
  <c r="E411" i="85"/>
  <c r="E426" i="85"/>
  <c r="E441" i="85"/>
  <c r="E456" i="85"/>
  <c r="E471" i="85"/>
  <c r="E486" i="85"/>
  <c r="E501" i="85"/>
  <c r="E516" i="85"/>
  <c r="E531" i="85"/>
  <c r="E546" i="85"/>
  <c r="E561" i="85"/>
  <c r="E576" i="85"/>
  <c r="E592" i="85"/>
  <c r="E607" i="85"/>
  <c r="E622" i="85"/>
  <c r="E637" i="85"/>
  <c r="E652" i="85"/>
  <c r="E667" i="85"/>
  <c r="E682" i="85"/>
  <c r="E697" i="85"/>
  <c r="E712" i="85"/>
  <c r="E727" i="85"/>
  <c r="E742" i="85"/>
  <c r="E757" i="85"/>
  <c r="E772" i="85"/>
  <c r="E788" i="85"/>
  <c r="E803" i="85"/>
  <c r="E818" i="85"/>
  <c r="E833" i="85"/>
  <c r="E848" i="85"/>
  <c r="E863" i="85"/>
  <c r="E878" i="85"/>
  <c r="E893" i="85"/>
  <c r="E908" i="85"/>
  <c r="E923" i="85"/>
  <c r="E938" i="85"/>
  <c r="E953" i="85"/>
  <c r="E968" i="85"/>
  <c r="E984" i="85"/>
  <c r="E999" i="85"/>
  <c r="E1014" i="85"/>
  <c r="E1029" i="85"/>
  <c r="E1044" i="85"/>
  <c r="E1059" i="85"/>
  <c r="E1074" i="85"/>
  <c r="E1089" i="85"/>
  <c r="E1104" i="85"/>
  <c r="E1119" i="85"/>
  <c r="E1134" i="85"/>
  <c r="E1149" i="85"/>
  <c r="E1164" i="85"/>
  <c r="E1180" i="85"/>
  <c r="E1195" i="85"/>
  <c r="E1210" i="85"/>
  <c r="E1225" i="85"/>
  <c r="E1240" i="85"/>
  <c r="E1255" i="85"/>
  <c r="E1270" i="85"/>
  <c r="E1285" i="85"/>
  <c r="E1300" i="85"/>
  <c r="E1315" i="85"/>
  <c r="E1330" i="85"/>
  <c r="E1345" i="85"/>
  <c r="E1360" i="85"/>
  <c r="E1376" i="85"/>
  <c r="E1391" i="85"/>
  <c r="E1406" i="85"/>
  <c r="E1421" i="85"/>
  <c r="E1436" i="85"/>
  <c r="E1451" i="85"/>
  <c r="E1466" i="85"/>
  <c r="E1481" i="85"/>
  <c r="E1496" i="85"/>
  <c r="E1511" i="85"/>
  <c r="E1526" i="85"/>
  <c r="E1541" i="85"/>
  <c r="E1556" i="85"/>
  <c r="E1572" i="85"/>
  <c r="E1587" i="85"/>
  <c r="E1602" i="85"/>
  <c r="E1617" i="85"/>
  <c r="E1632" i="85"/>
  <c r="E1647" i="85"/>
  <c r="E1662" i="85"/>
  <c r="E1677" i="85"/>
  <c r="E1692" i="85"/>
  <c r="E1707" i="85"/>
  <c r="E1722" i="85"/>
  <c r="E1737" i="85"/>
  <c r="E1752" i="85"/>
  <c r="E1768" i="85"/>
  <c r="E1782" i="85"/>
  <c r="E1796" i="85"/>
  <c r="E1810" i="85"/>
  <c r="E1824" i="85"/>
  <c r="E1838" i="85"/>
  <c r="E1852" i="85"/>
  <c r="E1866" i="85"/>
  <c r="E1880" i="85"/>
  <c r="E1894" i="85"/>
  <c r="E1908" i="85"/>
  <c r="E1922" i="85"/>
  <c r="E1936" i="85"/>
  <c r="E1950" i="85"/>
  <c r="E1964" i="85"/>
  <c r="E1978" i="85"/>
  <c r="E1992" i="85"/>
  <c r="E2006" i="85"/>
  <c r="E2020" i="85"/>
  <c r="E2034" i="85"/>
  <c r="E2048" i="85"/>
  <c r="E2062" i="85"/>
  <c r="E2076" i="85"/>
  <c r="E2090" i="85"/>
  <c r="E2104" i="85"/>
  <c r="E2118" i="85"/>
  <c r="E2132" i="85"/>
  <c r="E2146" i="85"/>
  <c r="E2160" i="85"/>
  <c r="E2174" i="85"/>
  <c r="E2188" i="85"/>
  <c r="E2202" i="85"/>
  <c r="E2216" i="85"/>
  <c r="E2230" i="85"/>
  <c r="E2244" i="85"/>
  <c r="E2258" i="85"/>
  <c r="E2272" i="85"/>
  <c r="E2286" i="85"/>
  <c r="E2300" i="85"/>
  <c r="E2314" i="85"/>
  <c r="E2328" i="85"/>
  <c r="E2342" i="85"/>
  <c r="E2356" i="85"/>
  <c r="E2370" i="85"/>
  <c r="E2384" i="85"/>
  <c r="E2398" i="85"/>
  <c r="E2412" i="85"/>
  <c r="E2426" i="85"/>
  <c r="E2440" i="85"/>
  <c r="E2454" i="85"/>
  <c r="E2468" i="85"/>
  <c r="E2482" i="85"/>
  <c r="E2496" i="85"/>
  <c r="E2510" i="85"/>
  <c r="E2524" i="85"/>
  <c r="E2538" i="85"/>
  <c r="E2552" i="85"/>
  <c r="E2566" i="85"/>
  <c r="E2580" i="85"/>
  <c r="E2594" i="85"/>
  <c r="E2608" i="85"/>
  <c r="E2622" i="85"/>
  <c r="E2636" i="85"/>
  <c r="E2650" i="85"/>
  <c r="E2664" i="85"/>
  <c r="E2678" i="85"/>
  <c r="E2692" i="85"/>
  <c r="E2706" i="85"/>
  <c r="E2720" i="85"/>
  <c r="E2734" i="85"/>
  <c r="E2748" i="85"/>
  <c r="E2762" i="85"/>
  <c r="E2776" i="85"/>
  <c r="E2790" i="85"/>
  <c r="E2804" i="85"/>
  <c r="E2818" i="85"/>
  <c r="E2832" i="85"/>
  <c r="E2846" i="85"/>
  <c r="E2860" i="85"/>
  <c r="E2874" i="85"/>
  <c r="E2888" i="85"/>
  <c r="E5" i="85"/>
  <c r="E20" i="85"/>
  <c r="E35" i="85"/>
  <c r="E50" i="85"/>
  <c r="E65" i="85"/>
  <c r="E80" i="85"/>
  <c r="E95" i="85"/>
  <c r="E110" i="85"/>
  <c r="E125" i="85"/>
  <c r="E140" i="85"/>
  <c r="E155" i="85"/>
  <c r="E170" i="85"/>
  <c r="E186" i="85"/>
  <c r="E201" i="85"/>
  <c r="E216" i="85"/>
  <c r="E231" i="85"/>
  <c r="E246" i="85"/>
  <c r="E261" i="85"/>
  <c r="E276" i="85"/>
  <c r="E291" i="85"/>
  <c r="E306" i="85"/>
  <c r="E321" i="85"/>
  <c r="E336" i="85"/>
  <c r="E351" i="85"/>
  <c r="E366" i="85"/>
  <c r="E382" i="85"/>
  <c r="E397" i="85"/>
  <c r="E412" i="85"/>
  <c r="E427" i="85"/>
  <c r="E442" i="85"/>
  <c r="E457" i="85"/>
  <c r="E472" i="85"/>
  <c r="E487" i="85"/>
  <c r="E502" i="85"/>
  <c r="E517" i="85"/>
  <c r="E532" i="85"/>
  <c r="E547" i="85"/>
  <c r="E562" i="85"/>
  <c r="E578" i="85"/>
  <c r="E593" i="85"/>
  <c r="E608" i="85"/>
  <c r="E623" i="85"/>
  <c r="E638" i="85"/>
  <c r="E653" i="85"/>
  <c r="E668" i="85"/>
  <c r="E683" i="85"/>
  <c r="E698" i="85"/>
  <c r="E713" i="85"/>
  <c r="E728" i="85"/>
  <c r="E743" i="85"/>
  <c r="E758" i="85"/>
  <c r="E774" i="85"/>
  <c r="E789" i="85"/>
  <c r="E804" i="85"/>
  <c r="E819" i="85"/>
  <c r="E834" i="85"/>
  <c r="E849" i="85"/>
  <c r="E864" i="85"/>
  <c r="E879" i="85"/>
  <c r="E894" i="85"/>
  <c r="E909" i="85"/>
  <c r="E924" i="85"/>
  <c r="E939" i="85"/>
  <c r="E954" i="85"/>
  <c r="E970" i="85"/>
  <c r="E985" i="85"/>
  <c r="E1000" i="85"/>
  <c r="E1015" i="85"/>
  <c r="E1030" i="85"/>
  <c r="E1045" i="85"/>
  <c r="E1060" i="85"/>
  <c r="E1075" i="85"/>
  <c r="E1090" i="85"/>
  <c r="E1105" i="85"/>
  <c r="E1120" i="85"/>
  <c r="E1135" i="85"/>
  <c r="E1150" i="85"/>
  <c r="E1166" i="85"/>
  <c r="E1181" i="85"/>
  <c r="E1196" i="85"/>
  <c r="E1211" i="85"/>
  <c r="E1226" i="85"/>
  <c r="E1241" i="85"/>
  <c r="E1256" i="85"/>
  <c r="E1271" i="85"/>
  <c r="E1286" i="85"/>
  <c r="E1301" i="85"/>
  <c r="E1316" i="85"/>
  <c r="E1331" i="85"/>
  <c r="E1346" i="85"/>
  <c r="E1362" i="85"/>
  <c r="E1377" i="85"/>
  <c r="E1392" i="85"/>
  <c r="E1407" i="85"/>
  <c r="E1422" i="85"/>
  <c r="E1437" i="85"/>
  <c r="E1452" i="85"/>
  <c r="E1467" i="85"/>
  <c r="E1482" i="85"/>
  <c r="E1497" i="85"/>
  <c r="E1512" i="85"/>
  <c r="E1527" i="85"/>
  <c r="E1542" i="85"/>
  <c r="E1558" i="85"/>
  <c r="E1573" i="85"/>
  <c r="E1588" i="85"/>
  <c r="E1603" i="85"/>
  <c r="E1618" i="85"/>
  <c r="E1633" i="85"/>
  <c r="E1648" i="85"/>
  <c r="E1663" i="85"/>
  <c r="E1678" i="85"/>
  <c r="E1693" i="85"/>
  <c r="E1708" i="85"/>
  <c r="E1723" i="85"/>
  <c r="E1738" i="85"/>
  <c r="E1754" i="85"/>
  <c r="E1769" i="85"/>
  <c r="E1783" i="85"/>
  <c r="E1797" i="85"/>
  <c r="E1811" i="85"/>
  <c r="E1825" i="85"/>
  <c r="E1839" i="85"/>
  <c r="E1853" i="85"/>
  <c r="E1867" i="85"/>
  <c r="E1881" i="85"/>
  <c r="E1895" i="85"/>
  <c r="E6" i="85"/>
  <c r="E23" i="85"/>
  <c r="E40" i="85"/>
  <c r="E57" i="85"/>
  <c r="E75" i="85"/>
  <c r="E92" i="85"/>
  <c r="E111" i="85"/>
  <c r="E128" i="85"/>
  <c r="E146" i="85"/>
  <c r="E163" i="85"/>
  <c r="E180" i="85"/>
  <c r="E197" i="85"/>
  <c r="E217" i="85"/>
  <c r="E234" i="85"/>
  <c r="E251" i="85"/>
  <c r="E268" i="85"/>
  <c r="E286" i="85"/>
  <c r="E303" i="85"/>
  <c r="E322" i="85"/>
  <c r="E340" i="85"/>
  <c r="E357" i="85"/>
  <c r="E374" i="85"/>
  <c r="E391" i="85"/>
  <c r="E408" i="85"/>
  <c r="E428" i="85"/>
  <c r="E445" i="85"/>
  <c r="E462" i="85"/>
  <c r="E480" i="85"/>
  <c r="E497" i="85"/>
  <c r="E514" i="85"/>
  <c r="E533" i="85"/>
  <c r="E551" i="85"/>
  <c r="E568" i="85"/>
  <c r="E585" i="85"/>
  <c r="E602" i="85"/>
  <c r="E620" i="85"/>
  <c r="E639" i="85"/>
  <c r="E656" i="85"/>
  <c r="E673" i="85"/>
  <c r="E691" i="85"/>
  <c r="E708" i="85"/>
  <c r="E725" i="85"/>
  <c r="E744" i="85"/>
  <c r="E762" i="85"/>
  <c r="E779" i="85"/>
  <c r="E796" i="85"/>
  <c r="E813" i="85"/>
  <c r="E831" i="85"/>
  <c r="E850" i="85"/>
  <c r="E867" i="85"/>
  <c r="E884" i="85"/>
  <c r="E902" i="85"/>
  <c r="E919" i="85"/>
  <c r="E936" i="85"/>
  <c r="E956" i="85"/>
  <c r="E973" i="85"/>
  <c r="E990" i="85"/>
  <c r="E1007" i="85"/>
  <c r="E1024" i="85"/>
  <c r="E1042" i="85"/>
  <c r="E1061" i="85"/>
  <c r="E1078" i="85"/>
  <c r="E1096" i="85"/>
  <c r="E1113" i="85"/>
  <c r="E1130" i="85"/>
  <c r="E1147" i="85"/>
  <c r="E1167" i="85"/>
  <c r="E1184" i="85"/>
  <c r="E1201" i="85"/>
  <c r="E1218" i="85"/>
  <c r="E1236" i="85"/>
  <c r="E1253" i="85"/>
  <c r="E1272" i="85"/>
  <c r="E1289" i="85"/>
  <c r="E1307" i="85"/>
  <c r="E1324" i="85"/>
  <c r="E1341" i="85"/>
  <c r="E1358" i="85"/>
  <c r="E1378" i="85"/>
  <c r="E1395" i="85"/>
  <c r="E1412" i="85"/>
  <c r="E1429" i="85"/>
  <c r="E1447" i="85"/>
  <c r="E1464" i="85"/>
  <c r="E1483" i="85"/>
  <c r="E1500" i="85"/>
  <c r="E1518" i="85"/>
  <c r="E1535" i="85"/>
  <c r="E1552" i="85"/>
  <c r="E1569" i="85"/>
  <c r="E1589" i="85"/>
  <c r="E1606" i="85"/>
  <c r="E1623" i="85"/>
  <c r="E1640" i="85"/>
  <c r="E1658" i="85"/>
  <c r="E1675" i="85"/>
  <c r="E1694" i="85"/>
  <c r="E1712" i="85"/>
  <c r="E1729" i="85"/>
  <c r="E1746" i="85"/>
  <c r="E1763" i="85"/>
  <c r="E1780" i="85"/>
  <c r="E1798" i="85"/>
  <c r="E1814" i="85"/>
  <c r="E1830" i="85"/>
  <c r="E1846" i="85"/>
  <c r="E1862" i="85"/>
  <c r="E1878" i="85"/>
  <c r="E1896" i="85"/>
  <c r="E1911" i="85"/>
  <c r="E1926" i="85"/>
  <c r="E1941" i="85"/>
  <c r="E1956" i="85"/>
  <c r="E1971" i="85"/>
  <c r="E1986" i="85"/>
  <c r="E2001" i="85"/>
  <c r="E2016" i="85"/>
  <c r="E2031" i="85"/>
  <c r="E2046" i="85"/>
  <c r="E2061" i="85"/>
  <c r="E2077" i="85"/>
  <c r="E2092" i="85"/>
  <c r="E2107" i="85"/>
  <c r="E2122" i="85"/>
  <c r="E2137" i="85"/>
  <c r="E2152" i="85"/>
  <c r="E2167" i="85"/>
  <c r="E2182" i="85"/>
  <c r="E2197" i="85"/>
  <c r="E2212" i="85"/>
  <c r="E2227" i="85"/>
  <c r="E2242" i="85"/>
  <c r="E2257" i="85"/>
  <c r="E2273" i="85"/>
  <c r="E2288" i="85"/>
  <c r="E2303" i="85"/>
  <c r="E2318" i="85"/>
  <c r="E2333" i="85"/>
  <c r="E2348" i="85"/>
  <c r="E2363" i="85"/>
  <c r="E2378" i="85"/>
  <c r="E2393" i="85"/>
  <c r="E2408" i="85"/>
  <c r="E2423" i="85"/>
  <c r="E2438" i="85"/>
  <c r="E2453" i="85"/>
  <c r="E2469" i="85"/>
  <c r="E2484" i="85"/>
  <c r="E2499" i="85"/>
  <c r="E2514" i="85"/>
  <c r="E2529" i="85"/>
  <c r="E2544" i="85"/>
  <c r="E2559" i="85"/>
  <c r="E2574" i="85"/>
  <c r="E2589" i="85"/>
  <c r="E2604" i="85"/>
  <c r="E2619" i="85"/>
  <c r="E2634" i="85"/>
  <c r="E2649" i="85"/>
  <c r="E2665" i="85"/>
  <c r="E2680" i="85"/>
  <c r="E2695" i="85"/>
  <c r="E2710" i="85"/>
  <c r="E2725" i="85"/>
  <c r="E2740" i="85"/>
  <c r="E2755" i="85"/>
  <c r="E2770" i="85"/>
  <c r="E2785" i="85"/>
  <c r="E2800" i="85"/>
  <c r="E2815" i="85"/>
  <c r="E2830" i="85"/>
  <c r="E2845" i="85"/>
  <c r="E2861" i="85"/>
  <c r="E2876" i="85"/>
  <c r="E8" i="85"/>
  <c r="E42" i="85"/>
  <c r="E60" i="85"/>
  <c r="E77" i="85"/>
  <c r="E96" i="85"/>
  <c r="E113" i="85"/>
  <c r="E131" i="85"/>
  <c r="E148" i="85"/>
  <c r="E165" i="85"/>
  <c r="E182" i="85"/>
  <c r="E202" i="85"/>
  <c r="E219" i="85"/>
  <c r="E236" i="85"/>
  <c r="E253" i="85"/>
  <c r="E271" i="85"/>
  <c r="E288" i="85"/>
  <c r="E307" i="85"/>
  <c r="E324" i="85"/>
  <c r="E342" i="85"/>
  <c r="E359" i="85"/>
  <c r="E376" i="85"/>
  <c r="E393" i="85"/>
  <c r="E413" i="85"/>
  <c r="E430" i="85"/>
  <c r="E447" i="85"/>
  <c r="E464" i="85"/>
  <c r="E482" i="85"/>
  <c r="E499" i="85"/>
  <c r="E518" i="85"/>
  <c r="E536" i="85"/>
  <c r="E553" i="85"/>
  <c r="E570" i="85"/>
  <c r="E587" i="85"/>
  <c r="E604" i="85"/>
  <c r="E624" i="85"/>
  <c r="E641" i="85"/>
  <c r="E658" i="85"/>
  <c r="E676" i="85"/>
  <c r="E693" i="85"/>
  <c r="E710" i="85"/>
  <c r="E729" i="85"/>
  <c r="E747" i="85"/>
  <c r="E764" i="85"/>
  <c r="E781" i="85"/>
  <c r="E798" i="85"/>
  <c r="E816" i="85"/>
  <c r="E835" i="85"/>
  <c r="E852" i="85"/>
  <c r="E869" i="85"/>
  <c r="E887" i="85"/>
  <c r="E904" i="85"/>
  <c r="E921" i="85"/>
  <c r="E940" i="85"/>
  <c r="E958" i="85"/>
  <c r="E975" i="85"/>
  <c r="E992" i="85"/>
  <c r="E1009" i="85"/>
  <c r="E1027" i="85"/>
  <c r="E1046" i="85"/>
  <c r="E1063" i="85"/>
  <c r="E1080" i="85"/>
  <c r="E1098" i="85"/>
  <c r="E1115" i="85"/>
  <c r="E1132" i="85"/>
  <c r="E1152" i="85"/>
  <c r="E1169" i="85"/>
  <c r="E1186" i="85"/>
  <c r="E1203" i="85"/>
  <c r="E1220" i="85"/>
  <c r="E1238" i="85"/>
  <c r="E1257" i="85"/>
  <c r="E1274" i="85"/>
  <c r="E1292" i="85"/>
  <c r="E1309" i="85"/>
  <c r="E1326" i="85"/>
  <c r="E7" i="85"/>
  <c r="E24" i="85"/>
  <c r="E41" i="85"/>
  <c r="E58" i="85"/>
  <c r="E76" i="85"/>
  <c r="E93" i="85"/>
  <c r="E112" i="85"/>
  <c r="E130" i="85"/>
  <c r="E147" i="85"/>
  <c r="E164" i="85"/>
  <c r="E181" i="85"/>
  <c r="E198" i="85"/>
  <c r="E218" i="85"/>
  <c r="E235" i="85"/>
  <c r="E252" i="85"/>
  <c r="E270" i="85"/>
  <c r="E287" i="85"/>
  <c r="E304" i="85"/>
  <c r="E323" i="85"/>
  <c r="E341" i="85"/>
  <c r="E358" i="85"/>
  <c r="E375" i="85"/>
  <c r="E392" i="85"/>
  <c r="E410" i="85"/>
  <c r="E429" i="85"/>
  <c r="E446" i="85"/>
  <c r="E463" i="85"/>
  <c r="E481" i="85"/>
  <c r="E498" i="85"/>
  <c r="E515" i="85"/>
  <c r="E534" i="85"/>
  <c r="E552" i="85"/>
  <c r="E569" i="85"/>
  <c r="E586" i="85"/>
  <c r="E603" i="85"/>
  <c r="E621" i="85"/>
  <c r="E640" i="85"/>
  <c r="E657" i="85"/>
  <c r="E674" i="85"/>
  <c r="E692" i="85"/>
  <c r="E709" i="85"/>
  <c r="E726" i="85"/>
  <c r="E746" i="85"/>
  <c r="E763" i="85"/>
  <c r="E780" i="85"/>
  <c r="E797" i="85"/>
  <c r="E814" i="85"/>
  <c r="E832" i="85"/>
  <c r="E851" i="85"/>
  <c r="E868" i="85"/>
  <c r="E886" i="85"/>
  <c r="E903" i="85"/>
  <c r="E920" i="85"/>
  <c r="E937" i="85"/>
  <c r="E957" i="85"/>
  <c r="E974" i="85"/>
  <c r="E991" i="85"/>
  <c r="E1008" i="85"/>
  <c r="E1026" i="85"/>
  <c r="E1043" i="85"/>
  <c r="E1062" i="85"/>
  <c r="E1079" i="85"/>
  <c r="E1097" i="85"/>
  <c r="E1114" i="85"/>
  <c r="E1131" i="85"/>
  <c r="E1148" i="85"/>
  <c r="E1168" i="85"/>
  <c r="E1185" i="85"/>
  <c r="E1202" i="85"/>
  <c r="E1219" i="85"/>
  <c r="E1237" i="85"/>
  <c r="E1254" i="85"/>
  <c r="E1273" i="85"/>
  <c r="E1290" i="85"/>
  <c r="E1308" i="85"/>
  <c r="E1325" i="85"/>
  <c r="E1342" i="85"/>
  <c r="E1359" i="85"/>
  <c r="E1379" i="85"/>
  <c r="E1396" i="85"/>
  <c r="E1413" i="85"/>
  <c r="E1430" i="85"/>
  <c r="E1448" i="85"/>
  <c r="E1465" i="85"/>
  <c r="E1484" i="85"/>
  <c r="E1502" i="85"/>
  <c r="E1519" i="85"/>
  <c r="E1536" i="85"/>
  <c r="E1553" i="85"/>
  <c r="E1570" i="85"/>
  <c r="E1590" i="85"/>
  <c r="E1607" i="85"/>
  <c r="E1624" i="85"/>
  <c r="E1642" i="85"/>
  <c r="E1659" i="85"/>
  <c r="E1676" i="85"/>
  <c r="E1695" i="85"/>
  <c r="E1713" i="85"/>
  <c r="E1730" i="85"/>
  <c r="E1747" i="85"/>
  <c r="E1764" i="85"/>
  <c r="E1781" i="85"/>
  <c r="E1799" i="85"/>
  <c r="E1815" i="85"/>
  <c r="E1831" i="85"/>
  <c r="E1847" i="85"/>
  <c r="E1863" i="85"/>
  <c r="E1879" i="85"/>
  <c r="E1897" i="85"/>
  <c r="E1912" i="85"/>
  <c r="E1927" i="85"/>
  <c r="E1942" i="85"/>
  <c r="E1957" i="85"/>
  <c r="E1972" i="85"/>
  <c r="E1987" i="85"/>
  <c r="E2002" i="85"/>
  <c r="E2017" i="85"/>
  <c r="E2032" i="85"/>
  <c r="E2047" i="85"/>
  <c r="E2063" i="85"/>
  <c r="E2078" i="85"/>
  <c r="E2093" i="85"/>
  <c r="E2108" i="85"/>
  <c r="E2123" i="85"/>
  <c r="E2138" i="85"/>
  <c r="E2153" i="85"/>
  <c r="E2168" i="85"/>
  <c r="E2183" i="85"/>
  <c r="E2198" i="85"/>
  <c r="E2213" i="85"/>
  <c r="E2228" i="85"/>
  <c r="E2243" i="85"/>
  <c r="E2259" i="85"/>
  <c r="E2274" i="85"/>
  <c r="E2289" i="85"/>
  <c r="E2304" i="85"/>
  <c r="E2319" i="85"/>
  <c r="E2334" i="85"/>
  <c r="E2349" i="85"/>
  <c r="E2364" i="85"/>
  <c r="E2379" i="85"/>
  <c r="E2394" i="85"/>
  <c r="E2409" i="85"/>
  <c r="E2424" i="85"/>
  <c r="E2439" i="85"/>
  <c r="E2455" i="85"/>
  <c r="E2470" i="85"/>
  <c r="E2485" i="85"/>
  <c r="E2500" i="85"/>
  <c r="E2515" i="85"/>
  <c r="E2530" i="85"/>
  <c r="E2545" i="85"/>
  <c r="E2560" i="85"/>
  <c r="E2575" i="85"/>
  <c r="E2590" i="85"/>
  <c r="E2605" i="85"/>
  <c r="E2620" i="85"/>
  <c r="E2635" i="85"/>
  <c r="E2651" i="85"/>
  <c r="E2666" i="85"/>
  <c r="E2681" i="85"/>
  <c r="E2696" i="85"/>
  <c r="E2711" i="85"/>
  <c r="E2726" i="85"/>
  <c r="E2741" i="85"/>
  <c r="E2756" i="85"/>
  <c r="E2771" i="85"/>
  <c r="E2786" i="85"/>
  <c r="E2801" i="85"/>
  <c r="E2816" i="85"/>
  <c r="E2831" i="85"/>
  <c r="E2847" i="85"/>
  <c r="E2862" i="85"/>
  <c r="E2877" i="85"/>
  <c r="E9" i="85"/>
  <c r="E28" i="85"/>
  <c r="E51" i="85"/>
  <c r="E71" i="85"/>
  <c r="E97" i="85"/>
  <c r="E118" i="85"/>
  <c r="E138" i="85"/>
  <c r="E161" i="85"/>
  <c r="E187" i="85"/>
  <c r="E207" i="85"/>
  <c r="E228" i="85"/>
  <c r="E250" i="85"/>
  <c r="E274" i="85"/>
  <c r="E296" i="85"/>
  <c r="E317" i="85"/>
  <c r="E343" i="85"/>
  <c r="E363" i="85"/>
  <c r="E386" i="85"/>
  <c r="E406" i="85"/>
  <c r="E432" i="85"/>
  <c r="E453" i="85"/>
  <c r="E475" i="85"/>
  <c r="E496" i="85"/>
  <c r="E522" i="85"/>
  <c r="E542" i="85"/>
  <c r="E565" i="85"/>
  <c r="E588" i="85"/>
  <c r="E11" i="85"/>
  <c r="E30" i="85"/>
  <c r="E53" i="85"/>
  <c r="E74" i="85"/>
  <c r="E99" i="85"/>
  <c r="E120" i="85"/>
  <c r="E142" i="85"/>
  <c r="E166" i="85"/>
  <c r="E189" i="85"/>
  <c r="E209" i="85"/>
  <c r="E232" i="85"/>
  <c r="E256" i="85"/>
  <c r="E278" i="85"/>
  <c r="E299" i="85"/>
  <c r="E319" i="85"/>
  <c r="E345" i="85"/>
  <c r="E368" i="85"/>
  <c r="E388" i="85"/>
  <c r="E414" i="85"/>
  <c r="E434" i="85"/>
  <c r="E455" i="85"/>
  <c r="E477" i="85"/>
  <c r="E503" i="85"/>
  <c r="E524" i="85"/>
  <c r="E544" i="85"/>
  <c r="E567" i="85"/>
  <c r="E590" i="85"/>
  <c r="E613" i="85"/>
  <c r="E634" i="85"/>
  <c r="E659" i="85"/>
  <c r="E680" i="85"/>
  <c r="E702" i="85"/>
  <c r="E723" i="85"/>
  <c r="E749" i="85"/>
  <c r="E769" i="85"/>
  <c r="E792" i="85"/>
  <c r="E812" i="85"/>
  <c r="E838" i="85"/>
  <c r="E859" i="85"/>
  <c r="E881" i="85"/>
  <c r="E905" i="85"/>
  <c r="E928" i="85"/>
  <c r="E948" i="85"/>
  <c r="E971" i="85"/>
  <c r="E994" i="85"/>
  <c r="E1017" i="85"/>
  <c r="E1037" i="85"/>
  <c r="E1058" i="85"/>
  <c r="E1084" i="85"/>
  <c r="E1106" i="85"/>
  <c r="E1127" i="85"/>
  <c r="E1153" i="85"/>
  <c r="E1173" i="85"/>
  <c r="E1194" i="85"/>
  <c r="E1216" i="85"/>
  <c r="E1242" i="85"/>
  <c r="E1262" i="85"/>
  <c r="E1283" i="85"/>
  <c r="E1306" i="85"/>
  <c r="E1329" i="85"/>
  <c r="E1351" i="85"/>
  <c r="E1370" i="85"/>
  <c r="E1390" i="85"/>
  <c r="E1411" i="85"/>
  <c r="E1433" i="85"/>
  <c r="E1454" i="85"/>
  <c r="E1474" i="85"/>
  <c r="E1493" i="85"/>
  <c r="E1514" i="85"/>
  <c r="E1534" i="85"/>
  <c r="E1555" i="85"/>
  <c r="E1577" i="85"/>
  <c r="E1596" i="85"/>
  <c r="E1616" i="85"/>
  <c r="E1637" i="85"/>
  <c r="E1657" i="85"/>
  <c r="E1680" i="85"/>
  <c r="E1700" i="85"/>
  <c r="E1719" i="85"/>
  <c r="E1741" i="85"/>
  <c r="E1760" i="85"/>
  <c r="E1779" i="85"/>
  <c r="E1801" i="85"/>
  <c r="E1819" i="85"/>
  <c r="E1837" i="85"/>
  <c r="E1857" i="85"/>
  <c r="E1875" i="85"/>
  <c r="E1893" i="85"/>
  <c r="E1914" i="85"/>
  <c r="E1931" i="85"/>
  <c r="E1948" i="85"/>
  <c r="E1966" i="85"/>
  <c r="E1983" i="85"/>
  <c r="E2000" i="85"/>
  <c r="E2019" i="85"/>
  <c r="E2037" i="85"/>
  <c r="E2054" i="85"/>
  <c r="E2071" i="85"/>
  <c r="E2088" i="85"/>
  <c r="E2106" i="85"/>
  <c r="E2125" i="85"/>
  <c r="E2142" i="85"/>
  <c r="E2159" i="85"/>
  <c r="E2177" i="85"/>
  <c r="E2194" i="85"/>
  <c r="E2211" i="85"/>
  <c r="E2231" i="85"/>
  <c r="E2248" i="85"/>
  <c r="E2265" i="85"/>
  <c r="E2282" i="85"/>
  <c r="E2299" i="85"/>
  <c r="E2317" i="85"/>
  <c r="E2336" i="85"/>
  <c r="E2353" i="85"/>
  <c r="E2371" i="85"/>
  <c r="E2388" i="85"/>
  <c r="E2405" i="85"/>
  <c r="E2422" i="85"/>
  <c r="E2442" i="85"/>
  <c r="E2459" i="85"/>
  <c r="E2476" i="85"/>
  <c r="E2493" i="85"/>
  <c r="E2511" i="85"/>
  <c r="E2528" i="85"/>
  <c r="E2547" i="85"/>
  <c r="E2564" i="85"/>
  <c r="E2582" i="85"/>
  <c r="E10" i="85"/>
  <c r="E33" i="85"/>
  <c r="E61" i="85"/>
  <c r="E85" i="85"/>
  <c r="E108" i="85"/>
  <c r="E136" i="85"/>
  <c r="E162" i="85"/>
  <c r="E191" i="85"/>
  <c r="E214" i="85"/>
  <c r="E242" i="85"/>
  <c r="E266" i="85"/>
  <c r="E294" i="85"/>
  <c r="E318" i="85"/>
  <c r="E347" i="85"/>
  <c r="E372" i="85"/>
  <c r="E400" i="85"/>
  <c r="E422" i="85"/>
  <c r="E450" i="85"/>
  <c r="E476" i="85"/>
  <c r="E505" i="85"/>
  <c r="E528" i="85"/>
  <c r="E556" i="85"/>
  <c r="E581" i="85"/>
  <c r="E609" i="85"/>
  <c r="E630" i="85"/>
  <c r="E654" i="85"/>
  <c r="E679" i="85"/>
  <c r="E704" i="85"/>
  <c r="E730" i="85"/>
  <c r="E752" i="85"/>
  <c r="E776" i="85"/>
  <c r="E800" i="85"/>
  <c r="E824" i="85"/>
  <c r="E846" i="85"/>
  <c r="E873" i="85"/>
  <c r="E896" i="85"/>
  <c r="E918" i="85"/>
  <c r="E945" i="85"/>
  <c r="E966" i="85"/>
  <c r="E993" i="85"/>
  <c r="E1018" i="85"/>
  <c r="E1040" i="85"/>
  <c r="E1066" i="85"/>
  <c r="E1088" i="85"/>
  <c r="E1112" i="85"/>
  <c r="E1139" i="85"/>
  <c r="E1160" i="85"/>
  <c r="E1187" i="85"/>
  <c r="E1209" i="85"/>
  <c r="E1232" i="85"/>
  <c r="E1259" i="85"/>
  <c r="E1281" i="85"/>
  <c r="E1304" i="85"/>
  <c r="E1332" i="85"/>
  <c r="E1353" i="85"/>
  <c r="E1373" i="85"/>
  <c r="E1398" i="85"/>
  <c r="E1419" i="85"/>
  <c r="E1441" i="85"/>
  <c r="E1462" i="85"/>
  <c r="E1486" i="85"/>
  <c r="E1507" i="85"/>
  <c r="E1530" i="85"/>
  <c r="E1550" i="85"/>
  <c r="E1575" i="85"/>
  <c r="E1595" i="85"/>
  <c r="E1619" i="85"/>
  <c r="E1639" i="85"/>
  <c r="E1664" i="85"/>
  <c r="E1685" i="85"/>
  <c r="E1705" i="85"/>
  <c r="E1728" i="85"/>
  <c r="E1750" i="85"/>
  <c r="E1773" i="85"/>
  <c r="E1792" i="85"/>
  <c r="E1813" i="85"/>
  <c r="E1834" i="85"/>
  <c r="E1855" i="85"/>
  <c r="E1874" i="85"/>
  <c r="E1898" i="85"/>
  <c r="E1916" i="85"/>
  <c r="E1934" i="85"/>
  <c r="E1953" i="85"/>
  <c r="E1973" i="85"/>
  <c r="E1991" i="85"/>
  <c r="E2010" i="85"/>
  <c r="E2028" i="85"/>
  <c r="E2049" i="85"/>
  <c r="E2067" i="85"/>
  <c r="E2085" i="85"/>
  <c r="E2103" i="85"/>
  <c r="E2124" i="85"/>
  <c r="E2143" i="85"/>
  <c r="E2162" i="85"/>
  <c r="E2180" i="85"/>
  <c r="E2200" i="85"/>
  <c r="E2219" i="85"/>
  <c r="E2237" i="85"/>
  <c r="E2255" i="85"/>
  <c r="E2276" i="85"/>
  <c r="E2294" i="85"/>
  <c r="E2312" i="85"/>
  <c r="E2331" i="85"/>
  <c r="E2351" i="85"/>
  <c r="E2369" i="85"/>
  <c r="E2389" i="85"/>
  <c r="E2407" i="85"/>
  <c r="E2428" i="85"/>
  <c r="E2446" i="85"/>
  <c r="E2464" i="85"/>
  <c r="E2483" i="85"/>
  <c r="E2503" i="85"/>
  <c r="E2521" i="85"/>
  <c r="E2540" i="85"/>
  <c r="E2558" i="85"/>
  <c r="E2578" i="85"/>
  <c r="E2597" i="85"/>
  <c r="E2614" i="85"/>
  <c r="E2631" i="85"/>
  <c r="E2648" i="85"/>
  <c r="E2668" i="85"/>
  <c r="E2685" i="85"/>
  <c r="E2702" i="85"/>
  <c r="E2719" i="85"/>
  <c r="E2737" i="85"/>
  <c r="E2754" i="85"/>
  <c r="E2773" i="85"/>
  <c r="E2791" i="85"/>
  <c r="E2808" i="85"/>
  <c r="E2825" i="85"/>
  <c r="E2842" i="85"/>
  <c r="E2859" i="85"/>
  <c r="E2879" i="85"/>
  <c r="E13" i="85"/>
  <c r="E37" i="85"/>
  <c r="E63" i="85"/>
  <c r="E88" i="85"/>
  <c r="E116" i="85"/>
  <c r="E141" i="85"/>
  <c r="E168" i="85"/>
  <c r="E193" i="85"/>
  <c r="E221" i="85"/>
  <c r="E244" i="85"/>
  <c r="E272" i="85"/>
  <c r="E298" i="85"/>
  <c r="E327" i="85"/>
  <c r="E349" i="85"/>
  <c r="E377" i="85"/>
  <c r="E402" i="85"/>
  <c r="E425" i="85"/>
  <c r="E454" i="85"/>
  <c r="E483" i="85"/>
  <c r="E508" i="85"/>
  <c r="E530" i="85"/>
  <c r="E558" i="85"/>
  <c r="E583" i="85"/>
  <c r="E611" i="85"/>
  <c r="E632" i="85"/>
  <c r="E660" i="85"/>
  <c r="E684" i="85"/>
  <c r="E706" i="85"/>
  <c r="E733" i="85"/>
  <c r="E754" i="85"/>
  <c r="E778" i="85"/>
  <c r="E805" i="85"/>
  <c r="E826" i="85"/>
  <c r="E853" i="85"/>
  <c r="E875" i="85"/>
  <c r="E898" i="85"/>
  <c r="E925" i="85"/>
  <c r="E947" i="85"/>
  <c r="E972" i="85"/>
  <c r="E996" i="85"/>
  <c r="E1020" i="85"/>
  <c r="E1047" i="85"/>
  <c r="E1069" i="85"/>
  <c r="E1092" i="85"/>
  <c r="E1117" i="85"/>
  <c r="E1141" i="85"/>
  <c r="E1162" i="85"/>
  <c r="E1189" i="85"/>
  <c r="E1213" i="85"/>
  <c r="E1234" i="85"/>
  <c r="E1261" i="85"/>
  <c r="E1284" i="85"/>
  <c r="E1311" i="85"/>
  <c r="E1335" i="85"/>
  <c r="E1355" i="85"/>
  <c r="E1380" i="85"/>
  <c r="E1400" i="85"/>
  <c r="E1423" i="85"/>
  <c r="E1443" i="85"/>
  <c r="E1468" i="85"/>
  <c r="E1489" i="85"/>
  <c r="E1509" i="85"/>
  <c r="E1532" i="85"/>
  <c r="E1554" i="85"/>
  <c r="E1578" i="85"/>
  <c r="E1598" i="85"/>
  <c r="E1621" i="85"/>
  <c r="E1644" i="85"/>
  <c r="E1666" i="85"/>
  <c r="E1687" i="85"/>
  <c r="E1709" i="85"/>
  <c r="E1732" i="85"/>
  <c r="E1755" i="85"/>
  <c r="E1775" i="85"/>
  <c r="E1794" i="85"/>
  <c r="E1817" i="85"/>
  <c r="E1836" i="85"/>
  <c r="E1858" i="85"/>
  <c r="E1877" i="85"/>
  <c r="E1900" i="85"/>
  <c r="E1918" i="85"/>
  <c r="E1937" i="85"/>
  <c r="E1955" i="85"/>
  <c r="E1975" i="85"/>
  <c r="E1994" i="85"/>
  <c r="E2012" i="85"/>
  <c r="E2030" i="85"/>
  <c r="E2051" i="85"/>
  <c r="E2069" i="85"/>
  <c r="E2087" i="85"/>
  <c r="E2109" i="85"/>
  <c r="E2127" i="85"/>
  <c r="E2145" i="85"/>
  <c r="E2164" i="85"/>
  <c r="E2184" i="85"/>
  <c r="E2203" i="85"/>
  <c r="E2221" i="85"/>
  <c r="E2239" i="85"/>
  <c r="E2260" i="85"/>
  <c r="E2278" i="85"/>
  <c r="E2296" i="85"/>
  <c r="E2315" i="85"/>
  <c r="E2335" i="85"/>
  <c r="E2354" i="85"/>
  <c r="E2373" i="85"/>
  <c r="E2391" i="85"/>
  <c r="E2411" i="85"/>
  <c r="E2430" i="85"/>
  <c r="E2448" i="85"/>
  <c r="E2466" i="85"/>
  <c r="E2487" i="85"/>
  <c r="E2505" i="85"/>
  <c r="E2523" i="85"/>
  <c r="E2542" i="85"/>
  <c r="E2562" i="85"/>
  <c r="E2581" i="85"/>
  <c r="E2599" i="85"/>
  <c r="E2616" i="85"/>
  <c r="E2633" i="85"/>
  <c r="E2653" i="85"/>
  <c r="E2670" i="85"/>
  <c r="E2687" i="85"/>
  <c r="E2704" i="85"/>
  <c r="E2722" i="85"/>
  <c r="E2739" i="85"/>
  <c r="E2758" i="85"/>
  <c r="E2775" i="85"/>
  <c r="E2793" i="85"/>
  <c r="E2810" i="85"/>
  <c r="E2827" i="85"/>
  <c r="E2844" i="85"/>
  <c r="E2864" i="85"/>
  <c r="E2881" i="85"/>
  <c r="E14" i="85"/>
  <c r="E38" i="85"/>
  <c r="E66" i="85"/>
  <c r="E89" i="85"/>
  <c r="E117" i="85"/>
  <c r="E144" i="85"/>
  <c r="E172" i="85"/>
  <c r="E194" i="85"/>
  <c r="E222" i="85"/>
  <c r="E247" i="85"/>
  <c r="E273" i="85"/>
  <c r="E300" i="85"/>
  <c r="E328" i="85"/>
  <c r="E352" i="85"/>
  <c r="E378" i="85"/>
  <c r="E403" i="85"/>
  <c r="E431" i="85"/>
  <c r="E458" i="85"/>
  <c r="E484" i="85"/>
  <c r="E509" i="85"/>
  <c r="E537" i="85"/>
  <c r="E559" i="85"/>
  <c r="E584" i="85"/>
  <c r="E612" i="85"/>
  <c r="E635" i="85"/>
  <c r="E662" i="85"/>
  <c r="E685" i="85"/>
  <c r="E707" i="85"/>
  <c r="E734" i="85"/>
  <c r="E755" i="85"/>
  <c r="E782" i="85"/>
  <c r="E806" i="85"/>
  <c r="E827" i="85"/>
  <c r="E854" i="85"/>
  <c r="E876" i="85"/>
  <c r="E900" i="85"/>
  <c r="E926" i="85"/>
  <c r="E949" i="85"/>
  <c r="E976" i="85"/>
  <c r="E998" i="85"/>
  <c r="E1021" i="85"/>
  <c r="E1048" i="85"/>
  <c r="E1070" i="85"/>
  <c r="E1093" i="85"/>
  <c r="E1118" i="85"/>
  <c r="E1142" i="85"/>
  <c r="E1163" i="85"/>
  <c r="E1190" i="85"/>
  <c r="E1214" i="85"/>
  <c r="E1239" i="85"/>
  <c r="E1264" i="85"/>
  <c r="E1287" i="85"/>
  <c r="E1312" i="85"/>
  <c r="E1336" i="85"/>
  <c r="E1356" i="85"/>
  <c r="E1381" i="85"/>
  <c r="E1401" i="85"/>
  <c r="E1424" i="85"/>
  <c r="E1444" i="85"/>
  <c r="E1469" i="85"/>
  <c r="E1490" i="85"/>
  <c r="E1510" i="85"/>
  <c r="E1533" i="85"/>
  <c r="E1559" i="85"/>
  <c r="E1579" i="85"/>
  <c r="E1600" i="85"/>
  <c r="E1622" i="85"/>
  <c r="E1645" i="85"/>
  <c r="E1667" i="85"/>
  <c r="E1688" i="85"/>
  <c r="E1710" i="85"/>
  <c r="E1733" i="85"/>
  <c r="E1756" i="85"/>
  <c r="E1776" i="85"/>
  <c r="E1795" i="85"/>
  <c r="E1818" i="85"/>
  <c r="E1840" i="85"/>
  <c r="E1859" i="85"/>
  <c r="E1882" i="85"/>
  <c r="E1901" i="85"/>
  <c r="E1919" i="85"/>
  <c r="E1938" i="85"/>
  <c r="E1958" i="85"/>
  <c r="E1976" i="85"/>
  <c r="E1995" i="85"/>
  <c r="E2013" i="85"/>
  <c r="E2033" i="85"/>
  <c r="E2052" i="85"/>
  <c r="E2070" i="85"/>
  <c r="E2089" i="85"/>
  <c r="E2110" i="85"/>
  <c r="E2128" i="85"/>
  <c r="E2147" i="85"/>
  <c r="E2165" i="85"/>
  <c r="E2185" i="85"/>
  <c r="E2204" i="85"/>
  <c r="E2222" i="85"/>
  <c r="E2240" i="85"/>
  <c r="E2261" i="85"/>
  <c r="E2279" i="85"/>
  <c r="E2297" i="85"/>
  <c r="E2316" i="85"/>
  <c r="E2337" i="85"/>
  <c r="E2355" i="85"/>
  <c r="E2374" i="85"/>
  <c r="E2392" i="85"/>
  <c r="E2413" i="85"/>
  <c r="E2431" i="85"/>
  <c r="E2449" i="85"/>
  <c r="E2467" i="85"/>
  <c r="E2488" i="85"/>
  <c r="E2506" i="85"/>
  <c r="E2525" i="85"/>
  <c r="E2543" i="85"/>
  <c r="E2563" i="85"/>
  <c r="E2583" i="85"/>
  <c r="E2600" i="85"/>
  <c r="E2617" i="85"/>
  <c r="E2637" i="85"/>
  <c r="E2654" i="85"/>
  <c r="E2671" i="85"/>
  <c r="E2688" i="85"/>
  <c r="E2705" i="85"/>
  <c r="E2723" i="85"/>
  <c r="E2742" i="85"/>
  <c r="E2759" i="85"/>
  <c r="E2777" i="85"/>
  <c r="E2794" i="85"/>
  <c r="E2811" i="85"/>
  <c r="E2828" i="85"/>
  <c r="E2848" i="85"/>
  <c r="E2865" i="85"/>
  <c r="E2882" i="85"/>
  <c r="E15" i="85"/>
  <c r="E39" i="85"/>
  <c r="E67" i="85"/>
  <c r="E90" i="85"/>
  <c r="E119" i="85"/>
  <c r="E145" i="85"/>
  <c r="E173" i="85"/>
  <c r="E195" i="85"/>
  <c r="E223" i="85"/>
  <c r="E248" i="85"/>
  <c r="E277" i="85"/>
  <c r="E301" i="85"/>
  <c r="E329" i="85"/>
  <c r="E354" i="85"/>
  <c r="E379" i="85"/>
  <c r="E404" i="85"/>
  <c r="E433" i="85"/>
  <c r="E459" i="85"/>
  <c r="E485" i="85"/>
  <c r="E510" i="85"/>
  <c r="E538" i="85"/>
  <c r="E560" i="85"/>
  <c r="E589" i="85"/>
  <c r="E614" i="85"/>
  <c r="E636" i="85"/>
  <c r="E663" i="85"/>
  <c r="E686" i="85"/>
  <c r="E711" i="85"/>
  <c r="E735" i="85"/>
  <c r="E756" i="85"/>
  <c r="E783" i="85"/>
  <c r="E807" i="85"/>
  <c r="E828" i="85"/>
  <c r="E855" i="85"/>
  <c r="E877" i="85"/>
  <c r="E901" i="85"/>
  <c r="E929" i="85"/>
  <c r="E950" i="85"/>
  <c r="E977" i="85"/>
  <c r="E1001" i="85"/>
  <c r="E1022" i="85"/>
  <c r="E1049" i="85"/>
  <c r="E1071" i="85"/>
  <c r="E1094" i="85"/>
  <c r="E1121" i="85"/>
  <c r="E1143" i="85"/>
  <c r="E1170" i="85"/>
  <c r="E1191" i="85"/>
  <c r="E1215" i="85"/>
  <c r="E1243" i="85"/>
  <c r="E1265" i="85"/>
  <c r="E1288" i="85"/>
  <c r="E1313" i="85"/>
  <c r="E1337" i="85"/>
  <c r="E1357" i="85"/>
  <c r="E1382" i="85"/>
  <c r="E1402" i="85"/>
  <c r="E1425" i="85"/>
  <c r="E1446" i="85"/>
  <c r="E1470" i="85"/>
  <c r="E1491" i="85"/>
  <c r="E1513" i="85"/>
  <c r="E1537" i="85"/>
  <c r="E1560" i="85"/>
  <c r="E1580" i="85"/>
  <c r="E1601" i="85"/>
  <c r="E1625" i="85"/>
  <c r="E1646" i="85"/>
  <c r="E1668" i="85"/>
  <c r="E1689" i="85"/>
  <c r="E1714" i="85"/>
  <c r="E1734" i="85"/>
  <c r="E1757" i="85"/>
  <c r="E1777" i="85"/>
  <c r="E1800" i="85"/>
  <c r="E1820" i="85"/>
  <c r="E1841" i="85"/>
  <c r="E1860" i="85"/>
  <c r="E1883" i="85"/>
  <c r="E1902" i="85"/>
  <c r="E1920" i="85"/>
  <c r="E1939" i="85"/>
  <c r="E1959" i="85"/>
  <c r="E1977" i="85"/>
  <c r="E1996" i="85"/>
  <c r="E2014" i="85"/>
  <c r="E2035" i="85"/>
  <c r="E2053" i="85"/>
  <c r="E2072" i="85"/>
  <c r="E2091" i="85"/>
  <c r="E2111" i="85"/>
  <c r="E2129" i="85"/>
  <c r="E2148" i="85"/>
  <c r="E2166" i="85"/>
  <c r="E2186" i="85"/>
  <c r="E2205" i="85"/>
  <c r="E2223" i="85"/>
  <c r="E2241" i="85"/>
  <c r="E2262" i="85"/>
  <c r="E2280" i="85"/>
  <c r="E2298" i="85"/>
  <c r="E2320" i="85"/>
  <c r="E2338" i="85"/>
  <c r="E2357" i="85"/>
  <c r="E2375" i="85"/>
  <c r="E12" i="85"/>
  <c r="E36" i="85"/>
  <c r="E62" i="85"/>
  <c r="E86" i="85"/>
  <c r="E114" i="85"/>
  <c r="E137" i="85"/>
  <c r="E167" i="85"/>
  <c r="E192" i="85"/>
  <c r="E220" i="85"/>
  <c r="E243" i="85"/>
  <c r="E267" i="85"/>
  <c r="E295" i="85"/>
  <c r="E326" i="85"/>
  <c r="E348" i="85"/>
  <c r="E373" i="85"/>
  <c r="E401" i="85"/>
  <c r="E424" i="85"/>
  <c r="E452" i="85"/>
  <c r="E478" i="85"/>
  <c r="E506" i="85"/>
  <c r="E529" i="85"/>
  <c r="E557" i="85"/>
  <c r="E582" i="85"/>
  <c r="E610" i="85"/>
  <c r="E631" i="85"/>
  <c r="E655" i="85"/>
  <c r="E681" i="85"/>
  <c r="E705" i="85"/>
  <c r="E732" i="85"/>
  <c r="E753" i="85"/>
  <c r="E777" i="85"/>
  <c r="E802" i="85"/>
  <c r="E825" i="85"/>
  <c r="E847" i="85"/>
  <c r="E874" i="85"/>
  <c r="E897" i="85"/>
  <c r="E922" i="85"/>
  <c r="E946" i="85"/>
  <c r="E967" i="85"/>
  <c r="E995" i="85"/>
  <c r="E1019" i="85"/>
  <c r="E1041" i="85"/>
  <c r="E1068" i="85"/>
  <c r="E1091" i="85"/>
  <c r="E1116" i="85"/>
  <c r="E1140" i="85"/>
  <c r="E1161" i="85"/>
  <c r="E1188" i="85"/>
  <c r="E1212" i="85"/>
  <c r="E1233" i="85"/>
  <c r="E1260" i="85"/>
  <c r="E1282" i="85"/>
  <c r="E1310" i="85"/>
  <c r="E1334" i="85"/>
  <c r="E1354" i="85"/>
  <c r="E1374" i="85"/>
  <c r="E1399" i="85"/>
  <c r="E1420" i="85"/>
  <c r="E1442" i="85"/>
  <c r="E1463" i="85"/>
  <c r="E1488" i="85"/>
  <c r="E1508" i="85"/>
  <c r="E1531" i="85"/>
  <c r="E1551" i="85"/>
  <c r="E1576" i="85"/>
  <c r="E1597" i="85"/>
  <c r="E1620" i="85"/>
  <c r="E1643" i="85"/>
  <c r="E1665" i="85"/>
  <c r="E1686" i="85"/>
  <c r="E1706" i="85"/>
  <c r="E1731" i="85"/>
  <c r="E1751" i="85"/>
  <c r="E1774" i="85"/>
  <c r="E1793" i="85"/>
  <c r="E1816" i="85"/>
  <c r="E1835" i="85"/>
  <c r="E1856" i="85"/>
  <c r="E1876" i="85"/>
  <c r="E1899" i="85"/>
  <c r="E1917" i="85"/>
  <c r="E1935" i="85"/>
  <c r="E1954" i="85"/>
  <c r="E1974" i="85"/>
  <c r="E1993" i="85"/>
  <c r="E2011" i="85"/>
  <c r="E2029" i="85"/>
  <c r="E2050" i="85"/>
  <c r="E2068" i="85"/>
  <c r="E2086" i="85"/>
  <c r="E2105" i="85"/>
  <c r="E2126" i="85"/>
  <c r="E2144" i="85"/>
  <c r="E2163" i="85"/>
  <c r="E2181" i="85"/>
  <c r="E2201" i="85"/>
  <c r="E2220" i="85"/>
  <c r="E2238" i="85"/>
  <c r="E2256" i="85"/>
  <c r="E2277" i="85"/>
  <c r="E2295" i="85"/>
  <c r="E2313" i="85"/>
  <c r="E2332" i="85"/>
  <c r="E2352" i="85"/>
  <c r="E2372" i="85"/>
  <c r="E2390" i="85"/>
  <c r="E2410" i="85"/>
  <c r="E2429" i="85"/>
  <c r="E2447" i="85"/>
  <c r="E2465" i="85"/>
  <c r="E2486" i="85"/>
  <c r="E2504" i="85"/>
  <c r="E2522" i="85"/>
  <c r="E2541" i="85"/>
  <c r="E2561" i="85"/>
  <c r="E2579" i="85"/>
  <c r="E2598" i="85"/>
  <c r="E2615" i="85"/>
  <c r="E2632" i="85"/>
  <c r="E2652" i="85"/>
  <c r="E2669" i="85"/>
  <c r="E2686" i="85"/>
  <c r="E2703" i="85"/>
  <c r="E2721" i="85"/>
  <c r="E2738" i="85"/>
  <c r="E2757" i="85"/>
  <c r="E2774" i="85"/>
  <c r="E2792" i="85"/>
  <c r="E2809" i="85"/>
  <c r="E2826" i="85"/>
  <c r="E2843" i="85"/>
  <c r="E2863" i="85"/>
  <c r="E2880" i="85"/>
  <c r="E16" i="85"/>
  <c r="E52" i="85"/>
  <c r="E98" i="85"/>
  <c r="E133" i="85"/>
  <c r="E176" i="85"/>
  <c r="E211" i="85"/>
  <c r="E258" i="85"/>
  <c r="E293" i="85"/>
  <c r="E334" i="85"/>
  <c r="E383" i="85"/>
  <c r="E418" i="85"/>
  <c r="E461" i="85"/>
  <c r="E495" i="85"/>
  <c r="E541" i="85"/>
  <c r="E579" i="85"/>
  <c r="E618" i="85"/>
  <c r="E651" i="85"/>
  <c r="E695" i="85"/>
  <c r="E736" i="85"/>
  <c r="E768" i="85"/>
  <c r="E809" i="85"/>
  <c r="E842" i="85"/>
  <c r="E883" i="85"/>
  <c r="E916" i="85"/>
  <c r="E960" i="85"/>
  <c r="E989" i="85"/>
  <c r="E1033" i="85"/>
  <c r="E1072" i="85"/>
  <c r="E1107" i="85"/>
  <c r="E1145" i="85"/>
  <c r="E1178" i="85"/>
  <c r="E1223" i="85"/>
  <c r="E1252" i="85"/>
  <c r="E1296" i="85"/>
  <c r="E1328" i="85"/>
  <c r="E1367" i="85"/>
  <c r="E1404" i="85"/>
  <c r="E1435" i="85"/>
  <c r="E1472" i="85"/>
  <c r="E1504" i="85"/>
  <c r="E1540" i="85"/>
  <c r="E1568" i="85"/>
  <c r="E1609" i="85"/>
  <c r="E1638" i="85"/>
  <c r="E1674" i="85"/>
  <c r="E1715" i="85"/>
  <c r="E1744" i="85"/>
  <c r="E1784" i="85"/>
  <c r="E1808" i="85"/>
  <c r="E1844" i="85"/>
  <c r="E1872" i="85"/>
  <c r="E1906" i="85"/>
  <c r="E1933" i="85"/>
  <c r="E1965" i="85"/>
  <c r="E1997" i="85"/>
  <c r="E2024" i="85"/>
  <c r="E2056" i="85"/>
  <c r="E2082" i="85"/>
  <c r="E2114" i="85"/>
  <c r="E2140" i="85"/>
  <c r="E2172" i="85"/>
  <c r="E2199" i="85"/>
  <c r="E2232" i="85"/>
  <c r="E2263" i="85"/>
  <c r="E2290" i="85"/>
  <c r="E2322" i="85"/>
  <c r="E2346" i="85"/>
  <c r="E2380" i="85"/>
  <c r="E2403" i="85"/>
  <c r="E2433" i="85"/>
  <c r="E2458" i="85"/>
  <c r="E2481" i="85"/>
  <c r="E2512" i="85"/>
  <c r="E2536" i="85"/>
  <c r="E2567" i="85"/>
  <c r="E2591" i="85"/>
  <c r="E2613" i="85"/>
  <c r="E2641" i="85"/>
  <c r="E2662" i="85"/>
  <c r="E2690" i="85"/>
  <c r="E2714" i="85"/>
  <c r="E2736" i="85"/>
  <c r="E2764" i="85"/>
  <c r="E2787" i="85"/>
  <c r="E2813" i="85"/>
  <c r="E2837" i="85"/>
  <c r="E2858" i="85"/>
  <c r="E2886" i="85"/>
  <c r="E21" i="85"/>
  <c r="E55" i="85"/>
  <c r="E102" i="85"/>
  <c r="E135" i="85"/>
  <c r="E178" i="85"/>
  <c r="E224" i="85"/>
  <c r="E262" i="85"/>
  <c r="E308" i="85"/>
  <c r="E338" i="85"/>
  <c r="E385" i="85"/>
  <c r="E420" i="85"/>
  <c r="E467" i="85"/>
  <c r="E504" i="85"/>
  <c r="E545" i="85"/>
  <c r="E594" i="85"/>
  <c r="E626" i="85"/>
  <c r="E665" i="85"/>
  <c r="E699" i="85"/>
  <c r="E738" i="85"/>
  <c r="E771" i="85"/>
  <c r="E811" i="85"/>
  <c r="E845" i="85"/>
  <c r="E889" i="85"/>
  <c r="E930" i="85"/>
  <c r="E962" i="85"/>
  <c r="E1003" i="85"/>
  <c r="E1035" i="85"/>
  <c r="E1076" i="85"/>
  <c r="E1110" i="85"/>
  <c r="E1154" i="85"/>
  <c r="E1183" i="85"/>
  <c r="E1227" i="85"/>
  <c r="E1266" i="85"/>
  <c r="E1298" i="85"/>
  <c r="E1339" i="85"/>
  <c r="E1369" i="85"/>
  <c r="E1408" i="85"/>
  <c r="E1439" i="85"/>
  <c r="E1476" i="85"/>
  <c r="E1506" i="85"/>
  <c r="E1545" i="85"/>
  <c r="E1581" i="85"/>
  <c r="E1611" i="85"/>
  <c r="E1650" i="85"/>
  <c r="E1681" i="85"/>
  <c r="E1717" i="85"/>
  <c r="E1748" i="85"/>
  <c r="E1786" i="85"/>
  <c r="E1812" i="85"/>
  <c r="E1848" i="85"/>
  <c r="E1884" i="85"/>
  <c r="E1909" i="85"/>
  <c r="E1943" i="85"/>
  <c r="E1968" i="85"/>
  <c r="E1999" i="85"/>
  <c r="E2026" i="85"/>
  <c r="E2058" i="85"/>
  <c r="E2084" i="85"/>
  <c r="E2116" i="85"/>
  <c r="E2149" i="85"/>
  <c r="E2175" i="85"/>
  <c r="E2207" i="85"/>
  <c r="E2234" i="85"/>
  <c r="E2266" i="85"/>
  <c r="E2292" i="85"/>
  <c r="E2324" i="85"/>
  <c r="E2350" i="85"/>
  <c r="E2382" i="85"/>
  <c r="E2406" i="85"/>
  <c r="E2435" i="85"/>
  <c r="E2461" i="85"/>
  <c r="E2490" i="85"/>
  <c r="E2516" i="85"/>
  <c r="E2539" i="85"/>
  <c r="E2569" i="85"/>
  <c r="E2593" i="85"/>
  <c r="E2621" i="85"/>
  <c r="E2643" i="85"/>
  <c r="E2667" i="85"/>
  <c r="E2693" i="85"/>
  <c r="E2716" i="85"/>
  <c r="E2744" i="85"/>
  <c r="E2766" i="85"/>
  <c r="E2789" i="85"/>
  <c r="E2817" i="85"/>
  <c r="E2839" i="85"/>
  <c r="E2867" i="85"/>
  <c r="E2889" i="85"/>
  <c r="E22" i="85"/>
  <c r="E56" i="85"/>
  <c r="E103" i="85"/>
  <c r="E149" i="85"/>
  <c r="E179" i="85"/>
  <c r="E225" i="85"/>
  <c r="E263" i="85"/>
  <c r="E309" i="85"/>
  <c r="E344" i="85"/>
  <c r="E387" i="85"/>
  <c r="E421" i="85"/>
  <c r="E468" i="85"/>
  <c r="E511" i="85"/>
  <c r="E548" i="85"/>
  <c r="E595" i="85"/>
  <c r="E627" i="85"/>
  <c r="E666" i="85"/>
  <c r="E700" i="85"/>
  <c r="E739" i="85"/>
  <c r="E775" i="85"/>
  <c r="E817" i="85"/>
  <c r="E856" i="85"/>
  <c r="E890" i="85"/>
  <c r="E931" i="85"/>
  <c r="E963" i="85"/>
  <c r="E1004" i="85"/>
  <c r="E1036" i="85"/>
  <c r="E1077" i="85"/>
  <c r="E1111" i="85"/>
  <c r="E1155" i="85"/>
  <c r="E1192" i="85"/>
  <c r="E1228" i="85"/>
  <c r="E1267" i="85"/>
  <c r="E1299" i="85"/>
  <c r="E1340" i="85"/>
  <c r="E1371" i="85"/>
  <c r="E1409" i="85"/>
  <c r="E1440" i="85"/>
  <c r="E1477" i="85"/>
  <c r="E1516" i="85"/>
  <c r="E1546" i="85"/>
  <c r="E1582" i="85"/>
  <c r="E1612" i="85"/>
  <c r="E1651" i="85"/>
  <c r="E1682" i="85"/>
  <c r="E1718" i="85"/>
  <c r="E1749" i="85"/>
  <c r="E1787" i="85"/>
  <c r="E1821" i="85"/>
  <c r="E1849" i="85"/>
  <c r="E1885" i="85"/>
  <c r="E1910" i="85"/>
  <c r="E1944" i="85"/>
  <c r="E1969" i="85"/>
  <c r="E2003" i="85"/>
  <c r="E2027" i="85"/>
  <c r="E2059" i="85"/>
  <c r="E2094" i="85"/>
  <c r="E2117" i="85"/>
  <c r="E2150" i="85"/>
  <c r="E2176" i="85"/>
  <c r="E2208" i="85"/>
  <c r="E2235" i="85"/>
  <c r="E2267" i="85"/>
  <c r="E2293" i="85"/>
  <c r="E2325" i="85"/>
  <c r="E2358" i="85"/>
  <c r="E2383" i="85"/>
  <c r="E2414" i="85"/>
  <c r="E2436" i="85"/>
  <c r="E2462" i="85"/>
  <c r="E2491" i="85"/>
  <c r="E2517" i="85"/>
  <c r="E2546" i="85"/>
  <c r="E2570" i="85"/>
  <c r="E2595" i="85"/>
  <c r="E2623" i="85"/>
  <c r="E2644" i="85"/>
  <c r="E2672" i="85"/>
  <c r="E2694" i="85"/>
  <c r="E2717" i="85"/>
  <c r="E2745" i="85"/>
  <c r="E2767" i="85"/>
  <c r="E2795" i="85"/>
  <c r="E2819" i="85"/>
  <c r="E2840" i="85"/>
  <c r="E2868" i="85"/>
  <c r="E2890" i="85"/>
  <c r="E25" i="85"/>
  <c r="E68" i="85"/>
  <c r="E104" i="85"/>
  <c r="E150" i="85"/>
  <c r="E183" i="85"/>
  <c r="E226" i="85"/>
  <c r="E264" i="85"/>
  <c r="E310" i="85"/>
  <c r="E346" i="85"/>
  <c r="E389" i="85"/>
  <c r="E435" i="85"/>
  <c r="E469" i="85"/>
  <c r="E512" i="85"/>
  <c r="E550" i="85"/>
  <c r="E596" i="85"/>
  <c r="E628" i="85"/>
  <c r="E669" i="85"/>
  <c r="E701" i="85"/>
  <c r="E740" i="85"/>
  <c r="E784" i="85"/>
  <c r="E820" i="85"/>
  <c r="E858" i="85"/>
  <c r="E891" i="85"/>
  <c r="E932" i="85"/>
  <c r="E964" i="85"/>
  <c r="E1005" i="85"/>
  <c r="E1038" i="85"/>
  <c r="E1082" i="85"/>
  <c r="E1122" i="85"/>
  <c r="E1156" i="85"/>
  <c r="E1197" i="85"/>
  <c r="E1229" i="85"/>
  <c r="E1268" i="85"/>
  <c r="E1302" i="85"/>
  <c r="E1343" i="85"/>
  <c r="E1372" i="85"/>
  <c r="E1410" i="85"/>
  <c r="E1449" i="85"/>
  <c r="E1478" i="85"/>
  <c r="E1517" i="85"/>
  <c r="E1547" i="85"/>
  <c r="E1583" i="85"/>
  <c r="E1614" i="85"/>
  <c r="E1652" i="85"/>
  <c r="E1684" i="85"/>
  <c r="E1720" i="85"/>
  <c r="E1758" i="85"/>
  <c r="E1788" i="85"/>
  <c r="E1822" i="85"/>
  <c r="E1850" i="85"/>
  <c r="E1886" i="85"/>
  <c r="E1913" i="85"/>
  <c r="E1945" i="85"/>
  <c r="E1970" i="85"/>
  <c r="E2004" i="85"/>
  <c r="E2036" i="85"/>
  <c r="E2060" i="85"/>
  <c r="E2095" i="85"/>
  <c r="E2119" i="85"/>
  <c r="E2151" i="85"/>
  <c r="E2178" i="85"/>
  <c r="E2209" i="85"/>
  <c r="E2236" i="85"/>
  <c r="E2268" i="85"/>
  <c r="E2301" i="85"/>
  <c r="E2326" i="85"/>
  <c r="E2359" i="85"/>
  <c r="E2385" i="85"/>
  <c r="E2415" i="85"/>
  <c r="E2437" i="85"/>
  <c r="E2463" i="85"/>
  <c r="E2492" i="85"/>
  <c r="E2518" i="85"/>
  <c r="E2548" i="85"/>
  <c r="E2571" i="85"/>
  <c r="E2596" i="85"/>
  <c r="E2624" i="85"/>
  <c r="E2645" i="85"/>
  <c r="E2673" i="85"/>
  <c r="E2697" i="85"/>
  <c r="E2718" i="85"/>
  <c r="E2746" i="85"/>
  <c r="E2768" i="85"/>
  <c r="E2796" i="85"/>
  <c r="E2820" i="85"/>
  <c r="E2841" i="85"/>
  <c r="E2869" i="85"/>
  <c r="E18" i="85"/>
  <c r="E54" i="85"/>
  <c r="E100" i="85"/>
  <c r="E134" i="85"/>
  <c r="E177" i="85"/>
  <c r="E212" i="85"/>
  <c r="E259" i="85"/>
  <c r="E302" i="85"/>
  <c r="E337" i="85"/>
  <c r="E384" i="85"/>
  <c r="E419" i="85"/>
  <c r="E466" i="85"/>
  <c r="E500" i="85"/>
  <c r="E543" i="85"/>
  <c r="E580" i="85"/>
  <c r="E625" i="85"/>
  <c r="E664" i="85"/>
  <c r="E696" i="85"/>
  <c r="E737" i="85"/>
  <c r="E770" i="85"/>
  <c r="E810" i="85"/>
  <c r="E844" i="85"/>
  <c r="E888" i="85"/>
  <c r="E917" i="85"/>
  <c r="E961" i="85"/>
  <c r="E1002" i="85"/>
  <c r="E1034" i="85"/>
  <c r="E1073" i="85"/>
  <c r="E1108" i="85"/>
  <c r="E1146" i="85"/>
  <c r="E1182" i="85"/>
  <c r="E1224" i="85"/>
  <c r="E1258" i="85"/>
  <c r="E1297" i="85"/>
  <c r="E1338" i="85"/>
  <c r="E1368" i="85"/>
  <c r="E1405" i="85"/>
  <c r="E1438" i="85"/>
  <c r="E1475" i="85"/>
  <c r="E1505" i="85"/>
  <c r="E1544" i="85"/>
  <c r="E1574" i="85"/>
  <c r="E1610" i="85"/>
  <c r="E1649" i="85"/>
  <c r="E1679" i="85"/>
  <c r="E1716" i="85"/>
  <c r="E1745" i="85"/>
  <c r="E1785" i="85"/>
  <c r="E1809" i="85"/>
  <c r="E1845" i="85"/>
  <c r="E1873" i="85"/>
  <c r="E1907" i="85"/>
  <c r="E1940" i="85"/>
  <c r="E1967" i="85"/>
  <c r="E1998" i="85"/>
  <c r="E2025" i="85"/>
  <c r="E2057" i="85"/>
  <c r="E2083" i="85"/>
  <c r="E2115" i="85"/>
  <c r="E2141" i="85"/>
  <c r="E2173" i="85"/>
  <c r="E2206" i="85"/>
  <c r="E2233" i="85"/>
  <c r="E2264" i="85"/>
  <c r="E2291" i="85"/>
  <c r="E2323" i="85"/>
  <c r="E2347" i="85"/>
  <c r="E2381" i="85"/>
  <c r="E2404" i="85"/>
  <c r="E2434" i="85"/>
  <c r="E2460" i="85"/>
  <c r="E2489" i="85"/>
  <c r="E2513" i="85"/>
  <c r="E2537" i="85"/>
  <c r="E2568" i="85"/>
  <c r="E2592" i="85"/>
  <c r="E2618" i="85"/>
  <c r="E2642" i="85"/>
  <c r="E2663" i="85"/>
  <c r="E2691" i="85"/>
  <c r="E2715" i="85"/>
  <c r="E2743" i="85"/>
  <c r="E2765" i="85"/>
  <c r="E2788" i="85"/>
  <c r="E2814" i="85"/>
  <c r="E2838" i="85"/>
  <c r="E2866" i="85"/>
  <c r="E2887" i="85"/>
  <c r="E26" i="85"/>
  <c r="E69" i="85"/>
  <c r="E105" i="85"/>
  <c r="E151" i="85"/>
  <c r="E188" i="85"/>
  <c r="E229" i="85"/>
  <c r="E265" i="85"/>
  <c r="E312" i="85"/>
  <c r="E355" i="85"/>
  <c r="E390" i="85"/>
  <c r="E436" i="85"/>
  <c r="E470" i="85"/>
  <c r="E513" i="85"/>
  <c r="E554" i="85"/>
  <c r="E597" i="85"/>
  <c r="E629" i="85"/>
  <c r="E670" i="85"/>
  <c r="E714" i="85"/>
  <c r="E741" i="85"/>
  <c r="E785" i="85"/>
  <c r="E821" i="85"/>
  <c r="E860" i="85"/>
  <c r="E892" i="85"/>
  <c r="E933" i="85"/>
  <c r="E965" i="85"/>
  <c r="E1006" i="85"/>
  <c r="E1050" i="85"/>
  <c r="E1083" i="85"/>
  <c r="E1124" i="85"/>
  <c r="E1157" i="85"/>
  <c r="E1198" i="85"/>
  <c r="E1230" i="85"/>
  <c r="E1269" i="85"/>
  <c r="E1303" i="85"/>
  <c r="E1344" i="85"/>
  <c r="E1383" i="85"/>
  <c r="E1414" i="85"/>
  <c r="E1450" i="85"/>
  <c r="E1479" i="85"/>
  <c r="E1520" i="85"/>
  <c r="E1548" i="85"/>
  <c r="E1584" i="85"/>
  <c r="E1615" i="85"/>
  <c r="E1653" i="85"/>
  <c r="E1690" i="85"/>
  <c r="E1721" i="85"/>
  <c r="E1759" i="85"/>
  <c r="E1789" i="85"/>
  <c r="E1823" i="85"/>
  <c r="E1851" i="85"/>
  <c r="E1887" i="85"/>
  <c r="E1915" i="85"/>
  <c r="E1946" i="85"/>
  <c r="E1979" i="85"/>
  <c r="E2005" i="85"/>
  <c r="E2038" i="85"/>
  <c r="E2064" i="85"/>
  <c r="E2096" i="85"/>
  <c r="E2120" i="85"/>
  <c r="E2154" i="85"/>
  <c r="E2179" i="85"/>
  <c r="E2210" i="85"/>
  <c r="E2245" i="85"/>
  <c r="E2269" i="85"/>
  <c r="E2302" i="85"/>
  <c r="E2327" i="85"/>
  <c r="E2360" i="85"/>
  <c r="E2386" i="85"/>
  <c r="E2416" i="85"/>
  <c r="E2441" i="85"/>
  <c r="E2471" i="85"/>
  <c r="E2494" i="85"/>
  <c r="E2519" i="85"/>
  <c r="E2549" i="85"/>
  <c r="E2572" i="85"/>
  <c r="E2601" i="85"/>
  <c r="E2625" i="85"/>
  <c r="E2646" i="85"/>
  <c r="E2674" i="85"/>
  <c r="E2698" i="85"/>
  <c r="E2724" i="85"/>
  <c r="E2747" i="85"/>
  <c r="E2769" i="85"/>
  <c r="E2797" i="85"/>
  <c r="E2821" i="85"/>
  <c r="E2849" i="85"/>
  <c r="E2870" i="85"/>
  <c r="E27" i="85"/>
  <c r="E70" i="85"/>
  <c r="E106" i="85"/>
  <c r="E152" i="85"/>
  <c r="E190" i="85"/>
  <c r="E233" i="85"/>
  <c r="E279" i="85"/>
  <c r="E313" i="85"/>
  <c r="E356" i="85"/>
  <c r="E394" i="85"/>
  <c r="E438" i="85"/>
  <c r="E473" i="85"/>
  <c r="E519" i="85"/>
  <c r="E555" i="85"/>
  <c r="E598" i="85"/>
  <c r="E642" i="85"/>
  <c r="E671" i="85"/>
  <c r="E715" i="85"/>
  <c r="E748" i="85"/>
  <c r="E786" i="85"/>
  <c r="E822" i="85"/>
  <c r="E861" i="85"/>
  <c r="E895" i="85"/>
  <c r="E934" i="85"/>
  <c r="E978" i="85"/>
  <c r="E1010" i="85"/>
  <c r="E1051" i="85"/>
  <c r="E1085" i="85"/>
  <c r="E1125" i="85"/>
  <c r="E1158" i="85"/>
  <c r="E1199" i="85"/>
  <c r="E1231" i="85"/>
  <c r="E1275" i="85"/>
  <c r="E1314" i="85"/>
  <c r="E1348" i="85"/>
  <c r="E1384" i="85"/>
  <c r="E1415" i="85"/>
  <c r="E1453" i="85"/>
  <c r="E1480" i="85"/>
  <c r="E1521" i="85"/>
  <c r="E1549" i="85"/>
  <c r="E1586" i="85"/>
  <c r="E1626" i="85"/>
  <c r="E1654" i="85"/>
  <c r="E1691" i="85"/>
  <c r="E1724" i="85"/>
  <c r="E1761" i="85"/>
  <c r="E1790" i="85"/>
  <c r="E1826" i="85"/>
  <c r="E1854" i="85"/>
  <c r="E1888" i="85"/>
  <c r="E1921" i="85"/>
  <c r="E1947" i="85"/>
  <c r="E1980" i="85"/>
  <c r="E2007" i="85"/>
  <c r="E2039" i="85"/>
  <c r="E2065" i="85"/>
  <c r="E2097" i="85"/>
  <c r="E2121" i="85"/>
  <c r="E2155" i="85"/>
  <c r="E2187" i="85"/>
  <c r="E2214" i="85"/>
  <c r="E2246" i="85"/>
  <c r="E2270" i="85"/>
  <c r="E2305" i="85"/>
  <c r="E2329" i="85"/>
  <c r="E2361" i="85"/>
  <c r="E2387" i="85"/>
  <c r="E2417" i="85"/>
  <c r="E2443" i="85"/>
  <c r="E2472" i="85"/>
  <c r="E2495" i="85"/>
  <c r="E2520" i="85"/>
  <c r="E2550" i="85"/>
  <c r="E2573" i="85"/>
  <c r="E2602" i="85"/>
  <c r="E29" i="85"/>
  <c r="E107" i="85"/>
  <c r="E196" i="85"/>
  <c r="E280" i="85"/>
  <c r="E360" i="85"/>
  <c r="E439" i="85"/>
  <c r="E520" i="85"/>
  <c r="E599" i="85"/>
  <c r="E672" i="85"/>
  <c r="E750" i="85"/>
  <c r="E823" i="85"/>
  <c r="E906" i="85"/>
  <c r="E979" i="85"/>
  <c r="E1052" i="85"/>
  <c r="E1126" i="85"/>
  <c r="E1200" i="85"/>
  <c r="E1276" i="85"/>
  <c r="E1349" i="85"/>
  <c r="E1416" i="85"/>
  <c r="E1485" i="85"/>
  <c r="E1561" i="85"/>
  <c r="E1628" i="85"/>
  <c r="E1696" i="85"/>
  <c r="E1762" i="85"/>
  <c r="E1827" i="85"/>
  <c r="E1889" i="85"/>
  <c r="E1949" i="85"/>
  <c r="E2008" i="85"/>
  <c r="E2066" i="85"/>
  <c r="E2130" i="85"/>
  <c r="E2189" i="85"/>
  <c r="E2247" i="85"/>
  <c r="E2306" i="85"/>
  <c r="E2362" i="85"/>
  <c r="E2418" i="85"/>
  <c r="E2473" i="85"/>
  <c r="E2526" i="85"/>
  <c r="E2576" i="85"/>
  <c r="E2626" i="85"/>
  <c r="E2660" i="85"/>
  <c r="E2708" i="85"/>
  <c r="E2751" i="85"/>
  <c r="E2798" i="85"/>
  <c r="E2835" i="85"/>
  <c r="E2878" i="85"/>
  <c r="E361" i="85"/>
  <c r="E43" i="85"/>
  <c r="E122" i="85"/>
  <c r="E204" i="85"/>
  <c r="E282" i="85"/>
  <c r="E362" i="85"/>
  <c r="E443" i="85"/>
  <c r="E525" i="85"/>
  <c r="E601" i="85"/>
  <c r="E678" i="85"/>
  <c r="E760" i="85"/>
  <c r="E836" i="85"/>
  <c r="E910" i="85"/>
  <c r="E981" i="85"/>
  <c r="E1055" i="85"/>
  <c r="E1129" i="85"/>
  <c r="E1205" i="85"/>
  <c r="E1279" i="85"/>
  <c r="E1352" i="85"/>
  <c r="E1426" i="85"/>
  <c r="E1494" i="85"/>
  <c r="E1563" i="85"/>
  <c r="E1630" i="85"/>
  <c r="E1699" i="85"/>
  <c r="E1766" i="85"/>
  <c r="E1829" i="85"/>
  <c r="E1891" i="85"/>
  <c r="E1952" i="85"/>
  <c r="E2015" i="85"/>
  <c r="E2074" i="85"/>
  <c r="E2133" i="85"/>
  <c r="E2191" i="85"/>
  <c r="E2250" i="85"/>
  <c r="E2308" i="85"/>
  <c r="E2366" i="85"/>
  <c r="E2420" i="85"/>
  <c r="E2475" i="85"/>
  <c r="E2531" i="85"/>
  <c r="E2584" i="85"/>
  <c r="E2628" i="85"/>
  <c r="E2675" i="85"/>
  <c r="E2712" i="85"/>
  <c r="E2753" i="85"/>
  <c r="E2802" i="85"/>
  <c r="E2850" i="85"/>
  <c r="E2884" i="85"/>
  <c r="E44" i="85"/>
  <c r="E205" i="85"/>
  <c r="E284" i="85"/>
  <c r="E364" i="85"/>
  <c r="E444" i="85"/>
  <c r="E526" i="85"/>
  <c r="E606" i="85"/>
  <c r="E687" i="85"/>
  <c r="E761" i="85"/>
  <c r="E837" i="85"/>
  <c r="E911" i="85"/>
  <c r="E982" i="85"/>
  <c r="E1056" i="85"/>
  <c r="E1133" i="85"/>
  <c r="E1206" i="85"/>
  <c r="E1280" i="85"/>
  <c r="E1363" i="85"/>
  <c r="E1427" i="85"/>
  <c r="E1495" i="85"/>
  <c r="E1564" i="85"/>
  <c r="E1631" i="85"/>
  <c r="E1701" i="85"/>
  <c r="E1770" i="85"/>
  <c r="E1832" i="85"/>
  <c r="E1892" i="85"/>
  <c r="E1960" i="85"/>
  <c r="E2018" i="85"/>
  <c r="E2075" i="85"/>
  <c r="E2134" i="85"/>
  <c r="E2192" i="85"/>
  <c r="E2251" i="85"/>
  <c r="E2309" i="85"/>
  <c r="E2367" i="85"/>
  <c r="E2421" i="85"/>
  <c r="E2477" i="85"/>
  <c r="E2532" i="85"/>
  <c r="E2585" i="85"/>
  <c r="E2629" i="85"/>
  <c r="E2676" i="85"/>
  <c r="E2713" i="85"/>
  <c r="E2760" i="85"/>
  <c r="E2803" i="85"/>
  <c r="E2851" i="85"/>
  <c r="E2885" i="85"/>
  <c r="E46" i="85"/>
  <c r="E126" i="85"/>
  <c r="E206" i="85"/>
  <c r="E285" i="85"/>
  <c r="E369" i="85"/>
  <c r="E448" i="85"/>
  <c r="E527" i="85"/>
  <c r="E615" i="85"/>
  <c r="E688" i="85"/>
  <c r="E765" i="85"/>
  <c r="E839" i="85"/>
  <c r="E912" i="85"/>
  <c r="E986" i="85"/>
  <c r="E1057" i="85"/>
  <c r="E1136" i="85"/>
  <c r="E1208" i="85"/>
  <c r="E1293" i="85"/>
  <c r="E1364" i="85"/>
  <c r="E1428" i="85"/>
  <c r="E1498" i="85"/>
  <c r="E1565" i="85"/>
  <c r="E1634" i="85"/>
  <c r="E1702" i="85"/>
  <c r="E1771" i="85"/>
  <c r="E1833" i="85"/>
  <c r="E1903" i="85"/>
  <c r="E1961" i="85"/>
  <c r="E2021" i="85"/>
  <c r="E2079" i="85"/>
  <c r="E2135" i="85"/>
  <c r="E2193" i="85"/>
  <c r="E2252" i="85"/>
  <c r="E2310" i="85"/>
  <c r="E2368" i="85"/>
  <c r="E2425" i="85"/>
  <c r="E2478" i="85"/>
  <c r="E2533" i="85"/>
  <c r="E2586" i="85"/>
  <c r="E2630" i="85"/>
  <c r="E2677" i="85"/>
  <c r="E2727" i="85"/>
  <c r="E2761" i="85"/>
  <c r="E2805" i="85"/>
  <c r="E2852" i="85"/>
  <c r="E47" i="85"/>
  <c r="E127" i="85"/>
  <c r="E208" i="85"/>
  <c r="E289" i="85"/>
  <c r="E370" i="85"/>
  <c r="E449" i="85"/>
  <c r="E539" i="85"/>
  <c r="E616" i="85"/>
  <c r="E690" i="85"/>
  <c r="E766" i="85"/>
  <c r="E840" i="85"/>
  <c r="E914" i="85"/>
  <c r="E987" i="85"/>
  <c r="E1064" i="85"/>
  <c r="E1138" i="85"/>
  <c r="E1217" i="85"/>
  <c r="E1294" i="85"/>
  <c r="E1365" i="85"/>
  <c r="E1432" i="85"/>
  <c r="E1499" i="85"/>
  <c r="E1566" i="85"/>
  <c r="E1635" i="85"/>
  <c r="E1703" i="85"/>
  <c r="E1772" i="85"/>
  <c r="E1842" i="85"/>
  <c r="E1904" i="85"/>
  <c r="E1962" i="85"/>
  <c r="E2022" i="85"/>
  <c r="E2080" i="85"/>
  <c r="E2136" i="85"/>
  <c r="E2195" i="85"/>
  <c r="E2253" i="85"/>
  <c r="E2311" i="85"/>
  <c r="E2376" i="85"/>
  <c r="E2427" i="85"/>
  <c r="E2479" i="85"/>
  <c r="E2534" i="85"/>
  <c r="E2587" i="85"/>
  <c r="E2638" i="85"/>
  <c r="E2679" i="85"/>
  <c r="E2728" i="85"/>
  <c r="E2763" i="85"/>
  <c r="E2806" i="85"/>
  <c r="E2853" i="85"/>
  <c r="E48" i="85"/>
  <c r="E132" i="85"/>
  <c r="E210" i="85"/>
  <c r="E292" i="85"/>
  <c r="E371" i="85"/>
  <c r="E460" i="85"/>
  <c r="E540" i="85"/>
  <c r="E617" i="85"/>
  <c r="E694" i="85"/>
  <c r="E767" i="85"/>
  <c r="E841" i="85"/>
  <c r="E915" i="85"/>
  <c r="E988" i="85"/>
  <c r="E1065" i="85"/>
  <c r="E1144" i="85"/>
  <c r="E1222" i="85"/>
  <c r="E1295" i="85"/>
  <c r="E1366" i="85"/>
  <c r="E1434" i="85"/>
  <c r="E1503" i="85"/>
  <c r="E1567" i="85"/>
  <c r="E1636" i="85"/>
  <c r="E1704" i="85"/>
  <c r="E1778" i="85"/>
  <c r="E1843" i="85"/>
  <c r="E1905" i="85"/>
  <c r="E1963" i="85"/>
  <c r="E2023" i="85"/>
  <c r="E2081" i="85"/>
  <c r="E2139" i="85"/>
  <c r="E2196" i="85"/>
  <c r="E2254" i="85"/>
  <c r="E2321" i="85"/>
  <c r="E2377" i="85"/>
  <c r="E2432" i="85"/>
  <c r="E2480" i="85"/>
  <c r="E2535" i="85"/>
  <c r="E2588" i="85"/>
  <c r="E2639" i="85"/>
  <c r="E2682" i="85"/>
  <c r="E2729" i="85"/>
  <c r="E2772" i="85"/>
  <c r="E2807" i="85"/>
  <c r="E2854" i="85"/>
  <c r="E72" i="85"/>
  <c r="E153" i="85"/>
  <c r="E237" i="85"/>
  <c r="E314" i="85"/>
  <c r="E398" i="85"/>
  <c r="E474" i="85"/>
  <c r="E564" i="85"/>
  <c r="E643" i="85"/>
  <c r="E716" i="85"/>
  <c r="E790" i="85"/>
  <c r="E862" i="85"/>
  <c r="E935" i="85"/>
  <c r="E1012" i="85"/>
  <c r="E1086" i="85"/>
  <c r="E1159" i="85"/>
  <c r="E1244" i="85"/>
  <c r="E1317" i="85"/>
  <c r="E1385" i="85"/>
  <c r="E1455" i="85"/>
  <c r="E1522" i="85"/>
  <c r="E1591" i="85"/>
  <c r="E1656" i="85"/>
  <c r="E1726" i="85"/>
  <c r="E1791" i="85"/>
  <c r="E1861" i="85"/>
  <c r="E1923" i="85"/>
  <c r="E1981" i="85"/>
  <c r="E2040" i="85"/>
  <c r="E2098" i="85"/>
  <c r="E2156" i="85"/>
  <c r="E2215" i="85"/>
  <c r="E2271" i="85"/>
  <c r="E2330" i="85"/>
  <c r="E2395" i="85"/>
  <c r="E2444" i="85"/>
  <c r="E2497" i="85"/>
  <c r="E2551" i="85"/>
  <c r="E2603" i="85"/>
  <c r="E2640" i="85"/>
  <c r="E2683" i="85"/>
  <c r="E2730" i="85"/>
  <c r="E2778" i="85"/>
  <c r="E2812" i="85"/>
  <c r="E2855" i="85"/>
  <c r="E78" i="85"/>
  <c r="E238" i="85"/>
  <c r="E315" i="85"/>
  <c r="E399" i="85"/>
  <c r="E488" i="85"/>
  <c r="E566" i="85"/>
  <c r="E644" i="85"/>
  <c r="E718" i="85"/>
  <c r="E791" i="85"/>
  <c r="E865" i="85"/>
  <c r="E942" i="85"/>
  <c r="E1013" i="85"/>
  <c r="E1087" i="85"/>
  <c r="E1171" i="85"/>
  <c r="E1245" i="85"/>
  <c r="E1318" i="85"/>
  <c r="E1386" i="85"/>
  <c r="E1456" i="85"/>
  <c r="E1523" i="85"/>
  <c r="E1592" i="85"/>
  <c r="E1660" i="85"/>
  <c r="E1727" i="85"/>
  <c r="E1802" i="85"/>
  <c r="E1864" i="85"/>
  <c r="E1924" i="85"/>
  <c r="E1982" i="85"/>
  <c r="E2041" i="85"/>
  <c r="E2099" i="85"/>
  <c r="E2157" i="85"/>
  <c r="E2217" i="85"/>
  <c r="E2275" i="85"/>
  <c r="E2339" i="85"/>
  <c r="E2396" i="85"/>
  <c r="E2445" i="85"/>
  <c r="E2498" i="85"/>
  <c r="E2553" i="85"/>
  <c r="E2606" i="85"/>
  <c r="E2647" i="85"/>
  <c r="E2684" i="85"/>
  <c r="E2731" i="85"/>
  <c r="E2779" i="85"/>
  <c r="E2822" i="85"/>
  <c r="E2856" i="85"/>
  <c r="E81" i="85"/>
  <c r="E158" i="85"/>
  <c r="E239" i="85"/>
  <c r="E316" i="85"/>
  <c r="E405" i="85"/>
  <c r="E489" i="85"/>
  <c r="E571" i="85"/>
  <c r="E645" i="85"/>
  <c r="E719" i="85"/>
  <c r="E793" i="85"/>
  <c r="E866" i="85"/>
  <c r="E943" i="85"/>
  <c r="E1016" i="85"/>
  <c r="E1099" i="85"/>
  <c r="E1172" i="85"/>
  <c r="E1246" i="85"/>
  <c r="E1320" i="85"/>
  <c r="E1387" i="85"/>
  <c r="E1457" i="85"/>
  <c r="E1524" i="85"/>
  <c r="E1593" i="85"/>
  <c r="E1661" i="85"/>
  <c r="E1735" i="85"/>
  <c r="E1803" i="85"/>
  <c r="E1865" i="85"/>
  <c r="E1925" i="85"/>
  <c r="E1984" i="85"/>
  <c r="E2042" i="85"/>
  <c r="E2100" i="85"/>
  <c r="E2158" i="85"/>
  <c r="E2218" i="85"/>
  <c r="E2281" i="85"/>
  <c r="E2340" i="85"/>
  <c r="E2397" i="85"/>
  <c r="E2450" i="85"/>
  <c r="E2501" i="85"/>
  <c r="E2554" i="85"/>
  <c r="E2607" i="85"/>
  <c r="E2655" i="85"/>
  <c r="E2689" i="85"/>
  <c r="E2732" i="85"/>
  <c r="E2780" i="85"/>
  <c r="E2823" i="85"/>
  <c r="E2857" i="85"/>
  <c r="E82" i="85"/>
  <c r="E159" i="85"/>
  <c r="E240" i="85"/>
  <c r="E330" i="85"/>
  <c r="E407" i="85"/>
  <c r="E490" i="85"/>
  <c r="E572" i="85"/>
  <c r="E646" i="85"/>
  <c r="E720" i="85"/>
  <c r="E794" i="85"/>
  <c r="E870" i="85"/>
  <c r="E944" i="85"/>
  <c r="E1023" i="85"/>
  <c r="E1100" i="85"/>
  <c r="E1174" i="85"/>
  <c r="E1247" i="85"/>
  <c r="E1321" i="85"/>
  <c r="E1388" i="85"/>
  <c r="E1458" i="85"/>
  <c r="E1525" i="85"/>
  <c r="E1594" i="85"/>
  <c r="E1670" i="85"/>
  <c r="E1736" i="85"/>
  <c r="E1804" i="85"/>
  <c r="E1868" i="85"/>
  <c r="E1928" i="85"/>
  <c r="E1985" i="85"/>
  <c r="E2043" i="85"/>
  <c r="E2101" i="85"/>
  <c r="E2161" i="85"/>
  <c r="E2224" i="85"/>
  <c r="E2283" i="85"/>
  <c r="E2341" i="85"/>
  <c r="E2399" i="85"/>
  <c r="E2451" i="85"/>
  <c r="E2502" i="85"/>
  <c r="E2555" i="85"/>
  <c r="E2609" i="85"/>
  <c r="E2656" i="85"/>
  <c r="E2699" i="85"/>
  <c r="E2733" i="85"/>
  <c r="E2781" i="85"/>
  <c r="E2824" i="85"/>
  <c r="E2871" i="85"/>
  <c r="E83" i="85"/>
  <c r="E160" i="85"/>
  <c r="E249" i="85"/>
  <c r="E331" i="85"/>
  <c r="E415" i="85"/>
  <c r="E491" i="85"/>
  <c r="E573" i="85"/>
  <c r="E648" i="85"/>
  <c r="E721" i="85"/>
  <c r="E795" i="85"/>
  <c r="E872" i="85"/>
  <c r="E951" i="85"/>
  <c r="E1028" i="85"/>
  <c r="E1101" i="85"/>
  <c r="E1175" i="85"/>
  <c r="E1248" i="85"/>
  <c r="E1322" i="85"/>
  <c r="E1393" i="85"/>
  <c r="E1460" i="85"/>
  <c r="E1528" i="85"/>
  <c r="E1604" i="85"/>
  <c r="E1671" i="85"/>
  <c r="E1740" i="85"/>
  <c r="E1805" i="85"/>
  <c r="E1869" i="85"/>
  <c r="E1929" i="85"/>
  <c r="E1988" i="85"/>
  <c r="E2044" i="85"/>
  <c r="E2102" i="85"/>
  <c r="E2169" i="85"/>
  <c r="E2225" i="85"/>
  <c r="E2284" i="85"/>
  <c r="E2343" i="85"/>
  <c r="E2400" i="85"/>
  <c r="E2452" i="85"/>
  <c r="E2507" i="85"/>
  <c r="E2556" i="85"/>
  <c r="E2610" i="85"/>
  <c r="E2657" i="85"/>
  <c r="E2700" i="85"/>
  <c r="E2735" i="85"/>
  <c r="E2782" i="85"/>
  <c r="E2829" i="85"/>
  <c r="E2872" i="85"/>
  <c r="E84" i="85"/>
  <c r="E174" i="85"/>
  <c r="E254" i="85"/>
  <c r="E332" i="85"/>
  <c r="E416" i="85"/>
  <c r="E492" i="85"/>
  <c r="E574" i="85"/>
  <c r="E649" i="85"/>
  <c r="E722" i="85"/>
  <c r="E799" i="85"/>
  <c r="E880" i="85"/>
  <c r="E952" i="85"/>
  <c r="E1031" i="85"/>
  <c r="E1102" i="85"/>
  <c r="E1176" i="85"/>
  <c r="E1250" i="85"/>
  <c r="E1323" i="85"/>
  <c r="E1394" i="85"/>
  <c r="E1461" i="85"/>
  <c r="E1538" i="85"/>
  <c r="E1605" i="85"/>
  <c r="E1672" i="85"/>
  <c r="E1742" i="85"/>
  <c r="E1806" i="85"/>
  <c r="E1870" i="85"/>
  <c r="E1930" i="85"/>
  <c r="E1989" i="85"/>
  <c r="E2045" i="85"/>
  <c r="E2112" i="85"/>
  <c r="E2170" i="85"/>
  <c r="E2226" i="85"/>
  <c r="E2285" i="85"/>
  <c r="E2344" i="85"/>
  <c r="E2401" i="85"/>
  <c r="E2456" i="85"/>
  <c r="E2508" i="85"/>
  <c r="E2557" i="85"/>
  <c r="E2611" i="85"/>
  <c r="E2658" i="85"/>
  <c r="E2701" i="85"/>
  <c r="E2749" i="85"/>
  <c r="E2783" i="85"/>
  <c r="E2833" i="85"/>
  <c r="E2873" i="85"/>
  <c r="E91" i="85"/>
  <c r="E175" i="85"/>
  <c r="E257" i="85"/>
  <c r="E333" i="85"/>
  <c r="E417" i="85"/>
  <c r="E494" i="85"/>
  <c r="E575" i="85"/>
  <c r="E650" i="85"/>
  <c r="E724" i="85"/>
  <c r="E808" i="85"/>
  <c r="E882" i="85"/>
  <c r="E959" i="85"/>
  <c r="E1032" i="85"/>
  <c r="E1103" i="85"/>
  <c r="E1177" i="85"/>
  <c r="E1251" i="85"/>
  <c r="E1327" i="85"/>
  <c r="E1397" i="85"/>
  <c r="E1471" i="85"/>
  <c r="E1539" i="85"/>
  <c r="E1608" i="85"/>
  <c r="E1673" i="85"/>
  <c r="E1743" i="85"/>
  <c r="E1807" i="85"/>
  <c r="E1871" i="85"/>
  <c r="E1932" i="85"/>
  <c r="E1990" i="85"/>
  <c r="E2055" i="85"/>
  <c r="E2113" i="85"/>
  <c r="E2171" i="85"/>
  <c r="E2229" i="85"/>
  <c r="E2287" i="85"/>
  <c r="E2345" i="85"/>
  <c r="E2402" i="85"/>
  <c r="E2457" i="85"/>
  <c r="E2509" i="85"/>
  <c r="E2565" i="85"/>
  <c r="E2612" i="85"/>
  <c r="E2659" i="85"/>
  <c r="E2707" i="85"/>
  <c r="E2750" i="85"/>
  <c r="E2784" i="85"/>
  <c r="E2834" i="85"/>
  <c r="E2875" i="85"/>
  <c r="E32" i="85"/>
  <c r="E121" i="85"/>
  <c r="E203" i="85"/>
  <c r="E281" i="85"/>
  <c r="E440" i="85"/>
  <c r="E523" i="85"/>
  <c r="E600" i="85"/>
  <c r="E677" i="85"/>
  <c r="E751" i="85"/>
  <c r="E830" i="85"/>
  <c r="E907" i="85"/>
  <c r="E980" i="85"/>
  <c r="E1054" i="85"/>
  <c r="E1128" i="85"/>
  <c r="E1204" i="85"/>
  <c r="E1278" i="85"/>
  <c r="E1350" i="85"/>
  <c r="E1418" i="85"/>
  <c r="E1492" i="85"/>
  <c r="E1562" i="85"/>
  <c r="E1629" i="85"/>
  <c r="E1698" i="85"/>
  <c r="E1765" i="85"/>
  <c r="E1828" i="85"/>
  <c r="E1890" i="85"/>
  <c r="E1951" i="85"/>
  <c r="E2009" i="85"/>
  <c r="E2073" i="85"/>
  <c r="E2131" i="85"/>
  <c r="E2190" i="85"/>
  <c r="E2249" i="85"/>
  <c r="E2307" i="85"/>
  <c r="E2365" i="85"/>
  <c r="E2419" i="85"/>
  <c r="E2474" i="85"/>
  <c r="E2527" i="85"/>
  <c r="E2577" i="85"/>
  <c r="E2627" i="85"/>
  <c r="E2661" i="85"/>
  <c r="E2709" i="85"/>
  <c r="E2752" i="85"/>
  <c r="E2799" i="85"/>
  <c r="E2836" i="85"/>
  <c r="E2883" i="85"/>
  <c r="E123" i="85"/>
  <c r="E156" i="85"/>
  <c r="E2" i="85"/>
  <c r="P26" i="76" l="1" a="1"/>
  <c r="P13" i="76" a="1"/>
  <c r="P22" i="76" a="1"/>
  <c r="X10" i="76" a="1"/>
  <c r="P5" i="76" a="1"/>
  <c r="P21" i="76" a="1"/>
  <c r="P25" i="76" a="1"/>
  <c r="P7" i="76" a="1"/>
  <c r="P20" i="76" a="1"/>
  <c r="P18" i="76" a="1"/>
  <c r="P17" i="76" a="1"/>
  <c r="X14" i="76" a="1"/>
  <c r="X12" i="76" a="1"/>
  <c r="P9" i="76" a="1"/>
  <c r="X6" i="76" a="1"/>
  <c r="P23" i="76" a="1"/>
  <c r="X9" i="76" a="1"/>
  <c r="P24" i="76" a="1"/>
  <c r="P19" i="76" a="1"/>
  <c r="P14" i="76" a="1"/>
  <c r="X5" i="76" a="1"/>
  <c r="X15" i="76" a="1"/>
  <c r="X7" i="76" a="1"/>
  <c r="P12" i="76" a="1"/>
  <c r="X8" i="76" a="1"/>
  <c r="X13" i="76" a="1"/>
  <c r="P27" i="76" a="1"/>
  <c r="X11" i="76" a="1"/>
  <c r="P8" i="76" a="1"/>
  <c r="P10" i="76" a="1"/>
  <c r="P16" i="76" a="1"/>
  <c r="P15" i="76" a="1"/>
  <c r="P6" i="76" a="1"/>
  <c r="P11" i="76" a="1"/>
  <c r="E6" i="50"/>
  <c r="I6" i="50"/>
  <c r="M6" i="50"/>
  <c r="Q6" i="50"/>
  <c r="U6" i="50"/>
  <c r="Y6" i="50"/>
  <c r="E7" i="50"/>
  <c r="M7" i="50"/>
  <c r="Q7" i="50"/>
  <c r="U7" i="50"/>
  <c r="Y7" i="50"/>
  <c r="E9" i="50"/>
  <c r="M9" i="50"/>
  <c r="Q9" i="50"/>
  <c r="U9" i="50"/>
  <c r="Y9" i="50"/>
  <c r="E10" i="50"/>
  <c r="M10" i="50"/>
  <c r="Q10" i="50"/>
  <c r="U10" i="50"/>
  <c r="Y10" i="50"/>
  <c r="E11" i="50"/>
  <c r="I11" i="50"/>
  <c r="M11" i="50"/>
  <c r="Q11" i="50"/>
  <c r="U11" i="50"/>
  <c r="Y11" i="50"/>
  <c r="E12" i="50"/>
  <c r="I12" i="50"/>
  <c r="M12" i="50"/>
  <c r="Q12" i="50"/>
  <c r="U12" i="50"/>
  <c r="Y12" i="50"/>
  <c r="E13" i="50"/>
  <c r="I13" i="50"/>
  <c r="M13" i="50"/>
  <c r="Q13" i="50"/>
  <c r="U13" i="50"/>
  <c r="Y13" i="50"/>
  <c r="E14" i="50"/>
  <c r="I14" i="50"/>
  <c r="M14" i="50"/>
  <c r="Q14" i="50"/>
  <c r="U14" i="50"/>
  <c r="Y14" i="50"/>
  <c r="E15" i="50"/>
  <c r="I15" i="50"/>
  <c r="M15" i="50"/>
  <c r="Q15" i="50"/>
  <c r="U15" i="50"/>
  <c r="Y15" i="50"/>
  <c r="E16" i="50"/>
  <c r="I16" i="50"/>
  <c r="M16" i="50"/>
  <c r="Q16" i="50"/>
  <c r="U16" i="50"/>
  <c r="Y16" i="50"/>
  <c r="E17" i="50"/>
  <c r="I17" i="50"/>
  <c r="M17" i="50"/>
  <c r="Q17" i="50"/>
  <c r="U17" i="50"/>
  <c r="Y17" i="50"/>
  <c r="E18" i="50"/>
  <c r="I18" i="50"/>
  <c r="M18" i="50"/>
  <c r="Q18" i="50"/>
  <c r="U18" i="50"/>
  <c r="Y18" i="50"/>
  <c r="E19" i="50"/>
  <c r="I19" i="50"/>
  <c r="M19" i="50"/>
  <c r="U19" i="50"/>
  <c r="Y19" i="50"/>
  <c r="E20" i="50"/>
  <c r="I20" i="50"/>
  <c r="M20" i="50"/>
  <c r="Q20" i="50"/>
  <c r="U20" i="50"/>
  <c r="Y20" i="50"/>
  <c r="E21" i="50"/>
  <c r="I21" i="50"/>
  <c r="M21" i="50"/>
  <c r="Q21" i="50"/>
  <c r="U21" i="50"/>
  <c r="Y21" i="50"/>
  <c r="I22" i="50"/>
  <c r="M22" i="50"/>
  <c r="Q22" i="50"/>
  <c r="U22" i="50"/>
  <c r="Y22" i="50"/>
  <c r="E23" i="50"/>
  <c r="I23" i="50"/>
  <c r="M23" i="50"/>
  <c r="Q23" i="50"/>
  <c r="U23" i="50"/>
  <c r="Y23" i="50"/>
  <c r="E24" i="50"/>
  <c r="I24" i="50"/>
  <c r="M24" i="50"/>
  <c r="Q24" i="50"/>
  <c r="U24" i="50"/>
  <c r="Y24" i="50"/>
  <c r="E25" i="50"/>
  <c r="I25" i="50"/>
  <c r="M25" i="50"/>
  <c r="Q25" i="50"/>
  <c r="U25" i="50"/>
  <c r="Y25" i="50"/>
  <c r="E26" i="50"/>
  <c r="I26" i="50"/>
  <c r="M26" i="50"/>
  <c r="Q26" i="50"/>
  <c r="U26" i="50"/>
  <c r="Y26" i="50"/>
  <c r="E27" i="50"/>
  <c r="I27" i="50"/>
  <c r="M27" i="50"/>
  <c r="U27" i="50"/>
  <c r="Y27" i="50"/>
  <c r="E28" i="50"/>
  <c r="I28" i="50"/>
  <c r="M28" i="50"/>
  <c r="Q28" i="50"/>
  <c r="U28" i="50"/>
  <c r="Y28" i="50"/>
  <c r="E29" i="50"/>
  <c r="M29" i="50"/>
  <c r="Q29" i="50"/>
  <c r="U29" i="50"/>
  <c r="Y29" i="50"/>
  <c r="E30" i="50"/>
  <c r="I30" i="50"/>
  <c r="M30" i="50"/>
  <c r="Q30" i="50"/>
  <c r="U30" i="50"/>
  <c r="Y30" i="50"/>
  <c r="E31" i="50"/>
  <c r="I31" i="50"/>
  <c r="M31" i="50"/>
  <c r="Q31" i="50"/>
  <c r="U31" i="50"/>
  <c r="Y31" i="50"/>
  <c r="E32" i="50"/>
  <c r="I32" i="50"/>
  <c r="M32" i="50"/>
  <c r="Q32" i="50"/>
  <c r="U32" i="50"/>
  <c r="Y32" i="50"/>
  <c r="E33" i="50"/>
  <c r="I33" i="50"/>
  <c r="M33" i="50"/>
  <c r="Q33" i="50"/>
  <c r="U33" i="50"/>
  <c r="Y33" i="50"/>
  <c r="E34" i="50"/>
  <c r="I34" i="50"/>
  <c r="M34" i="50"/>
  <c r="Q34" i="50"/>
  <c r="U34" i="50"/>
  <c r="Y34" i="50"/>
  <c r="E35" i="50"/>
  <c r="I35" i="50"/>
  <c r="M35" i="50"/>
  <c r="Q35" i="50"/>
  <c r="U35" i="50"/>
  <c r="Y35" i="50"/>
  <c r="E36" i="50"/>
  <c r="I36" i="50"/>
  <c r="Q36" i="50"/>
  <c r="U36" i="50"/>
  <c r="Y36" i="50"/>
  <c r="E37" i="50"/>
  <c r="I37" i="50"/>
  <c r="M37" i="50"/>
  <c r="Q37" i="50"/>
  <c r="U37" i="50"/>
  <c r="Y37" i="50"/>
  <c r="E38" i="50"/>
  <c r="I38" i="50"/>
  <c r="M38" i="50"/>
  <c r="Q38" i="50"/>
  <c r="U38" i="50"/>
  <c r="Y38" i="50"/>
  <c r="E39" i="50"/>
  <c r="I39" i="50"/>
  <c r="M39" i="50"/>
  <c r="U39" i="50"/>
  <c r="Y39" i="50"/>
  <c r="E40" i="50"/>
  <c r="I40" i="50"/>
  <c r="M40" i="50"/>
  <c r="Q40" i="50"/>
  <c r="U40" i="50"/>
  <c r="Y40" i="50"/>
  <c r="E41" i="50"/>
  <c r="I41" i="50"/>
  <c r="M41" i="50"/>
  <c r="Q41" i="50"/>
  <c r="U41" i="50"/>
  <c r="Y41" i="50"/>
  <c r="X8" i="76" l="1"/>
  <c r="W8" i="76"/>
  <c r="P18" i="76"/>
  <c r="O18" i="76"/>
  <c r="P20" i="76"/>
  <c r="O20" i="76"/>
  <c r="P27" i="76"/>
  <c r="O27" i="76"/>
  <c r="X15" i="76"/>
  <c r="W15" i="76"/>
  <c r="P7" i="76"/>
  <c r="O7" i="76"/>
  <c r="X14" i="76"/>
  <c r="W14" i="76"/>
  <c r="X7" i="76"/>
  <c r="W7" i="76"/>
  <c r="X5" i="76"/>
  <c r="W5" i="76"/>
  <c r="P25" i="76"/>
  <c r="O25" i="76"/>
  <c r="X12" i="76"/>
  <c r="W12" i="76"/>
  <c r="P11" i="76"/>
  <c r="O11" i="76"/>
  <c r="P14" i="76"/>
  <c r="O14" i="76"/>
  <c r="P21" i="76"/>
  <c r="O21" i="76"/>
  <c r="P9" i="76"/>
  <c r="O9" i="76"/>
  <c r="P6" i="76"/>
  <c r="O6" i="76"/>
  <c r="P19" i="76"/>
  <c r="O19" i="76"/>
  <c r="P5" i="76"/>
  <c r="O5" i="76"/>
  <c r="X13" i="76"/>
  <c r="W13" i="76"/>
  <c r="P17" i="76"/>
  <c r="O17" i="76"/>
  <c r="P12" i="76"/>
  <c r="O12" i="76"/>
  <c r="P15" i="76"/>
  <c r="O15" i="76"/>
  <c r="P24" i="76"/>
  <c r="O24" i="76"/>
  <c r="X10" i="76"/>
  <c r="W10" i="76"/>
  <c r="P16" i="76"/>
  <c r="O16" i="76"/>
  <c r="X9" i="76"/>
  <c r="W9" i="76"/>
  <c r="P22" i="76"/>
  <c r="O22" i="76"/>
  <c r="P10" i="76"/>
  <c r="O10" i="76"/>
  <c r="P13" i="76"/>
  <c r="O13" i="76"/>
  <c r="X11" i="76"/>
  <c r="W11" i="76"/>
  <c r="P23" i="76"/>
  <c r="O23" i="76"/>
  <c r="P8" i="76"/>
  <c r="O8" i="76"/>
  <c r="X6" i="76"/>
  <c r="W6" i="76"/>
  <c r="P26" i="76"/>
  <c r="O26" i="76"/>
  <c r="A1601" i="53"/>
  <c r="A1602" i="53"/>
  <c r="A1603" i="53"/>
  <c r="A1604" i="53"/>
  <c r="A1605" i="53"/>
  <c r="A1606" i="53"/>
  <c r="A1607" i="53"/>
  <c r="A1608" i="53"/>
  <c r="A1609" i="53"/>
  <c r="A1610" i="53"/>
  <c r="A1611" i="53"/>
  <c r="A1612" i="53"/>
  <c r="A1613" i="53"/>
  <c r="A1614" i="53"/>
  <c r="A1615" i="53"/>
  <c r="A1616" i="53"/>
  <c r="A1617" i="53"/>
  <c r="A1618" i="53"/>
  <c r="A1619" i="53"/>
  <c r="A1620" i="53"/>
  <c r="A1621" i="53"/>
  <c r="A1622" i="53"/>
  <c r="A1623" i="53"/>
  <c r="A1624" i="53"/>
  <c r="A1625" i="53"/>
  <c r="A1626" i="53"/>
  <c r="A1627" i="53"/>
  <c r="A1628" i="53"/>
  <c r="A1629" i="53"/>
  <c r="A1630" i="53"/>
  <c r="A1631" i="53"/>
  <c r="A1632" i="53"/>
  <c r="A1633" i="53"/>
  <c r="A1634" i="53"/>
  <c r="A1635" i="53"/>
  <c r="A1636" i="53"/>
  <c r="A1637" i="53"/>
  <c r="A1638" i="53"/>
  <c r="A1639" i="53"/>
  <c r="A1640" i="53"/>
  <c r="A1641" i="53"/>
  <c r="A1642" i="53"/>
  <c r="A1643" i="53"/>
  <c r="A1644" i="53"/>
  <c r="A1645" i="53"/>
  <c r="A1646" i="53"/>
  <c r="A1647" i="53"/>
  <c r="A1648" i="53"/>
  <c r="A1649" i="53"/>
  <c r="A1650" i="53"/>
  <c r="A1651" i="53"/>
  <c r="A1652" i="53"/>
  <c r="C57" i="7"/>
  <c r="C38" i="7"/>
  <c r="C3" i="7"/>
  <c r="A14" i="26" l="1"/>
  <c r="E12" i="84"/>
  <c r="E13" i="84"/>
  <c r="A62" i="26" l="1"/>
  <c r="A33" i="26"/>
  <c r="V108" i="84" l="1"/>
  <c r="E108" i="84"/>
  <c r="D6" i="26" l="1"/>
  <c r="BF6" i="26"/>
  <c r="BF7" i="26"/>
  <c r="Y5" i="50"/>
  <c r="U5" i="50"/>
  <c r="Q5" i="50"/>
  <c r="M5" i="50"/>
  <c r="I5" i="50"/>
  <c r="E5" i="50"/>
  <c r="A1599" i="53"/>
  <c r="A1595" i="53"/>
  <c r="A1591" i="53"/>
  <c r="A1587" i="53"/>
  <c r="A1583" i="53"/>
  <c r="A1579" i="53"/>
  <c r="A1575" i="53"/>
  <c r="A1571" i="53"/>
  <c r="A1567" i="53"/>
  <c r="A1563" i="53"/>
  <c r="A1559" i="53"/>
  <c r="A1555" i="53"/>
  <c r="A1551" i="53"/>
  <c r="A1547" i="53"/>
  <c r="A1543" i="53"/>
  <c r="A1539" i="53"/>
  <c r="A1535" i="53"/>
  <c r="A1531" i="53"/>
  <c r="A1527" i="53"/>
  <c r="A1523" i="53"/>
  <c r="A1519" i="53"/>
  <c r="A1515" i="53"/>
  <c r="A1511" i="53"/>
  <c r="A1507" i="53"/>
  <c r="A1503" i="53"/>
  <c r="A1499" i="53"/>
  <c r="A1495" i="53"/>
  <c r="A1491" i="53"/>
  <c r="A1487" i="53"/>
  <c r="A1483" i="53"/>
  <c r="A1479" i="53"/>
  <c r="A1475" i="53"/>
  <c r="A1471" i="53"/>
  <c r="A1467" i="53"/>
  <c r="A1463" i="53"/>
  <c r="A1459" i="53"/>
  <c r="A1455" i="53"/>
  <c r="A1451" i="53"/>
  <c r="A1447" i="53"/>
  <c r="A1443" i="53"/>
  <c r="A1439" i="53"/>
  <c r="A1435" i="53"/>
  <c r="A1431" i="53"/>
  <c r="A1427" i="53"/>
  <c r="A1423" i="53"/>
  <c r="A1419" i="53"/>
  <c r="A1415" i="53"/>
  <c r="A1411" i="53"/>
  <c r="A1407" i="53"/>
  <c r="A1403" i="53"/>
  <c r="A1399" i="53"/>
  <c r="A1395" i="53"/>
  <c r="A1391" i="53"/>
  <c r="A1387" i="53"/>
  <c r="A1383" i="53"/>
  <c r="A1379" i="53"/>
  <c r="A1375" i="53"/>
  <c r="A1371" i="53"/>
  <c r="A1367" i="53"/>
  <c r="A1363" i="53"/>
  <c r="A1359" i="53"/>
  <c r="A1355" i="53"/>
  <c r="A1351" i="53"/>
  <c r="A1347" i="53"/>
  <c r="A1343" i="53"/>
  <c r="A1339" i="53"/>
  <c r="A1335" i="53"/>
  <c r="A1331" i="53"/>
  <c r="A1327" i="53"/>
  <c r="A1323" i="53"/>
  <c r="A1319" i="53"/>
  <c r="A1315" i="53"/>
  <c r="A1311" i="53"/>
  <c r="A1307" i="53"/>
  <c r="A1303" i="53"/>
  <c r="A1299" i="53"/>
  <c r="A1295" i="53"/>
  <c r="A1291" i="53"/>
  <c r="A1287" i="53"/>
  <c r="A1283" i="53"/>
  <c r="A1279" i="53"/>
  <c r="A1275" i="53"/>
  <c r="A1271" i="53"/>
  <c r="A1267" i="53"/>
  <c r="A1263" i="53"/>
  <c r="A1259" i="53"/>
  <c r="A1255" i="53"/>
  <c r="A1251" i="53"/>
  <c r="A1247" i="53"/>
  <c r="A1243" i="53"/>
  <c r="A1239" i="53"/>
  <c r="A1235" i="53"/>
  <c r="A1231" i="53"/>
  <c r="A1227" i="53"/>
  <c r="A1223" i="53"/>
  <c r="A1219" i="53"/>
  <c r="A1215" i="53"/>
  <c r="A1211" i="53"/>
  <c r="A1207" i="53"/>
  <c r="A1203" i="53"/>
  <c r="A1199" i="53"/>
  <c r="A1195" i="53"/>
  <c r="A1191" i="53"/>
  <c r="A1187" i="53"/>
  <c r="A1183" i="53"/>
  <c r="A1179" i="53"/>
  <c r="A1175" i="53"/>
  <c r="A1171" i="53"/>
  <c r="A1167" i="53"/>
  <c r="A1163" i="53"/>
  <c r="A1159" i="53"/>
  <c r="A1155" i="53"/>
  <c r="A1151" i="53"/>
  <c r="A1147" i="53"/>
  <c r="A1143" i="53"/>
  <c r="A1139" i="53"/>
  <c r="A1135" i="53"/>
  <c r="A1131" i="53"/>
  <c r="A1127" i="53"/>
  <c r="A1123" i="53"/>
  <c r="A1119" i="53"/>
  <c r="A1115" i="53"/>
  <c r="A1111" i="53"/>
  <c r="A1107" i="53"/>
  <c r="A1103" i="53"/>
  <c r="A1099" i="53"/>
  <c r="A1095" i="53"/>
  <c r="A1091" i="53"/>
  <c r="A1087" i="53"/>
  <c r="A1083" i="53"/>
  <c r="A1079" i="53"/>
  <c r="A1075" i="53"/>
  <c r="A1071" i="53"/>
  <c r="A1067" i="53"/>
  <c r="A1063" i="53"/>
  <c r="A1059" i="53"/>
  <c r="A1055" i="53"/>
  <c r="A1051" i="53"/>
  <c r="A1047" i="53"/>
  <c r="A1043" i="53"/>
  <c r="A1039" i="53"/>
  <c r="A1035" i="53"/>
  <c r="A1031" i="53"/>
  <c r="A1027" i="53"/>
  <c r="A1023" i="53"/>
  <c r="A1019" i="53"/>
  <c r="A1015" i="53"/>
  <c r="A1011" i="53"/>
  <c r="A1007" i="53"/>
  <c r="A1003" i="53"/>
  <c r="A999" i="53"/>
  <c r="A995" i="53"/>
  <c r="A991" i="53"/>
  <c r="A987" i="53"/>
  <c r="A983" i="53"/>
  <c r="A979" i="53"/>
  <c r="A975" i="53"/>
  <c r="A971" i="53"/>
  <c r="A967" i="53"/>
  <c r="A963" i="53"/>
  <c r="A959" i="53"/>
  <c r="A955" i="53"/>
  <c r="A951" i="53"/>
  <c r="A947" i="53"/>
  <c r="A943" i="53"/>
  <c r="A939" i="53"/>
  <c r="A935" i="53"/>
  <c r="A931" i="53"/>
  <c r="A927" i="53"/>
  <c r="A923" i="53"/>
  <c r="A919" i="53"/>
  <c r="A915" i="53"/>
  <c r="A911" i="53"/>
  <c r="A907" i="53"/>
  <c r="A903" i="53"/>
  <c r="A899" i="53"/>
  <c r="A895" i="53"/>
  <c r="A891" i="53"/>
  <c r="A887" i="53"/>
  <c r="A883" i="53"/>
  <c r="A879" i="53"/>
  <c r="A875" i="53"/>
  <c r="A871" i="53"/>
  <c r="A867" i="53"/>
  <c r="A863" i="53"/>
  <c r="A859" i="53"/>
  <c r="A855" i="53"/>
  <c r="A851" i="53"/>
  <c r="A847" i="53"/>
  <c r="A843" i="53"/>
  <c r="A839" i="53"/>
  <c r="A835" i="53"/>
  <c r="A831" i="53"/>
  <c r="A827" i="53"/>
  <c r="A823" i="53"/>
  <c r="A819" i="53"/>
  <c r="A815" i="53"/>
  <c r="A811" i="53"/>
  <c r="A807" i="53"/>
  <c r="A803" i="53"/>
  <c r="A799" i="53"/>
  <c r="A795" i="53"/>
  <c r="A791" i="53"/>
  <c r="A787" i="53"/>
  <c r="A783" i="53"/>
  <c r="A779" i="53"/>
  <c r="A775" i="53"/>
  <c r="A771" i="53"/>
  <c r="A767" i="53"/>
  <c r="A763" i="53"/>
  <c r="A759" i="53"/>
  <c r="A755" i="53"/>
  <c r="A751" i="53"/>
  <c r="A747" i="53"/>
  <c r="A743" i="53"/>
  <c r="A739" i="53"/>
  <c r="A735" i="53"/>
  <c r="A731" i="53"/>
  <c r="A727" i="53"/>
  <c r="A723" i="53"/>
  <c r="A719" i="53"/>
  <c r="A715" i="53"/>
  <c r="A711" i="53"/>
  <c r="A707" i="53"/>
  <c r="A703" i="53"/>
  <c r="A699" i="53"/>
  <c r="A695" i="53"/>
  <c r="A691" i="53"/>
  <c r="A687" i="53"/>
  <c r="A683" i="53"/>
  <c r="A679" i="53"/>
  <c r="A675" i="53"/>
  <c r="A671" i="53"/>
  <c r="A667" i="53"/>
  <c r="A663" i="53"/>
  <c r="A659" i="53"/>
  <c r="A655" i="53"/>
  <c r="A651" i="53"/>
  <c r="A647" i="53"/>
  <c r="A643" i="53"/>
  <c r="A1600" i="53"/>
  <c r="A1598" i="53"/>
  <c r="A1597" i="53"/>
  <c r="A1596" i="53"/>
  <c r="A1594" i="53"/>
  <c r="A1593" i="53"/>
  <c r="A1592" i="53"/>
  <c r="A1590" i="53"/>
  <c r="A1589" i="53"/>
  <c r="A1588" i="53"/>
  <c r="A1586" i="53"/>
  <c r="A1585" i="53"/>
  <c r="A1584" i="53"/>
  <c r="A1582" i="53"/>
  <c r="A1581" i="53"/>
  <c r="A1580" i="53"/>
  <c r="A1578" i="53"/>
  <c r="A1577" i="53"/>
  <c r="A1576" i="53"/>
  <c r="A1574" i="53"/>
  <c r="A1573" i="53"/>
  <c r="A1572" i="53"/>
  <c r="A1570" i="53"/>
  <c r="A1569" i="53"/>
  <c r="A1568" i="53"/>
  <c r="A1566" i="53"/>
  <c r="A1565" i="53"/>
  <c r="A1564" i="53"/>
  <c r="A1562" i="53"/>
  <c r="A1561" i="53"/>
  <c r="A1560" i="53"/>
  <c r="A1558" i="53"/>
  <c r="A1557" i="53"/>
  <c r="A1556" i="53"/>
  <c r="A1554" i="53"/>
  <c r="A1553" i="53"/>
  <c r="A1552" i="53"/>
  <c r="A1550" i="53"/>
  <c r="A1549" i="53"/>
  <c r="A1548" i="53"/>
  <c r="A1546" i="53"/>
  <c r="A1545" i="53"/>
  <c r="A1544" i="53"/>
  <c r="A1542" i="53"/>
  <c r="A1541" i="53"/>
  <c r="A1540" i="53"/>
  <c r="A1538" i="53"/>
  <c r="A1537" i="53"/>
  <c r="A1536" i="53"/>
  <c r="A1534" i="53"/>
  <c r="A1533" i="53"/>
  <c r="A1532" i="53"/>
  <c r="A1530" i="53"/>
  <c r="A1529" i="53"/>
  <c r="A1528" i="53"/>
  <c r="A1526" i="53"/>
  <c r="A1525" i="53"/>
  <c r="A1524" i="53"/>
  <c r="A1522" i="53"/>
  <c r="A1521" i="53"/>
  <c r="A1520" i="53"/>
  <c r="A1518" i="53"/>
  <c r="A1517" i="53"/>
  <c r="A1516" i="53"/>
  <c r="A1514" i="53"/>
  <c r="A1513" i="53"/>
  <c r="A1512" i="53"/>
  <c r="A1510" i="53"/>
  <c r="A1509" i="53"/>
  <c r="A1508" i="53"/>
  <c r="A1506" i="53"/>
  <c r="A1505" i="53"/>
  <c r="A1504" i="53"/>
  <c r="A1502" i="53"/>
  <c r="A1501" i="53"/>
  <c r="A1500" i="53"/>
  <c r="A1498" i="53"/>
  <c r="A1497" i="53"/>
  <c r="A1496" i="53"/>
  <c r="A1494" i="53"/>
  <c r="A1493" i="53"/>
  <c r="A1492" i="53"/>
  <c r="A1490" i="53"/>
  <c r="A1489" i="53"/>
  <c r="A1488" i="53"/>
  <c r="A1486" i="53"/>
  <c r="A1485" i="53"/>
  <c r="A1484" i="53"/>
  <c r="A1482" i="53"/>
  <c r="A1481" i="53"/>
  <c r="A1480" i="53"/>
  <c r="A1478" i="53"/>
  <c r="A1477" i="53"/>
  <c r="A1476" i="53"/>
  <c r="A1474" i="53"/>
  <c r="A1473" i="53"/>
  <c r="A1472" i="53"/>
  <c r="A1470" i="53"/>
  <c r="A1469" i="53"/>
  <c r="A1468" i="53"/>
  <c r="A1466" i="53"/>
  <c r="A1465" i="53"/>
  <c r="A1464" i="53"/>
  <c r="A1462" i="53"/>
  <c r="A1461" i="53"/>
  <c r="A1460" i="53"/>
  <c r="A1458" i="53"/>
  <c r="A1457" i="53"/>
  <c r="A1456" i="53"/>
  <c r="A1454" i="53"/>
  <c r="A1453" i="53"/>
  <c r="A1452" i="53"/>
  <c r="A1450" i="53"/>
  <c r="A1449" i="53"/>
  <c r="A1448" i="53"/>
  <c r="A1446" i="53"/>
  <c r="A1445" i="53"/>
  <c r="A1444" i="53"/>
  <c r="A1442" i="53"/>
  <c r="A1441" i="53"/>
  <c r="A1440" i="53"/>
  <c r="A1438" i="53"/>
  <c r="A1437" i="53"/>
  <c r="A1436" i="53"/>
  <c r="A1434" i="53"/>
  <c r="A1433" i="53"/>
  <c r="A1432" i="53"/>
  <c r="A1430" i="53"/>
  <c r="A1429" i="53"/>
  <c r="A1428" i="53"/>
  <c r="A1426" i="53"/>
  <c r="A1425" i="53"/>
  <c r="A1424" i="53"/>
  <c r="A1422" i="53"/>
  <c r="A1421" i="53"/>
  <c r="A1420" i="53"/>
  <c r="A1418" i="53"/>
  <c r="A1417" i="53"/>
  <c r="A1416" i="53"/>
  <c r="A1414" i="53"/>
  <c r="A1413" i="53"/>
  <c r="A1412" i="53"/>
  <c r="A1410" i="53"/>
  <c r="A1409" i="53"/>
  <c r="A1408" i="53"/>
  <c r="A1406" i="53"/>
  <c r="A1405" i="53"/>
  <c r="A1404" i="53"/>
  <c r="A1402" i="53"/>
  <c r="A1401" i="53"/>
  <c r="A1400" i="53"/>
  <c r="A1398" i="53"/>
  <c r="A1397" i="53"/>
  <c r="A1396" i="53"/>
  <c r="A1394" i="53"/>
  <c r="A1393" i="53"/>
  <c r="A1392" i="53"/>
  <c r="A1390" i="53"/>
  <c r="A1389" i="53"/>
  <c r="A1388" i="53"/>
  <c r="A1386" i="53"/>
  <c r="A1385" i="53"/>
  <c r="A1384" i="53"/>
  <c r="A1382" i="53"/>
  <c r="A1381" i="53"/>
  <c r="A1380" i="53"/>
  <c r="A1378" i="53"/>
  <c r="A1377" i="53"/>
  <c r="A1376" i="53"/>
  <c r="A1374" i="53"/>
  <c r="A1373" i="53"/>
  <c r="A1372" i="53"/>
  <c r="A1370" i="53"/>
  <c r="A1369" i="53"/>
  <c r="A1368" i="53"/>
  <c r="A1366" i="53"/>
  <c r="A1365" i="53"/>
  <c r="A1364" i="53"/>
  <c r="A1362" i="53"/>
  <c r="A1361" i="53"/>
  <c r="A1360" i="53"/>
  <c r="A1358" i="53"/>
  <c r="A1357" i="53"/>
  <c r="A1356" i="53"/>
  <c r="A1354" i="53"/>
  <c r="A1353" i="53"/>
  <c r="A1352" i="53"/>
  <c r="A1350" i="53"/>
  <c r="A1349" i="53"/>
  <c r="A1348" i="53"/>
  <c r="A1346" i="53"/>
  <c r="A1345" i="53"/>
  <c r="A1344" i="53"/>
  <c r="A1342" i="53"/>
  <c r="A1341" i="53"/>
  <c r="A1340" i="53"/>
  <c r="A1338" i="53"/>
  <c r="A1337" i="53"/>
  <c r="A1336" i="53"/>
  <c r="A1334" i="53"/>
  <c r="A1333" i="53"/>
  <c r="A1332" i="53"/>
  <c r="A1330" i="53"/>
  <c r="A1329" i="53"/>
  <c r="A1328" i="53"/>
  <c r="A1326" i="53"/>
  <c r="A1325" i="53"/>
  <c r="A1324" i="53"/>
  <c r="A1322" i="53"/>
  <c r="A1321" i="53"/>
  <c r="A1320" i="53"/>
  <c r="A1318" i="53"/>
  <c r="A1317" i="53"/>
  <c r="A1316" i="53"/>
  <c r="A1314" i="53"/>
  <c r="A1313" i="53"/>
  <c r="A1312" i="53"/>
  <c r="A1310" i="53"/>
  <c r="A1309" i="53"/>
  <c r="A1308" i="53"/>
  <c r="A1306" i="53"/>
  <c r="A1305" i="53"/>
  <c r="A1304" i="53"/>
  <c r="A1302" i="53"/>
  <c r="A1301" i="53"/>
  <c r="A1300" i="53"/>
  <c r="A1298" i="53"/>
  <c r="A1297" i="53"/>
  <c r="A1296" i="53"/>
  <c r="A1294" i="53"/>
  <c r="A1293" i="53"/>
  <c r="A1292" i="53"/>
  <c r="A1290" i="53"/>
  <c r="A1289" i="53"/>
  <c r="A1288" i="53"/>
  <c r="A1286" i="53"/>
  <c r="A1285" i="53"/>
  <c r="A1284" i="53"/>
  <c r="A1282" i="53"/>
  <c r="A1281" i="53"/>
  <c r="A1280" i="53"/>
  <c r="A1278" i="53"/>
  <c r="A1277" i="53"/>
  <c r="A1276" i="53"/>
  <c r="A1274" i="53"/>
  <c r="A1273" i="53"/>
  <c r="A1272" i="53"/>
  <c r="A1270" i="53"/>
  <c r="A1269" i="53"/>
  <c r="A1268" i="53"/>
  <c r="A1266" i="53"/>
  <c r="A1265" i="53"/>
  <c r="A1264" i="53"/>
  <c r="A1262" i="53"/>
  <c r="A1261" i="53"/>
  <c r="A1260" i="53"/>
  <c r="A1258" i="53"/>
  <c r="A1257" i="53"/>
  <c r="A1256" i="53"/>
  <c r="A1254" i="53"/>
  <c r="A1253" i="53"/>
  <c r="A1252" i="53"/>
  <c r="A1250" i="53"/>
  <c r="A1249" i="53"/>
  <c r="A1248" i="53"/>
  <c r="A1246" i="53"/>
  <c r="A1245" i="53"/>
  <c r="A1244" i="53"/>
  <c r="A1242" i="53"/>
  <c r="A1241" i="53"/>
  <c r="A1240" i="53"/>
  <c r="A1238" i="53"/>
  <c r="A1237" i="53"/>
  <c r="A1236" i="53"/>
  <c r="A1234" i="53"/>
  <c r="A1233" i="53"/>
  <c r="A1232" i="53"/>
  <c r="A1230" i="53"/>
  <c r="A1229" i="53"/>
  <c r="A1228" i="53"/>
  <c r="A1226" i="53"/>
  <c r="A1225" i="53"/>
  <c r="A1224" i="53"/>
  <c r="A1222" i="53"/>
  <c r="A1221" i="53"/>
  <c r="A1220" i="53"/>
  <c r="A1218" i="53"/>
  <c r="A1217" i="53"/>
  <c r="A1216" i="53"/>
  <c r="A1214" i="53"/>
  <c r="A1213" i="53"/>
  <c r="A1212" i="53"/>
  <c r="A1210" i="53"/>
  <c r="A1209" i="53"/>
  <c r="A1208" i="53"/>
  <c r="A1206" i="53"/>
  <c r="A1205" i="53"/>
  <c r="A1204" i="53"/>
  <c r="A1202" i="53"/>
  <c r="A1201" i="53"/>
  <c r="A1200" i="53"/>
  <c r="A1198" i="53"/>
  <c r="A1197" i="53"/>
  <c r="A1196" i="53"/>
  <c r="A1194" i="53"/>
  <c r="A1193" i="53"/>
  <c r="A1192" i="53"/>
  <c r="A1190" i="53"/>
  <c r="A1189" i="53"/>
  <c r="A1188" i="53"/>
  <c r="A1186" i="53"/>
  <c r="A1185" i="53"/>
  <c r="A1184" i="53"/>
  <c r="A1182" i="53"/>
  <c r="A1181" i="53"/>
  <c r="A1180" i="53"/>
  <c r="A1178" i="53"/>
  <c r="A1177" i="53"/>
  <c r="A1176" i="53"/>
  <c r="A1174" i="53"/>
  <c r="A1173" i="53"/>
  <c r="A1172" i="53"/>
  <c r="A1170" i="53"/>
  <c r="A1169" i="53"/>
  <c r="A1168" i="53"/>
  <c r="A1166" i="53"/>
  <c r="A1165" i="53"/>
  <c r="A1164" i="53"/>
  <c r="A1162" i="53"/>
  <c r="A1161" i="53"/>
  <c r="A1160" i="53"/>
  <c r="A1158" i="53"/>
  <c r="A1157" i="53"/>
  <c r="A1156" i="53"/>
  <c r="A1154" i="53"/>
  <c r="A1153" i="53"/>
  <c r="A1152" i="53"/>
  <c r="A1150" i="53"/>
  <c r="A1149" i="53"/>
  <c r="A1148" i="53"/>
  <c r="A1146" i="53"/>
  <c r="A1145" i="53"/>
  <c r="A1144" i="53"/>
  <c r="A1142" i="53"/>
  <c r="A1141" i="53"/>
  <c r="A1140" i="53"/>
  <c r="A1138" i="53"/>
  <c r="A1137" i="53"/>
  <c r="A1136" i="53"/>
  <c r="A1134" i="53"/>
  <c r="A1133" i="53"/>
  <c r="A1132" i="53"/>
  <c r="A1130" i="53"/>
  <c r="A1129" i="53"/>
  <c r="A1128" i="53"/>
  <c r="A1126" i="53"/>
  <c r="A1125" i="53"/>
  <c r="A1124" i="53"/>
  <c r="A1122" i="53"/>
  <c r="A1121" i="53"/>
  <c r="A1120" i="53"/>
  <c r="A1118" i="53"/>
  <c r="A1117" i="53"/>
  <c r="A1116" i="53"/>
  <c r="A1114" i="53"/>
  <c r="A1113" i="53"/>
  <c r="A1112" i="53"/>
  <c r="A1110" i="53"/>
  <c r="A1109" i="53"/>
  <c r="A1108" i="53"/>
  <c r="A1106" i="53"/>
  <c r="A1105" i="53"/>
  <c r="A1104" i="53"/>
  <c r="A1102" i="53"/>
  <c r="A1101" i="53"/>
  <c r="A1100" i="53"/>
  <c r="A1098" i="53"/>
  <c r="A1097" i="53"/>
  <c r="A1096" i="53"/>
  <c r="A1094" i="53"/>
  <c r="A1093" i="53"/>
  <c r="A1092" i="53"/>
  <c r="A1090" i="53"/>
  <c r="A1089" i="53"/>
  <c r="A1088" i="53"/>
  <c r="A1086" i="53"/>
  <c r="A1085" i="53"/>
  <c r="A1084" i="53"/>
  <c r="A1082" i="53"/>
  <c r="A1081" i="53"/>
  <c r="A1080" i="53"/>
  <c r="A1078" i="53"/>
  <c r="A1077" i="53"/>
  <c r="A1076" i="53"/>
  <c r="A1074" i="53"/>
  <c r="A1073" i="53"/>
  <c r="A1072" i="53"/>
  <c r="A1070" i="53"/>
  <c r="A1069" i="53"/>
  <c r="A1068" i="53"/>
  <c r="A1066" i="53"/>
  <c r="A1065" i="53"/>
  <c r="A1064" i="53"/>
  <c r="A1062" i="53"/>
  <c r="A1061" i="53"/>
  <c r="A1060" i="53"/>
  <c r="A1058" i="53"/>
  <c r="A1057" i="53"/>
  <c r="A1056" i="53"/>
  <c r="A1054" i="53"/>
  <c r="A1053" i="53"/>
  <c r="A1052" i="53"/>
  <c r="A1050" i="53"/>
  <c r="A1049" i="53"/>
  <c r="A1048" i="53"/>
  <c r="A1046" i="53"/>
  <c r="A1045" i="53"/>
  <c r="A1044" i="53"/>
  <c r="A1042" i="53"/>
  <c r="A1041" i="53"/>
  <c r="A1040" i="53"/>
  <c r="A1038" i="53"/>
  <c r="A1037" i="53"/>
  <c r="A1036" i="53"/>
  <c r="A1034" i="53"/>
  <c r="A1033" i="53"/>
  <c r="A1032" i="53"/>
  <c r="A1030" i="53"/>
  <c r="A1029" i="53"/>
  <c r="A1028" i="53"/>
  <c r="A1026" i="53"/>
  <c r="A1025" i="53"/>
  <c r="A1024" i="53"/>
  <c r="A1022" i="53"/>
  <c r="A1021" i="53"/>
  <c r="A1020" i="53"/>
  <c r="A1018" i="53"/>
  <c r="A1017" i="53"/>
  <c r="A1016" i="53"/>
  <c r="A1014" i="53"/>
  <c r="A1013" i="53"/>
  <c r="A1012" i="53"/>
  <c r="A1010" i="53"/>
  <c r="A1009" i="53"/>
  <c r="A1008" i="53"/>
  <c r="A1006" i="53"/>
  <c r="A1005" i="53"/>
  <c r="A1004" i="53"/>
  <c r="A1002" i="53"/>
  <c r="A1001" i="53"/>
  <c r="A1000" i="53"/>
  <c r="A998" i="53"/>
  <c r="A997" i="53"/>
  <c r="A996" i="53"/>
  <c r="A994" i="53"/>
  <c r="A993" i="53"/>
  <c r="A992" i="53"/>
  <c r="A990" i="53"/>
  <c r="A989" i="53"/>
  <c r="A988" i="53"/>
  <c r="A986" i="53"/>
  <c r="A985" i="53"/>
  <c r="A984" i="53"/>
  <c r="A982" i="53"/>
  <c r="A981" i="53"/>
  <c r="A980" i="53"/>
  <c r="A978" i="53"/>
  <c r="A977" i="53"/>
  <c r="A976" i="53"/>
  <c r="A974" i="53"/>
  <c r="A973" i="53"/>
  <c r="A972" i="53"/>
  <c r="A970" i="53"/>
  <c r="A969" i="53"/>
  <c r="A968" i="53"/>
  <c r="A966" i="53"/>
  <c r="A965" i="53"/>
  <c r="A964" i="53"/>
  <c r="A962" i="53"/>
  <c r="A961" i="53"/>
  <c r="A960" i="53"/>
  <c r="A958" i="53"/>
  <c r="A957" i="53"/>
  <c r="A956" i="53"/>
  <c r="A954" i="53"/>
  <c r="A953" i="53"/>
  <c r="A952" i="53"/>
  <c r="A950" i="53"/>
  <c r="A949" i="53"/>
  <c r="A948" i="53"/>
  <c r="A946" i="53"/>
  <c r="A945" i="53"/>
  <c r="A944" i="53"/>
  <c r="A942" i="53"/>
  <c r="A941" i="53"/>
  <c r="A940" i="53"/>
  <c r="A938" i="53"/>
  <c r="A937" i="53"/>
  <c r="A936" i="53"/>
  <c r="A934" i="53"/>
  <c r="A933" i="53"/>
  <c r="A932" i="53"/>
  <c r="A930" i="53"/>
  <c r="A929" i="53"/>
  <c r="A928" i="53"/>
  <c r="A926" i="53"/>
  <c r="A925" i="53"/>
  <c r="A924" i="53"/>
  <c r="A922" i="53"/>
  <c r="A921" i="53"/>
  <c r="A920" i="53"/>
  <c r="A918" i="53"/>
  <c r="A917" i="53"/>
  <c r="A916" i="53"/>
  <c r="A914" i="53"/>
  <c r="A913" i="53"/>
  <c r="A912" i="53"/>
  <c r="A910" i="53"/>
  <c r="A909" i="53"/>
  <c r="A908" i="53"/>
  <c r="A906" i="53"/>
  <c r="A905" i="53"/>
  <c r="A904" i="53"/>
  <c r="A902" i="53"/>
  <c r="A901" i="53"/>
  <c r="A900" i="53"/>
  <c r="A898" i="53"/>
  <c r="A897" i="53"/>
  <c r="A896" i="53"/>
  <c r="A894" i="53"/>
  <c r="A893" i="53"/>
  <c r="A892" i="53"/>
  <c r="A890" i="53"/>
  <c r="A889" i="53"/>
  <c r="A888" i="53"/>
  <c r="A886" i="53"/>
  <c r="A885" i="53"/>
  <c r="A884" i="53"/>
  <c r="A882" i="53"/>
  <c r="A881" i="53"/>
  <c r="A880" i="53"/>
  <c r="A878" i="53"/>
  <c r="A877" i="53"/>
  <c r="A876" i="53"/>
  <c r="A874" i="53"/>
  <c r="A873" i="53"/>
  <c r="A872" i="53"/>
  <c r="A870" i="53"/>
  <c r="A869" i="53"/>
  <c r="A868" i="53"/>
  <c r="A866" i="53"/>
  <c r="A865" i="53"/>
  <c r="A864" i="53"/>
  <c r="A862" i="53"/>
  <c r="A861" i="53"/>
  <c r="A860" i="53"/>
  <c r="A858" i="53"/>
  <c r="A857" i="53"/>
  <c r="A856" i="53"/>
  <c r="A854" i="53"/>
  <c r="A853" i="53"/>
  <c r="A852" i="53"/>
  <c r="A850" i="53"/>
  <c r="A849" i="53"/>
  <c r="A848" i="53"/>
  <c r="A846" i="53"/>
  <c r="A845" i="53"/>
  <c r="A844" i="53"/>
  <c r="A842" i="53"/>
  <c r="A841" i="53"/>
  <c r="A840" i="53"/>
  <c r="A838" i="53"/>
  <c r="A837" i="53"/>
  <c r="A836" i="53"/>
  <c r="A834" i="53"/>
  <c r="A833" i="53"/>
  <c r="A832" i="53"/>
  <c r="A830" i="53"/>
  <c r="A829" i="53"/>
  <c r="A828" i="53"/>
  <c r="A826" i="53"/>
  <c r="A825" i="53"/>
  <c r="A824" i="53"/>
  <c r="A822" i="53"/>
  <c r="A821" i="53"/>
  <c r="A820" i="53"/>
  <c r="A818" i="53"/>
  <c r="A817" i="53"/>
  <c r="A816" i="53"/>
  <c r="A814" i="53"/>
  <c r="A813" i="53"/>
  <c r="A812" i="53"/>
  <c r="A810" i="53"/>
  <c r="A809" i="53"/>
  <c r="A808" i="53"/>
  <c r="A806" i="53"/>
  <c r="A805" i="53"/>
  <c r="A804" i="53"/>
  <c r="A802" i="53"/>
  <c r="A801" i="53"/>
  <c r="A800" i="53"/>
  <c r="A798" i="53"/>
  <c r="A797" i="53"/>
  <c r="A796" i="53"/>
  <c r="A794" i="53"/>
  <c r="A793" i="53"/>
  <c r="A792" i="53"/>
  <c r="A790" i="53"/>
  <c r="A789" i="53"/>
  <c r="A788" i="53"/>
  <c r="A786" i="53"/>
  <c r="A785" i="53"/>
  <c r="A784" i="53"/>
  <c r="A782" i="53"/>
  <c r="A781" i="53"/>
  <c r="A780" i="53"/>
  <c r="A778" i="53"/>
  <c r="A777" i="53"/>
  <c r="A776" i="53"/>
  <c r="A774" i="53"/>
  <c r="A773" i="53"/>
  <c r="A772" i="53"/>
  <c r="A770" i="53"/>
  <c r="A769" i="53"/>
  <c r="A768" i="53"/>
  <c r="A766" i="53"/>
  <c r="A765" i="53"/>
  <c r="A764" i="53"/>
  <c r="A762" i="53"/>
  <c r="A761" i="53"/>
  <c r="A760" i="53"/>
  <c r="A758" i="53"/>
  <c r="A757" i="53"/>
  <c r="A756" i="53"/>
  <c r="A754" i="53"/>
  <c r="A753" i="53"/>
  <c r="A752" i="53"/>
  <c r="A750" i="53"/>
  <c r="A749" i="53"/>
  <c r="A748" i="53"/>
  <c r="A746" i="53"/>
  <c r="A745" i="53"/>
  <c r="A744" i="53"/>
  <c r="A742" i="53"/>
  <c r="A741" i="53"/>
  <c r="A740" i="53"/>
  <c r="A738" i="53"/>
  <c r="A737" i="53"/>
  <c r="A736" i="53"/>
  <c r="A734" i="53"/>
  <c r="A733" i="53"/>
  <c r="A732" i="53"/>
  <c r="A730" i="53"/>
  <c r="A729" i="53"/>
  <c r="A728" i="53"/>
  <c r="A726" i="53"/>
  <c r="A725" i="53"/>
  <c r="A724" i="53"/>
  <c r="A722" i="53"/>
  <c r="A721" i="53"/>
  <c r="A720" i="53"/>
  <c r="A718" i="53"/>
  <c r="A717" i="53"/>
  <c r="A716" i="53"/>
  <c r="A714" i="53"/>
  <c r="A713" i="53"/>
  <c r="A712" i="53"/>
  <c r="A710" i="53"/>
  <c r="A709" i="53"/>
  <c r="A708" i="53"/>
  <c r="A706" i="53"/>
  <c r="A705" i="53"/>
  <c r="A704" i="53"/>
  <c r="A702" i="53"/>
  <c r="A701" i="53"/>
  <c r="A700" i="53"/>
  <c r="A698" i="53"/>
  <c r="A697" i="53"/>
  <c r="A696" i="53"/>
  <c r="A694" i="53"/>
  <c r="A693" i="53"/>
  <c r="A692" i="53"/>
  <c r="A690" i="53"/>
  <c r="A689" i="53"/>
  <c r="A688" i="53"/>
  <c r="A686" i="53"/>
  <c r="A685" i="53"/>
  <c r="A684" i="53"/>
  <c r="A682" i="53"/>
  <c r="A681" i="53"/>
  <c r="A680" i="53"/>
  <c r="A678" i="53"/>
  <c r="A677" i="53"/>
  <c r="A676" i="53"/>
  <c r="A674" i="53"/>
  <c r="A673" i="53"/>
  <c r="A672" i="53"/>
  <c r="A670" i="53"/>
  <c r="A669" i="53"/>
  <c r="A668" i="53"/>
  <c r="A666" i="53"/>
  <c r="A665" i="53"/>
  <c r="A664" i="53"/>
  <c r="A662" i="53"/>
  <c r="A661" i="53"/>
  <c r="A660" i="53"/>
  <c r="A658" i="53"/>
  <c r="A657" i="53"/>
  <c r="A656" i="53"/>
  <c r="A654" i="53"/>
  <c r="A653" i="53"/>
  <c r="A652" i="53"/>
  <c r="A650" i="53"/>
  <c r="A649" i="53"/>
  <c r="A648" i="53"/>
  <c r="A646" i="53"/>
  <c r="A645" i="53"/>
  <c r="A644" i="53"/>
  <c r="A642" i="53"/>
  <c r="A641" i="53"/>
  <c r="A640" i="53"/>
  <c r="A639" i="53"/>
  <c r="A638" i="53"/>
  <c r="A637" i="53"/>
  <c r="A636" i="53"/>
  <c r="A635" i="53"/>
  <c r="A634" i="53"/>
  <c r="A633" i="53"/>
  <c r="A632" i="53"/>
  <c r="A631" i="53"/>
  <c r="A630" i="53"/>
  <c r="A629" i="53"/>
  <c r="A628" i="53"/>
  <c r="A627" i="53"/>
  <c r="A626" i="53"/>
  <c r="A625" i="53"/>
  <c r="A624" i="53"/>
  <c r="A623" i="53"/>
  <c r="A622" i="53"/>
  <c r="A621" i="53"/>
  <c r="A620" i="53"/>
  <c r="A619" i="53"/>
  <c r="A618" i="53"/>
  <c r="A617" i="53"/>
  <c r="A616" i="53"/>
  <c r="A615" i="53"/>
  <c r="A614" i="53"/>
  <c r="A613" i="53"/>
  <c r="A612" i="53"/>
  <c r="A611" i="53"/>
  <c r="A610" i="53"/>
  <c r="A609" i="53"/>
  <c r="A608" i="53"/>
  <c r="A607" i="53"/>
  <c r="A606" i="53"/>
  <c r="A605" i="53"/>
  <c r="A604" i="53"/>
  <c r="A603" i="53"/>
  <c r="A602" i="53"/>
  <c r="A601" i="53"/>
  <c r="A600" i="53"/>
  <c r="A599" i="53"/>
  <c r="A598" i="53"/>
  <c r="A597" i="53"/>
  <c r="A596" i="53"/>
  <c r="A595" i="53"/>
  <c r="A594" i="53"/>
  <c r="A593" i="53"/>
  <c r="A592" i="53"/>
  <c r="A591" i="53"/>
  <c r="A590" i="53"/>
  <c r="A589" i="53"/>
  <c r="A588" i="53"/>
  <c r="A587" i="53"/>
  <c r="A586" i="53"/>
  <c r="A585" i="53"/>
  <c r="A584" i="53"/>
  <c r="A583" i="53"/>
  <c r="A582" i="53"/>
  <c r="A581" i="53"/>
  <c r="A580" i="53"/>
  <c r="A579" i="53"/>
  <c r="A578" i="53"/>
  <c r="A577" i="53"/>
  <c r="A576" i="53"/>
  <c r="A575" i="53"/>
  <c r="A574" i="53"/>
  <c r="A573" i="53"/>
  <c r="A572" i="53"/>
  <c r="A571" i="53"/>
  <c r="A570" i="53"/>
  <c r="A569" i="53"/>
  <c r="A568" i="53"/>
  <c r="A567" i="53"/>
  <c r="A566" i="53"/>
  <c r="A565" i="53"/>
  <c r="A564" i="53"/>
  <c r="A563" i="53"/>
  <c r="A562" i="53"/>
  <c r="A561" i="53"/>
  <c r="A560" i="53"/>
  <c r="A559" i="53"/>
  <c r="A558" i="53"/>
  <c r="A557" i="53"/>
  <c r="A556" i="53"/>
  <c r="A555" i="53"/>
  <c r="A554" i="53"/>
  <c r="A553" i="53"/>
  <c r="A552" i="53"/>
  <c r="A551" i="53"/>
  <c r="A550" i="53"/>
  <c r="A549" i="53"/>
  <c r="A548" i="53"/>
  <c r="A547" i="53"/>
  <c r="A546" i="53"/>
  <c r="A545" i="53"/>
  <c r="A544" i="53"/>
  <c r="A543" i="53"/>
  <c r="A542" i="53"/>
  <c r="A541" i="53"/>
  <c r="A540" i="53"/>
  <c r="A539" i="53"/>
  <c r="A538" i="53"/>
  <c r="A537" i="53"/>
  <c r="A536" i="53"/>
  <c r="A535" i="53"/>
  <c r="A534" i="53"/>
  <c r="A533" i="53"/>
  <c r="A532" i="53"/>
  <c r="A531" i="53"/>
  <c r="A530" i="53"/>
  <c r="A529" i="53"/>
  <c r="A528" i="53"/>
  <c r="A527" i="53"/>
  <c r="A526" i="53"/>
  <c r="A525" i="53"/>
  <c r="A524" i="53"/>
  <c r="A523" i="53"/>
  <c r="A522" i="53"/>
  <c r="A521" i="53"/>
  <c r="A520" i="53"/>
  <c r="A519" i="53"/>
  <c r="A518" i="53"/>
  <c r="A517" i="53"/>
  <c r="A516" i="53"/>
  <c r="A515" i="53"/>
  <c r="A514" i="53"/>
  <c r="A513" i="53"/>
  <c r="A512" i="53"/>
  <c r="A511" i="53"/>
  <c r="A510" i="53"/>
  <c r="A509" i="53"/>
  <c r="A508" i="53"/>
  <c r="A507" i="53"/>
  <c r="A506" i="53"/>
  <c r="A505" i="53"/>
  <c r="A504" i="53"/>
  <c r="A503" i="53"/>
  <c r="A502" i="53"/>
  <c r="A501" i="53"/>
  <c r="A500" i="53"/>
  <c r="A499" i="53"/>
  <c r="A498" i="53"/>
  <c r="A497" i="53"/>
  <c r="A496" i="53"/>
  <c r="A495" i="53"/>
  <c r="A494" i="53"/>
  <c r="A493" i="53"/>
  <c r="A492" i="53"/>
  <c r="A491" i="53"/>
  <c r="A490" i="53"/>
  <c r="A489" i="53"/>
  <c r="A488" i="53"/>
  <c r="A487" i="53"/>
  <c r="A486" i="53"/>
  <c r="A485" i="53"/>
  <c r="A484" i="53"/>
  <c r="A483" i="53"/>
  <c r="A482" i="53"/>
  <c r="A481" i="53"/>
  <c r="A480" i="53"/>
  <c r="A479" i="53"/>
  <c r="A478" i="53"/>
  <c r="A477" i="53"/>
  <c r="A476" i="53"/>
  <c r="A475" i="53"/>
  <c r="A474" i="53"/>
  <c r="A473" i="53"/>
  <c r="A472" i="53"/>
  <c r="A471" i="53"/>
  <c r="A470" i="53"/>
  <c r="A469" i="53"/>
  <c r="A468" i="53"/>
  <c r="A467" i="53"/>
  <c r="A466" i="53"/>
  <c r="A465" i="53"/>
  <c r="A464" i="53"/>
  <c r="A463" i="53"/>
  <c r="A462" i="53"/>
  <c r="A461" i="53"/>
  <c r="A460" i="53"/>
  <c r="A459" i="53"/>
  <c r="A458" i="53"/>
  <c r="A457" i="53"/>
  <c r="A456" i="53"/>
  <c r="A455" i="53"/>
  <c r="A454" i="53"/>
  <c r="A453" i="53"/>
  <c r="A452" i="53"/>
  <c r="A451" i="53"/>
  <c r="A450" i="53"/>
  <c r="A449" i="53"/>
  <c r="A448" i="53"/>
  <c r="A447" i="53"/>
  <c r="A446" i="53"/>
  <c r="A445" i="53"/>
  <c r="A444" i="53"/>
  <c r="A443" i="53"/>
  <c r="A442" i="53"/>
  <c r="A441" i="53"/>
  <c r="A440" i="53"/>
  <c r="A439" i="53"/>
  <c r="A438" i="53"/>
  <c r="A437" i="53"/>
  <c r="A436" i="53"/>
  <c r="A435" i="53"/>
  <c r="A434" i="53"/>
  <c r="A433" i="53"/>
  <c r="A432" i="53"/>
  <c r="A431" i="53"/>
  <c r="A430" i="53"/>
  <c r="A429" i="53"/>
  <c r="A428" i="53"/>
  <c r="A427" i="53"/>
  <c r="A426" i="53"/>
  <c r="A425" i="53"/>
  <c r="A424" i="53"/>
  <c r="A423" i="53"/>
  <c r="A422" i="53"/>
  <c r="A421" i="53"/>
  <c r="A420" i="53"/>
  <c r="A419" i="53"/>
  <c r="A418" i="53"/>
  <c r="A417" i="53"/>
  <c r="A416" i="53"/>
  <c r="A415" i="53"/>
  <c r="A414" i="53"/>
  <c r="A413" i="53"/>
  <c r="A412" i="53"/>
  <c r="A411" i="53"/>
  <c r="A410" i="53"/>
  <c r="A409" i="53"/>
  <c r="A408" i="53"/>
  <c r="A407" i="53"/>
  <c r="A406" i="53"/>
  <c r="A405" i="53"/>
  <c r="A404" i="53"/>
  <c r="A403" i="53"/>
  <c r="A402" i="53"/>
  <c r="A401" i="53"/>
  <c r="A400" i="53"/>
  <c r="A399" i="53"/>
  <c r="A398" i="53"/>
  <c r="A397" i="53"/>
  <c r="A396" i="53"/>
  <c r="A395" i="53"/>
  <c r="A394" i="53"/>
  <c r="A393" i="53"/>
  <c r="A392" i="53"/>
  <c r="A391" i="53"/>
  <c r="A390" i="53"/>
  <c r="A389" i="53"/>
  <c r="A388" i="53"/>
  <c r="A387" i="53"/>
  <c r="A386" i="53"/>
  <c r="A385" i="53"/>
  <c r="A384" i="53"/>
  <c r="A383" i="53"/>
  <c r="A382" i="53"/>
  <c r="A381" i="53"/>
  <c r="A380" i="53"/>
  <c r="A379" i="53"/>
  <c r="A378" i="53"/>
  <c r="A377" i="53"/>
  <c r="A376" i="53"/>
  <c r="A375" i="53"/>
  <c r="A374" i="53"/>
  <c r="A373" i="53"/>
  <c r="A372" i="53"/>
  <c r="A371" i="53"/>
  <c r="A370" i="53"/>
  <c r="A369" i="53"/>
  <c r="A368" i="53"/>
  <c r="A367" i="53"/>
  <c r="A366" i="53"/>
  <c r="A365" i="53"/>
  <c r="A364" i="53"/>
  <c r="A363" i="53"/>
  <c r="A362" i="53"/>
  <c r="A361" i="53"/>
  <c r="A360" i="53"/>
  <c r="A359" i="53"/>
  <c r="A358" i="53"/>
  <c r="A357" i="53"/>
  <c r="A356" i="53"/>
  <c r="A355" i="53"/>
  <c r="A354" i="53"/>
  <c r="A353" i="53"/>
  <c r="A352" i="53"/>
  <c r="A351" i="53"/>
  <c r="A350" i="53"/>
  <c r="A349" i="53"/>
  <c r="A348" i="53"/>
  <c r="A347" i="53"/>
  <c r="A346" i="53"/>
  <c r="A345" i="53"/>
  <c r="A344" i="53"/>
  <c r="A343" i="53"/>
  <c r="A342" i="53"/>
  <c r="A341" i="53"/>
  <c r="A340" i="53"/>
  <c r="A339" i="53"/>
  <c r="A338" i="53"/>
  <c r="A337" i="53"/>
  <c r="A336" i="53"/>
  <c r="A335" i="53"/>
  <c r="A334" i="53"/>
  <c r="A333" i="53"/>
  <c r="A332" i="53"/>
  <c r="A331" i="53"/>
  <c r="A330" i="53"/>
  <c r="A329" i="53"/>
  <c r="A328" i="53"/>
  <c r="A327" i="53"/>
  <c r="A326" i="53"/>
  <c r="A325" i="53"/>
  <c r="A324" i="53"/>
  <c r="A323" i="53"/>
  <c r="A322" i="53"/>
  <c r="A321" i="53"/>
  <c r="A320" i="53"/>
  <c r="A319" i="53"/>
  <c r="A318" i="53"/>
  <c r="A317" i="53"/>
  <c r="A316" i="53"/>
  <c r="A315" i="53"/>
  <c r="A314" i="53"/>
  <c r="A313" i="53"/>
  <c r="A312" i="53"/>
  <c r="A311" i="53"/>
  <c r="A310" i="53"/>
  <c r="A309" i="53"/>
  <c r="A308" i="53"/>
  <c r="A307" i="53"/>
  <c r="A306" i="53"/>
  <c r="A305" i="53"/>
  <c r="A304" i="53"/>
  <c r="A303" i="53"/>
  <c r="A302" i="53"/>
  <c r="A301" i="53"/>
  <c r="A300" i="53"/>
  <c r="A299" i="53"/>
  <c r="A298" i="53"/>
  <c r="A297" i="53"/>
  <c r="A296" i="53"/>
  <c r="A295" i="53"/>
  <c r="A294" i="53"/>
  <c r="A293" i="53"/>
  <c r="A292" i="53"/>
  <c r="A291" i="53"/>
  <c r="A290" i="53"/>
  <c r="A289" i="53"/>
  <c r="A288" i="53"/>
  <c r="A287" i="53"/>
  <c r="A286" i="53"/>
  <c r="A285" i="53"/>
  <c r="A284" i="53"/>
  <c r="A283" i="53"/>
  <c r="A282" i="53"/>
  <c r="A281" i="53"/>
  <c r="A280" i="53"/>
  <c r="A279" i="53"/>
  <c r="A278" i="53"/>
  <c r="A277" i="53"/>
  <c r="A276" i="53"/>
  <c r="A275" i="53"/>
  <c r="A274" i="53"/>
  <c r="A273" i="53"/>
  <c r="A272" i="53"/>
  <c r="A271" i="53"/>
  <c r="A270" i="53"/>
  <c r="A269" i="53"/>
  <c r="A268" i="53"/>
  <c r="A267" i="53"/>
  <c r="A266" i="53"/>
  <c r="A265" i="53"/>
  <c r="A264" i="53"/>
  <c r="A263" i="53"/>
  <c r="A262" i="53"/>
  <c r="A261" i="53"/>
  <c r="A260" i="53"/>
  <c r="A259" i="53"/>
  <c r="A258" i="53"/>
  <c r="A257" i="53"/>
  <c r="A256" i="53"/>
  <c r="A255" i="53"/>
  <c r="A254" i="53"/>
  <c r="A253" i="53"/>
  <c r="A252" i="53"/>
  <c r="A251" i="53"/>
  <c r="A250" i="53"/>
  <c r="A249" i="53"/>
  <c r="A248" i="53"/>
  <c r="A247" i="53"/>
  <c r="A246" i="53"/>
  <c r="A245" i="53"/>
  <c r="A244" i="53"/>
  <c r="A243" i="53"/>
  <c r="A242" i="53"/>
  <c r="A241" i="53"/>
  <c r="A240" i="53"/>
  <c r="A239" i="53"/>
  <c r="A238" i="53"/>
  <c r="A237" i="53"/>
  <c r="A236" i="53"/>
  <c r="A235" i="53"/>
  <c r="A234" i="53"/>
  <c r="A233" i="53"/>
  <c r="A232" i="53"/>
  <c r="A231" i="53"/>
  <c r="A230" i="53"/>
  <c r="A229" i="53"/>
  <c r="A228" i="53"/>
  <c r="A227" i="53"/>
  <c r="A226" i="53"/>
  <c r="A225" i="53"/>
  <c r="A224" i="53"/>
  <c r="A223" i="53"/>
  <c r="A222" i="53"/>
  <c r="A221" i="53"/>
  <c r="A220" i="53"/>
  <c r="A219" i="53"/>
  <c r="A218" i="53"/>
  <c r="A217" i="53"/>
  <c r="A216" i="53"/>
  <c r="A215" i="53"/>
  <c r="A214" i="53"/>
  <c r="A213" i="53"/>
  <c r="A212" i="53"/>
  <c r="A211" i="53"/>
  <c r="A210" i="53"/>
  <c r="A209" i="53"/>
  <c r="A208" i="53"/>
  <c r="A207" i="53"/>
  <c r="A206" i="53"/>
  <c r="A205" i="53"/>
  <c r="A204" i="53"/>
  <c r="A203" i="53"/>
  <c r="A202" i="53"/>
  <c r="A201" i="53"/>
  <c r="A200" i="53"/>
  <c r="A199" i="53"/>
  <c r="A198" i="53"/>
  <c r="A197" i="53"/>
  <c r="A196" i="53"/>
  <c r="A195" i="53"/>
  <c r="A194" i="53"/>
  <c r="A193" i="53"/>
  <c r="A192" i="53"/>
  <c r="A191" i="53"/>
  <c r="A190" i="53"/>
  <c r="A189" i="53"/>
  <c r="A188" i="53"/>
  <c r="A187" i="53"/>
  <c r="A186" i="53"/>
  <c r="A185" i="53"/>
  <c r="A184" i="53"/>
  <c r="A183" i="53"/>
  <c r="A182" i="53"/>
  <c r="A181" i="53"/>
  <c r="A180" i="53"/>
  <c r="A179" i="53"/>
  <c r="A178" i="53"/>
  <c r="A177" i="53"/>
  <c r="A176" i="53"/>
  <c r="A175" i="53"/>
  <c r="A174" i="53"/>
  <c r="A173" i="53"/>
  <c r="A172" i="53"/>
  <c r="A171" i="53"/>
  <c r="A170" i="53"/>
  <c r="A169" i="53"/>
  <c r="A168" i="53"/>
  <c r="A167" i="53"/>
  <c r="A166" i="53"/>
  <c r="A165" i="53"/>
  <c r="A164" i="53"/>
  <c r="A163" i="53"/>
  <c r="A162" i="53"/>
  <c r="A161" i="53"/>
  <c r="A160" i="53"/>
  <c r="A159" i="53"/>
  <c r="A158" i="53"/>
  <c r="A157" i="53"/>
  <c r="A156" i="53"/>
  <c r="A155" i="53"/>
  <c r="A154" i="53"/>
  <c r="A153" i="53"/>
  <c r="A152" i="53"/>
  <c r="A151" i="53"/>
  <c r="A150" i="53"/>
  <c r="A149" i="53"/>
  <c r="A148" i="53"/>
  <c r="A147" i="53"/>
  <c r="A146" i="53"/>
  <c r="A145" i="53"/>
  <c r="A144" i="53"/>
  <c r="A143" i="53"/>
  <c r="A142" i="53"/>
  <c r="A141" i="53"/>
  <c r="A140" i="53"/>
  <c r="A139" i="53"/>
  <c r="A138" i="53"/>
  <c r="A137" i="53"/>
  <c r="A136" i="53"/>
  <c r="A135" i="53"/>
  <c r="A134" i="53"/>
  <c r="A133" i="53"/>
  <c r="A132" i="53"/>
  <c r="A131" i="53"/>
  <c r="A130" i="53"/>
  <c r="A129" i="53"/>
  <c r="A128" i="53"/>
  <c r="A127" i="53"/>
  <c r="A126" i="53"/>
  <c r="A125" i="53"/>
  <c r="A124" i="53"/>
  <c r="A123" i="53"/>
  <c r="A122" i="53"/>
  <c r="A121" i="53"/>
  <c r="A120" i="53"/>
  <c r="A119" i="53"/>
  <c r="A118" i="53"/>
  <c r="A117" i="53"/>
  <c r="A116" i="53"/>
  <c r="A115" i="53"/>
  <c r="A114" i="53"/>
  <c r="A113" i="53"/>
  <c r="A112" i="53"/>
  <c r="A111" i="53"/>
  <c r="A110" i="53"/>
  <c r="A109" i="53"/>
  <c r="A108" i="53"/>
  <c r="A107" i="53"/>
  <c r="A106" i="53"/>
  <c r="A105" i="53"/>
  <c r="A104" i="53"/>
  <c r="A103" i="53"/>
  <c r="A102" i="53"/>
  <c r="A101" i="53"/>
  <c r="A100" i="53"/>
  <c r="A99" i="53"/>
  <c r="A98" i="53"/>
  <c r="A97" i="53"/>
  <c r="A96" i="53"/>
  <c r="A95" i="53"/>
  <c r="A94" i="53"/>
  <c r="A93" i="53"/>
  <c r="A92" i="53"/>
  <c r="A91" i="53"/>
  <c r="A90" i="53"/>
  <c r="A89" i="53"/>
  <c r="A88" i="53"/>
  <c r="A87" i="53"/>
  <c r="A86" i="53"/>
  <c r="A85" i="53"/>
  <c r="A84" i="53"/>
  <c r="A83" i="53"/>
  <c r="A82" i="53"/>
  <c r="A81" i="53"/>
  <c r="A80" i="53"/>
  <c r="A79" i="53"/>
  <c r="A78" i="53"/>
  <c r="A77" i="53"/>
  <c r="A76" i="53"/>
  <c r="A75" i="53"/>
  <c r="A74" i="53"/>
  <c r="A73" i="53"/>
  <c r="A72" i="53"/>
  <c r="A71" i="53"/>
  <c r="A70" i="53"/>
  <c r="A69" i="53"/>
  <c r="A68" i="53"/>
  <c r="A67" i="53"/>
  <c r="A66" i="53"/>
  <c r="A65" i="53"/>
  <c r="A64" i="53"/>
  <c r="A63" i="53"/>
  <c r="A62" i="53"/>
  <c r="A61" i="53"/>
  <c r="A60" i="53"/>
  <c r="A59" i="53"/>
  <c r="A58" i="53"/>
  <c r="A57" i="53"/>
  <c r="A56" i="53"/>
  <c r="A55" i="53"/>
  <c r="A54" i="53"/>
  <c r="A53" i="53"/>
  <c r="A52" i="53"/>
  <c r="A51" i="53"/>
  <c r="A50" i="53"/>
  <c r="A49" i="53"/>
  <c r="A48" i="53"/>
  <c r="A47" i="53"/>
  <c r="A46" i="53"/>
  <c r="A45" i="53"/>
  <c r="A44" i="53"/>
  <c r="A43" i="53"/>
  <c r="A42" i="53"/>
  <c r="A41" i="53"/>
  <c r="A40" i="53"/>
  <c r="A39" i="53"/>
  <c r="A38" i="53"/>
  <c r="A37" i="53"/>
  <c r="A36" i="53"/>
  <c r="A35" i="53"/>
  <c r="A34" i="53"/>
  <c r="A33" i="53"/>
  <c r="A32" i="53"/>
  <c r="A31" i="53"/>
  <c r="A30" i="53"/>
  <c r="A29" i="53"/>
  <c r="A28" i="53"/>
  <c r="A27" i="53"/>
  <c r="A26" i="53"/>
  <c r="A25" i="53"/>
  <c r="A24" i="53"/>
  <c r="A23" i="53"/>
  <c r="A22" i="53"/>
  <c r="A21" i="53"/>
  <c r="A20" i="53"/>
  <c r="A19" i="53"/>
  <c r="A18" i="53"/>
  <c r="A17" i="53"/>
  <c r="A16" i="53"/>
  <c r="A15" i="53"/>
  <c r="A14" i="53"/>
  <c r="A13" i="53"/>
  <c r="A12" i="53"/>
  <c r="A11" i="53"/>
  <c r="A10" i="53"/>
  <c r="A9" i="53"/>
  <c r="A8" i="53"/>
  <c r="A7" i="53"/>
  <c r="A6" i="53"/>
  <c r="A5" i="53"/>
  <c r="A4" i="53"/>
  <c r="A3" i="53"/>
  <c r="A2" i="53"/>
  <c r="A1" i="53"/>
  <c r="AI92" i="75"/>
  <c r="AS86" i="75"/>
  <c r="AK92" i="75" s="1"/>
  <c r="AP86" i="75"/>
  <c r="AN92" i="75" s="1"/>
  <c r="AS80" i="75"/>
  <c r="AF92" i="75" s="1"/>
  <c r="AP80" i="75"/>
  <c r="AN80" i="75"/>
  <c r="AF86" i="75" s="1"/>
  <c r="AK80" i="75"/>
  <c r="AI86" i="75" s="1"/>
  <c r="Y72" i="75"/>
  <c r="O57" i="75"/>
  <c r="N57" i="75"/>
  <c r="C57" i="75"/>
  <c r="B57" i="75"/>
  <c r="O56" i="75"/>
  <c r="N56" i="75"/>
  <c r="C56" i="75"/>
  <c r="B56" i="75"/>
  <c r="O55" i="75"/>
  <c r="N55" i="75"/>
  <c r="C55" i="75"/>
  <c r="B55" i="75"/>
  <c r="O54" i="75"/>
  <c r="N54" i="75"/>
  <c r="C54" i="75"/>
  <c r="B54" i="75"/>
  <c r="U48" i="75"/>
  <c r="AP82" i="75" s="1"/>
  <c r="AI94" i="75" s="1"/>
  <c r="O48" i="75"/>
  <c r="AS82" i="75" s="1"/>
  <c r="AF94" i="75" s="1"/>
  <c r="I48" i="75"/>
  <c r="AP25" i="75" s="1"/>
  <c r="C48" i="75"/>
  <c r="AS25" i="75" s="1"/>
  <c r="AF37" i="75" s="1"/>
  <c r="O39" i="75"/>
  <c r="N39" i="75"/>
  <c r="C39" i="75"/>
  <c r="B39" i="75"/>
  <c r="O38" i="75"/>
  <c r="N38" i="75"/>
  <c r="C38" i="75"/>
  <c r="B38" i="75"/>
  <c r="O37" i="75"/>
  <c r="N37" i="75"/>
  <c r="C37" i="75"/>
  <c r="B37" i="75"/>
  <c r="O36" i="75"/>
  <c r="N36" i="75"/>
  <c r="C36" i="75"/>
  <c r="B36" i="75"/>
  <c r="AI35" i="75"/>
  <c r="U30" i="75"/>
  <c r="AS88" i="75" s="1"/>
  <c r="AK94" i="75" s="1"/>
  <c r="AK90" i="75" s="1"/>
  <c r="O30" i="75"/>
  <c r="AP88" i="75" s="1"/>
  <c r="I30" i="75"/>
  <c r="AS31" i="75" s="1"/>
  <c r="AK37" i="75" s="1"/>
  <c r="AK33" i="75" s="1"/>
  <c r="C30" i="75"/>
  <c r="AP31" i="75" s="1"/>
  <c r="AP27" i="75" s="1"/>
  <c r="AS29" i="75"/>
  <c r="AK35" i="75" s="1"/>
  <c r="AP29" i="75"/>
  <c r="AN35" i="75" s="1"/>
  <c r="AI29" i="75"/>
  <c r="AN25" i="75"/>
  <c r="AF31" i="75" s="1"/>
  <c r="AS23" i="75"/>
  <c r="AF35" i="75" s="1"/>
  <c r="AP23" i="75"/>
  <c r="AN23" i="75"/>
  <c r="AF29" i="75" s="1"/>
  <c r="AK23" i="75"/>
  <c r="O21" i="75"/>
  <c r="N21" i="75"/>
  <c r="C21" i="75"/>
  <c r="B21" i="75"/>
  <c r="O20" i="75"/>
  <c r="N20" i="75"/>
  <c r="C20" i="75"/>
  <c r="B20" i="75"/>
  <c r="O19" i="75"/>
  <c r="N19" i="75"/>
  <c r="C19" i="75"/>
  <c r="B19" i="75"/>
  <c r="O18" i="75"/>
  <c r="N18" i="75"/>
  <c r="C18" i="75"/>
  <c r="B18" i="75"/>
  <c r="Y15" i="75"/>
  <c r="U12" i="75"/>
  <c r="AN82" i="75" s="1"/>
  <c r="AF88" i="75" s="1"/>
  <c r="O12" i="75"/>
  <c r="AK82" i="75" s="1"/>
  <c r="I12" i="75"/>
  <c r="C12" i="75"/>
  <c r="AK25" i="75" s="1"/>
  <c r="BI1" i="75"/>
  <c r="BI48" i="75" s="1"/>
  <c r="M1" i="75"/>
  <c r="A1" i="75"/>
  <c r="Y1" i="75" s="1"/>
  <c r="Y48" i="75" s="1"/>
  <c r="AI92" i="74"/>
  <c r="AS86" i="74"/>
  <c r="AK92" i="74" s="1"/>
  <c r="AP86" i="74"/>
  <c r="AN92" i="74" s="1"/>
  <c r="AI86" i="74"/>
  <c r="AS80" i="74"/>
  <c r="AF92" i="74" s="1"/>
  <c r="AP80" i="74"/>
  <c r="AN80" i="74"/>
  <c r="AF86" i="74" s="1"/>
  <c r="AK80" i="74"/>
  <c r="Y72" i="74"/>
  <c r="O57" i="74"/>
  <c r="N57" i="74"/>
  <c r="C57" i="74"/>
  <c r="B57" i="74"/>
  <c r="O56" i="74"/>
  <c r="N56" i="74"/>
  <c r="C56" i="74"/>
  <c r="B56" i="74"/>
  <c r="O55" i="74"/>
  <c r="N55" i="74"/>
  <c r="C55" i="74"/>
  <c r="B55" i="74"/>
  <c r="O54" i="74"/>
  <c r="N54" i="74"/>
  <c r="C54" i="74"/>
  <c r="B54" i="74"/>
  <c r="U48" i="74"/>
  <c r="AP82" i="74" s="1"/>
  <c r="AP78" i="74" s="1"/>
  <c r="O48" i="74"/>
  <c r="AS82" i="74" s="1"/>
  <c r="AF94" i="74" s="1"/>
  <c r="I48" i="74"/>
  <c r="AP25" i="74" s="1"/>
  <c r="C48" i="74"/>
  <c r="AS25" i="74" s="1"/>
  <c r="AF37" i="74" s="1"/>
  <c r="O39" i="74"/>
  <c r="N39" i="74"/>
  <c r="C39" i="74"/>
  <c r="B39" i="74"/>
  <c r="O38" i="74"/>
  <c r="N38" i="74"/>
  <c r="C38" i="74"/>
  <c r="B38" i="74"/>
  <c r="O37" i="74"/>
  <c r="N37" i="74"/>
  <c r="C37" i="74"/>
  <c r="B37" i="74"/>
  <c r="O36" i="74"/>
  <c r="N36" i="74"/>
  <c r="C36" i="74"/>
  <c r="B36" i="74"/>
  <c r="AN35" i="74"/>
  <c r="AK35" i="74"/>
  <c r="AF35" i="74"/>
  <c r="U30" i="74"/>
  <c r="AS88" i="74" s="1"/>
  <c r="AK94" i="74" s="1"/>
  <c r="AK90" i="74" s="1"/>
  <c r="O30" i="74"/>
  <c r="AP88" i="74" s="1"/>
  <c r="I30" i="74"/>
  <c r="AS31" i="74" s="1"/>
  <c r="AK37" i="74" s="1"/>
  <c r="C30" i="74"/>
  <c r="AP31" i="74" s="1"/>
  <c r="AN37" i="74" s="1"/>
  <c r="AS29" i="74"/>
  <c r="AP29" i="74"/>
  <c r="AF29" i="74"/>
  <c r="AS23" i="74"/>
  <c r="AP23" i="74"/>
  <c r="AI35" i="74" s="1"/>
  <c r="AN23" i="74"/>
  <c r="AK23" i="74"/>
  <c r="AI29" i="74" s="1"/>
  <c r="O21" i="74"/>
  <c r="N21" i="74"/>
  <c r="C21" i="74"/>
  <c r="B21" i="74"/>
  <c r="O20" i="74"/>
  <c r="N20" i="74"/>
  <c r="C20" i="74"/>
  <c r="B20" i="74"/>
  <c r="O19" i="74"/>
  <c r="N19" i="74"/>
  <c r="C19" i="74"/>
  <c r="B19" i="74"/>
  <c r="O18" i="74"/>
  <c r="N18" i="74"/>
  <c r="C18" i="74"/>
  <c r="B18" i="74"/>
  <c r="Y15" i="74"/>
  <c r="U12" i="74"/>
  <c r="AN82" i="74" s="1"/>
  <c r="O12" i="74"/>
  <c r="AK82" i="74" s="1"/>
  <c r="I12" i="74"/>
  <c r="AN25" i="74" s="1"/>
  <c r="C12" i="74"/>
  <c r="AK25" i="74" s="1"/>
  <c r="AK21" i="74" s="1"/>
  <c r="BI1" i="74"/>
  <c r="BI48" i="74" s="1"/>
  <c r="M1" i="74"/>
  <c r="A1" i="74"/>
  <c r="Y1" i="74" s="1"/>
  <c r="Y48" i="74" s="1"/>
  <c r="AN92" i="73"/>
  <c r="AF92" i="73"/>
  <c r="AS86" i="73"/>
  <c r="AK92" i="73" s="1"/>
  <c r="AP86" i="73"/>
  <c r="AS80" i="73"/>
  <c r="AP80" i="73"/>
  <c r="AI92" i="73" s="1"/>
  <c r="AN80" i="73"/>
  <c r="AF86" i="73" s="1"/>
  <c r="AK80" i="73"/>
  <c r="AI86" i="73" s="1"/>
  <c r="Y72" i="73"/>
  <c r="O57" i="73"/>
  <c r="N57" i="73"/>
  <c r="C57" i="73"/>
  <c r="B57" i="73"/>
  <c r="O56" i="73"/>
  <c r="N56" i="73"/>
  <c r="C56" i="73"/>
  <c r="B56" i="73"/>
  <c r="O55" i="73"/>
  <c r="N55" i="73"/>
  <c r="C55" i="73"/>
  <c r="B55" i="73"/>
  <c r="O54" i="73"/>
  <c r="N54" i="73"/>
  <c r="C54" i="73"/>
  <c r="B54" i="73"/>
  <c r="BI48" i="73"/>
  <c r="U48" i="73"/>
  <c r="AP82" i="73" s="1"/>
  <c r="O48" i="73"/>
  <c r="AS82" i="73" s="1"/>
  <c r="AF94" i="73" s="1"/>
  <c r="I48" i="73"/>
  <c r="AP25" i="73" s="1"/>
  <c r="C48" i="73"/>
  <c r="AS25" i="73" s="1"/>
  <c r="AF37" i="73" s="1"/>
  <c r="O39" i="73"/>
  <c r="N39" i="73"/>
  <c r="C39" i="73"/>
  <c r="B39" i="73"/>
  <c r="O38" i="73"/>
  <c r="N38" i="73"/>
  <c r="C38" i="73"/>
  <c r="B38" i="73"/>
  <c r="O37" i="73"/>
  <c r="N37" i="73"/>
  <c r="C37" i="73"/>
  <c r="B37" i="73"/>
  <c r="O36" i="73"/>
  <c r="N36" i="73"/>
  <c r="C36" i="73"/>
  <c r="B36" i="73"/>
  <c r="AK35" i="73"/>
  <c r="AF35" i="73"/>
  <c r="U30" i="73"/>
  <c r="AS88" i="73" s="1"/>
  <c r="AK94" i="73" s="1"/>
  <c r="AK90" i="73" s="1"/>
  <c r="O30" i="73"/>
  <c r="AP88" i="73" s="1"/>
  <c r="I30" i="73"/>
  <c r="AS31" i="73" s="1"/>
  <c r="AK37" i="73" s="1"/>
  <c r="C30" i="73"/>
  <c r="AP31" i="73" s="1"/>
  <c r="AN37" i="73" s="1"/>
  <c r="AS29" i="73"/>
  <c r="AP29" i="73"/>
  <c r="AN35" i="73" s="1"/>
  <c r="AS23" i="73"/>
  <c r="AP23" i="73"/>
  <c r="AI35" i="73" s="1"/>
  <c r="AN23" i="73"/>
  <c r="AF29" i="73" s="1"/>
  <c r="AK23" i="73"/>
  <c r="AI29" i="73" s="1"/>
  <c r="O21" i="73"/>
  <c r="N21" i="73"/>
  <c r="C21" i="73"/>
  <c r="B21" i="73"/>
  <c r="O20" i="73"/>
  <c r="N20" i="73"/>
  <c r="C20" i="73"/>
  <c r="B20" i="73"/>
  <c r="O19" i="73"/>
  <c r="N19" i="73"/>
  <c r="C19" i="73"/>
  <c r="B19" i="73"/>
  <c r="O18" i="73"/>
  <c r="N18" i="73"/>
  <c r="C18" i="73"/>
  <c r="B18" i="73"/>
  <c r="Y15" i="73"/>
  <c r="U12" i="73"/>
  <c r="AN82" i="73" s="1"/>
  <c r="O12" i="73"/>
  <c r="AK82" i="73" s="1"/>
  <c r="I12" i="73"/>
  <c r="AN25" i="73" s="1"/>
  <c r="C12" i="73"/>
  <c r="AK25" i="73" s="1"/>
  <c r="AI31" i="73" s="1"/>
  <c r="BI1" i="73"/>
  <c r="M1" i="73"/>
  <c r="A1" i="73"/>
  <c r="Y1" i="73" s="1"/>
  <c r="Y48" i="73" s="1"/>
  <c r="AI92" i="72"/>
  <c r="AS86" i="72"/>
  <c r="AK92" i="72" s="1"/>
  <c r="AP86" i="72"/>
  <c r="AN92" i="72" s="1"/>
  <c r="AI86" i="72"/>
  <c r="AS82" i="72"/>
  <c r="AF94" i="72" s="1"/>
  <c r="AP82" i="72"/>
  <c r="AS80" i="72"/>
  <c r="AF92" i="72" s="1"/>
  <c r="AP80" i="72"/>
  <c r="AN80" i="72"/>
  <c r="AF86" i="72" s="1"/>
  <c r="AK80" i="72"/>
  <c r="Y72" i="72"/>
  <c r="O57" i="72"/>
  <c r="N57" i="72"/>
  <c r="C57" i="72"/>
  <c r="B57" i="72"/>
  <c r="O56" i="72"/>
  <c r="N56" i="72"/>
  <c r="C56" i="72"/>
  <c r="B56" i="72"/>
  <c r="O55" i="72"/>
  <c r="N55" i="72"/>
  <c r="C55" i="72"/>
  <c r="B55" i="72"/>
  <c r="O54" i="72"/>
  <c r="N54" i="72"/>
  <c r="C54" i="72"/>
  <c r="B54" i="72"/>
  <c r="U48" i="72"/>
  <c r="O48" i="72"/>
  <c r="I48" i="72"/>
  <c r="AP25" i="72" s="1"/>
  <c r="C48" i="72"/>
  <c r="AS25" i="72" s="1"/>
  <c r="AF37" i="72" s="1"/>
  <c r="O39" i="72"/>
  <c r="N39" i="72"/>
  <c r="C39" i="72"/>
  <c r="B39" i="72"/>
  <c r="O38" i="72"/>
  <c r="N38" i="72"/>
  <c r="C38" i="72"/>
  <c r="B38" i="72"/>
  <c r="O37" i="72"/>
  <c r="N37" i="72"/>
  <c r="C37" i="72"/>
  <c r="B37" i="72"/>
  <c r="O36" i="72"/>
  <c r="N36" i="72"/>
  <c r="C36" i="72"/>
  <c r="B36" i="72"/>
  <c r="AK35" i="72"/>
  <c r="U30" i="72"/>
  <c r="AS88" i="72" s="1"/>
  <c r="O30" i="72"/>
  <c r="AP88" i="72" s="1"/>
  <c r="I30" i="72"/>
  <c r="AS31" i="72" s="1"/>
  <c r="AK37" i="72" s="1"/>
  <c r="AK33" i="72" s="1"/>
  <c r="C30" i="72"/>
  <c r="AP31" i="72" s="1"/>
  <c r="AS29" i="72"/>
  <c r="AP29" i="72"/>
  <c r="AN35" i="72" s="1"/>
  <c r="AS23" i="72"/>
  <c r="AF35" i="72" s="1"/>
  <c r="AP23" i="72"/>
  <c r="AI35" i="72" s="1"/>
  <c r="AN23" i="72"/>
  <c r="AF29" i="72" s="1"/>
  <c r="AK23" i="72"/>
  <c r="AI29" i="72" s="1"/>
  <c r="O21" i="72"/>
  <c r="N21" i="72"/>
  <c r="C21" i="72"/>
  <c r="B21" i="72"/>
  <c r="O20" i="72"/>
  <c r="N20" i="72"/>
  <c r="C20" i="72"/>
  <c r="B20" i="72"/>
  <c r="O19" i="72"/>
  <c r="N19" i="72"/>
  <c r="C19" i="72"/>
  <c r="B19" i="72"/>
  <c r="O18" i="72"/>
  <c r="N18" i="72"/>
  <c r="C18" i="72"/>
  <c r="B18" i="72"/>
  <c r="Y15" i="72"/>
  <c r="U12" i="72"/>
  <c r="AN82" i="72" s="1"/>
  <c r="AF88" i="72" s="1"/>
  <c r="AF84" i="72" s="1"/>
  <c r="O12" i="72"/>
  <c r="AK82" i="72" s="1"/>
  <c r="AI88" i="72" s="1"/>
  <c r="I12" i="72"/>
  <c r="AN25" i="72" s="1"/>
  <c r="C12" i="72"/>
  <c r="AK25" i="72" s="1"/>
  <c r="BI1" i="72"/>
  <c r="BI48" i="72" s="1"/>
  <c r="M1" i="72"/>
  <c r="A1" i="72"/>
  <c r="Y1" i="72" s="1"/>
  <c r="Y48" i="72" s="1"/>
  <c r="AI92" i="71"/>
  <c r="AS86" i="71"/>
  <c r="AK92" i="71" s="1"/>
  <c r="AP86" i="71"/>
  <c r="AN92" i="71" s="1"/>
  <c r="AS80" i="71"/>
  <c r="AF92" i="71" s="1"/>
  <c r="AP80" i="71"/>
  <c r="AN80" i="71"/>
  <c r="AF86" i="71" s="1"/>
  <c r="AK80" i="71"/>
  <c r="AI86" i="71" s="1"/>
  <c r="Y72" i="71"/>
  <c r="O57" i="71"/>
  <c r="N57" i="71"/>
  <c r="C57" i="71"/>
  <c r="B57" i="71"/>
  <c r="O56" i="71"/>
  <c r="N56" i="71"/>
  <c r="C56" i="71"/>
  <c r="B56" i="71"/>
  <c r="O55" i="71"/>
  <c r="N55" i="71"/>
  <c r="C55" i="71"/>
  <c r="B55" i="71"/>
  <c r="O54" i="71"/>
  <c r="N54" i="71"/>
  <c r="C54" i="71"/>
  <c r="B54" i="71"/>
  <c r="U48" i="71"/>
  <c r="AP82" i="71" s="1"/>
  <c r="AI94" i="71" s="1"/>
  <c r="O48" i="71"/>
  <c r="AS82" i="71" s="1"/>
  <c r="AF94" i="71" s="1"/>
  <c r="I48" i="71"/>
  <c r="AP25" i="71" s="1"/>
  <c r="C48" i="71"/>
  <c r="AS25" i="71" s="1"/>
  <c r="AF37" i="71" s="1"/>
  <c r="O39" i="71"/>
  <c r="N39" i="71"/>
  <c r="C39" i="71"/>
  <c r="B39" i="71"/>
  <c r="O38" i="71"/>
  <c r="N38" i="71"/>
  <c r="C38" i="71"/>
  <c r="B38" i="71"/>
  <c r="O37" i="71"/>
  <c r="N37" i="71"/>
  <c r="C37" i="71"/>
  <c r="B37" i="71"/>
  <c r="O36" i="71"/>
  <c r="N36" i="71"/>
  <c r="C36" i="71"/>
  <c r="B36" i="71"/>
  <c r="AN35" i="71"/>
  <c r="AF35" i="71"/>
  <c r="U30" i="71"/>
  <c r="AS88" i="71" s="1"/>
  <c r="AK94" i="71" s="1"/>
  <c r="AK90" i="71" s="1"/>
  <c r="O30" i="71"/>
  <c r="AP88" i="71" s="1"/>
  <c r="I30" i="71"/>
  <c r="AS31" i="71" s="1"/>
  <c r="AK37" i="71" s="1"/>
  <c r="C30" i="71"/>
  <c r="AP31" i="71" s="1"/>
  <c r="AN37" i="71" s="1"/>
  <c r="AS29" i="71"/>
  <c r="AK35" i="71" s="1"/>
  <c r="AP29" i="71"/>
  <c r="AI29" i="71"/>
  <c r="AS23" i="71"/>
  <c r="AP23" i="71"/>
  <c r="AI35" i="71" s="1"/>
  <c r="AN23" i="71"/>
  <c r="AF29" i="71" s="1"/>
  <c r="AK23" i="71"/>
  <c r="O21" i="71"/>
  <c r="N21" i="71"/>
  <c r="C21" i="71"/>
  <c r="B21" i="71"/>
  <c r="O20" i="71"/>
  <c r="N20" i="71"/>
  <c r="C20" i="71"/>
  <c r="B20" i="71"/>
  <c r="O19" i="71"/>
  <c r="N19" i="71"/>
  <c r="C19" i="71"/>
  <c r="B19" i="71"/>
  <c r="O18" i="71"/>
  <c r="N18" i="71"/>
  <c r="C18" i="71"/>
  <c r="B18" i="71"/>
  <c r="Y15" i="71"/>
  <c r="U12" i="71"/>
  <c r="AN82" i="71" s="1"/>
  <c r="O12" i="71"/>
  <c r="AK82" i="71" s="1"/>
  <c r="I12" i="71"/>
  <c r="AN25" i="71" s="1"/>
  <c r="C12" i="71"/>
  <c r="AK25" i="71" s="1"/>
  <c r="BI1" i="71"/>
  <c r="BI48" i="71" s="1"/>
  <c r="M1" i="71"/>
  <c r="A1" i="71"/>
  <c r="Y1" i="71" s="1"/>
  <c r="Y48" i="71" s="1"/>
  <c r="AN92" i="70"/>
  <c r="AF92" i="70"/>
  <c r="AS86" i="70"/>
  <c r="AK92" i="70" s="1"/>
  <c r="AP86" i="70"/>
  <c r="AK82" i="70"/>
  <c r="AS80" i="70"/>
  <c r="AP80" i="70"/>
  <c r="AI92" i="70" s="1"/>
  <c r="AN80" i="70"/>
  <c r="AF86" i="70" s="1"/>
  <c r="AK80" i="70"/>
  <c r="AI86" i="70" s="1"/>
  <c r="Y72" i="70"/>
  <c r="O57" i="70"/>
  <c r="N57" i="70"/>
  <c r="C57" i="70"/>
  <c r="B57" i="70"/>
  <c r="O56" i="70"/>
  <c r="N56" i="70"/>
  <c r="C56" i="70"/>
  <c r="B56" i="70"/>
  <c r="O55" i="70"/>
  <c r="N55" i="70"/>
  <c r="C55" i="70"/>
  <c r="B55" i="70"/>
  <c r="O54" i="70"/>
  <c r="N54" i="70"/>
  <c r="C54" i="70"/>
  <c r="B54" i="70"/>
  <c r="U48" i="70"/>
  <c r="AP82" i="70" s="1"/>
  <c r="O48" i="70"/>
  <c r="AS82" i="70" s="1"/>
  <c r="AF94" i="70" s="1"/>
  <c r="I48" i="70"/>
  <c r="AP25" i="70" s="1"/>
  <c r="C48" i="70"/>
  <c r="AS25" i="70" s="1"/>
  <c r="AF37" i="70" s="1"/>
  <c r="O39" i="70"/>
  <c r="N39" i="70"/>
  <c r="C39" i="70"/>
  <c r="B39" i="70"/>
  <c r="O38" i="70"/>
  <c r="N38" i="70"/>
  <c r="C38" i="70"/>
  <c r="B38" i="70"/>
  <c r="O37" i="70"/>
  <c r="N37" i="70"/>
  <c r="C37" i="70"/>
  <c r="B37" i="70"/>
  <c r="O36" i="70"/>
  <c r="N36" i="70"/>
  <c r="C36" i="70"/>
  <c r="B36" i="70"/>
  <c r="AF35" i="70"/>
  <c r="U30" i="70"/>
  <c r="AS88" i="70" s="1"/>
  <c r="AK94" i="70" s="1"/>
  <c r="AK90" i="70" s="1"/>
  <c r="O30" i="70"/>
  <c r="AP88" i="70" s="1"/>
  <c r="AN94" i="70" s="1"/>
  <c r="I30" i="70"/>
  <c r="AS31" i="70" s="1"/>
  <c r="AK37" i="70" s="1"/>
  <c r="C30" i="70"/>
  <c r="AP31" i="70" s="1"/>
  <c r="AS29" i="70"/>
  <c r="AK35" i="70" s="1"/>
  <c r="AP29" i="70"/>
  <c r="AN35" i="70" s="1"/>
  <c r="AK25" i="70"/>
  <c r="AI31" i="70" s="1"/>
  <c r="AS23" i="70"/>
  <c r="AP23" i="70"/>
  <c r="AI35" i="70" s="1"/>
  <c r="AN23" i="70"/>
  <c r="AF29" i="70" s="1"/>
  <c r="AK23" i="70"/>
  <c r="AI29" i="70" s="1"/>
  <c r="O21" i="70"/>
  <c r="N21" i="70"/>
  <c r="C21" i="70"/>
  <c r="B21" i="70"/>
  <c r="O20" i="70"/>
  <c r="N20" i="70"/>
  <c r="C20" i="70"/>
  <c r="B20" i="70"/>
  <c r="O19" i="70"/>
  <c r="N19" i="70"/>
  <c r="C19" i="70"/>
  <c r="B19" i="70"/>
  <c r="O18" i="70"/>
  <c r="N18" i="70"/>
  <c r="C18" i="70"/>
  <c r="B18" i="70"/>
  <c r="Y15" i="70"/>
  <c r="U12" i="70"/>
  <c r="AN82" i="70" s="1"/>
  <c r="O12" i="70"/>
  <c r="I12" i="70"/>
  <c r="AN25" i="70" s="1"/>
  <c r="C12" i="70"/>
  <c r="BI1" i="70"/>
  <c r="BI48" i="70" s="1"/>
  <c r="M1" i="70"/>
  <c r="A1" i="70"/>
  <c r="Y1" i="70" s="1"/>
  <c r="Y48" i="70" s="1"/>
  <c r="AK92" i="69"/>
  <c r="AF92" i="69"/>
  <c r="AS86" i="69"/>
  <c r="AP86" i="69"/>
  <c r="AN92" i="69" s="1"/>
  <c r="AI86" i="69"/>
  <c r="AK82" i="69"/>
  <c r="AI88" i="69" s="1"/>
  <c r="AS80" i="69"/>
  <c r="AP80" i="69"/>
  <c r="AI92" i="69" s="1"/>
  <c r="AN80" i="69"/>
  <c r="AF86" i="69" s="1"/>
  <c r="AK80" i="69"/>
  <c r="Y72" i="69"/>
  <c r="Z62" i="69"/>
  <c r="O57" i="69"/>
  <c r="N57" i="69"/>
  <c r="C57" i="69"/>
  <c r="B57" i="69"/>
  <c r="O56" i="69"/>
  <c r="N56" i="69"/>
  <c r="C56" i="69"/>
  <c r="B56" i="69"/>
  <c r="O55" i="69"/>
  <c r="N55" i="69"/>
  <c r="C55" i="69"/>
  <c r="B55" i="69"/>
  <c r="O54" i="69"/>
  <c r="N54" i="69"/>
  <c r="C54" i="69"/>
  <c r="B54" i="69"/>
  <c r="U48" i="69"/>
  <c r="AP82" i="69" s="1"/>
  <c r="O48" i="69"/>
  <c r="AS82" i="69" s="1"/>
  <c r="AF94" i="69" s="1"/>
  <c r="I48" i="69"/>
  <c r="AP25" i="69" s="1"/>
  <c r="C48" i="69"/>
  <c r="AS25" i="69" s="1"/>
  <c r="AF37" i="69" s="1"/>
  <c r="O39" i="69"/>
  <c r="N39" i="69"/>
  <c r="C39" i="69"/>
  <c r="B39" i="69"/>
  <c r="O38" i="69"/>
  <c r="N38" i="69"/>
  <c r="C38" i="69"/>
  <c r="B38" i="69"/>
  <c r="O37" i="69"/>
  <c r="N37" i="69"/>
  <c r="C37" i="69"/>
  <c r="B37" i="69"/>
  <c r="O36" i="69"/>
  <c r="N36" i="69"/>
  <c r="C36" i="69"/>
  <c r="B36" i="69"/>
  <c r="AN35" i="69"/>
  <c r="AF35" i="69"/>
  <c r="AS31" i="69"/>
  <c r="AK37" i="69" s="1"/>
  <c r="U30" i="69"/>
  <c r="AS88" i="69" s="1"/>
  <c r="AK94" i="69" s="1"/>
  <c r="AK90" i="69" s="1"/>
  <c r="O30" i="69"/>
  <c r="AP88" i="69" s="1"/>
  <c r="I30" i="69"/>
  <c r="C30" i="69"/>
  <c r="AP31" i="69" s="1"/>
  <c r="AN37" i="69" s="1"/>
  <c r="AS29" i="69"/>
  <c r="AK35" i="69" s="1"/>
  <c r="AP29" i="69"/>
  <c r="AK25" i="69"/>
  <c r="AS23" i="69"/>
  <c r="AP23" i="69"/>
  <c r="AI35" i="69" s="1"/>
  <c r="AN23" i="69"/>
  <c r="AF29" i="69" s="1"/>
  <c r="AK23" i="69"/>
  <c r="AI29" i="69" s="1"/>
  <c r="O21" i="69"/>
  <c r="N21" i="69"/>
  <c r="C21" i="69"/>
  <c r="B21" i="69"/>
  <c r="O20" i="69"/>
  <c r="N20" i="69"/>
  <c r="C20" i="69"/>
  <c r="B20" i="69"/>
  <c r="O19" i="69"/>
  <c r="N19" i="69"/>
  <c r="C19" i="69"/>
  <c r="B19" i="69"/>
  <c r="O18" i="69"/>
  <c r="N18" i="69"/>
  <c r="C18" i="69"/>
  <c r="B18" i="69"/>
  <c r="Y15" i="69"/>
  <c r="U12" i="69"/>
  <c r="AN82" i="69" s="1"/>
  <c r="O12" i="69"/>
  <c r="I12" i="69"/>
  <c r="AN25" i="69" s="1"/>
  <c r="C12" i="69"/>
  <c r="O9" i="69"/>
  <c r="V30" i="69" s="1"/>
  <c r="N9" i="69"/>
  <c r="Z64" i="69" s="1"/>
  <c r="C9" i="69"/>
  <c r="AC9" i="69" s="1"/>
  <c r="Y33" i="69" s="1"/>
  <c r="AP15" i="69" s="1"/>
  <c r="B9" i="69"/>
  <c r="Z9" i="69" s="1"/>
  <c r="O8" i="69"/>
  <c r="AL7" i="80" s="1"/>
  <c r="N8" i="69"/>
  <c r="C8" i="69"/>
  <c r="B30" i="69" s="1"/>
  <c r="V37" i="69" s="1"/>
  <c r="B8" i="69"/>
  <c r="Z8" i="69" s="1"/>
  <c r="O7" i="69"/>
  <c r="V48" i="69" s="1"/>
  <c r="K53" i="7" s="1"/>
  <c r="N7" i="69"/>
  <c r="Z60" i="69" s="1"/>
  <c r="C7" i="69"/>
  <c r="B12" i="69" s="1"/>
  <c r="I43" i="7" s="1"/>
  <c r="B7" i="69"/>
  <c r="Z7" i="69" s="1"/>
  <c r="N6" i="69"/>
  <c r="AB58" i="69" s="1"/>
  <c r="AC72" i="69" s="1"/>
  <c r="B6" i="69"/>
  <c r="AF4" i="80" s="1"/>
  <c r="AC45" i="80" s="1"/>
  <c r="BI1" i="69"/>
  <c r="BI48" i="69" s="1"/>
  <c r="M1" i="69"/>
  <c r="A1" i="69"/>
  <c r="Y1" i="69" s="1"/>
  <c r="Y48" i="69" s="1"/>
  <c r="AK92" i="68"/>
  <c r="AF92" i="68"/>
  <c r="AS88" i="68"/>
  <c r="AK94" i="68" s="1"/>
  <c r="AK90" i="68" s="1"/>
  <c r="AS86" i="68"/>
  <c r="AP86" i="68"/>
  <c r="AN92" i="68" s="1"/>
  <c r="AI86" i="68"/>
  <c r="AP82" i="68"/>
  <c r="AS80" i="68"/>
  <c r="AP80" i="68"/>
  <c r="AI92" i="68" s="1"/>
  <c r="AN80" i="68"/>
  <c r="AF86" i="68" s="1"/>
  <c r="AK80" i="68"/>
  <c r="Y72" i="68"/>
  <c r="O57" i="68"/>
  <c r="N57" i="68"/>
  <c r="C57" i="68"/>
  <c r="B57" i="68"/>
  <c r="O56" i="68"/>
  <c r="N56" i="68"/>
  <c r="C56" i="68"/>
  <c r="B56" i="68"/>
  <c r="O55" i="68"/>
  <c r="N55" i="68"/>
  <c r="C55" i="68"/>
  <c r="B55" i="68"/>
  <c r="O54" i="68"/>
  <c r="N54" i="68"/>
  <c r="C54" i="68"/>
  <c r="B54" i="68"/>
  <c r="U48" i="68"/>
  <c r="O48" i="68"/>
  <c r="AS82" i="68" s="1"/>
  <c r="AF94" i="68" s="1"/>
  <c r="I48" i="68"/>
  <c r="AP25" i="68" s="1"/>
  <c r="C48" i="68"/>
  <c r="AS25" i="68" s="1"/>
  <c r="AF37" i="68" s="1"/>
  <c r="O39" i="68"/>
  <c r="N39" i="68"/>
  <c r="C39" i="68"/>
  <c r="B39" i="68"/>
  <c r="O38" i="68"/>
  <c r="N38" i="68"/>
  <c r="C38" i="68"/>
  <c r="B38" i="68"/>
  <c r="O37" i="68"/>
  <c r="N37" i="68"/>
  <c r="C37" i="68"/>
  <c r="B37" i="68"/>
  <c r="O36" i="68"/>
  <c r="N36" i="68"/>
  <c r="C36" i="68"/>
  <c r="B36" i="68"/>
  <c r="AN35" i="68"/>
  <c r="AF35" i="68"/>
  <c r="U30" i="68"/>
  <c r="O30" i="68"/>
  <c r="AP88" i="68" s="1"/>
  <c r="AN94" i="68" s="1"/>
  <c r="I30" i="68"/>
  <c r="AS31" i="68" s="1"/>
  <c r="AK37" i="68" s="1"/>
  <c r="AK33" i="68" s="1"/>
  <c r="C30" i="68"/>
  <c r="AP31" i="68" s="1"/>
  <c r="AN37" i="68" s="1"/>
  <c r="AS29" i="68"/>
  <c r="AK35" i="68" s="1"/>
  <c r="AP29" i="68"/>
  <c r="AI29" i="68"/>
  <c r="AS23" i="68"/>
  <c r="AP23" i="68"/>
  <c r="AI35" i="68" s="1"/>
  <c r="AN23" i="68"/>
  <c r="AF29" i="68" s="1"/>
  <c r="AK23" i="68"/>
  <c r="O21" i="68"/>
  <c r="N21" i="68"/>
  <c r="C21" i="68"/>
  <c r="B21" i="68"/>
  <c r="O20" i="68"/>
  <c r="N20" i="68"/>
  <c r="C20" i="68"/>
  <c r="B20" i="68"/>
  <c r="O19" i="68"/>
  <c r="N19" i="68"/>
  <c r="C19" i="68"/>
  <c r="B19" i="68"/>
  <c r="O18" i="68"/>
  <c r="N18" i="68"/>
  <c r="C18" i="68"/>
  <c r="B18" i="68"/>
  <c r="Y15" i="68"/>
  <c r="U12" i="68"/>
  <c r="AN82" i="68" s="1"/>
  <c r="O12" i="68"/>
  <c r="AK82" i="68" s="1"/>
  <c r="I12" i="68"/>
  <c r="AN25" i="68" s="1"/>
  <c r="C12" i="68"/>
  <c r="AK25" i="68" s="1"/>
  <c r="O9" i="68"/>
  <c r="AC64" i="68" s="1"/>
  <c r="Y90" i="68" s="1"/>
  <c r="AP72" i="68" s="1"/>
  <c r="N9" i="68"/>
  <c r="Z64" i="68" s="1"/>
  <c r="C9" i="68"/>
  <c r="D8" i="80" s="1"/>
  <c r="M23" i="80" s="1"/>
  <c r="B9" i="68"/>
  <c r="Z9" i="68" s="1"/>
  <c r="O8" i="68"/>
  <c r="J7" i="80" s="1"/>
  <c r="N8" i="68"/>
  <c r="Z62" i="68" s="1"/>
  <c r="C8" i="68"/>
  <c r="AC8" i="68" s="1"/>
  <c r="Y27" i="68" s="1"/>
  <c r="AK15" i="68" s="1"/>
  <c r="B8" i="68"/>
  <c r="Z8" i="68" s="1"/>
  <c r="O7" i="68"/>
  <c r="V48" i="68" s="1"/>
  <c r="F53" i="7" s="1"/>
  <c r="N7" i="68"/>
  <c r="Z60" i="68" s="1"/>
  <c r="C7" i="68"/>
  <c r="B12" i="68" s="1"/>
  <c r="B7" i="68"/>
  <c r="Z7" i="68" s="1"/>
  <c r="N6" i="68"/>
  <c r="J4" i="80" s="1"/>
  <c r="A53" i="80" s="1"/>
  <c r="B6" i="68"/>
  <c r="AB6" i="68" s="1"/>
  <c r="AC15" i="68" s="1"/>
  <c r="BI1" i="68"/>
  <c r="BI48" i="68" s="1"/>
  <c r="M1" i="68"/>
  <c r="A1" i="68"/>
  <c r="Y1" i="68" s="1"/>
  <c r="Y48" i="68" s="1"/>
  <c r="D75" i="79"/>
  <c r="BP73" i="79"/>
  <c r="BK75" i="79" s="1"/>
  <c r="BN73" i="79"/>
  <c r="BM75" i="79" s="1"/>
  <c r="BH73" i="79"/>
  <c r="AN73" i="79"/>
  <c r="AL73" i="79"/>
  <c r="AK75" i="79" s="1"/>
  <c r="AF73" i="79"/>
  <c r="L73" i="79"/>
  <c r="G75" i="79" s="1"/>
  <c r="P74" i="79" s="1"/>
  <c r="J73" i="79"/>
  <c r="I75" i="79" s="1"/>
  <c r="D73" i="79"/>
  <c r="P72" i="79" s="1"/>
  <c r="BP71" i="79"/>
  <c r="BU70" i="79" s="1"/>
  <c r="BN71" i="79"/>
  <c r="BM71" i="79"/>
  <c r="BK71" i="79"/>
  <c r="AN71" i="79"/>
  <c r="AF75" i="79" s="1"/>
  <c r="AL71" i="79"/>
  <c r="AH75" i="79" s="1"/>
  <c r="AK71" i="79"/>
  <c r="AS70" i="79" s="1"/>
  <c r="AI71" i="79"/>
  <c r="AR70" i="79" s="1"/>
  <c r="L71" i="79"/>
  <c r="J71" i="79"/>
  <c r="P70" i="79" s="1"/>
  <c r="I71" i="79"/>
  <c r="Q70" i="79" s="1"/>
  <c r="G71" i="79"/>
  <c r="AM70" i="79"/>
  <c r="BP65" i="79"/>
  <c r="BK67" i="79" s="1"/>
  <c r="BL66" i="79" s="1"/>
  <c r="BN65" i="79"/>
  <c r="BM67" i="79" s="1"/>
  <c r="BH65" i="79"/>
  <c r="BT64" i="79" s="1"/>
  <c r="AN65" i="79"/>
  <c r="AI67" i="79" s="1"/>
  <c r="AL65" i="79"/>
  <c r="AK67" i="79" s="1"/>
  <c r="L65" i="79"/>
  <c r="G67" i="79" s="1"/>
  <c r="J65" i="79"/>
  <c r="I67" i="79" s="1"/>
  <c r="D65" i="79"/>
  <c r="P64" i="79" s="1"/>
  <c r="BP63" i="79"/>
  <c r="BH67" i="79" s="1"/>
  <c r="BN63" i="79"/>
  <c r="BJ67" i="79" s="1"/>
  <c r="BU66" i="79" s="1"/>
  <c r="BM63" i="79"/>
  <c r="BK63" i="79"/>
  <c r="BJ65" i="79" s="1"/>
  <c r="AN63" i="79"/>
  <c r="AF67" i="79" s="1"/>
  <c r="AL63" i="79"/>
  <c r="AH67" i="79" s="1"/>
  <c r="AK63" i="79"/>
  <c r="AI63" i="79"/>
  <c r="AH65" i="79" s="1"/>
  <c r="L63" i="79"/>
  <c r="D67" i="79" s="1"/>
  <c r="J63" i="79"/>
  <c r="F67" i="79" s="1"/>
  <c r="Q66" i="79" s="1"/>
  <c r="I63" i="79"/>
  <c r="Q62" i="79" s="1"/>
  <c r="G63" i="79"/>
  <c r="F65" i="79" s="1"/>
  <c r="Q64" i="79" s="1"/>
  <c r="P62" i="79"/>
  <c r="K62" i="79"/>
  <c r="AI59" i="79"/>
  <c r="BP57" i="79"/>
  <c r="BK59" i="79" s="1"/>
  <c r="BN57" i="79"/>
  <c r="BM59" i="79" s="1"/>
  <c r="AN57" i="79"/>
  <c r="AL57" i="79"/>
  <c r="AK59" i="79" s="1"/>
  <c r="L57" i="79"/>
  <c r="K56" i="79" s="1"/>
  <c r="J57" i="79"/>
  <c r="I59" i="79" s="1"/>
  <c r="BP55" i="79"/>
  <c r="BH59" i="79" s="1"/>
  <c r="BN55" i="79"/>
  <c r="BJ59" i="79" s="1"/>
  <c r="BM55" i="79"/>
  <c r="BK55" i="79"/>
  <c r="BJ57" i="79" s="1"/>
  <c r="AN55" i="79"/>
  <c r="AF59" i="79" s="1"/>
  <c r="AL55" i="79"/>
  <c r="AM54" i="79" s="1"/>
  <c r="AK55" i="79"/>
  <c r="AS54" i="79" s="1"/>
  <c r="AI55" i="79"/>
  <c r="AH57" i="79" s="1"/>
  <c r="L55" i="79"/>
  <c r="D59" i="79" s="1"/>
  <c r="J55" i="79"/>
  <c r="F59" i="79" s="1"/>
  <c r="Q58" i="79" s="1"/>
  <c r="I55" i="79"/>
  <c r="G55" i="79"/>
  <c r="F57" i="79" s="1"/>
  <c r="Q56" i="79" s="1"/>
  <c r="BK51" i="79"/>
  <c r="BL50" i="79" s="1"/>
  <c r="BJ51" i="79"/>
  <c r="BH51" i="79"/>
  <c r="BT50" i="79" s="1"/>
  <c r="G51" i="79"/>
  <c r="BP49" i="79"/>
  <c r="BN49" i="79"/>
  <c r="BM51" i="79" s="1"/>
  <c r="AN49" i="79"/>
  <c r="AI51" i="79" s="1"/>
  <c r="AL49" i="79"/>
  <c r="AK51" i="79" s="1"/>
  <c r="L49" i="79"/>
  <c r="J49" i="79"/>
  <c r="I51" i="79" s="1"/>
  <c r="BP47" i="79"/>
  <c r="BN47" i="79"/>
  <c r="BM47" i="79"/>
  <c r="BU46" i="79" s="1"/>
  <c r="BK47" i="79"/>
  <c r="BJ49" i="79" s="1"/>
  <c r="BU48" i="79" s="1"/>
  <c r="AN47" i="79"/>
  <c r="AF51" i="79" s="1"/>
  <c r="AL47" i="79"/>
  <c r="AH51" i="79" s="1"/>
  <c r="AK47" i="79"/>
  <c r="AS46" i="79" s="1"/>
  <c r="AI47" i="79"/>
  <c r="AH49" i="79" s="1"/>
  <c r="AS48" i="79" s="1"/>
  <c r="L47" i="79"/>
  <c r="D51" i="79" s="1"/>
  <c r="J47" i="79"/>
  <c r="F51" i="79" s="1"/>
  <c r="I47" i="79"/>
  <c r="Q46" i="79" s="1"/>
  <c r="G47" i="79"/>
  <c r="F49" i="79" s="1"/>
  <c r="BT46" i="79"/>
  <c r="BY46" i="79" s="1"/>
  <c r="BO46" i="79"/>
  <c r="AM46" i="79"/>
  <c r="AF59" i="80"/>
  <c r="F59" i="80"/>
  <c r="AN57" i="80"/>
  <c r="AI59" i="80" s="1"/>
  <c r="AL57" i="80"/>
  <c r="AK59" i="80" s="1"/>
  <c r="L57" i="80"/>
  <c r="G59" i="80" s="1"/>
  <c r="J57" i="80"/>
  <c r="I59" i="80" s="1"/>
  <c r="AN55" i="80"/>
  <c r="AL55" i="80"/>
  <c r="AH59" i="80" s="1"/>
  <c r="AK55" i="80"/>
  <c r="AF57" i="80" s="1"/>
  <c r="AI55" i="80"/>
  <c r="AR54" i="80" s="1"/>
  <c r="L55" i="80"/>
  <c r="J55" i="80"/>
  <c r="I55" i="80"/>
  <c r="D57" i="80" s="1"/>
  <c r="P56" i="80" s="1"/>
  <c r="G55" i="80"/>
  <c r="P54" i="80" s="1"/>
  <c r="Q54" i="80"/>
  <c r="AH51" i="80"/>
  <c r="AF51" i="80"/>
  <c r="I51" i="80"/>
  <c r="D51" i="80"/>
  <c r="P50" i="80" s="1"/>
  <c r="AN49" i="80"/>
  <c r="AI51" i="80" s="1"/>
  <c r="AL49" i="80"/>
  <c r="AK51" i="80" s="1"/>
  <c r="AS50" i="80" s="1"/>
  <c r="AF49" i="80"/>
  <c r="L49" i="80"/>
  <c r="G51" i="80" s="1"/>
  <c r="J49" i="80"/>
  <c r="D49" i="80"/>
  <c r="P48" i="80" s="1"/>
  <c r="AN47" i="80"/>
  <c r="AL47" i="80"/>
  <c r="AK47" i="80"/>
  <c r="AI47" i="80"/>
  <c r="AR46" i="80" s="1"/>
  <c r="L47" i="80"/>
  <c r="K46" i="80" s="1"/>
  <c r="J47" i="80"/>
  <c r="F51" i="80" s="1"/>
  <c r="I47" i="80"/>
  <c r="G47" i="80"/>
  <c r="AS46" i="80"/>
  <c r="Q46" i="80"/>
  <c r="C41" i="50"/>
  <c r="C40" i="50"/>
  <c r="C39" i="50"/>
  <c r="Q39" i="50" s="1"/>
  <c r="C38" i="50"/>
  <c r="C37" i="50"/>
  <c r="C36" i="50"/>
  <c r="M36" i="50" s="1"/>
  <c r="C35" i="50"/>
  <c r="C34" i="50"/>
  <c r="C33" i="50"/>
  <c r="C32" i="50"/>
  <c r="C31" i="50"/>
  <c r="C30" i="50"/>
  <c r="C29" i="50"/>
  <c r="I29" i="50" s="1"/>
  <c r="C28" i="50"/>
  <c r="C27" i="50"/>
  <c r="Q27" i="50" s="1"/>
  <c r="C26" i="50"/>
  <c r="C25" i="50"/>
  <c r="C24" i="50"/>
  <c r="C23" i="50"/>
  <c r="C22" i="50"/>
  <c r="E22" i="50" s="1"/>
  <c r="C21" i="50"/>
  <c r="C20" i="50"/>
  <c r="C19" i="50"/>
  <c r="Q19" i="50" s="1"/>
  <c r="C18" i="50"/>
  <c r="C17" i="50"/>
  <c r="C16" i="50"/>
  <c r="C15" i="50"/>
  <c r="C14" i="50"/>
  <c r="C13" i="50"/>
  <c r="C12" i="50"/>
  <c r="C11" i="50"/>
  <c r="C10" i="50"/>
  <c r="I10" i="50" s="1"/>
  <c r="C9" i="50"/>
  <c r="C7" i="50"/>
  <c r="I8" i="50" s="1"/>
  <c r="C6" i="50"/>
  <c r="C5" i="50"/>
  <c r="C1" i="50"/>
  <c r="I74" i="7"/>
  <c r="D74" i="7"/>
  <c r="J73" i="7"/>
  <c r="E73" i="7"/>
  <c r="I69" i="7"/>
  <c r="D69" i="7"/>
  <c r="J68" i="7"/>
  <c r="E68" i="7"/>
  <c r="I65" i="7"/>
  <c r="D65" i="7"/>
  <c r="J64" i="7"/>
  <c r="E64" i="7"/>
  <c r="A1" i="7"/>
  <c r="GE88" i="26"/>
  <c r="AX49" i="26" s="1"/>
  <c r="GE87" i="26"/>
  <c r="J49" i="26" s="1"/>
  <c r="GE86" i="26"/>
  <c r="GE85" i="26"/>
  <c r="BF49" i="26" s="1"/>
  <c r="GE84" i="26"/>
  <c r="CH49" i="26" s="1"/>
  <c r="GE83" i="26"/>
  <c r="GE82" i="26"/>
  <c r="GE81" i="26"/>
  <c r="BV49" i="26" s="1"/>
  <c r="GE80" i="26"/>
  <c r="B49" i="26" s="1"/>
  <c r="GE79" i="26"/>
  <c r="EL79" i="26"/>
  <c r="EH79" i="26"/>
  <c r="ED79" i="26"/>
  <c r="ED87" i="26" s="1"/>
  <c r="DZ79" i="26"/>
  <c r="DV79" i="26"/>
  <c r="DR79" i="26"/>
  <c r="DR87" i="26" s="1"/>
  <c r="DN79" i="26"/>
  <c r="DJ79" i="26"/>
  <c r="DF79" i="26"/>
  <c r="DF87" i="26" s="1"/>
  <c r="DB79" i="26"/>
  <c r="CX79" i="26"/>
  <c r="CT79" i="26"/>
  <c r="CP79" i="26"/>
  <c r="CL79" i="26"/>
  <c r="CH79" i="26"/>
  <c r="CH87" i="26" s="1"/>
  <c r="CD79" i="26"/>
  <c r="BZ79" i="26"/>
  <c r="BV79" i="26"/>
  <c r="BV87" i="26" s="1"/>
  <c r="BR79" i="26"/>
  <c r="BN79" i="26"/>
  <c r="BJ79" i="26"/>
  <c r="BJ87" i="26" s="1"/>
  <c r="BF79" i="26"/>
  <c r="BB79" i="26"/>
  <c r="AX79" i="26"/>
  <c r="AX87" i="26" s="1"/>
  <c r="AT79" i="26"/>
  <c r="AP79" i="26"/>
  <c r="AL79" i="26"/>
  <c r="AL87" i="26" s="1"/>
  <c r="AH79" i="26"/>
  <c r="AD79" i="26"/>
  <c r="Z79" i="26"/>
  <c r="Z87" i="26" s="1"/>
  <c r="V79" i="26"/>
  <c r="R79" i="26"/>
  <c r="N79" i="26"/>
  <c r="N87" i="26" s="1"/>
  <c r="J79" i="26"/>
  <c r="F79" i="26"/>
  <c r="B79" i="26"/>
  <c r="B87" i="26" s="1"/>
  <c r="GE78" i="26"/>
  <c r="N49" i="26" s="1"/>
  <c r="GE77" i="26"/>
  <c r="ED49" i="26" s="1"/>
  <c r="GE76" i="26"/>
  <c r="GE75" i="26"/>
  <c r="GE74" i="26"/>
  <c r="DR49" i="26" s="1"/>
  <c r="GE73" i="26"/>
  <c r="DN49" i="26" s="1"/>
  <c r="GE72" i="26"/>
  <c r="V49" i="26" s="1"/>
  <c r="GE71" i="26"/>
  <c r="CT49" i="26" s="1"/>
  <c r="GE70" i="26"/>
  <c r="AL49" i="26" s="1"/>
  <c r="GE65" i="26"/>
  <c r="EH49" i="26" s="1"/>
  <c r="GE64" i="26"/>
  <c r="BZ49" i="26" s="1"/>
  <c r="GE63" i="26"/>
  <c r="AD49" i="26" s="1"/>
  <c r="GE62" i="26"/>
  <c r="F49" i="26" s="1"/>
  <c r="GE61" i="26"/>
  <c r="BN49" i="26" s="1"/>
  <c r="GE60" i="26"/>
  <c r="GE59" i="26"/>
  <c r="GE58" i="26"/>
  <c r="AP49" i="26" s="1"/>
  <c r="GE57" i="26"/>
  <c r="DB49" i="26" s="1"/>
  <c r="GE56" i="26"/>
  <c r="GE55" i="26"/>
  <c r="BR49" i="26" s="1"/>
  <c r="GE54" i="26"/>
  <c r="DV49" i="26" s="1"/>
  <c r="GE53" i="26"/>
  <c r="R49" i="26" s="1"/>
  <c r="GE52" i="26"/>
  <c r="BB49" i="26" s="1"/>
  <c r="GE51" i="26"/>
  <c r="CL49" i="26" s="1"/>
  <c r="GE50" i="26"/>
  <c r="Z49" i="26" s="1"/>
  <c r="GE49" i="26"/>
  <c r="DF49" i="26" s="1"/>
  <c r="EL49" i="26"/>
  <c r="CX49" i="26"/>
  <c r="CP49" i="26"/>
  <c r="CD49" i="26"/>
  <c r="BJ49" i="26"/>
  <c r="AH49" i="26"/>
  <c r="DH8" i="26"/>
  <c r="DS8" i="26" s="1"/>
  <c r="BF8" i="26"/>
  <c r="BQ8" i="26" s="1"/>
  <c r="D8" i="26"/>
  <c r="O8" i="26" s="1"/>
  <c r="DH7" i="26"/>
  <c r="DS7" i="26" s="1"/>
  <c r="D7" i="26"/>
  <c r="O7" i="26" s="1"/>
  <c r="BD34" i="26"/>
  <c r="T34" i="26"/>
  <c r="D5" i="26"/>
  <c r="AF24" i="26" s="1"/>
  <c r="A1" i="26"/>
  <c r="AE15" i="84"/>
  <c r="AB15" i="84"/>
  <c r="V15" i="84"/>
  <c r="S15" i="84"/>
  <c r="M15" i="84"/>
  <c r="J15" i="84"/>
  <c r="AE13" i="84"/>
  <c r="AB13" i="84"/>
  <c r="V13" i="84"/>
  <c r="S13" i="84"/>
  <c r="M13" i="84"/>
  <c r="J13" i="84"/>
  <c r="Y12" i="84"/>
  <c r="V12" i="84"/>
  <c r="M12" i="84"/>
  <c r="J12" i="84"/>
  <c r="AM54" i="80" l="1"/>
  <c r="AS58" i="80"/>
  <c r="K54" i="80"/>
  <c r="Q58" i="80"/>
  <c r="D59" i="80"/>
  <c r="P46" i="80"/>
  <c r="Q50" i="80"/>
  <c r="AM46" i="80"/>
  <c r="H58" i="80"/>
  <c r="AR50" i="80"/>
  <c r="AW50" i="80" s="1"/>
  <c r="AR48" i="80"/>
  <c r="AJ58" i="80"/>
  <c r="AR56" i="80"/>
  <c r="AJ50" i="80"/>
  <c r="BE84" i="69"/>
  <c r="BC90" i="69"/>
  <c r="H50" i="80"/>
  <c r="U50" i="80"/>
  <c r="AP27" i="69"/>
  <c r="AK78" i="68"/>
  <c r="U54" i="80"/>
  <c r="AK78" i="69"/>
  <c r="AS54" i="80"/>
  <c r="AW54" i="80"/>
  <c r="AK21" i="68"/>
  <c r="AI31" i="68"/>
  <c r="BE27" i="68" s="1"/>
  <c r="BC21" i="68"/>
  <c r="U46" i="80"/>
  <c r="AW46" i="80"/>
  <c r="DZ49" i="26"/>
  <c r="AR58" i="79"/>
  <c r="AK33" i="73"/>
  <c r="AC64" i="69"/>
  <c r="Y90" i="69" s="1"/>
  <c r="AP72" i="69" s="1"/>
  <c r="N48" i="68"/>
  <c r="D53" i="7" s="1"/>
  <c r="DJ49" i="26"/>
  <c r="AT49" i="26"/>
  <c r="J30" i="68"/>
  <c r="F47" i="7" s="1"/>
  <c r="BU54" i="79"/>
  <c r="AP21" i="72"/>
  <c r="AI37" i="72"/>
  <c r="AR50" i="79"/>
  <c r="P54" i="79"/>
  <c r="U54" i="79" s="1"/>
  <c r="Q54" i="79"/>
  <c r="BE78" i="71"/>
  <c r="AI94" i="73"/>
  <c r="AP78" i="73"/>
  <c r="P50" i="79"/>
  <c r="AP21" i="75"/>
  <c r="AI37" i="75"/>
  <c r="BU62" i="79"/>
  <c r="AS56" i="79"/>
  <c r="AJ58" i="79"/>
  <c r="AG66" i="79"/>
  <c r="AS62" i="79"/>
  <c r="AP21" i="74"/>
  <c r="AI37" i="74"/>
  <c r="BE33" i="74" s="1"/>
  <c r="AF33" i="74"/>
  <c r="BE21" i="74"/>
  <c r="G59" i="79"/>
  <c r="P58" i="79" s="1"/>
  <c r="U58" i="79" s="1"/>
  <c r="BC90" i="70"/>
  <c r="AP84" i="75"/>
  <c r="BC84" i="75"/>
  <c r="AP84" i="71"/>
  <c r="H74" i="79"/>
  <c r="K72" i="79"/>
  <c r="AP84" i="74"/>
  <c r="BL58" i="79"/>
  <c r="BT58" i="79"/>
  <c r="BU56" i="79"/>
  <c r="AJ50" i="79"/>
  <c r="AP84" i="73"/>
  <c r="AK33" i="74"/>
  <c r="BC33" i="74"/>
  <c r="AP27" i="74"/>
  <c r="BK33" i="74"/>
  <c r="BE27" i="70"/>
  <c r="H50" i="79"/>
  <c r="Q48" i="79"/>
  <c r="BE84" i="72"/>
  <c r="BT66" i="79"/>
  <c r="BY66" i="79" s="1"/>
  <c r="BO64" i="79"/>
  <c r="BE27" i="73"/>
  <c r="AP27" i="73"/>
  <c r="AJ66" i="79"/>
  <c r="AS64" i="79"/>
  <c r="AS66" i="79"/>
  <c r="AM64" i="79"/>
  <c r="P66" i="79"/>
  <c r="U66" i="79" s="1"/>
  <c r="H66" i="79"/>
  <c r="K64" i="79"/>
  <c r="H54" i="79"/>
  <c r="U70" i="79"/>
  <c r="AK21" i="70"/>
  <c r="BC27" i="75"/>
  <c r="AF27" i="75"/>
  <c r="BL62" i="79"/>
  <c r="AK21" i="73"/>
  <c r="AY21" i="73" s="1"/>
  <c r="BC21" i="73"/>
  <c r="AJ62" i="79"/>
  <c r="AF65" i="79"/>
  <c r="AR64" i="79" s="1"/>
  <c r="AW64" i="79" s="1"/>
  <c r="AR62" i="79"/>
  <c r="AW62" i="79" s="1"/>
  <c r="AI31" i="71"/>
  <c r="BE27" i="71" s="1"/>
  <c r="AK21" i="71"/>
  <c r="U62" i="79"/>
  <c r="H62" i="79"/>
  <c r="O62" i="79" s="1"/>
  <c r="AW70" i="79"/>
  <c r="AM72" i="79"/>
  <c r="AS74" i="79"/>
  <c r="AI75" i="79"/>
  <c r="AJ74" i="79" s="1"/>
  <c r="BH75" i="79"/>
  <c r="BT74" i="79" s="1"/>
  <c r="BO70" i="79"/>
  <c r="J6" i="80"/>
  <c r="M22" i="80" s="1"/>
  <c r="J56" i="68"/>
  <c r="AF6" i="80"/>
  <c r="AO24" i="80" s="1"/>
  <c r="V30" i="68"/>
  <c r="F49" i="7" s="1"/>
  <c r="AH19" i="80"/>
  <c r="AC56" i="80"/>
  <c r="AI53" i="80" s="1"/>
  <c r="AC60" i="69"/>
  <c r="Y78" i="69" s="1"/>
  <c r="AF72" i="69" s="1"/>
  <c r="AL6" i="80"/>
  <c r="AO22" i="80" s="1"/>
  <c r="D7" i="80"/>
  <c r="M19" i="80" s="1"/>
  <c r="AF7" i="80"/>
  <c r="AO19" i="80" s="1"/>
  <c r="I47" i="7"/>
  <c r="N12" i="69"/>
  <c r="I45" i="7" s="1"/>
  <c r="M17" i="80"/>
  <c r="A56" i="80"/>
  <c r="G53" i="80" s="1"/>
  <c r="F19" i="80"/>
  <c r="J38" i="69"/>
  <c r="K49" i="7"/>
  <c r="AB6" i="69"/>
  <c r="AC15" i="69" s="1"/>
  <c r="D4" i="80"/>
  <c r="A45" i="80" s="1"/>
  <c r="AF8" i="80"/>
  <c r="AB58" i="68"/>
  <c r="AC72" i="68" s="1"/>
  <c r="AL8" i="80"/>
  <c r="N12" i="68"/>
  <c r="N25" i="68" s="1"/>
  <c r="AC60" i="68"/>
  <c r="Y78" i="68" s="1"/>
  <c r="AF72" i="68" s="1"/>
  <c r="AC7" i="69"/>
  <c r="Y21" i="69" s="1"/>
  <c r="AF15" i="69" s="1"/>
  <c r="J8" i="80"/>
  <c r="M18" i="80" s="1"/>
  <c r="N48" i="69"/>
  <c r="N62" i="69" s="1"/>
  <c r="AL4" i="80"/>
  <c r="AC53" i="80" s="1"/>
  <c r="AC7" i="68"/>
  <c r="Y21" i="68" s="1"/>
  <c r="AF15" i="68" s="1"/>
  <c r="D6" i="80"/>
  <c r="M24" i="80" s="1"/>
  <c r="AL15" i="80"/>
  <c r="B42" i="69"/>
  <c r="B24" i="69"/>
  <c r="V60" i="68"/>
  <c r="V63" i="68"/>
  <c r="O6" i="26"/>
  <c r="CN34" i="26"/>
  <c r="E21" i="7"/>
  <c r="F21" i="7" s="1"/>
  <c r="AR58" i="80"/>
  <c r="AW58" i="80" s="1"/>
  <c r="AS50" i="79"/>
  <c r="AW50" i="79" s="1"/>
  <c r="AG50" i="79"/>
  <c r="G68" i="7"/>
  <c r="E59" i="7"/>
  <c r="F59" i="7" s="1"/>
  <c r="G64" i="7"/>
  <c r="B4" i="72"/>
  <c r="N4" i="72"/>
  <c r="T5" i="26"/>
  <c r="BQ6" i="26"/>
  <c r="BQ7" i="26"/>
  <c r="J5" i="7"/>
  <c r="K5" i="7" s="1"/>
  <c r="AK33" i="69"/>
  <c r="BC33" i="69"/>
  <c r="N4" i="68"/>
  <c r="E40" i="7"/>
  <c r="F40" i="7" s="1"/>
  <c r="B4" i="68"/>
  <c r="N4" i="70"/>
  <c r="B4" i="70"/>
  <c r="E5" i="7"/>
  <c r="F5" i="7" s="1"/>
  <c r="N4" i="74"/>
  <c r="B4" i="74"/>
  <c r="O5" i="7"/>
  <c r="P5" i="7" s="1"/>
  <c r="B4" i="73"/>
  <c r="N4" i="73"/>
  <c r="J21" i="7"/>
  <c r="K21" i="7" s="1"/>
  <c r="BP15" i="26"/>
  <c r="G73" i="7" s="1"/>
  <c r="B27" i="68"/>
  <c r="B24" i="68"/>
  <c r="B26" i="68"/>
  <c r="B23" i="68"/>
  <c r="B25" i="68"/>
  <c r="D43" i="7"/>
  <c r="V19" i="68"/>
  <c r="Q50" i="79"/>
  <c r="E50" i="79"/>
  <c r="B4" i="69"/>
  <c r="N4" i="69"/>
  <c r="J40" i="7"/>
  <c r="K40" i="7" s="1"/>
  <c r="B4" i="71"/>
  <c r="N4" i="71"/>
  <c r="N4" i="75"/>
  <c r="B4" i="75"/>
  <c r="B6" i="75" s="1"/>
  <c r="CZ24" i="26"/>
  <c r="DX34" i="26"/>
  <c r="O21" i="7"/>
  <c r="P21" i="7" s="1"/>
  <c r="P58" i="80"/>
  <c r="BU58" i="79"/>
  <c r="BY58" i="79" s="1"/>
  <c r="BI58" i="79"/>
  <c r="BU64" i="79"/>
  <c r="BY64" i="79" s="1"/>
  <c r="BI64" i="79"/>
  <c r="U64" i="79"/>
  <c r="AQ66" i="79"/>
  <c r="AO66" i="79"/>
  <c r="AP66" i="79"/>
  <c r="F21" i="80"/>
  <c r="A50" i="80"/>
  <c r="J45" i="80" s="1"/>
  <c r="BU50" i="79"/>
  <c r="BY50" i="79" s="1"/>
  <c r="AH59" i="79"/>
  <c r="BL74" i="79"/>
  <c r="J45" i="68"/>
  <c r="J44" i="68"/>
  <c r="J43" i="68"/>
  <c r="J42" i="68"/>
  <c r="J41" i="68"/>
  <c r="V38" i="68"/>
  <c r="N63" i="68"/>
  <c r="N60" i="68"/>
  <c r="N59" i="68"/>
  <c r="N61" i="68"/>
  <c r="J55" i="68"/>
  <c r="N62" i="68"/>
  <c r="AP78" i="68"/>
  <c r="AU78" i="68" s="1"/>
  <c r="AI94" i="68"/>
  <c r="BE90" i="68" s="1"/>
  <c r="AI37" i="69"/>
  <c r="BE33" i="69" s="1"/>
  <c r="AP21" i="69"/>
  <c r="J15" i="80"/>
  <c r="J17" i="80"/>
  <c r="AO17" i="80"/>
  <c r="H46" i="80"/>
  <c r="AJ46" i="80"/>
  <c r="F49" i="80"/>
  <c r="Q48" i="80" s="1"/>
  <c r="U48" i="80" s="1"/>
  <c r="AH49" i="80"/>
  <c r="AS48" i="80" s="1"/>
  <c r="AW48" i="80" s="1"/>
  <c r="E50" i="80"/>
  <c r="AG50" i="80"/>
  <c r="H54" i="80"/>
  <c r="AJ54" i="80"/>
  <c r="F57" i="80"/>
  <c r="Q56" i="80" s="1"/>
  <c r="U56" i="80" s="1"/>
  <c r="AH57" i="80"/>
  <c r="AS56" i="80" s="1"/>
  <c r="AW56" i="80" s="1"/>
  <c r="E58" i="80"/>
  <c r="AG58" i="80"/>
  <c r="H46" i="79"/>
  <c r="P46" i="79"/>
  <c r="U46" i="79" s="1"/>
  <c r="K48" i="79"/>
  <c r="BI50" i="79"/>
  <c r="K54" i="79"/>
  <c r="M54" i="79" s="1"/>
  <c r="AJ54" i="79"/>
  <c r="AR54" i="79"/>
  <c r="AW54" i="79" s="1"/>
  <c r="AM56" i="79"/>
  <c r="D57" i="79"/>
  <c r="AF57" i="79"/>
  <c r="BH57" i="79"/>
  <c r="N62" i="79"/>
  <c r="AM62" i="79"/>
  <c r="BT62" i="79"/>
  <c r="E66" i="79"/>
  <c r="AR66" i="79"/>
  <c r="AW66" i="79" s="1"/>
  <c r="BO72" i="79"/>
  <c r="AG74" i="79"/>
  <c r="AR74" i="79"/>
  <c r="AF88" i="68"/>
  <c r="BE78" i="68"/>
  <c r="BC33" i="68"/>
  <c r="B25" i="69"/>
  <c r="B23" i="69"/>
  <c r="V19" i="69"/>
  <c r="B27" i="69"/>
  <c r="B26" i="69"/>
  <c r="N30" i="69"/>
  <c r="V12" i="69"/>
  <c r="AC62" i="69"/>
  <c r="Y84" i="69" s="1"/>
  <c r="AK72" i="69" s="1"/>
  <c r="AI31" i="69"/>
  <c r="BE27" i="69" s="1"/>
  <c r="BC21" i="69"/>
  <c r="M14" i="80"/>
  <c r="M20" i="80"/>
  <c r="K48" i="80"/>
  <c r="AM48" i="80"/>
  <c r="K56" i="80"/>
  <c r="AM56" i="80"/>
  <c r="K46" i="79"/>
  <c r="AJ46" i="79"/>
  <c r="AR46" i="79"/>
  <c r="AW46" i="79" s="1"/>
  <c r="AM48" i="79"/>
  <c r="D49" i="79"/>
  <c r="AF49" i="79"/>
  <c r="BH49" i="79"/>
  <c r="N54" i="79"/>
  <c r="BL54" i="79"/>
  <c r="BT54" i="79"/>
  <c r="BY54" i="79" s="1"/>
  <c r="BO56" i="79"/>
  <c r="E58" i="79"/>
  <c r="AP62" i="79"/>
  <c r="BO62" i="79"/>
  <c r="BQ62" i="79" s="1"/>
  <c r="E64" i="79"/>
  <c r="BI66" i="79"/>
  <c r="F75" i="79"/>
  <c r="Q74" i="79" s="1"/>
  <c r="U74" i="79" s="1"/>
  <c r="K70" i="79"/>
  <c r="BJ75" i="79"/>
  <c r="BU74" i="79" s="1"/>
  <c r="BT70" i="79"/>
  <c r="BY70" i="79" s="1"/>
  <c r="AR72" i="79"/>
  <c r="J48" i="68"/>
  <c r="J7" i="68"/>
  <c r="AP7" i="68" s="1"/>
  <c r="BE21" i="68"/>
  <c r="AF31" i="68"/>
  <c r="BC78" i="68"/>
  <c r="BC90" i="68"/>
  <c r="AK21" i="69"/>
  <c r="AN94" i="69"/>
  <c r="AP84" i="69"/>
  <c r="AO14" i="80"/>
  <c r="BL46" i="79"/>
  <c r="BO48" i="79"/>
  <c r="O54" i="79"/>
  <c r="BO54" i="79"/>
  <c r="M62" i="79"/>
  <c r="AQ62" i="79"/>
  <c r="BT72" i="79"/>
  <c r="AW78" i="68"/>
  <c r="V62" i="69"/>
  <c r="V61" i="69"/>
  <c r="V63" i="69"/>
  <c r="J56" i="69"/>
  <c r="V60" i="69"/>
  <c r="V59" i="69"/>
  <c r="B48" i="69"/>
  <c r="J30" i="69"/>
  <c r="V45" i="68"/>
  <c r="V41" i="68"/>
  <c r="AI88" i="68"/>
  <c r="BE84" i="68" s="1"/>
  <c r="AF31" i="69"/>
  <c r="BE21" i="69"/>
  <c r="B44" i="69"/>
  <c r="AI94" i="69"/>
  <c r="BE90" i="69" s="1"/>
  <c r="AP78" i="69"/>
  <c r="AU78" i="69" s="1"/>
  <c r="BC78" i="69"/>
  <c r="AN37" i="70"/>
  <c r="AP27" i="70"/>
  <c r="AK33" i="70"/>
  <c r="BC33" i="70"/>
  <c r="AI37" i="70"/>
  <c r="AF33" i="70" s="1"/>
  <c r="AP21" i="70"/>
  <c r="AU21" i="70" s="1"/>
  <c r="BC78" i="70"/>
  <c r="F73" i="79"/>
  <c r="Q72" i="79" s="1"/>
  <c r="U72" i="79" s="1"/>
  <c r="H70" i="79"/>
  <c r="AH73" i="79"/>
  <c r="AS72" i="79" s="1"/>
  <c r="AJ70" i="79"/>
  <c r="BJ73" i="79"/>
  <c r="BU72" i="79" s="1"/>
  <c r="BL70" i="79"/>
  <c r="BI72" i="79"/>
  <c r="V62" i="68"/>
  <c r="V61" i="68"/>
  <c r="AC62" i="68"/>
  <c r="Y84" i="68" s="1"/>
  <c r="AK72" i="68" s="1"/>
  <c r="N30" i="68"/>
  <c r="V12" i="68"/>
  <c r="J9" i="68"/>
  <c r="AP9" i="68" s="1"/>
  <c r="AC9" i="68"/>
  <c r="Y33" i="68" s="1"/>
  <c r="AP15" i="68" s="1"/>
  <c r="AP27" i="68"/>
  <c r="B48" i="68"/>
  <c r="V59" i="68"/>
  <c r="B45" i="69"/>
  <c r="AI37" i="68"/>
  <c r="BE33" i="68" s="1"/>
  <c r="AP21" i="68"/>
  <c r="BA21" i="68" s="1"/>
  <c r="AP84" i="68"/>
  <c r="J48" i="69"/>
  <c r="BE78" i="69"/>
  <c r="AF88" i="69"/>
  <c r="V45" i="69"/>
  <c r="V44" i="69"/>
  <c r="V43" i="69"/>
  <c r="V42" i="69"/>
  <c r="V41" i="69"/>
  <c r="B41" i="69"/>
  <c r="B43" i="69"/>
  <c r="AW78" i="69"/>
  <c r="BA78" i="69"/>
  <c r="AY78" i="69"/>
  <c r="AP78" i="70"/>
  <c r="AI94" i="70"/>
  <c r="BE90" i="70" s="1"/>
  <c r="BK90" i="70" s="1"/>
  <c r="AK33" i="71"/>
  <c r="BC33" i="71"/>
  <c r="BE21" i="70"/>
  <c r="AF31" i="70"/>
  <c r="BC21" i="70"/>
  <c r="BK21" i="70" s="1"/>
  <c r="AK78" i="70"/>
  <c r="AP27" i="71"/>
  <c r="AP78" i="71"/>
  <c r="AI31" i="72"/>
  <c r="BE27" i="72" s="1"/>
  <c r="BC21" i="72"/>
  <c r="AK21" i="72"/>
  <c r="AF33" i="72"/>
  <c r="BC33" i="72"/>
  <c r="AP78" i="72"/>
  <c r="AI94" i="72"/>
  <c r="AF90" i="72" s="1"/>
  <c r="BC78" i="72"/>
  <c r="AN94" i="72"/>
  <c r="AP84" i="72"/>
  <c r="AW21" i="74"/>
  <c r="AY21" i="74"/>
  <c r="BA21" i="74"/>
  <c r="AU21" i="74"/>
  <c r="AW21" i="70"/>
  <c r="BA21" i="70"/>
  <c r="AP84" i="70"/>
  <c r="AI37" i="71"/>
  <c r="BE33" i="71" s="1"/>
  <c r="AP21" i="71"/>
  <c r="AF90" i="71"/>
  <c r="BC90" i="71"/>
  <c r="AK94" i="72"/>
  <c r="AK90" i="72" s="1"/>
  <c r="AI88" i="70"/>
  <c r="BE84" i="70" s="1"/>
  <c r="BC78" i="71"/>
  <c r="AF31" i="72"/>
  <c r="BE21" i="72"/>
  <c r="AN37" i="72"/>
  <c r="BE33" i="72" s="1"/>
  <c r="AP27" i="72"/>
  <c r="AK78" i="73"/>
  <c r="AI88" i="73"/>
  <c r="BE84" i="73" s="1"/>
  <c r="BC78" i="73"/>
  <c r="AF88" i="70"/>
  <c r="BE78" i="70"/>
  <c r="AY21" i="70"/>
  <c r="AF31" i="71"/>
  <c r="BE21" i="71"/>
  <c r="BC21" i="71"/>
  <c r="BK21" i="71" s="1"/>
  <c r="AF88" i="71"/>
  <c r="AN94" i="71"/>
  <c r="BE90" i="71" s="1"/>
  <c r="BC33" i="73"/>
  <c r="AI37" i="73"/>
  <c r="BE33" i="73" s="1"/>
  <c r="AP21" i="73"/>
  <c r="BA33" i="74"/>
  <c r="AU33" i="74"/>
  <c r="AY33" i="74"/>
  <c r="J12" i="68"/>
  <c r="B30" i="68"/>
  <c r="AC8" i="69"/>
  <c r="Y27" i="69" s="1"/>
  <c r="AK15" i="69" s="1"/>
  <c r="AI88" i="71"/>
  <c r="BE84" i="71" s="1"/>
  <c r="AK78" i="71"/>
  <c r="AK78" i="72"/>
  <c r="BE78" i="73"/>
  <c r="AF88" i="73"/>
  <c r="BC90" i="73"/>
  <c r="AF90" i="73"/>
  <c r="AW33" i="74"/>
  <c r="AI31" i="74"/>
  <c r="BE27" i="74" s="1"/>
  <c r="BC21" i="74"/>
  <c r="BK21" i="74" s="1"/>
  <c r="AF31" i="74"/>
  <c r="J12" i="69"/>
  <c r="AF31" i="73"/>
  <c r="BE21" i="73"/>
  <c r="BK21" i="73" s="1"/>
  <c r="AF88" i="74"/>
  <c r="BE78" i="74"/>
  <c r="BC90" i="74"/>
  <c r="BE78" i="72"/>
  <c r="BC84" i="72"/>
  <c r="AN94" i="73"/>
  <c r="BE90" i="73" s="1"/>
  <c r="AI94" i="74"/>
  <c r="AF90" i="74" s="1"/>
  <c r="BE21" i="75"/>
  <c r="AN94" i="74"/>
  <c r="BC33" i="75"/>
  <c r="AF33" i="75"/>
  <c r="AW27" i="75"/>
  <c r="BA27" i="75"/>
  <c r="AU27" i="75"/>
  <c r="AI88" i="75"/>
  <c r="BE84" i="75" s="1"/>
  <c r="BC78" i="75"/>
  <c r="AK78" i="75"/>
  <c r="AY27" i="75"/>
  <c r="BK84" i="75"/>
  <c r="BE78" i="75"/>
  <c r="AF90" i="75"/>
  <c r="BC90" i="75"/>
  <c r="AP78" i="75"/>
  <c r="AF84" i="75"/>
  <c r="AK78" i="74"/>
  <c r="AI88" i="74"/>
  <c r="BE84" i="74" s="1"/>
  <c r="BC78" i="74"/>
  <c r="AK21" i="75"/>
  <c r="AI31" i="75"/>
  <c r="BE27" i="75" s="1"/>
  <c r="BC21" i="75"/>
  <c r="AN37" i="75"/>
  <c r="BE33" i="75" s="1"/>
  <c r="AN94" i="75"/>
  <c r="BE90" i="75" s="1"/>
  <c r="AF90" i="69" l="1"/>
  <c r="U58" i="80"/>
  <c r="W54" i="80" s="1"/>
  <c r="AY78" i="68"/>
  <c r="BA78" i="68"/>
  <c r="BK90" i="68"/>
  <c r="AF90" i="68"/>
  <c r="AF33" i="68"/>
  <c r="AF33" i="69"/>
  <c r="BK90" i="69"/>
  <c r="BK78" i="68"/>
  <c r="E56" i="80"/>
  <c r="AG56" i="80"/>
  <c r="BK21" i="68"/>
  <c r="E48" i="80"/>
  <c r="O48" i="80" s="1"/>
  <c r="AG48" i="80"/>
  <c r="AQ48" i="80" s="1"/>
  <c r="AY90" i="72"/>
  <c r="BA90" i="72"/>
  <c r="AU90" i="72"/>
  <c r="N63" i="69"/>
  <c r="N59" i="69"/>
  <c r="V9" i="69"/>
  <c r="AP64" i="69" s="1"/>
  <c r="AH15" i="80"/>
  <c r="V7" i="69"/>
  <c r="AP60" i="69" s="1"/>
  <c r="J9" i="69"/>
  <c r="AP9" i="69" s="1"/>
  <c r="AL21" i="80"/>
  <c r="V8" i="68"/>
  <c r="AP62" i="68" s="1"/>
  <c r="J8" i="69"/>
  <c r="AP8" i="69" s="1"/>
  <c r="V8" i="69"/>
  <c r="AP62" i="69" s="1"/>
  <c r="J7" i="69"/>
  <c r="AP7" i="69" s="1"/>
  <c r="V7" i="68"/>
  <c r="AP60" i="68" s="1"/>
  <c r="J8" i="68"/>
  <c r="AP8" i="68" s="1"/>
  <c r="V9" i="68"/>
  <c r="AP64" i="68" s="1"/>
  <c r="M13" i="80"/>
  <c r="F15" i="80"/>
  <c r="A54" i="80"/>
  <c r="D53" i="80" s="1"/>
  <c r="AF90" i="70"/>
  <c r="BK78" i="71"/>
  <c r="E74" i="79"/>
  <c r="AY33" i="70"/>
  <c r="AW33" i="70"/>
  <c r="AU33" i="70"/>
  <c r="BG33" i="70" s="1"/>
  <c r="BA33" i="70"/>
  <c r="U50" i="79"/>
  <c r="BY62" i="79"/>
  <c r="BK84" i="72"/>
  <c r="BC90" i="72"/>
  <c r="AF33" i="73"/>
  <c r="AF33" i="71"/>
  <c r="AU33" i="71" s="1"/>
  <c r="H58" i="79"/>
  <c r="BK90" i="73"/>
  <c r="BE33" i="70"/>
  <c r="BK33" i="70" s="1"/>
  <c r="BK33" i="73"/>
  <c r="BK33" i="71"/>
  <c r="W64" i="79"/>
  <c r="BK21" i="72"/>
  <c r="BK78" i="74"/>
  <c r="R54" i="79"/>
  <c r="W74" i="79"/>
  <c r="BK27" i="75"/>
  <c r="CA64" i="79"/>
  <c r="AU21" i="73"/>
  <c r="BA21" i="73"/>
  <c r="AG64" i="79"/>
  <c r="AO62" i="79"/>
  <c r="AT62" i="79" s="1"/>
  <c r="AY66" i="79"/>
  <c r="R62" i="79"/>
  <c r="AW74" i="79"/>
  <c r="BY74" i="79"/>
  <c r="BI74" i="79"/>
  <c r="J23" i="80"/>
  <c r="N60" i="69"/>
  <c r="AC54" i="80"/>
  <c r="AF53" i="80" s="1"/>
  <c r="AC46" i="80"/>
  <c r="AF45" i="80" s="1"/>
  <c r="V42" i="68"/>
  <c r="V43" i="68"/>
  <c r="V44" i="68"/>
  <c r="N25" i="69"/>
  <c r="N27" i="69"/>
  <c r="AH13" i="80"/>
  <c r="N23" i="69"/>
  <c r="N24" i="69"/>
  <c r="AO13" i="80"/>
  <c r="AL23" i="80"/>
  <c r="N26" i="69"/>
  <c r="J13" i="80"/>
  <c r="F17" i="80"/>
  <c r="J38" i="68"/>
  <c r="A48" i="80"/>
  <c r="G45" i="80" s="1"/>
  <c r="AO15" i="80"/>
  <c r="N26" i="68"/>
  <c r="J19" i="80"/>
  <c r="J19" i="69"/>
  <c r="AC48" i="80"/>
  <c r="AI45" i="80" s="1"/>
  <c r="AH17" i="80"/>
  <c r="AO16" i="80"/>
  <c r="AL13" i="80"/>
  <c r="M16" i="80"/>
  <c r="A46" i="80"/>
  <c r="D45" i="80" s="1"/>
  <c r="N24" i="68"/>
  <c r="AO23" i="80"/>
  <c r="AC50" i="80"/>
  <c r="AL45" i="80" s="1"/>
  <c r="AL17" i="80"/>
  <c r="AH21" i="80"/>
  <c r="AO20" i="80"/>
  <c r="F13" i="80"/>
  <c r="N23" i="68"/>
  <c r="I53" i="7"/>
  <c r="J55" i="69"/>
  <c r="J21" i="80"/>
  <c r="AH23" i="80"/>
  <c r="AC58" i="80"/>
  <c r="AL53" i="80" s="1"/>
  <c r="AL19" i="80"/>
  <c r="M21" i="80"/>
  <c r="F23" i="80"/>
  <c r="A58" i="80"/>
  <c r="J53" i="80" s="1"/>
  <c r="AO21" i="80"/>
  <c r="M15" i="80"/>
  <c r="N27" i="68"/>
  <c r="J19" i="68"/>
  <c r="D45" i="7"/>
  <c r="AO18" i="80"/>
  <c r="N61" i="69"/>
  <c r="AY56" i="80"/>
  <c r="AY54" i="80"/>
  <c r="AY48" i="80"/>
  <c r="AY50" i="80"/>
  <c r="AY46" i="80"/>
  <c r="W56" i="80"/>
  <c r="W48" i="80"/>
  <c r="W46" i="80"/>
  <c r="W50" i="80"/>
  <c r="AY21" i="75"/>
  <c r="AU21" i="75"/>
  <c r="AW21" i="75"/>
  <c r="BA21" i="75"/>
  <c r="BA84" i="75"/>
  <c r="AW84" i="75"/>
  <c r="AU84" i="75"/>
  <c r="AY84" i="75"/>
  <c r="BK78" i="75"/>
  <c r="AU90" i="74"/>
  <c r="AY90" i="74"/>
  <c r="BA90" i="74"/>
  <c r="AW90" i="74"/>
  <c r="J27" i="69"/>
  <c r="J26" i="69"/>
  <c r="J25" i="69"/>
  <c r="J24" i="69"/>
  <c r="J23" i="69"/>
  <c r="V20" i="69"/>
  <c r="K43" i="7"/>
  <c r="BG33" i="74"/>
  <c r="BK78" i="73"/>
  <c r="BK90" i="71"/>
  <c r="AY21" i="71"/>
  <c r="AU21" i="71"/>
  <c r="AU84" i="72"/>
  <c r="BA84" i="72"/>
  <c r="AW21" i="71"/>
  <c r="BC27" i="74"/>
  <c r="BK27" i="74" s="1"/>
  <c r="BM27" i="74" s="1"/>
  <c r="AF27" i="74"/>
  <c r="BA90" i="73"/>
  <c r="AW90" i="73"/>
  <c r="AY90" i="73"/>
  <c r="AU90" i="73"/>
  <c r="V37" i="68"/>
  <c r="B44" i="68"/>
  <c r="B42" i="68"/>
  <c r="B45" i="68"/>
  <c r="B43" i="68"/>
  <c r="B41" i="68"/>
  <c r="D47" i="7"/>
  <c r="AY90" i="71"/>
  <c r="AU90" i="71"/>
  <c r="BA90" i="71"/>
  <c r="AW90" i="71"/>
  <c r="BK33" i="72"/>
  <c r="AY78" i="74"/>
  <c r="AU78" i="74"/>
  <c r="AW78" i="74"/>
  <c r="BA78" i="74"/>
  <c r="AY90" i="75"/>
  <c r="AW90" i="75"/>
  <c r="AU90" i="75"/>
  <c r="BA90" i="75"/>
  <c r="AU78" i="75"/>
  <c r="AY78" i="75"/>
  <c r="AW78" i="75"/>
  <c r="BA78" i="75"/>
  <c r="BG27" i="75"/>
  <c r="BK33" i="75"/>
  <c r="AF84" i="74"/>
  <c r="BC84" i="74"/>
  <c r="BK84" i="74" s="1"/>
  <c r="BC84" i="73"/>
  <c r="BK84" i="73" s="1"/>
  <c r="AF84" i="73"/>
  <c r="AF84" i="71"/>
  <c r="BC84" i="71"/>
  <c r="BK84" i="71" s="1"/>
  <c r="AF27" i="71"/>
  <c r="BC27" i="71"/>
  <c r="BK27" i="71" s="1"/>
  <c r="AF84" i="70"/>
  <c r="BC84" i="70"/>
  <c r="BK84" i="70" s="1"/>
  <c r="AW21" i="73"/>
  <c r="AW90" i="72"/>
  <c r="BE90" i="72"/>
  <c r="AU21" i="72"/>
  <c r="AY21" i="72"/>
  <c r="AW21" i="72"/>
  <c r="BA21" i="72"/>
  <c r="BA78" i="70"/>
  <c r="AW78" i="70"/>
  <c r="AY78" i="70"/>
  <c r="AU78" i="70"/>
  <c r="BC84" i="69"/>
  <c r="BK84" i="69" s="1"/>
  <c r="AF84" i="69"/>
  <c r="W72" i="79"/>
  <c r="B63" i="69"/>
  <c r="B60" i="69"/>
  <c r="B59" i="69"/>
  <c r="V55" i="69"/>
  <c r="B62" i="69"/>
  <c r="B61" i="69"/>
  <c r="I51" i="7"/>
  <c r="BS74" i="79"/>
  <c r="BQ74" i="79"/>
  <c r="BR74" i="79"/>
  <c r="AO64" i="79"/>
  <c r="AQ64" i="79"/>
  <c r="AP64" i="79"/>
  <c r="BA21" i="69"/>
  <c r="AW21" i="69"/>
  <c r="AY21" i="69"/>
  <c r="AU21" i="69"/>
  <c r="BS66" i="79"/>
  <c r="BR66" i="79"/>
  <c r="BQ66" i="79"/>
  <c r="M58" i="79"/>
  <c r="O58" i="79"/>
  <c r="N58" i="79"/>
  <c r="N45" i="69"/>
  <c r="N43" i="69"/>
  <c r="N42" i="69"/>
  <c r="N41" i="69"/>
  <c r="N44" i="69"/>
  <c r="J37" i="69"/>
  <c r="I49" i="7"/>
  <c r="E72" i="79"/>
  <c r="CA62" i="79"/>
  <c r="BT56" i="79"/>
  <c r="BY56" i="79" s="1"/>
  <c r="CA56" i="79" s="1"/>
  <c r="BI56" i="79"/>
  <c r="M58" i="80"/>
  <c r="O58" i="80"/>
  <c r="N58" i="80"/>
  <c r="M56" i="80"/>
  <c r="O56" i="80"/>
  <c r="N56" i="80"/>
  <c r="M50" i="80"/>
  <c r="O50" i="80"/>
  <c r="N50" i="80"/>
  <c r="W62" i="79"/>
  <c r="D4" i="71"/>
  <c r="AI4" i="71" s="1"/>
  <c r="B6" i="71"/>
  <c r="AB4" i="71"/>
  <c r="P3" i="79"/>
  <c r="AY64" i="79"/>
  <c r="AY62" i="79"/>
  <c r="N6" i="73"/>
  <c r="P4" i="73"/>
  <c r="AI54" i="73" s="1"/>
  <c r="AB54" i="73"/>
  <c r="N6" i="74"/>
  <c r="P4" i="74"/>
  <c r="AI54" i="74" s="1"/>
  <c r="AB54" i="74"/>
  <c r="D4" i="68"/>
  <c r="AI4" i="68" s="1"/>
  <c r="AB4" i="68"/>
  <c r="D3" i="80"/>
  <c r="AU21" i="68"/>
  <c r="AY21" i="68"/>
  <c r="B60" i="68"/>
  <c r="B59" i="68"/>
  <c r="V55" i="68"/>
  <c r="B63" i="68"/>
  <c r="B61" i="68"/>
  <c r="B62" i="68"/>
  <c r="D51" i="7"/>
  <c r="AW21" i="68"/>
  <c r="V27" i="68"/>
  <c r="V26" i="68"/>
  <c r="V25" i="68"/>
  <c r="V24" i="68"/>
  <c r="V23" i="68"/>
  <c r="J20" i="68"/>
  <c r="F45" i="7"/>
  <c r="AQ70" i="79"/>
  <c r="AO70" i="79"/>
  <c r="AP70" i="79"/>
  <c r="BK78" i="70"/>
  <c r="BG78" i="68"/>
  <c r="O74" i="79"/>
  <c r="M74" i="79"/>
  <c r="N74" i="79"/>
  <c r="M64" i="79"/>
  <c r="O64" i="79"/>
  <c r="N64" i="79"/>
  <c r="BT48" i="79"/>
  <c r="BY48" i="79" s="1"/>
  <c r="CA50" i="79" s="1"/>
  <c r="BI48" i="79"/>
  <c r="AF84" i="68"/>
  <c r="BC84" i="68"/>
  <c r="BK84" i="68" s="1"/>
  <c r="AR56" i="79"/>
  <c r="AW56" i="79" s="1"/>
  <c r="AG56" i="79"/>
  <c r="AO54" i="79"/>
  <c r="AP54" i="79"/>
  <c r="AQ54" i="79"/>
  <c r="AO54" i="80"/>
  <c r="AQ54" i="80"/>
  <c r="AP54" i="80"/>
  <c r="AO46" i="80"/>
  <c r="AQ46" i="80"/>
  <c r="AP46" i="80"/>
  <c r="AS58" i="79"/>
  <c r="AW58" i="79" s="1"/>
  <c r="AG58" i="79"/>
  <c r="AB4" i="75"/>
  <c r="D4" i="75"/>
  <c r="AI4" i="75" s="1"/>
  <c r="BT3" i="79"/>
  <c r="M50" i="79"/>
  <c r="O50" i="79"/>
  <c r="N50" i="79"/>
  <c r="AB4" i="73"/>
  <c r="B6" i="73"/>
  <c r="D4" i="73"/>
  <c r="AI4" i="73" s="1"/>
  <c r="AR3" i="79"/>
  <c r="AO50" i="79"/>
  <c r="AQ50" i="79"/>
  <c r="AP50" i="79"/>
  <c r="BA78" i="72"/>
  <c r="AY78" i="72"/>
  <c r="AU78" i="72"/>
  <c r="AW78" i="72"/>
  <c r="BG21" i="74"/>
  <c r="BA21" i="71"/>
  <c r="BC27" i="70"/>
  <c r="BK27" i="70" s="1"/>
  <c r="AF27" i="70"/>
  <c r="N44" i="68"/>
  <c r="N42" i="68"/>
  <c r="J37" i="68"/>
  <c r="N41" i="68"/>
  <c r="D49" i="7"/>
  <c r="N45" i="68"/>
  <c r="N43" i="68"/>
  <c r="BS72" i="79"/>
  <c r="BQ72" i="79"/>
  <c r="BR72" i="79"/>
  <c r="BK78" i="69"/>
  <c r="BY72" i="79"/>
  <c r="BQ46" i="79"/>
  <c r="BS46" i="79"/>
  <c r="BR46" i="79"/>
  <c r="J62" i="68"/>
  <c r="J61" i="68"/>
  <c r="V56" i="68"/>
  <c r="J60" i="68"/>
  <c r="J63" i="68"/>
  <c r="F51" i="7"/>
  <c r="J59" i="68"/>
  <c r="BR62" i="79"/>
  <c r="BV62" i="79" s="1"/>
  <c r="BS62" i="79"/>
  <c r="AR48" i="79"/>
  <c r="AW48" i="79" s="1"/>
  <c r="AY48" i="79" s="1"/>
  <c r="AG48" i="79"/>
  <c r="AO46" i="79"/>
  <c r="AQ46" i="79"/>
  <c r="AP46" i="79"/>
  <c r="BK21" i="69"/>
  <c r="BK33" i="68"/>
  <c r="P56" i="79"/>
  <c r="U56" i="79" s="1"/>
  <c r="E56" i="79"/>
  <c r="M46" i="79"/>
  <c r="N46" i="79"/>
  <c r="O46" i="79"/>
  <c r="M54" i="80"/>
  <c r="O54" i="80"/>
  <c r="N54" i="80"/>
  <c r="M46" i="80"/>
  <c r="O46" i="80"/>
  <c r="N46" i="80"/>
  <c r="AG72" i="79"/>
  <c r="BQ64" i="79"/>
  <c r="BS64" i="79"/>
  <c r="BR64" i="79"/>
  <c r="BQ58" i="79"/>
  <c r="BS58" i="79"/>
  <c r="BR58" i="79"/>
  <c r="AB54" i="75"/>
  <c r="P4" i="75"/>
  <c r="AI54" i="75" s="1"/>
  <c r="N6" i="75"/>
  <c r="P4" i="69"/>
  <c r="AI54" i="69" s="1"/>
  <c r="AB54" i="69"/>
  <c r="D4" i="70"/>
  <c r="AI4" i="70" s="1"/>
  <c r="B6" i="70"/>
  <c r="AB4" i="70"/>
  <c r="D3" i="79"/>
  <c r="P4" i="68"/>
  <c r="AI54" i="68" s="1"/>
  <c r="AB54" i="68"/>
  <c r="BK33" i="69"/>
  <c r="N6" i="72"/>
  <c r="P4" i="72"/>
  <c r="AI54" i="72" s="1"/>
  <c r="AB54" i="72"/>
  <c r="BK21" i="75"/>
  <c r="BK90" i="75"/>
  <c r="BM90" i="75" s="1"/>
  <c r="AW84" i="72"/>
  <c r="AU33" i="75"/>
  <c r="AY33" i="75"/>
  <c r="BA33" i="75"/>
  <c r="AW33" i="75"/>
  <c r="BE90" i="74"/>
  <c r="BK90" i="74" s="1"/>
  <c r="AY84" i="72"/>
  <c r="AF27" i="73"/>
  <c r="BC27" i="73"/>
  <c r="BK27" i="73" s="1"/>
  <c r="BM27" i="73" s="1"/>
  <c r="AY78" i="71"/>
  <c r="BA78" i="71"/>
  <c r="AU78" i="71"/>
  <c r="AW78" i="71"/>
  <c r="J27" i="68"/>
  <c r="J26" i="68"/>
  <c r="J25" i="68"/>
  <c r="J24" i="68"/>
  <c r="J23" i="68"/>
  <c r="F43" i="7"/>
  <c r="V20" i="68"/>
  <c r="AW78" i="73"/>
  <c r="AU78" i="73"/>
  <c r="BA78" i="73"/>
  <c r="AY78" i="73"/>
  <c r="AF27" i="72"/>
  <c r="BC27" i="72"/>
  <c r="BK27" i="72" s="1"/>
  <c r="BK78" i="72"/>
  <c r="AY33" i="72"/>
  <c r="AU33" i="72"/>
  <c r="AW33" i="72"/>
  <c r="BA33" i="72"/>
  <c r="AW90" i="70"/>
  <c r="BA90" i="70"/>
  <c r="AY90" i="70"/>
  <c r="AU90" i="70"/>
  <c r="V56" i="69"/>
  <c r="J62" i="69"/>
  <c r="J61" i="69"/>
  <c r="J63" i="69"/>
  <c r="J59" i="69"/>
  <c r="J60" i="69"/>
  <c r="K51" i="7"/>
  <c r="BS70" i="79"/>
  <c r="BQ70" i="79"/>
  <c r="BR70" i="79"/>
  <c r="O70" i="79"/>
  <c r="M70" i="79"/>
  <c r="N70" i="79"/>
  <c r="BG21" i="70"/>
  <c r="BG78" i="69"/>
  <c r="AF27" i="69"/>
  <c r="BC27" i="69"/>
  <c r="BK27" i="69" s="1"/>
  <c r="V38" i="69"/>
  <c r="J45" i="69"/>
  <c r="J44" i="69"/>
  <c r="J43" i="69"/>
  <c r="J42" i="69"/>
  <c r="J41" i="69"/>
  <c r="K47" i="7"/>
  <c r="BC27" i="68"/>
  <c r="BK27" i="68" s="1"/>
  <c r="AF27" i="68"/>
  <c r="AW72" i="79"/>
  <c r="BQ54" i="79"/>
  <c r="BS54" i="79"/>
  <c r="BR54" i="79"/>
  <c r="P48" i="79"/>
  <c r="U48" i="79" s="1"/>
  <c r="E48" i="79"/>
  <c r="V27" i="69"/>
  <c r="V26" i="69"/>
  <c r="V25" i="69"/>
  <c r="V24" i="69"/>
  <c r="V23" i="69"/>
  <c r="J20" i="69"/>
  <c r="K45" i="7"/>
  <c r="BA33" i="68"/>
  <c r="AW33" i="68"/>
  <c r="AU33" i="68"/>
  <c r="AY33" i="68"/>
  <c r="AQ74" i="79"/>
  <c r="AO74" i="79"/>
  <c r="AP74" i="79"/>
  <c r="M66" i="79"/>
  <c r="N66" i="79"/>
  <c r="O66" i="79"/>
  <c r="BQ50" i="79"/>
  <c r="BR50" i="79"/>
  <c r="BS50" i="79"/>
  <c r="AO58" i="80"/>
  <c r="AQ58" i="80"/>
  <c r="AP58" i="80"/>
  <c r="AO56" i="80"/>
  <c r="AQ56" i="80"/>
  <c r="AP56" i="80"/>
  <c r="AO50" i="80"/>
  <c r="AQ50" i="80"/>
  <c r="AP50" i="80"/>
  <c r="W70" i="79"/>
  <c r="AT66" i="79"/>
  <c r="N6" i="71"/>
  <c r="P4" i="71"/>
  <c r="AI54" i="71" s="1"/>
  <c r="AB54" i="71"/>
  <c r="D4" i="69"/>
  <c r="AI4" i="69" s="1"/>
  <c r="AB4" i="69"/>
  <c r="AF3" i="80"/>
  <c r="CA66" i="79"/>
  <c r="D4" i="74"/>
  <c r="AI4" i="74" s="1"/>
  <c r="AB4" i="74"/>
  <c r="B6" i="74"/>
  <c r="BH3" i="79"/>
  <c r="N6" i="70"/>
  <c r="P4" i="70"/>
  <c r="AI54" i="70" s="1"/>
  <c r="AB54" i="70"/>
  <c r="W66" i="79"/>
  <c r="AB4" i="72"/>
  <c r="B6" i="72"/>
  <c r="D4" i="72"/>
  <c r="AI4" i="72" s="1"/>
  <c r="AF3" i="79"/>
  <c r="AY58" i="80"/>
  <c r="AW90" i="69" l="1"/>
  <c r="AU90" i="69"/>
  <c r="AY90" i="69"/>
  <c r="BA90" i="69"/>
  <c r="W58" i="80"/>
  <c r="AW90" i="68"/>
  <c r="BA90" i="68"/>
  <c r="AU90" i="68"/>
  <c r="AY90" i="68"/>
  <c r="AY33" i="69"/>
  <c r="AW33" i="69"/>
  <c r="AU33" i="69"/>
  <c r="BA33" i="69"/>
  <c r="R58" i="80"/>
  <c r="S56" i="80" s="1"/>
  <c r="AT58" i="80"/>
  <c r="BM84" i="68"/>
  <c r="R56" i="80"/>
  <c r="BM78" i="69"/>
  <c r="AT56" i="80"/>
  <c r="AT54" i="80"/>
  <c r="BM27" i="68"/>
  <c r="M48" i="80"/>
  <c r="N48" i="80"/>
  <c r="R46" i="80"/>
  <c r="AO48" i="80"/>
  <c r="AP48" i="80"/>
  <c r="BG21" i="69"/>
  <c r="BM27" i="69"/>
  <c r="BG90" i="72"/>
  <c r="BK90" i="72"/>
  <c r="BM84" i="72" s="1"/>
  <c r="BM84" i="73"/>
  <c r="BG90" i="73"/>
  <c r="BM27" i="70"/>
  <c r="W48" i="79"/>
  <c r="BM21" i="75"/>
  <c r="AY54" i="79"/>
  <c r="AW33" i="73"/>
  <c r="AU33" i="73"/>
  <c r="BA33" i="73"/>
  <c r="AY33" i="73"/>
  <c r="BG21" i="73"/>
  <c r="AW33" i="71"/>
  <c r="BA33" i="71"/>
  <c r="AY33" i="71"/>
  <c r="BG90" i="75"/>
  <c r="BG90" i="74"/>
  <c r="BV58" i="79"/>
  <c r="BM27" i="72"/>
  <c r="AT50" i="79"/>
  <c r="R50" i="79"/>
  <c r="BM90" i="72"/>
  <c r="AY58" i="79"/>
  <c r="AT54" i="79"/>
  <c r="BV64" i="79"/>
  <c r="BM21" i="71"/>
  <c r="BM27" i="71"/>
  <c r="BG21" i="72"/>
  <c r="CA54" i="79"/>
  <c r="BM78" i="70"/>
  <c r="BG78" i="70"/>
  <c r="BG84" i="75"/>
  <c r="BG78" i="71"/>
  <c r="BM90" i="71"/>
  <c r="R70" i="79"/>
  <c r="BM90" i="73"/>
  <c r="BM33" i="74"/>
  <c r="BM21" i="74"/>
  <c r="AT70" i="79"/>
  <c r="AT74" i="79"/>
  <c r="CA72" i="79"/>
  <c r="BM90" i="74"/>
  <c r="BM78" i="74"/>
  <c r="AB6" i="72"/>
  <c r="AC15" i="72" s="1"/>
  <c r="B8" i="72"/>
  <c r="B9" i="72"/>
  <c r="B7" i="72"/>
  <c r="AF4" i="79"/>
  <c r="AC45" i="79" s="1"/>
  <c r="N8" i="71"/>
  <c r="AB58" i="71"/>
  <c r="AC72" i="71" s="1"/>
  <c r="N9" i="71"/>
  <c r="N7" i="71"/>
  <c r="V4" i="79"/>
  <c r="A69" i="79" s="1"/>
  <c r="AT50" i="80"/>
  <c r="R66" i="79"/>
  <c r="M48" i="79"/>
  <c r="O48" i="79"/>
  <c r="N48" i="79"/>
  <c r="BV54" i="79"/>
  <c r="BG33" i="72"/>
  <c r="BG78" i="73"/>
  <c r="BG33" i="75"/>
  <c r="BM33" i="69"/>
  <c r="R46" i="79"/>
  <c r="BM33" i="68"/>
  <c r="AT46" i="79"/>
  <c r="BV46" i="79"/>
  <c r="BG78" i="72"/>
  <c r="AO58" i="79"/>
  <c r="AQ58" i="79"/>
  <c r="AP58" i="79"/>
  <c r="AT46" i="80"/>
  <c r="W46" i="79"/>
  <c r="AO56" i="79"/>
  <c r="AQ56" i="79"/>
  <c r="AP56" i="79"/>
  <c r="AY46" i="79"/>
  <c r="R74" i="79"/>
  <c r="BM33" i="70"/>
  <c r="R50" i="80"/>
  <c r="BQ56" i="79"/>
  <c r="BR56" i="79"/>
  <c r="BS56" i="79"/>
  <c r="BM78" i="71"/>
  <c r="AY27" i="71"/>
  <c r="AU27" i="71"/>
  <c r="BA27" i="71"/>
  <c r="AW27" i="71"/>
  <c r="BM33" i="75"/>
  <c r="BG78" i="74"/>
  <c r="BG21" i="71"/>
  <c r="BM78" i="73"/>
  <c r="BG21" i="75"/>
  <c r="CA58" i="79"/>
  <c r="N8" i="70"/>
  <c r="N9" i="70"/>
  <c r="AB58" i="70"/>
  <c r="AC72" i="70" s="1"/>
  <c r="N7" i="70"/>
  <c r="J4" i="79"/>
  <c r="A53" i="79" s="1"/>
  <c r="BV50" i="79"/>
  <c r="BG33" i="68"/>
  <c r="AY72" i="79"/>
  <c r="AY70" i="79"/>
  <c r="AY27" i="69"/>
  <c r="AU27" i="69"/>
  <c r="BA27" i="69"/>
  <c r="AW27" i="69"/>
  <c r="BV70" i="79"/>
  <c r="BA27" i="72"/>
  <c r="AW27" i="72"/>
  <c r="AY27" i="72"/>
  <c r="AU27" i="72"/>
  <c r="B7" i="70"/>
  <c r="B9" i="70"/>
  <c r="B8" i="70"/>
  <c r="AB6" i="70"/>
  <c r="AC15" i="70" s="1"/>
  <c r="D4" i="79"/>
  <c r="A45" i="79" s="1"/>
  <c r="N9" i="75"/>
  <c r="AB58" i="75"/>
  <c r="AC72" i="75" s="1"/>
  <c r="N7" i="75"/>
  <c r="N8" i="75"/>
  <c r="BZ4" i="79"/>
  <c r="BE69" i="79" s="1"/>
  <c r="R54" i="80"/>
  <c r="M56" i="79"/>
  <c r="O56" i="79"/>
  <c r="N56" i="79"/>
  <c r="BM21" i="69"/>
  <c r="AO48" i="79"/>
  <c r="AP48" i="79"/>
  <c r="AQ48" i="79"/>
  <c r="BM78" i="68"/>
  <c r="BV72" i="79"/>
  <c r="AY56" i="79"/>
  <c r="BQ48" i="79"/>
  <c r="BS48" i="79"/>
  <c r="BR48" i="79"/>
  <c r="R64" i="79"/>
  <c r="BG21" i="68"/>
  <c r="AY50" i="79"/>
  <c r="R58" i="79"/>
  <c r="CA70" i="79"/>
  <c r="AT64" i="79"/>
  <c r="AU84" i="69"/>
  <c r="AY84" i="69"/>
  <c r="AW84" i="69"/>
  <c r="BA84" i="69"/>
  <c r="BM84" i="70"/>
  <c r="BM84" i="71"/>
  <c r="BG78" i="75"/>
  <c r="BI78" i="75" s="1"/>
  <c r="BM21" i="72"/>
  <c r="BM78" i="75"/>
  <c r="AU27" i="68"/>
  <c r="AY27" i="68"/>
  <c r="AW27" i="68"/>
  <c r="BA27" i="68"/>
  <c r="BG90" i="70"/>
  <c r="BM78" i="72"/>
  <c r="AY27" i="73"/>
  <c r="BA27" i="73"/>
  <c r="AU27" i="73"/>
  <c r="AW27" i="73"/>
  <c r="W56" i="79"/>
  <c r="W54" i="79"/>
  <c r="AU27" i="70"/>
  <c r="AY27" i="70"/>
  <c r="BA27" i="70"/>
  <c r="AW27" i="70"/>
  <c r="B9" i="73"/>
  <c r="B8" i="73"/>
  <c r="AB6" i="73"/>
  <c r="AC15" i="73" s="1"/>
  <c r="B7" i="73"/>
  <c r="AR4" i="79"/>
  <c r="AC61" i="79" s="1"/>
  <c r="B8" i="75"/>
  <c r="AB6" i="75"/>
  <c r="AC15" i="75" s="1"/>
  <c r="B7" i="75"/>
  <c r="B9" i="75"/>
  <c r="BT4" i="79"/>
  <c r="BE61" i="79" s="1"/>
  <c r="CA48" i="79"/>
  <c r="CA46" i="79"/>
  <c r="BM90" i="68"/>
  <c r="N8" i="73"/>
  <c r="AB58" i="73"/>
  <c r="AC72" i="73" s="1"/>
  <c r="N9" i="73"/>
  <c r="N7" i="73"/>
  <c r="AX4" i="79"/>
  <c r="AC69" i="79" s="1"/>
  <c r="BV66" i="79"/>
  <c r="BW66" i="79" s="1"/>
  <c r="BM21" i="68"/>
  <c r="BM84" i="69"/>
  <c r="AY84" i="70"/>
  <c r="AU84" i="70"/>
  <c r="BA84" i="70"/>
  <c r="AW84" i="70"/>
  <c r="BA84" i="71"/>
  <c r="AW84" i="71"/>
  <c r="AY84" i="71"/>
  <c r="AU84" i="71"/>
  <c r="BM84" i="74"/>
  <c r="BM90" i="70"/>
  <c r="BG90" i="71"/>
  <c r="BM33" i="71"/>
  <c r="BM21" i="73"/>
  <c r="W50" i="79"/>
  <c r="BM27" i="75"/>
  <c r="B7" i="74"/>
  <c r="B8" i="74"/>
  <c r="B9" i="74"/>
  <c r="AB6" i="74"/>
  <c r="AC15" i="74" s="1"/>
  <c r="BH4" i="79"/>
  <c r="BE45" i="79" s="1"/>
  <c r="N7" i="72"/>
  <c r="AB58" i="72"/>
  <c r="AC72" i="72" s="1"/>
  <c r="N9" i="72"/>
  <c r="N8" i="72"/>
  <c r="AL4" i="79"/>
  <c r="AC53" i="79" s="1"/>
  <c r="AQ72" i="79"/>
  <c r="AO72" i="79"/>
  <c r="AP72" i="79"/>
  <c r="AY74" i="79"/>
  <c r="BM84" i="75"/>
  <c r="W58" i="79"/>
  <c r="AY84" i="68"/>
  <c r="AU84" i="68"/>
  <c r="AW84" i="68"/>
  <c r="BA84" i="68"/>
  <c r="BM90" i="69"/>
  <c r="AB58" i="74"/>
  <c r="AC72" i="74" s="1"/>
  <c r="N8" i="74"/>
  <c r="N7" i="74"/>
  <c r="N9" i="74"/>
  <c r="BN4" i="79"/>
  <c r="BE53" i="79" s="1"/>
  <c r="B9" i="71"/>
  <c r="B7" i="71"/>
  <c r="AB6" i="71"/>
  <c r="AC15" i="71" s="1"/>
  <c r="B8" i="71"/>
  <c r="P4" i="79"/>
  <c r="A61" i="79" s="1"/>
  <c r="O72" i="79"/>
  <c r="M72" i="79"/>
  <c r="N72" i="79"/>
  <c r="BV74" i="79"/>
  <c r="AU84" i="73"/>
  <c r="AY84" i="73"/>
  <c r="BA84" i="73"/>
  <c r="AW84" i="73"/>
  <c r="AW84" i="74"/>
  <c r="BA84" i="74"/>
  <c r="AY84" i="74"/>
  <c r="AU84" i="74"/>
  <c r="BM33" i="72"/>
  <c r="AU27" i="74"/>
  <c r="AW27" i="74"/>
  <c r="BA27" i="74"/>
  <c r="AY27" i="74"/>
  <c r="BM21" i="70"/>
  <c r="BG84" i="72"/>
  <c r="BM33" i="73"/>
  <c r="CA74" i="79"/>
  <c r="BG90" i="69" l="1"/>
  <c r="S54" i="80"/>
  <c r="BG90" i="68"/>
  <c r="BG33" i="69"/>
  <c r="AU58" i="80"/>
  <c r="S58" i="80"/>
  <c r="AU56" i="80"/>
  <c r="AU54" i="80"/>
  <c r="R48" i="80"/>
  <c r="S48" i="80" s="1"/>
  <c r="S46" i="80"/>
  <c r="AT48" i="80"/>
  <c r="AU48" i="80" s="1"/>
  <c r="BI90" i="75"/>
  <c r="BI21" i="75"/>
  <c r="BG33" i="73"/>
  <c r="BG33" i="71"/>
  <c r="BI84" i="72"/>
  <c r="AT48" i="79"/>
  <c r="AU48" i="79" s="1"/>
  <c r="BI84" i="75"/>
  <c r="BG84" i="73"/>
  <c r="BI78" i="73" s="1"/>
  <c r="BG27" i="70"/>
  <c r="BI27" i="70" s="1"/>
  <c r="BI27" i="75"/>
  <c r="BG27" i="71"/>
  <c r="BI21" i="71" s="1"/>
  <c r="AT72" i="79"/>
  <c r="AU74" i="79" s="1"/>
  <c r="BW74" i="79"/>
  <c r="BG27" i="74"/>
  <c r="BG84" i="74"/>
  <c r="BI78" i="74" s="1"/>
  <c r="R72" i="79"/>
  <c r="S74" i="79" s="1"/>
  <c r="C8" i="71"/>
  <c r="Z8" i="71"/>
  <c r="J8" i="71"/>
  <c r="AP8" i="71" s="1"/>
  <c r="J8" i="74"/>
  <c r="AP8" i="74" s="1"/>
  <c r="Z8" i="74"/>
  <c r="C8" i="74"/>
  <c r="Z60" i="73"/>
  <c r="O7" i="73"/>
  <c r="V7" i="73"/>
  <c r="AP60" i="73" s="1"/>
  <c r="Z8" i="75"/>
  <c r="J8" i="75"/>
  <c r="AP8" i="75" s="1"/>
  <c r="C8" i="75"/>
  <c r="BG27" i="73"/>
  <c r="AU64" i="79"/>
  <c r="AU62" i="79"/>
  <c r="BW72" i="79"/>
  <c r="R56" i="79"/>
  <c r="S58" i="79" s="1"/>
  <c r="V7" i="75"/>
  <c r="AP60" i="75" s="1"/>
  <c r="O7" i="75"/>
  <c r="Z60" i="75"/>
  <c r="BG27" i="72"/>
  <c r="BI33" i="72" s="1"/>
  <c r="BW70" i="79"/>
  <c r="Z60" i="70"/>
  <c r="O7" i="70"/>
  <c r="V7" i="70"/>
  <c r="AP60" i="70" s="1"/>
  <c r="S50" i="80"/>
  <c r="AU46" i="80"/>
  <c r="BI78" i="72"/>
  <c r="AU50" i="80"/>
  <c r="C9" i="72"/>
  <c r="Z9" i="72"/>
  <c r="J9" i="72"/>
  <c r="AP9" i="72" s="1"/>
  <c r="Z64" i="74"/>
  <c r="O9" i="74"/>
  <c r="V9" i="74"/>
  <c r="AP64" i="74" s="1"/>
  <c r="BG84" i="68"/>
  <c r="Z60" i="72"/>
  <c r="V7" i="72"/>
  <c r="AP60" i="72" s="1"/>
  <c r="O7" i="72"/>
  <c r="Z7" i="74"/>
  <c r="C7" i="74"/>
  <c r="J7" i="74"/>
  <c r="AP7" i="74" s="1"/>
  <c r="BG84" i="71"/>
  <c r="BI90" i="71" s="1"/>
  <c r="BI90" i="72"/>
  <c r="Z64" i="73"/>
  <c r="O9" i="73"/>
  <c r="V9" i="73"/>
  <c r="AP64" i="73" s="1"/>
  <c r="C9" i="75"/>
  <c r="J9" i="75"/>
  <c r="AP9" i="75" s="1"/>
  <c r="Z9" i="75"/>
  <c r="C8" i="73"/>
  <c r="Z8" i="73"/>
  <c r="J8" i="73"/>
  <c r="AP8" i="73" s="1"/>
  <c r="BV48" i="79"/>
  <c r="BW48" i="79" s="1"/>
  <c r="C8" i="70"/>
  <c r="Z8" i="70"/>
  <c r="J8" i="70"/>
  <c r="AP8" i="70" s="1"/>
  <c r="BW46" i="79"/>
  <c r="V8" i="71"/>
  <c r="AP62" i="71" s="1"/>
  <c r="O8" i="71"/>
  <c r="Z62" i="71"/>
  <c r="Z8" i="72"/>
  <c r="J8" i="72"/>
  <c r="AP8" i="72" s="1"/>
  <c r="C8" i="72"/>
  <c r="Z7" i="71"/>
  <c r="J7" i="71"/>
  <c r="AP7" i="71" s="1"/>
  <c r="C7" i="71"/>
  <c r="O7" i="74"/>
  <c r="Z60" i="74"/>
  <c r="V7" i="74"/>
  <c r="AP60" i="74" s="1"/>
  <c r="O8" i="72"/>
  <c r="V8" i="72"/>
  <c r="AP62" i="72" s="1"/>
  <c r="Z62" i="72"/>
  <c r="C7" i="75"/>
  <c r="Z7" i="75"/>
  <c r="J7" i="75"/>
  <c r="AP7" i="75" s="1"/>
  <c r="J9" i="73"/>
  <c r="AP9" i="73" s="1"/>
  <c r="Z9" i="73"/>
  <c r="C9" i="73"/>
  <c r="BW64" i="79"/>
  <c r="S64" i="79"/>
  <c r="S62" i="79"/>
  <c r="V9" i="75"/>
  <c r="AP64" i="75" s="1"/>
  <c r="Z64" i="75"/>
  <c r="O9" i="75"/>
  <c r="Z9" i="70"/>
  <c r="J9" i="70"/>
  <c r="AP9" i="70" s="1"/>
  <c r="C9" i="70"/>
  <c r="J30" i="70" s="1"/>
  <c r="AU66" i="79"/>
  <c r="Z64" i="70"/>
  <c r="O9" i="70"/>
  <c r="V9" i="70"/>
  <c r="AP64" i="70" s="1"/>
  <c r="AT56" i="79"/>
  <c r="R48" i="79"/>
  <c r="S46" i="79" s="1"/>
  <c r="Z60" i="71"/>
  <c r="O7" i="71"/>
  <c r="V7" i="71"/>
  <c r="AP60" i="71" s="1"/>
  <c r="Z9" i="71"/>
  <c r="J9" i="71"/>
  <c r="AP9" i="71" s="1"/>
  <c r="C9" i="71"/>
  <c r="Z62" i="74"/>
  <c r="V8" i="74"/>
  <c r="AP62" i="74" s="1"/>
  <c r="O8" i="74"/>
  <c r="V9" i="72"/>
  <c r="AP64" i="72" s="1"/>
  <c r="Z64" i="72"/>
  <c r="O9" i="72"/>
  <c r="Z9" i="74"/>
  <c r="J9" i="74"/>
  <c r="AP9" i="74" s="1"/>
  <c r="C9" i="74"/>
  <c r="BG84" i="70"/>
  <c r="V8" i="73"/>
  <c r="AP62" i="73" s="1"/>
  <c r="Z62" i="73"/>
  <c r="O8" i="73"/>
  <c r="Z7" i="73"/>
  <c r="J7" i="73"/>
  <c r="AP7" i="73" s="1"/>
  <c r="C7" i="73"/>
  <c r="BG27" i="68"/>
  <c r="BI27" i="68" s="1"/>
  <c r="BG84" i="69"/>
  <c r="O8" i="75"/>
  <c r="Z62" i="75"/>
  <c r="V8" i="75"/>
  <c r="AP62" i="75" s="1"/>
  <c r="Z7" i="70"/>
  <c r="J7" i="70"/>
  <c r="AP7" i="70" s="1"/>
  <c r="C7" i="70"/>
  <c r="BG27" i="69"/>
  <c r="V8" i="70"/>
  <c r="AP62" i="70" s="1"/>
  <c r="O8" i="70"/>
  <c r="Z62" i="70"/>
  <c r="BV56" i="79"/>
  <c r="AT58" i="79"/>
  <c r="BI33" i="75"/>
  <c r="BW54" i="79"/>
  <c r="S66" i="79"/>
  <c r="Z64" i="71"/>
  <c r="O9" i="71"/>
  <c r="V9" i="71"/>
  <c r="AP64" i="71" s="1"/>
  <c r="C7" i="72"/>
  <c r="Z7" i="72"/>
  <c r="J7" i="72"/>
  <c r="AP7" i="72" s="1"/>
  <c r="BW62" i="79"/>
  <c r="BI33" i="68" l="1"/>
  <c r="AU46" i="79"/>
  <c r="BI21" i="70"/>
  <c r="BI33" i="70"/>
  <c r="AU58" i="79"/>
  <c r="AU50" i="79"/>
  <c r="BI84" i="73"/>
  <c r="BI90" i="73"/>
  <c r="BI27" i="71"/>
  <c r="BI33" i="71"/>
  <c r="AU72" i="79"/>
  <c r="AU70" i="79"/>
  <c r="BI27" i="69"/>
  <c r="BI21" i="69"/>
  <c r="BI33" i="69"/>
  <c r="N30" i="73"/>
  <c r="V12" i="73"/>
  <c r="AC62" i="73"/>
  <c r="Y84" i="73" s="1"/>
  <c r="AK72" i="73" s="1"/>
  <c r="AX7" i="79"/>
  <c r="B48" i="74"/>
  <c r="AC9" i="74"/>
  <c r="Y33" i="74" s="1"/>
  <c r="AP15" i="74" s="1"/>
  <c r="J30" i="74"/>
  <c r="BH8" i="79"/>
  <c r="N48" i="70"/>
  <c r="V30" i="70"/>
  <c r="AC64" i="70"/>
  <c r="Y90" i="70" s="1"/>
  <c r="AP72" i="70" s="1"/>
  <c r="J8" i="79"/>
  <c r="AC8" i="70"/>
  <c r="Y27" i="70" s="1"/>
  <c r="AK15" i="70" s="1"/>
  <c r="B30" i="70"/>
  <c r="J12" i="70"/>
  <c r="D7" i="79"/>
  <c r="J48" i="74"/>
  <c r="J59" i="74" s="1"/>
  <c r="B12" i="74"/>
  <c r="AC7" i="74"/>
  <c r="Y21" i="74" s="1"/>
  <c r="AF15" i="74" s="1"/>
  <c r="BH6" i="79"/>
  <c r="BI27" i="73"/>
  <c r="BI21" i="73"/>
  <c r="BI33" i="73"/>
  <c r="B30" i="71"/>
  <c r="J12" i="71"/>
  <c r="AC8" i="71"/>
  <c r="Y27" i="71" s="1"/>
  <c r="AK15" i="71" s="1"/>
  <c r="P7" i="79"/>
  <c r="N48" i="71"/>
  <c r="V30" i="71"/>
  <c r="AC64" i="71"/>
  <c r="Y90" i="71" s="1"/>
  <c r="AP72" i="71" s="1"/>
  <c r="V8" i="79"/>
  <c r="AC62" i="70"/>
  <c r="Y84" i="70" s="1"/>
  <c r="AK72" i="70" s="1"/>
  <c r="N30" i="70"/>
  <c r="V12" i="70"/>
  <c r="J7" i="79"/>
  <c r="J48" i="70"/>
  <c r="AC7" i="70"/>
  <c r="Y21" i="70" s="1"/>
  <c r="AF15" i="70" s="1"/>
  <c r="B12" i="70"/>
  <c r="D6" i="79"/>
  <c r="J48" i="73"/>
  <c r="AC7" i="73"/>
  <c r="Y21" i="73" s="1"/>
  <c r="AF15" i="73" s="1"/>
  <c r="B12" i="73"/>
  <c r="AR6" i="79"/>
  <c r="J30" i="71"/>
  <c r="B48" i="71"/>
  <c r="AC9" i="71"/>
  <c r="Y33" i="71" s="1"/>
  <c r="AP15" i="71" s="1"/>
  <c r="P8" i="79"/>
  <c r="V48" i="71"/>
  <c r="AC60" i="71"/>
  <c r="Y78" i="71" s="1"/>
  <c r="AF72" i="71" s="1"/>
  <c r="N12" i="71"/>
  <c r="V6" i="79"/>
  <c r="J30" i="75"/>
  <c r="AC9" i="75"/>
  <c r="Y33" i="75" s="1"/>
  <c r="AP15" i="75" s="1"/>
  <c r="B48" i="75"/>
  <c r="BT8" i="79"/>
  <c r="BI84" i="68"/>
  <c r="BI90" i="68"/>
  <c r="BI78" i="68"/>
  <c r="BW50" i="79"/>
  <c r="AC60" i="75"/>
  <c r="Y78" i="75" s="1"/>
  <c r="AF72" i="75" s="1"/>
  <c r="N12" i="75"/>
  <c r="V48" i="75"/>
  <c r="BZ6" i="79"/>
  <c r="AC8" i="75"/>
  <c r="Y27" i="75" s="1"/>
  <c r="AK15" i="75" s="1"/>
  <c r="B30" i="75"/>
  <c r="J12" i="75"/>
  <c r="BT7" i="79"/>
  <c r="V48" i="73"/>
  <c r="N12" i="73"/>
  <c r="AC60" i="73"/>
  <c r="Y78" i="73" s="1"/>
  <c r="AF72" i="73" s="1"/>
  <c r="AX6" i="79"/>
  <c r="S72" i="79"/>
  <c r="S70" i="79"/>
  <c r="AC62" i="74"/>
  <c r="Y84" i="74" s="1"/>
  <c r="AK72" i="74" s="1"/>
  <c r="N30" i="74"/>
  <c r="V12" i="74"/>
  <c r="BN7" i="79"/>
  <c r="V30" i="75"/>
  <c r="AC64" i="75"/>
  <c r="Y90" i="75" s="1"/>
  <c r="AP72" i="75" s="1"/>
  <c r="N48" i="75"/>
  <c r="BZ8" i="79"/>
  <c r="AC9" i="73"/>
  <c r="Y33" i="73" s="1"/>
  <c r="AP15" i="73" s="1"/>
  <c r="B48" i="73"/>
  <c r="J30" i="73"/>
  <c r="AR8" i="79"/>
  <c r="AC60" i="74"/>
  <c r="Y78" i="74" s="1"/>
  <c r="AF72" i="74" s="1"/>
  <c r="V48" i="74"/>
  <c r="N12" i="74"/>
  <c r="BN6" i="79"/>
  <c r="BJ15" i="79" s="1"/>
  <c r="B30" i="72"/>
  <c r="J12" i="72"/>
  <c r="AC8" i="72"/>
  <c r="Y27" i="72" s="1"/>
  <c r="AK15" i="72" s="1"/>
  <c r="AF7" i="79"/>
  <c r="N30" i="71"/>
  <c r="V12" i="71"/>
  <c r="AC62" i="71"/>
  <c r="Y84" i="71" s="1"/>
  <c r="AK72" i="71" s="1"/>
  <c r="V7" i="79"/>
  <c r="BI21" i="68"/>
  <c r="B30" i="73"/>
  <c r="J12" i="73"/>
  <c r="AC8" i="73"/>
  <c r="Y27" i="73" s="1"/>
  <c r="AK15" i="73" s="1"/>
  <c r="AR7" i="79"/>
  <c r="BI84" i="71"/>
  <c r="BI78" i="71"/>
  <c r="N12" i="72"/>
  <c r="V48" i="72"/>
  <c r="AC60" i="72"/>
  <c r="Y78" i="72" s="1"/>
  <c r="AF72" i="72" s="1"/>
  <c r="AL6" i="79"/>
  <c r="BI84" i="74"/>
  <c r="BI90" i="74"/>
  <c r="N30" i="75"/>
  <c r="AC62" i="75"/>
  <c r="Y84" i="75" s="1"/>
  <c r="AK72" i="75" s="1"/>
  <c r="V12" i="75"/>
  <c r="BZ7" i="79"/>
  <c r="B12" i="72"/>
  <c r="AC7" i="72"/>
  <c r="Y21" i="72" s="1"/>
  <c r="AF15" i="72" s="1"/>
  <c r="J48" i="72"/>
  <c r="AF6" i="79"/>
  <c r="BW56" i="79"/>
  <c r="BW58" i="79"/>
  <c r="BI84" i="69"/>
  <c r="BI78" i="69"/>
  <c r="BI90" i="69"/>
  <c r="BI84" i="70"/>
  <c r="BI78" i="70"/>
  <c r="N48" i="72"/>
  <c r="V30" i="72"/>
  <c r="AC64" i="72"/>
  <c r="Y90" i="72" s="1"/>
  <c r="AP72" i="72" s="1"/>
  <c r="AL8" i="79"/>
  <c r="S48" i="79"/>
  <c r="S50" i="79"/>
  <c r="AU56" i="79"/>
  <c r="AU54" i="79"/>
  <c r="AC9" i="70"/>
  <c r="Y33" i="70" s="1"/>
  <c r="AP15" i="70" s="1"/>
  <c r="B48" i="70"/>
  <c r="D8" i="79"/>
  <c r="B12" i="75"/>
  <c r="AC7" i="75"/>
  <c r="Y21" i="75" s="1"/>
  <c r="AF15" i="75" s="1"/>
  <c r="J48" i="75"/>
  <c r="BT6" i="79"/>
  <c r="AC62" i="72"/>
  <c r="Y84" i="72" s="1"/>
  <c r="AK72" i="72" s="1"/>
  <c r="V12" i="72"/>
  <c r="N30" i="72"/>
  <c r="AL7" i="79"/>
  <c r="J48" i="71"/>
  <c r="AC7" i="71"/>
  <c r="Y21" i="71" s="1"/>
  <c r="AF15" i="71" s="1"/>
  <c r="B12" i="71"/>
  <c r="P6" i="79"/>
  <c r="BI90" i="70"/>
  <c r="AC64" i="73"/>
  <c r="Y90" i="73" s="1"/>
  <c r="AP72" i="73" s="1"/>
  <c r="N48" i="73"/>
  <c r="V30" i="73"/>
  <c r="AX8" i="79"/>
  <c r="AC64" i="74"/>
  <c r="Y90" i="74" s="1"/>
  <c r="AP72" i="74" s="1"/>
  <c r="N48" i="74"/>
  <c r="V30" i="74"/>
  <c r="BN8" i="79"/>
  <c r="B48" i="72"/>
  <c r="J30" i="72"/>
  <c r="AC9" i="72"/>
  <c r="Y33" i="72" s="1"/>
  <c r="AP15" i="72" s="1"/>
  <c r="AF8" i="79"/>
  <c r="V48" i="70"/>
  <c r="AC60" i="70"/>
  <c r="Y78" i="70" s="1"/>
  <c r="AF72" i="70" s="1"/>
  <c r="N12" i="70"/>
  <c r="J6" i="79"/>
  <c r="BI27" i="72"/>
  <c r="BI21" i="72"/>
  <c r="S56" i="79"/>
  <c r="S54" i="79"/>
  <c r="AC8" i="74"/>
  <c r="Y27" i="74" s="1"/>
  <c r="AK15" i="74" s="1"/>
  <c r="J12" i="74"/>
  <c r="B30" i="74"/>
  <c r="BH7" i="79"/>
  <c r="BI27" i="74"/>
  <c r="BI33" i="74"/>
  <c r="BI21" i="74"/>
  <c r="AC50" i="79" l="1"/>
  <c r="AL45" i="79" s="1"/>
  <c r="AO23" i="79"/>
  <c r="AO20" i="79"/>
  <c r="AL17" i="79"/>
  <c r="AH21" i="79"/>
  <c r="BA18" i="79"/>
  <c r="AC74" i="79"/>
  <c r="AL69" i="79" s="1"/>
  <c r="BA21" i="79"/>
  <c r="AT23" i="79"/>
  <c r="AX19" i="79"/>
  <c r="V37" i="74"/>
  <c r="B42" i="74"/>
  <c r="B43" i="74"/>
  <c r="B44" i="74"/>
  <c r="B45" i="74"/>
  <c r="B41" i="74"/>
  <c r="N12" i="7"/>
  <c r="J19" i="70"/>
  <c r="N27" i="70"/>
  <c r="N26" i="70"/>
  <c r="N25" i="70"/>
  <c r="N23" i="70"/>
  <c r="N24" i="70"/>
  <c r="D10" i="7"/>
  <c r="V44" i="74"/>
  <c r="V45" i="74"/>
  <c r="V41" i="74"/>
  <c r="V42" i="74"/>
  <c r="V43" i="74"/>
  <c r="J38" i="74"/>
  <c r="P14" i="7"/>
  <c r="V45" i="73"/>
  <c r="V44" i="73"/>
  <c r="V43" i="73"/>
  <c r="V42" i="73"/>
  <c r="V41" i="73"/>
  <c r="J38" i="73"/>
  <c r="K30" i="7"/>
  <c r="Y24" i="79"/>
  <c r="Y15" i="79"/>
  <c r="A62" i="79"/>
  <c r="D61" i="79" s="1"/>
  <c r="V21" i="79"/>
  <c r="R13" i="79"/>
  <c r="AC56" i="79"/>
  <c r="AI53" i="79" s="1"/>
  <c r="AO17" i="79"/>
  <c r="AO14" i="79"/>
  <c r="AL15" i="79"/>
  <c r="AH19" i="79"/>
  <c r="CC24" i="79"/>
  <c r="CC15" i="79"/>
  <c r="BZ21" i="79"/>
  <c r="BV13" i="79"/>
  <c r="BE62" i="79"/>
  <c r="BH61" i="79" s="1"/>
  <c r="M23" i="79"/>
  <c r="J17" i="79"/>
  <c r="A50" i="79"/>
  <c r="J45" i="79" s="1"/>
  <c r="F21" i="79"/>
  <c r="M20" i="79"/>
  <c r="AC58" i="79"/>
  <c r="AL53" i="79" s="1"/>
  <c r="AH23" i="79"/>
  <c r="AO21" i="79"/>
  <c r="AO18" i="79"/>
  <c r="AL19" i="79"/>
  <c r="J62" i="72"/>
  <c r="J61" i="72"/>
  <c r="J63" i="72"/>
  <c r="J60" i="72"/>
  <c r="J59" i="72"/>
  <c r="V56" i="72"/>
  <c r="K16" i="7"/>
  <c r="V26" i="75"/>
  <c r="J20" i="75"/>
  <c r="V25" i="75"/>
  <c r="V27" i="75"/>
  <c r="V24" i="75"/>
  <c r="V23" i="75"/>
  <c r="P26" i="7"/>
  <c r="N27" i="72"/>
  <c r="N26" i="72"/>
  <c r="N25" i="72"/>
  <c r="N24" i="72"/>
  <c r="N23" i="72"/>
  <c r="J19" i="72"/>
  <c r="I10" i="7"/>
  <c r="A72" i="79"/>
  <c r="G69" i="79" s="1"/>
  <c r="Y17" i="79"/>
  <c r="V15" i="79"/>
  <c r="R19" i="79"/>
  <c r="Y14" i="79"/>
  <c r="AO19" i="79"/>
  <c r="AO16" i="79"/>
  <c r="AL13" i="79"/>
  <c r="AC48" i="79"/>
  <c r="AI45" i="79" s="1"/>
  <c r="AH17" i="79"/>
  <c r="BN23" i="79"/>
  <c r="BE54" i="79"/>
  <c r="BH53" i="79" s="1"/>
  <c r="BQ22" i="79"/>
  <c r="BQ13" i="79"/>
  <c r="BA23" i="79"/>
  <c r="AT21" i="79"/>
  <c r="BA20" i="79"/>
  <c r="AC66" i="79"/>
  <c r="AL61" i="79" s="1"/>
  <c r="AX17" i="79"/>
  <c r="BV23" i="79"/>
  <c r="BE74" i="79"/>
  <c r="BN69" i="79" s="1"/>
  <c r="CC21" i="79"/>
  <c r="BZ19" i="79"/>
  <c r="CC18" i="79"/>
  <c r="BN15" i="79"/>
  <c r="BJ19" i="79"/>
  <c r="BE56" i="79"/>
  <c r="BK53" i="79" s="1"/>
  <c r="BQ17" i="79"/>
  <c r="BQ14" i="79"/>
  <c r="J19" i="73"/>
  <c r="N27" i="73"/>
  <c r="N24" i="73"/>
  <c r="N23" i="73"/>
  <c r="N26" i="73"/>
  <c r="N25" i="73"/>
  <c r="I26" i="7"/>
  <c r="B45" i="75"/>
  <c r="B44" i="75"/>
  <c r="B43" i="75"/>
  <c r="B42" i="75"/>
  <c r="B41" i="75"/>
  <c r="V37" i="75"/>
  <c r="N28" i="7"/>
  <c r="N27" i="75"/>
  <c r="N26" i="75"/>
  <c r="N25" i="75"/>
  <c r="N24" i="75"/>
  <c r="N23" i="75"/>
  <c r="J19" i="75"/>
  <c r="N26" i="7"/>
  <c r="B63" i="71"/>
  <c r="B60" i="71"/>
  <c r="B59" i="71"/>
  <c r="V55" i="71"/>
  <c r="B62" i="71"/>
  <c r="B61" i="71"/>
  <c r="D32" i="7"/>
  <c r="N45" i="70"/>
  <c r="N43" i="70"/>
  <c r="N41" i="70"/>
  <c r="N44" i="70"/>
  <c r="N42" i="70"/>
  <c r="J37" i="70"/>
  <c r="D14" i="7"/>
  <c r="V45" i="71"/>
  <c r="V44" i="71"/>
  <c r="V43" i="71"/>
  <c r="V42" i="71"/>
  <c r="V41" i="71"/>
  <c r="J38" i="71"/>
  <c r="F30" i="7"/>
  <c r="J27" i="71"/>
  <c r="J26" i="71"/>
  <c r="J25" i="71"/>
  <c r="J24" i="71"/>
  <c r="J23" i="71"/>
  <c r="V20" i="71"/>
  <c r="F24" i="7"/>
  <c r="J63" i="74"/>
  <c r="J60" i="74"/>
  <c r="V56" i="74"/>
  <c r="J62" i="74"/>
  <c r="J61" i="74"/>
  <c r="P16" i="7"/>
  <c r="N63" i="70"/>
  <c r="N60" i="70"/>
  <c r="N59" i="70"/>
  <c r="N62" i="70"/>
  <c r="J55" i="70"/>
  <c r="N61" i="70"/>
  <c r="D18" i="7"/>
  <c r="B62" i="74"/>
  <c r="B61" i="74"/>
  <c r="B63" i="74"/>
  <c r="B59" i="74"/>
  <c r="V55" i="74"/>
  <c r="B60" i="74"/>
  <c r="N16" i="7"/>
  <c r="N43" i="73"/>
  <c r="J37" i="73"/>
  <c r="N45" i="73"/>
  <c r="N41" i="73"/>
  <c r="N42" i="73"/>
  <c r="N44" i="73"/>
  <c r="I30" i="7"/>
  <c r="J26" i="74"/>
  <c r="V20" i="74"/>
  <c r="J24" i="74"/>
  <c r="J27" i="74"/>
  <c r="J23" i="74"/>
  <c r="J25" i="74"/>
  <c r="P8" i="7"/>
  <c r="J45" i="72"/>
  <c r="J44" i="72"/>
  <c r="J43" i="72"/>
  <c r="J42" i="72"/>
  <c r="J41" i="72"/>
  <c r="V38" i="72"/>
  <c r="K12" i="7"/>
  <c r="N62" i="74"/>
  <c r="N61" i="74"/>
  <c r="J55" i="74"/>
  <c r="N60" i="74"/>
  <c r="N63" i="74"/>
  <c r="N59" i="74"/>
  <c r="N18" i="7"/>
  <c r="N60" i="73"/>
  <c r="N59" i="73"/>
  <c r="N63" i="73"/>
  <c r="N61" i="73"/>
  <c r="J55" i="73"/>
  <c r="N62" i="73"/>
  <c r="I34" i="7"/>
  <c r="B26" i="71"/>
  <c r="B25" i="71"/>
  <c r="B23" i="71"/>
  <c r="V19" i="71"/>
  <c r="B27" i="71"/>
  <c r="B24" i="71"/>
  <c r="D24" i="7"/>
  <c r="N43" i="72"/>
  <c r="N45" i="72"/>
  <c r="N41" i="72"/>
  <c r="N44" i="72"/>
  <c r="J37" i="72"/>
  <c r="N42" i="72"/>
  <c r="I14" i="7"/>
  <c r="J60" i="75"/>
  <c r="J59" i="75"/>
  <c r="J63" i="75"/>
  <c r="V56" i="75"/>
  <c r="J61" i="75"/>
  <c r="J62" i="75"/>
  <c r="P32" i="7"/>
  <c r="J45" i="70"/>
  <c r="J44" i="70"/>
  <c r="J43" i="70"/>
  <c r="J42" i="70"/>
  <c r="J41" i="70"/>
  <c r="V38" i="70"/>
  <c r="F12" i="7"/>
  <c r="AL23" i="79"/>
  <c r="AO22" i="79"/>
  <c r="AO13" i="79"/>
  <c r="AC54" i="79"/>
  <c r="AF53" i="79" s="1"/>
  <c r="AH15" i="79"/>
  <c r="J27" i="73"/>
  <c r="J26" i="73"/>
  <c r="J25" i="73"/>
  <c r="J24" i="73"/>
  <c r="J23" i="73"/>
  <c r="V20" i="73"/>
  <c r="K24" i="7"/>
  <c r="N27" i="74"/>
  <c r="N23" i="74"/>
  <c r="J19" i="74"/>
  <c r="N25" i="74"/>
  <c r="N26" i="74"/>
  <c r="N24" i="74"/>
  <c r="N10" i="7"/>
  <c r="V38" i="73"/>
  <c r="J42" i="73"/>
  <c r="J44" i="73"/>
  <c r="J41" i="73"/>
  <c r="J43" i="73"/>
  <c r="J45" i="73"/>
  <c r="K28" i="7"/>
  <c r="N62" i="75"/>
  <c r="N61" i="75"/>
  <c r="J55" i="75"/>
  <c r="N60" i="75"/>
  <c r="N59" i="75"/>
  <c r="N63" i="75"/>
  <c r="N34" i="7"/>
  <c r="V27" i="74"/>
  <c r="V26" i="74"/>
  <c r="V25" i="74"/>
  <c r="V24" i="74"/>
  <c r="V23" i="74"/>
  <c r="J20" i="74"/>
  <c r="P10" i="7"/>
  <c r="V62" i="73"/>
  <c r="V61" i="73"/>
  <c r="J56" i="73"/>
  <c r="V59" i="73"/>
  <c r="V60" i="73"/>
  <c r="V63" i="73"/>
  <c r="K34" i="7"/>
  <c r="J44" i="75"/>
  <c r="J42" i="75"/>
  <c r="V38" i="75"/>
  <c r="J43" i="75"/>
  <c r="J45" i="75"/>
  <c r="J41" i="75"/>
  <c r="P28" i="7"/>
  <c r="V62" i="71"/>
  <c r="V61" i="71"/>
  <c r="V63" i="71"/>
  <c r="J56" i="71"/>
  <c r="V60" i="71"/>
  <c r="V59" i="71"/>
  <c r="F34" i="7"/>
  <c r="V38" i="71"/>
  <c r="J45" i="71"/>
  <c r="J44" i="71"/>
  <c r="J43" i="71"/>
  <c r="J42" i="71"/>
  <c r="J41" i="71"/>
  <c r="F28" i="7"/>
  <c r="V56" i="73"/>
  <c r="J62" i="73"/>
  <c r="J60" i="73"/>
  <c r="J63" i="73"/>
  <c r="J61" i="73"/>
  <c r="J59" i="73"/>
  <c r="K32" i="7"/>
  <c r="J62" i="70"/>
  <c r="J61" i="70"/>
  <c r="V56" i="70"/>
  <c r="J59" i="70"/>
  <c r="J63" i="70"/>
  <c r="J60" i="70"/>
  <c r="F16" i="7"/>
  <c r="N60" i="71"/>
  <c r="N59" i="71"/>
  <c r="N63" i="71"/>
  <c r="N62" i="71"/>
  <c r="J55" i="71"/>
  <c r="N61" i="71"/>
  <c r="D34" i="7"/>
  <c r="V37" i="71"/>
  <c r="B45" i="71"/>
  <c r="B43" i="71"/>
  <c r="B41" i="71"/>
  <c r="B44" i="71"/>
  <c r="B42" i="71"/>
  <c r="D28" i="7"/>
  <c r="BN21" i="79"/>
  <c r="BE46" i="79"/>
  <c r="BH45" i="79" s="1"/>
  <c r="BQ24" i="79"/>
  <c r="BJ13" i="79"/>
  <c r="BQ15" i="79"/>
  <c r="A48" i="79"/>
  <c r="G45" i="79" s="1"/>
  <c r="J13" i="79"/>
  <c r="F17" i="79"/>
  <c r="M19" i="79"/>
  <c r="M16" i="79"/>
  <c r="J19" i="79"/>
  <c r="A58" i="79"/>
  <c r="J53" i="79" s="1"/>
  <c r="F23" i="79"/>
  <c r="M21" i="79"/>
  <c r="M18" i="79"/>
  <c r="BN17" i="79"/>
  <c r="BJ21" i="79"/>
  <c r="BE50" i="79"/>
  <c r="BN45" i="79" s="1"/>
  <c r="BQ23" i="79"/>
  <c r="BQ20" i="79"/>
  <c r="AT19" i="79"/>
  <c r="BA14" i="79"/>
  <c r="BA17" i="79"/>
  <c r="AC72" i="79"/>
  <c r="AI69" i="79" s="1"/>
  <c r="AX15" i="79"/>
  <c r="V62" i="70"/>
  <c r="V61" i="70"/>
  <c r="V63" i="70"/>
  <c r="J56" i="70"/>
  <c r="V60" i="70"/>
  <c r="V59" i="70"/>
  <c r="F18" i="7"/>
  <c r="B60" i="72"/>
  <c r="B59" i="72"/>
  <c r="V55" i="72"/>
  <c r="B62" i="72"/>
  <c r="B63" i="72"/>
  <c r="B61" i="72"/>
  <c r="I16" i="7"/>
  <c r="V24" i="72"/>
  <c r="V25" i="72"/>
  <c r="V23" i="72"/>
  <c r="V27" i="72"/>
  <c r="V26" i="72"/>
  <c r="J20" i="72"/>
  <c r="K10" i="7"/>
  <c r="B60" i="70"/>
  <c r="B59" i="70"/>
  <c r="V55" i="70"/>
  <c r="B63" i="70"/>
  <c r="B62" i="70"/>
  <c r="B61" i="70"/>
  <c r="D16" i="7"/>
  <c r="V44" i="72"/>
  <c r="V42" i="72"/>
  <c r="V41" i="72"/>
  <c r="J38" i="72"/>
  <c r="V45" i="72"/>
  <c r="V43" i="72"/>
  <c r="K14" i="7"/>
  <c r="B27" i="72"/>
  <c r="B26" i="72"/>
  <c r="B25" i="72"/>
  <c r="B24" i="72"/>
  <c r="B23" i="72"/>
  <c r="V19" i="72"/>
  <c r="I8" i="7"/>
  <c r="N45" i="75"/>
  <c r="N44" i="75"/>
  <c r="N43" i="75"/>
  <c r="N42" i="75"/>
  <c r="N41" i="75"/>
  <c r="J37" i="75"/>
  <c r="N30" i="7"/>
  <c r="B45" i="73"/>
  <c r="B41" i="73"/>
  <c r="B43" i="73"/>
  <c r="B44" i="73"/>
  <c r="B42" i="73"/>
  <c r="V37" i="73"/>
  <c r="I28" i="7"/>
  <c r="V27" i="71"/>
  <c r="V26" i="71"/>
  <c r="V25" i="71"/>
  <c r="V24" i="71"/>
  <c r="V23" i="71"/>
  <c r="J20" i="71"/>
  <c r="F26" i="7"/>
  <c r="V20" i="72"/>
  <c r="J27" i="72"/>
  <c r="J26" i="72"/>
  <c r="J23" i="72"/>
  <c r="J25" i="72"/>
  <c r="J24" i="72"/>
  <c r="K8" i="7"/>
  <c r="V60" i="74"/>
  <c r="V59" i="74"/>
  <c r="J56" i="74"/>
  <c r="V63" i="74"/>
  <c r="V61" i="74"/>
  <c r="V62" i="74"/>
  <c r="P18" i="7"/>
  <c r="B63" i="73"/>
  <c r="B61" i="73"/>
  <c r="B59" i="73"/>
  <c r="V55" i="73"/>
  <c r="B62" i="73"/>
  <c r="B60" i="73"/>
  <c r="I32" i="7"/>
  <c r="N43" i="74"/>
  <c r="N44" i="74"/>
  <c r="N45" i="74"/>
  <c r="N41" i="74"/>
  <c r="J37" i="74"/>
  <c r="N42" i="74"/>
  <c r="N14" i="7"/>
  <c r="BA22" i="79"/>
  <c r="AT15" i="79"/>
  <c r="AC70" i="79"/>
  <c r="AF69" i="79" s="1"/>
  <c r="AX23" i="79"/>
  <c r="BA13" i="79"/>
  <c r="BE64" i="79"/>
  <c r="BK61" i="79" s="1"/>
  <c r="CC19" i="79"/>
  <c r="BZ13" i="79"/>
  <c r="BV17" i="79"/>
  <c r="CC16" i="79"/>
  <c r="CC22" i="79"/>
  <c r="CC13" i="79"/>
  <c r="BE70" i="79"/>
  <c r="BH69" i="79" s="1"/>
  <c r="BZ23" i="79"/>
  <c r="BV15" i="79"/>
  <c r="CC23" i="79"/>
  <c r="BZ17" i="79"/>
  <c r="BE66" i="79"/>
  <c r="BN61" i="79" s="1"/>
  <c r="BV21" i="79"/>
  <c r="CC20" i="79"/>
  <c r="Y13" i="79"/>
  <c r="Y22" i="79"/>
  <c r="R15" i="79"/>
  <c r="A70" i="79"/>
  <c r="D69" i="79" s="1"/>
  <c r="V23" i="79"/>
  <c r="V17" i="79"/>
  <c r="Y23" i="79"/>
  <c r="R21" i="79"/>
  <c r="Y20" i="79"/>
  <c r="A66" i="79"/>
  <c r="J61" i="79" s="1"/>
  <c r="AC62" i="79"/>
  <c r="AF61" i="79" s="1"/>
  <c r="AT13" i="79"/>
  <c r="BA24" i="79"/>
  <c r="BA15" i="79"/>
  <c r="AX21" i="79"/>
  <c r="M24" i="79"/>
  <c r="J21" i="79"/>
  <c r="F13" i="79"/>
  <c r="A46" i="79"/>
  <c r="D45" i="79" s="1"/>
  <c r="M15" i="79"/>
  <c r="J15" i="79"/>
  <c r="A56" i="79"/>
  <c r="G53" i="79" s="1"/>
  <c r="F19" i="79"/>
  <c r="M17" i="79"/>
  <c r="M14" i="79"/>
  <c r="R23" i="79"/>
  <c r="Y21" i="79"/>
  <c r="A74" i="79"/>
  <c r="J69" i="79" s="1"/>
  <c r="V19" i="79"/>
  <c r="Y18" i="79"/>
  <c r="Y19" i="79"/>
  <c r="V13" i="79"/>
  <c r="A64" i="79"/>
  <c r="G61" i="79" s="1"/>
  <c r="R17" i="79"/>
  <c r="Y16" i="79"/>
  <c r="J27" i="70"/>
  <c r="J26" i="70"/>
  <c r="J25" i="70"/>
  <c r="J24" i="70"/>
  <c r="J23" i="70"/>
  <c r="V20" i="70"/>
  <c r="F8" i="7"/>
  <c r="J45" i="74"/>
  <c r="J44" i="74"/>
  <c r="J43" i="74"/>
  <c r="J42" i="74"/>
  <c r="V38" i="74"/>
  <c r="P12" i="7"/>
  <c r="BN13" i="79"/>
  <c r="BJ17" i="79"/>
  <c r="BE48" i="79"/>
  <c r="BK45" i="79" s="1"/>
  <c r="BQ19" i="79"/>
  <c r="BQ16" i="79"/>
  <c r="A54" i="79"/>
  <c r="D53" i="79" s="1"/>
  <c r="J23" i="79"/>
  <c r="F15" i="79"/>
  <c r="M22" i="79"/>
  <c r="M13" i="79"/>
  <c r="BE58" i="79"/>
  <c r="BN53" i="79" s="1"/>
  <c r="BN19" i="79"/>
  <c r="BJ23" i="79"/>
  <c r="BQ21" i="79"/>
  <c r="BQ18" i="79"/>
  <c r="V56" i="71"/>
  <c r="J62" i="71"/>
  <c r="J61" i="71"/>
  <c r="J59" i="71"/>
  <c r="J63" i="71"/>
  <c r="J60" i="71"/>
  <c r="F32" i="7"/>
  <c r="B27" i="75"/>
  <c r="B26" i="75"/>
  <c r="B25" i="75"/>
  <c r="B24" i="75"/>
  <c r="B23" i="75"/>
  <c r="V19" i="75"/>
  <c r="N24" i="7"/>
  <c r="N63" i="72"/>
  <c r="N61" i="72"/>
  <c r="N59" i="72"/>
  <c r="J55" i="72"/>
  <c r="N62" i="72"/>
  <c r="N60" i="72"/>
  <c r="I18" i="7"/>
  <c r="AO15" i="79"/>
  <c r="AC46" i="79"/>
  <c r="AF45" i="79" s="1"/>
  <c r="AL21" i="79"/>
  <c r="AO24" i="79"/>
  <c r="AH13" i="79"/>
  <c r="BE72" i="79"/>
  <c r="BK69" i="79" s="1"/>
  <c r="CC17" i="79"/>
  <c r="BZ15" i="79"/>
  <c r="BV19" i="79"/>
  <c r="CC14" i="79"/>
  <c r="V62" i="72"/>
  <c r="V60" i="72"/>
  <c r="J56" i="72"/>
  <c r="V63" i="72"/>
  <c r="V59" i="72"/>
  <c r="V61" i="72"/>
  <c r="K18" i="7"/>
  <c r="AT17" i="79"/>
  <c r="BA16" i="79"/>
  <c r="AC64" i="79"/>
  <c r="AI61" i="79" s="1"/>
  <c r="BA19" i="79"/>
  <c r="AX13" i="79"/>
  <c r="N45" i="71"/>
  <c r="N43" i="71"/>
  <c r="N41" i="71"/>
  <c r="N44" i="71"/>
  <c r="N42" i="71"/>
  <c r="J37" i="71"/>
  <c r="D30" i="7"/>
  <c r="V37" i="72"/>
  <c r="B42" i="72"/>
  <c r="B44" i="72"/>
  <c r="B43" i="72"/>
  <c r="B45" i="72"/>
  <c r="B41" i="72"/>
  <c r="I12" i="7"/>
  <c r="J38" i="75"/>
  <c r="V45" i="75"/>
  <c r="V43" i="75"/>
  <c r="V41" i="75"/>
  <c r="V44" i="75"/>
  <c r="V42" i="75"/>
  <c r="P30" i="7"/>
  <c r="V20" i="75"/>
  <c r="J24" i="75"/>
  <c r="J26" i="75"/>
  <c r="J23" i="75"/>
  <c r="J25" i="75"/>
  <c r="J27" i="75"/>
  <c r="P24" i="7"/>
  <c r="V63" i="75"/>
  <c r="V60" i="75"/>
  <c r="V59" i="75"/>
  <c r="J56" i="75"/>
  <c r="V62" i="75"/>
  <c r="V61" i="75"/>
  <c r="P34" i="7"/>
  <c r="B62" i="75"/>
  <c r="B61" i="75"/>
  <c r="B63" i="75"/>
  <c r="V55" i="75"/>
  <c r="B60" i="75"/>
  <c r="B59" i="75"/>
  <c r="N32" i="7"/>
  <c r="J19" i="71"/>
  <c r="N25" i="71"/>
  <c r="N23" i="71"/>
  <c r="N27" i="71"/>
  <c r="N24" i="71"/>
  <c r="N26" i="71"/>
  <c r="D26" i="7"/>
  <c r="B25" i="73"/>
  <c r="B26" i="73"/>
  <c r="B23" i="73"/>
  <c r="B24" i="73"/>
  <c r="V19" i="73"/>
  <c r="B27" i="73"/>
  <c r="I24" i="7"/>
  <c r="B25" i="70"/>
  <c r="B23" i="70"/>
  <c r="V19" i="70"/>
  <c r="B24" i="70"/>
  <c r="B26" i="70"/>
  <c r="B27" i="70"/>
  <c r="D8" i="7"/>
  <c r="V27" i="70"/>
  <c r="V26" i="70"/>
  <c r="V25" i="70"/>
  <c r="V24" i="70"/>
  <c r="V23" i="70"/>
  <c r="J20" i="70"/>
  <c r="F10" i="7"/>
  <c r="B25" i="74"/>
  <c r="B27" i="74"/>
  <c r="B23" i="74"/>
  <c r="B24" i="74"/>
  <c r="B26" i="74"/>
  <c r="V19" i="74"/>
  <c r="N8" i="7"/>
  <c r="V37" i="70"/>
  <c r="B45" i="70"/>
  <c r="B43" i="70"/>
  <c r="B41" i="70"/>
  <c r="B44" i="70"/>
  <c r="B42" i="70"/>
  <c r="D12" i="7"/>
  <c r="V45" i="70"/>
  <c r="V44" i="70"/>
  <c r="V43" i="70"/>
  <c r="V42" i="70"/>
  <c r="V41" i="70"/>
  <c r="J38" i="70"/>
  <c r="F14" i="7"/>
  <c r="V26" i="73"/>
  <c r="V23" i="73"/>
  <c r="J20" i="73"/>
  <c r="V25" i="73"/>
  <c r="V27" i="73"/>
  <c r="V24" i="73"/>
  <c r="K26" i="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<sst xmlns="http://schemas.openxmlformats.org/spreadsheetml/2006/main" count="57595" uniqueCount="15370">
  <si>
    <t>R002530851</t>
  </si>
  <si>
    <t>交代</t>
    <rPh sb="0" eb="2">
      <t>コウタイ</t>
    </rPh>
    <phoneticPr fontId="29"/>
  </si>
  <si>
    <t>大</t>
    <rPh sb="0" eb="1">
      <t>タイ</t>
    </rPh>
    <phoneticPr fontId="29"/>
  </si>
  <si>
    <t>R009197691</t>
  </si>
  <si>
    <t>R001252220</t>
  </si>
  <si>
    <t>合計</t>
    <rPh sb="0" eb="2">
      <t>ゴウケイ</t>
    </rPh>
    <phoneticPr fontId="29"/>
  </si>
  <si>
    <t>R010189321</t>
  </si>
  <si>
    <t>井上　健次郎</t>
  </si>
  <si>
    <t>佐藤　楓真</t>
  </si>
  <si>
    <t>《会場》</t>
    <rPh sb="1" eb="3">
      <t>カイジョウ</t>
    </rPh>
    <phoneticPr fontId="29"/>
  </si>
  <si>
    <t>山崎　雅人</t>
  </si>
  <si>
    <t>河野　裕明</t>
  </si>
  <si>
    <t>2次ﾘｰｸﾞ</t>
    <rPh sb="1" eb="2">
      <t>ジ</t>
    </rPh>
    <phoneticPr fontId="29"/>
  </si>
  <si>
    <t>杉野　岳士</t>
  </si>
  <si>
    <t>日</t>
  </si>
  <si>
    <t>Ｋ</t>
  </si>
  <si>
    <t>R010583782</t>
  </si>
  <si>
    <t>R009212325</t>
  </si>
  <si>
    <t>坂本　陸</t>
  </si>
  <si>
    <t>酒井　隆宏</t>
  </si>
  <si>
    <t>R001737174</t>
  </si>
  <si>
    <t>R007003307</t>
  </si>
  <si>
    <t>ＰＫ戦</t>
    <rPh sb="2" eb="3">
      <t>セン</t>
    </rPh>
    <phoneticPr fontId="29"/>
  </si>
  <si>
    <t>R006220952</t>
  </si>
  <si>
    <t>坂本　克也</t>
  </si>
  <si>
    <t>末綱　太舟</t>
  </si>
  <si>
    <t>D3</t>
  </si>
  <si>
    <t>年</t>
    <rPh sb="0" eb="1">
      <t>ネン</t>
    </rPh>
    <phoneticPr fontId="29"/>
  </si>
  <si>
    <t>準決勝</t>
    <rPh sb="0" eb="3">
      <t>ジュンケッショウ</t>
    </rPh>
    <phoneticPr fontId="29"/>
  </si>
  <si>
    <t>加藤　恭介</t>
  </si>
  <si>
    <t>渡辺　晃大</t>
  </si>
  <si>
    <t>R010001964</t>
  </si>
  <si>
    <t>第</t>
    <rPh sb="0" eb="1">
      <t>ダイ</t>
    </rPh>
    <phoneticPr fontId="29"/>
  </si>
  <si>
    <t>R001263332</t>
  </si>
  <si>
    <t>R001255139</t>
  </si>
  <si>
    <t>【Match No,51】</t>
  </si>
  <si>
    <t>井上　陽太</t>
  </si>
  <si>
    <t>公式記録</t>
    <rPh sb="0" eb="2">
      <t>コウシキ</t>
    </rPh>
    <rPh sb="2" eb="4">
      <t>キロク</t>
    </rPh>
    <phoneticPr fontId="29"/>
  </si>
  <si>
    <t>R008634681</t>
  </si>
  <si>
    <t>二宮　駿太</t>
  </si>
  <si>
    <t>決勝</t>
    <rPh sb="0" eb="2">
      <t>ケッショウ</t>
    </rPh>
    <phoneticPr fontId="29"/>
  </si>
  <si>
    <t>R008798156</t>
  </si>
  <si>
    <t>2次リーグ　Dパート</t>
  </si>
  <si>
    <t>川邉　太一朗</t>
  </si>
  <si>
    <t>櫛野　理弘</t>
  </si>
  <si>
    <t>R010027894</t>
  </si>
  <si>
    <t>福田　人志</t>
  </si>
  <si>
    <t>西山　文朗</t>
  </si>
  <si>
    <t>会</t>
    <rPh sb="0" eb="1">
      <t>カイ</t>
    </rPh>
    <phoneticPr fontId="29"/>
  </si>
  <si>
    <t>競技</t>
    <rPh sb="0" eb="1">
      <t>セリ</t>
    </rPh>
    <rPh sb="1" eb="2">
      <t>ワザ</t>
    </rPh>
    <phoneticPr fontId="29"/>
  </si>
  <si>
    <t>R004793931</t>
  </si>
  <si>
    <t>R010193705</t>
  </si>
  <si>
    <t>生口　彩人</t>
  </si>
  <si>
    <t>記</t>
    <rPh sb="0" eb="1">
      <t>キ</t>
    </rPh>
    <phoneticPr fontId="29"/>
  </si>
  <si>
    <t>Aブロック(フリー)</t>
  </si>
  <si>
    <t>安部　颯</t>
  </si>
  <si>
    <t>三浦　憲太郎</t>
  </si>
  <si>
    <t>R007729210</t>
  </si>
  <si>
    <t>和田　健一郎</t>
  </si>
  <si>
    <t>水口　裕太</t>
  </si>
  <si>
    <t>選</t>
    <rPh sb="0" eb="1">
      <t>セン</t>
    </rPh>
    <phoneticPr fontId="29"/>
  </si>
  <si>
    <t>前半</t>
    <rPh sb="0" eb="2">
      <t>ゼンハン</t>
    </rPh>
    <phoneticPr fontId="29"/>
  </si>
  <si>
    <t>櫻井　貴寛</t>
  </si>
  <si>
    <t>（2）</t>
  </si>
  <si>
    <t>時間</t>
    <rPh sb="0" eb="1">
      <t>トキ</t>
    </rPh>
    <rPh sb="1" eb="2">
      <t>アイダ</t>
    </rPh>
    <phoneticPr fontId="29"/>
  </si>
  <si>
    <t>R005987403</t>
  </si>
  <si>
    <t>警告2</t>
    <rPh sb="0" eb="2">
      <t>ケイコク</t>
    </rPh>
    <phoneticPr fontId="29"/>
  </si>
  <si>
    <t>高橋　涼太</t>
  </si>
  <si>
    <t>J1</t>
  </si>
  <si>
    <t>録</t>
    <rPh sb="0" eb="1">
      <t>ロク</t>
    </rPh>
    <phoneticPr fontId="29"/>
  </si>
  <si>
    <t>平林　昭二</t>
  </si>
  <si>
    <t>R010167738</t>
  </si>
  <si>
    <t>周藤　彼方</t>
  </si>
  <si>
    <t>泥沼</t>
    <rPh sb="0" eb="2">
      <t>ドロヌマ</t>
    </rPh>
    <phoneticPr fontId="29"/>
  </si>
  <si>
    <t>中野　友晶</t>
  </si>
  <si>
    <t>名</t>
    <rPh sb="0" eb="1">
      <t>ナ</t>
    </rPh>
    <phoneticPr fontId="29"/>
  </si>
  <si>
    <t>大石　正雄</t>
  </si>
  <si>
    <t>延長</t>
    <rPh sb="0" eb="2">
      <t>エンチョウ</t>
    </rPh>
    <phoneticPr fontId="29"/>
  </si>
  <si>
    <t>岩丸　海斗</t>
  </si>
  <si>
    <t>足立　卓也</t>
  </si>
  <si>
    <t>羽田野　亘</t>
  </si>
  <si>
    <t>R010376263</t>
  </si>
  <si>
    <t>者</t>
    <rPh sb="0" eb="1">
      <t>シャ</t>
    </rPh>
    <phoneticPr fontId="29"/>
  </si>
  <si>
    <t>甲斐　咲渡</t>
  </si>
  <si>
    <t>F1</t>
  </si>
  <si>
    <t>金子　翔</t>
  </si>
  <si>
    <t>M   C</t>
  </si>
  <si>
    <t>天</t>
    <rPh sb="0" eb="1">
      <t>テン</t>
    </rPh>
    <phoneticPr fontId="29"/>
  </si>
  <si>
    <t>晴</t>
    <rPh sb="0" eb="1">
      <t>ハレ</t>
    </rPh>
    <phoneticPr fontId="29"/>
  </si>
  <si>
    <t>藤松　竜也</t>
  </si>
  <si>
    <t>背番号</t>
  </si>
  <si>
    <t>坪根　晃</t>
  </si>
  <si>
    <t>廣瀬　遼真</t>
  </si>
  <si>
    <t>風</t>
    <rPh sb="0" eb="1">
      <t>カゼ</t>
    </rPh>
    <phoneticPr fontId="29"/>
  </si>
  <si>
    <t>近藤　孝司</t>
  </si>
  <si>
    <t>強</t>
    <rPh sb="0" eb="1">
      <t>キョウ</t>
    </rPh>
    <phoneticPr fontId="29"/>
  </si>
  <si>
    <t>福田　虎志郎</t>
  </si>
  <si>
    <t>R007959699</t>
  </si>
  <si>
    <t>会場：</t>
    <rPh sb="0" eb="2">
      <t>カイジョウ</t>
    </rPh>
    <phoneticPr fontId="29"/>
  </si>
  <si>
    <t>首藤　翼</t>
  </si>
  <si>
    <t>弱</t>
    <rPh sb="0" eb="1">
      <t>ジャク</t>
    </rPh>
    <phoneticPr fontId="29"/>
  </si>
  <si>
    <t>R005603389</t>
  </si>
  <si>
    <t>猪下　侑恭</t>
  </si>
  <si>
    <t>半</t>
    <rPh sb="0" eb="1">
      <t>ハン</t>
    </rPh>
    <phoneticPr fontId="29"/>
  </si>
  <si>
    <t>松下　和樹</t>
  </si>
  <si>
    <t>末松　敬雅</t>
  </si>
  <si>
    <t>戦評者氏名</t>
    <rPh sb="0" eb="1">
      <t>セン</t>
    </rPh>
    <rPh sb="1" eb="2">
      <t>ヒョウ</t>
    </rPh>
    <rPh sb="2" eb="3">
      <t>シャ</t>
    </rPh>
    <rPh sb="3" eb="5">
      <t>シメイ</t>
    </rPh>
    <phoneticPr fontId="29"/>
  </si>
  <si>
    <t>無</t>
    <rPh sb="0" eb="1">
      <t>ム</t>
    </rPh>
    <phoneticPr fontId="29"/>
  </si>
  <si>
    <t>「4号検定球　各チーム持ち寄り」</t>
    <rPh sb="2" eb="3">
      <t>ゴウ</t>
    </rPh>
    <rPh sb="3" eb="5">
      <t>ケンテイ</t>
    </rPh>
    <rPh sb="5" eb="6">
      <t>キュウ</t>
    </rPh>
    <rPh sb="7" eb="8">
      <t>カク</t>
    </rPh>
    <rPh sb="11" eb="12">
      <t>モ</t>
    </rPh>
    <rPh sb="13" eb="14">
      <t>ヨ</t>
    </rPh>
    <phoneticPr fontId="29"/>
  </si>
  <si>
    <t>秋元　昭一</t>
  </si>
  <si>
    <t>大野　春佑</t>
  </si>
  <si>
    <t>番</t>
    <rPh sb="0" eb="1">
      <t>バン</t>
    </rPh>
    <phoneticPr fontId="29"/>
  </si>
  <si>
    <t>H3</t>
  </si>
  <si>
    <t>芝</t>
    <rPh sb="0" eb="1">
      <t>シバ</t>
    </rPh>
    <phoneticPr fontId="29"/>
  </si>
  <si>
    <t>R010444522</t>
  </si>
  <si>
    <t>関　文雄</t>
  </si>
  <si>
    <t>久保山　守</t>
  </si>
  <si>
    <t>R010542185</t>
  </si>
  <si>
    <t>坂本　晴陽</t>
  </si>
  <si>
    <t>大久保　正明</t>
  </si>
  <si>
    <t>Ｐ</t>
  </si>
  <si>
    <t>先</t>
    <rPh sb="0" eb="1">
      <t>サキ</t>
    </rPh>
    <phoneticPr fontId="29"/>
  </si>
  <si>
    <t>小野　幸登</t>
  </si>
  <si>
    <t>竹嶋　仁</t>
  </si>
  <si>
    <t>村谷　祐一</t>
  </si>
  <si>
    <t>状</t>
    <rPh sb="0" eb="1">
      <t>ジョウ</t>
    </rPh>
    <phoneticPr fontId="29"/>
  </si>
  <si>
    <t>後半</t>
    <rPh sb="0" eb="2">
      <t>コウハン</t>
    </rPh>
    <phoneticPr fontId="29"/>
  </si>
  <si>
    <t>良好</t>
    <rPh sb="0" eb="2">
      <t>リョウコウ</t>
    </rPh>
    <phoneticPr fontId="29"/>
  </si>
  <si>
    <t>R007003431</t>
  </si>
  <si>
    <t>安藤　昭徳</t>
  </si>
  <si>
    <t>審</t>
    <rPh sb="0" eb="1">
      <t>シン</t>
    </rPh>
    <phoneticPr fontId="29"/>
  </si>
  <si>
    <t>主審</t>
    <rPh sb="0" eb="2">
      <t>シュシン</t>
    </rPh>
    <phoneticPr fontId="29"/>
  </si>
  <si>
    <t>R007335075</t>
  </si>
  <si>
    <t>〃</t>
  </si>
  <si>
    <t>團塚　晋之祐</t>
  </si>
  <si>
    <t>中津市大字永添2065番地の1</t>
  </si>
  <si>
    <t>％</t>
  </si>
  <si>
    <t>東藤　正幸</t>
  </si>
  <si>
    <t>学年</t>
  </si>
  <si>
    <t>J3</t>
  </si>
  <si>
    <t>R001262625</t>
  </si>
  <si>
    <t>副審</t>
    <rPh sb="0" eb="2">
      <t>フクシン</t>
    </rPh>
    <phoneticPr fontId="29"/>
  </si>
  <si>
    <t>古川　高</t>
  </si>
  <si>
    <t>C1</t>
  </si>
  <si>
    <t>R010281819</t>
  </si>
  <si>
    <t>号</t>
    <rPh sb="0" eb="1">
      <t>ゴウ</t>
    </rPh>
    <phoneticPr fontId="29"/>
  </si>
  <si>
    <t>行う（口頭もしくは、表示用ボード）</t>
    <rPh sb="0" eb="1">
      <t>オコナ</t>
    </rPh>
    <rPh sb="3" eb="5">
      <t>コウトウ</t>
    </rPh>
    <phoneticPr fontId="29"/>
  </si>
  <si>
    <t>曇</t>
    <rPh sb="0" eb="1">
      <t>クモリ</t>
    </rPh>
    <phoneticPr fontId="29"/>
  </si>
  <si>
    <t>R008634636</t>
  </si>
  <si>
    <t>気温</t>
    <rPh sb="0" eb="2">
      <t>キオン</t>
    </rPh>
    <phoneticPr fontId="29"/>
  </si>
  <si>
    <t>E2</t>
  </si>
  <si>
    <t>Ｃ</t>
  </si>
  <si>
    <t>藤原　龍司</t>
  </si>
  <si>
    <t>紙谷　昌弥</t>
  </si>
  <si>
    <t>℃</t>
  </si>
  <si>
    <t>場</t>
    <rPh sb="0" eb="1">
      <t>バ</t>
    </rPh>
    <phoneticPr fontId="29"/>
  </si>
  <si>
    <t>千怒サッカースポーツ少年団</t>
  </si>
  <si>
    <t>安藤　繁</t>
  </si>
  <si>
    <t>R002938017</t>
  </si>
  <si>
    <t>勝</t>
  </si>
  <si>
    <t>福田　ここな</t>
  </si>
  <si>
    <t>不良</t>
    <rPh sb="0" eb="2">
      <t>フリョウ</t>
    </rPh>
    <phoneticPr fontId="29"/>
  </si>
  <si>
    <t>候</t>
    <rPh sb="0" eb="1">
      <t>コウ</t>
    </rPh>
    <phoneticPr fontId="29"/>
  </si>
  <si>
    <t>名</t>
    <rPh sb="0" eb="1">
      <t>メイ</t>
    </rPh>
    <phoneticPr fontId="29"/>
  </si>
  <si>
    <t>西尾　拓之</t>
  </si>
  <si>
    <t>地区大会</t>
    <rPh sb="0" eb="2">
      <t>チク</t>
    </rPh>
    <rPh sb="2" eb="4">
      <t>タイカイ</t>
    </rPh>
    <phoneticPr fontId="29"/>
  </si>
  <si>
    <t>R008174064</t>
  </si>
  <si>
    <t>重住　龍真</t>
  </si>
  <si>
    <t>A2：③帯同</t>
  </si>
  <si>
    <t>R002917430</t>
  </si>
  <si>
    <t>戸田　汐音</t>
  </si>
  <si>
    <t xml:space="preserve">       チーム代表者は必ずユニホームを持参(FP/GKの正副全て現物を。写真等不可。)にて参加願います。</t>
  </si>
  <si>
    <t>雨</t>
    <rPh sb="0" eb="1">
      <t>アメ</t>
    </rPh>
    <phoneticPr fontId="29"/>
  </si>
  <si>
    <t>R010546292</t>
  </si>
  <si>
    <t>２次リーグ</t>
    <rPh sb="1" eb="2">
      <t>ジ</t>
    </rPh>
    <phoneticPr fontId="72"/>
  </si>
  <si>
    <t>平川　瑛翔</t>
  </si>
  <si>
    <t>シュート（得点者は○印）</t>
    <rPh sb="5" eb="8">
      <t>トクテンシャ</t>
    </rPh>
    <rPh sb="10" eb="11">
      <t>イン</t>
    </rPh>
    <phoneticPr fontId="29"/>
  </si>
  <si>
    <t>R009408782</t>
  </si>
  <si>
    <t>岩尾　潤一郎</t>
  </si>
  <si>
    <t>R010093501</t>
  </si>
  <si>
    <t>二宮　康彰</t>
  </si>
  <si>
    <t>佐藤　慎二</t>
  </si>
  <si>
    <t>湿度</t>
    <rPh sb="0" eb="2">
      <t>シツド</t>
    </rPh>
    <phoneticPr fontId="29"/>
  </si>
  <si>
    <t>杉崎　誠</t>
  </si>
  <si>
    <t>アンダーショーツおよびタイツの色は問わない。ただし原則としてチーム内で同色のものを着用する。</t>
  </si>
  <si>
    <t>時松　辰行</t>
  </si>
  <si>
    <t>松尾　叶輝優</t>
  </si>
  <si>
    <t>藤田　大幹</t>
  </si>
  <si>
    <t>田尻サッカースポーツ少年団</t>
  </si>
  <si>
    <t>前半</t>
  </si>
  <si>
    <t>R010073990</t>
  </si>
  <si>
    <t>関谷　僚人</t>
  </si>
  <si>
    <t>R010601878</t>
  </si>
  <si>
    <t>徳丸　英明</t>
  </si>
  <si>
    <t>R001263129</t>
  </si>
  <si>
    <t>延後</t>
    <rPh sb="0" eb="1">
      <t>エン</t>
    </rPh>
    <rPh sb="1" eb="2">
      <t>コウ</t>
    </rPh>
    <phoneticPr fontId="29"/>
  </si>
  <si>
    <t>佐藤　凱翔</t>
  </si>
  <si>
    <t>麻生　蓮</t>
  </si>
  <si>
    <t>八坂　柊</t>
  </si>
  <si>
    <t>R001255908</t>
  </si>
  <si>
    <t>三重野　英人</t>
  </si>
  <si>
    <t>資格番号</t>
    <rPh sb="0" eb="2">
      <t>シカク</t>
    </rPh>
    <rPh sb="2" eb="4">
      <t>バンゴウ</t>
    </rPh>
    <phoneticPr fontId="29"/>
  </si>
  <si>
    <t>R008481113</t>
  </si>
  <si>
    <t>延前</t>
    <rPh sb="0" eb="1">
      <t>エン</t>
    </rPh>
    <rPh sb="1" eb="2">
      <t>ゼン</t>
    </rPh>
    <phoneticPr fontId="29"/>
  </si>
  <si>
    <t>会場：</t>
    <rPh sb="0" eb="2">
      <t>カイジョウ</t>
    </rPh>
    <phoneticPr fontId="72"/>
  </si>
  <si>
    <t>R000876616</t>
  </si>
  <si>
    <t>R006664864</t>
  </si>
  <si>
    <t>ヘディング</t>
  </si>
  <si>
    <t>土</t>
    <rPh sb="0" eb="1">
      <t>ツチ</t>
    </rPh>
    <phoneticPr fontId="29"/>
  </si>
  <si>
    <t>位置</t>
    <rPh sb="0" eb="2">
      <t>イチ</t>
    </rPh>
    <phoneticPr fontId="29"/>
  </si>
  <si>
    <t>R004794055</t>
  </si>
  <si>
    <t>大鶴　拳志郎</t>
  </si>
  <si>
    <t>乱暴</t>
    <rPh sb="0" eb="2">
      <t>ランボウ</t>
    </rPh>
    <phoneticPr fontId="29"/>
  </si>
  <si>
    <t>木下　誠喜</t>
  </si>
  <si>
    <r>
      <rPr>
        <sz val="11"/>
        <color indexed="10"/>
        <rFont val="ＭＳ Ｐゴシック"/>
        <family val="3"/>
        <charset val="128"/>
      </rPr>
      <t>　　</t>
    </r>
    <r>
      <rPr>
        <b/>
        <sz val="11"/>
        <color indexed="10"/>
        <rFont val="ＭＳ Ｐゴシック"/>
        <family val="3"/>
        <charset val="128"/>
      </rPr>
      <t>各会場にて、試合開始70分前にマッチコーディネーションミーティング(MCM)を行います。</t>
    </r>
    <rPh sb="2" eb="5">
      <t>カクカイジョウ</t>
    </rPh>
    <rPh sb="8" eb="10">
      <t>シアイ</t>
    </rPh>
    <rPh sb="10" eb="12">
      <t>カイシ</t>
    </rPh>
    <rPh sb="14" eb="16">
      <t>フンマエ</t>
    </rPh>
    <rPh sb="41" eb="42">
      <t>オコナ</t>
    </rPh>
    <phoneticPr fontId="29"/>
  </si>
  <si>
    <t>仲村　陽一郎</t>
  </si>
  <si>
    <t>手</t>
    <rPh sb="0" eb="1">
      <t>シュ</t>
    </rPh>
    <phoneticPr fontId="29"/>
  </si>
  <si>
    <t>R010007829</t>
  </si>
  <si>
    <t>後</t>
    <rPh sb="0" eb="1">
      <t>アト</t>
    </rPh>
    <phoneticPr fontId="29"/>
  </si>
  <si>
    <t>背</t>
    <rPh sb="0" eb="1">
      <t>セ</t>
    </rPh>
    <phoneticPr fontId="29"/>
  </si>
  <si>
    <t>態</t>
    <rPh sb="0" eb="1">
      <t>タイ</t>
    </rPh>
    <phoneticPr fontId="29"/>
  </si>
  <si>
    <t>田上　和広</t>
  </si>
  <si>
    <t>地区入力</t>
    <rPh sb="0" eb="2">
      <t>チク</t>
    </rPh>
    <rPh sb="2" eb="4">
      <t>ニュウリョク</t>
    </rPh>
    <phoneticPr fontId="29"/>
  </si>
  <si>
    <t>田坂　将和</t>
  </si>
  <si>
    <t>安部　煌生</t>
  </si>
  <si>
    <t>判</t>
    <rPh sb="0" eb="1">
      <t>ハン</t>
    </rPh>
    <phoneticPr fontId="29"/>
  </si>
  <si>
    <t>　　②領収証は、｢振込みの際の領収証」にかえさせていただきます。</t>
    <rPh sb="3" eb="6">
      <t>リョウシュウショウ</t>
    </rPh>
    <rPh sb="9" eb="11">
      <t>フリコ</t>
    </rPh>
    <rPh sb="13" eb="14">
      <t>サイ</t>
    </rPh>
    <rPh sb="15" eb="18">
      <t>リョウシュウショウ</t>
    </rPh>
    <phoneticPr fontId="29"/>
  </si>
  <si>
    <t>R002917494</t>
  </si>
  <si>
    <t>【チーム名】</t>
    <rPh sb="4" eb="5">
      <t>ナ</t>
    </rPh>
    <phoneticPr fontId="29"/>
  </si>
  <si>
    <t>R006221012</t>
  </si>
  <si>
    <t>佐々木　琉衣</t>
  </si>
  <si>
    <t>阻止(手)</t>
    <rPh sb="0" eb="2">
      <t>ソシ</t>
    </rPh>
    <rPh sb="3" eb="4">
      <t>テ</t>
    </rPh>
    <phoneticPr fontId="29"/>
  </si>
  <si>
    <t>小野　聡</t>
  </si>
  <si>
    <t>R006173919</t>
  </si>
  <si>
    <t>背番号</t>
    <rPh sb="0" eb="3">
      <t>セバンゴウ</t>
    </rPh>
    <phoneticPr fontId="29"/>
  </si>
  <si>
    <t>DF</t>
  </si>
  <si>
    <t>矢部　泰史</t>
  </si>
  <si>
    <t>波津久　雄平</t>
  </si>
  <si>
    <t>学</t>
    <rPh sb="0" eb="1">
      <t>ガク</t>
    </rPh>
    <phoneticPr fontId="29"/>
  </si>
  <si>
    <t>R010576381</t>
  </si>
  <si>
    <t>R001262324</t>
  </si>
  <si>
    <t>R010542199</t>
  </si>
  <si>
    <t>星取表</t>
    <rPh sb="0" eb="3">
      <t>ホシトリヒョウ</t>
    </rPh>
    <phoneticPr fontId="29"/>
  </si>
  <si>
    <t>佐藤　暖真</t>
  </si>
  <si>
    <t>小畑　広大</t>
  </si>
  <si>
    <t>佐藤　稜真</t>
  </si>
  <si>
    <t>R010576389</t>
  </si>
  <si>
    <t>→</t>
  </si>
  <si>
    <t>OUT</t>
  </si>
  <si>
    <t>延</t>
    <rPh sb="0" eb="1">
      <t>エン</t>
    </rPh>
    <phoneticPr fontId="29"/>
  </si>
  <si>
    <t>小野　慎一</t>
  </si>
  <si>
    <t>須藤　裕太</t>
  </si>
  <si>
    <t>中根　幹雄</t>
  </si>
  <si>
    <t>資格</t>
  </si>
  <si>
    <t>R010376301</t>
  </si>
  <si>
    <t>長尾　信宏</t>
  </si>
  <si>
    <t>吉田　栄治</t>
  </si>
  <si>
    <t>小川　健二</t>
  </si>
  <si>
    <t>湯田　浩士</t>
  </si>
  <si>
    <t>R010468357</t>
  </si>
  <si>
    <t>前</t>
    <rPh sb="0" eb="1">
      <t>マエ</t>
    </rPh>
    <phoneticPr fontId="29"/>
  </si>
  <si>
    <t>時間</t>
    <rPh sb="0" eb="2">
      <t>ジカン</t>
    </rPh>
    <phoneticPr fontId="29"/>
  </si>
  <si>
    <t>田邊　政治</t>
  </si>
  <si>
    <t>藤山　陸斗</t>
  </si>
  <si>
    <t>大屋　楓真</t>
  </si>
  <si>
    <t>R010169055</t>
  </si>
  <si>
    <t>大塚　憧希</t>
  </si>
  <si>
    <t>ポジション</t>
  </si>
  <si>
    <t>佳元　省三</t>
  </si>
  <si>
    <t>J</t>
  </si>
  <si>
    <t>不正</t>
    <rPh sb="0" eb="2">
      <t>フセイ</t>
    </rPh>
    <phoneticPr fontId="29"/>
  </si>
  <si>
    <t>立川　千紗</t>
  </si>
  <si>
    <t>分</t>
    <rPh sb="0" eb="1">
      <t>フン</t>
    </rPh>
    <phoneticPr fontId="29"/>
  </si>
  <si>
    <t>田口　碧依</t>
  </si>
  <si>
    <t>選手</t>
    <rPh sb="0" eb="2">
      <t>センシュ</t>
    </rPh>
    <phoneticPr fontId="29"/>
  </si>
  <si>
    <t>姫野　恵一</t>
  </si>
  <si>
    <t>会場：</t>
  </si>
  <si>
    <t>R004111605</t>
  </si>
  <si>
    <t>小計</t>
    <rPh sb="0" eb="2">
      <t>ショウケイ</t>
    </rPh>
    <phoneticPr fontId="29"/>
  </si>
  <si>
    <t>１次リーグ結果　報告用紙</t>
  </si>
  <si>
    <t>FW</t>
  </si>
  <si>
    <t>グループ</t>
  </si>
  <si>
    <t>R002530125</t>
  </si>
  <si>
    <t>シュート数</t>
    <rPh sb="4" eb="5">
      <t>カズ</t>
    </rPh>
    <phoneticPr fontId="29"/>
  </si>
  <si>
    <t>F</t>
  </si>
  <si>
    <t>後藤　稔</t>
  </si>
  <si>
    <t>警告（Ｃ）・退場（Ｓ）など</t>
  </si>
  <si>
    <t>R008634274</t>
  </si>
  <si>
    <t>A1</t>
  </si>
  <si>
    <t>１次リーグ</t>
    <rPh sb="1" eb="2">
      <t>ジ</t>
    </rPh>
    <phoneticPr fontId="72"/>
  </si>
  <si>
    <t>延後</t>
  </si>
  <si>
    <t>延前</t>
  </si>
  <si>
    <t>山崎　和也</t>
  </si>
  <si>
    <t>R010281807</t>
  </si>
  <si>
    <t>R001260593</t>
  </si>
  <si>
    <t>後半</t>
  </si>
  <si>
    <t>吉原　喬樹</t>
  </si>
  <si>
    <t>大芦　佳宏</t>
  </si>
  <si>
    <t>チーム
合計</t>
    <rPh sb="4" eb="6">
      <t>ゴウケイ</t>
    </rPh>
    <phoneticPr fontId="29"/>
  </si>
  <si>
    <t>一法師　直喜</t>
  </si>
  <si>
    <t>直接</t>
    <rPh sb="0" eb="2">
      <t>チョクセツ</t>
    </rPh>
    <phoneticPr fontId="29"/>
  </si>
  <si>
    <t>間接</t>
    <rPh sb="0" eb="2">
      <t>カンセツ</t>
    </rPh>
    <phoneticPr fontId="29"/>
  </si>
  <si>
    <t>河野　斗馬</t>
  </si>
  <si>
    <t>得点者</t>
    <rPh sb="0" eb="3">
      <t>トクテンシャ</t>
    </rPh>
    <phoneticPr fontId="29"/>
  </si>
  <si>
    <t>　　③「駐車証」を」車内に表示すること。</t>
    <rPh sb="4" eb="6">
      <t>チュウシャ</t>
    </rPh>
    <rPh sb="6" eb="7">
      <t>アカシ</t>
    </rPh>
    <rPh sb="10" eb="12">
      <t>シャナイ</t>
    </rPh>
    <rPh sb="13" eb="15">
      <t>ヒョウジ</t>
    </rPh>
    <phoneticPr fontId="29"/>
  </si>
  <si>
    <t>古畑　親治</t>
  </si>
  <si>
    <t>R010281817</t>
  </si>
  <si>
    <t>R010376362</t>
  </si>
  <si>
    <t>暴言</t>
    <rPh sb="0" eb="2">
      <t>ボウゲン</t>
    </rPh>
    <phoneticPr fontId="29"/>
  </si>
  <si>
    <t>吉武　毅</t>
  </si>
  <si>
    <t>吉良　優輝</t>
  </si>
  <si>
    <t>坂本　淳吾</t>
  </si>
  <si>
    <t>得　　点　　経　　過</t>
  </si>
  <si>
    <t>菱川　翔平</t>
  </si>
  <si>
    <t>R010356115</t>
  </si>
  <si>
    <t>衛藤　兼一</t>
  </si>
  <si>
    <t>渡邉　友輔</t>
  </si>
  <si>
    <t xml:space="preserve"> </t>
  </si>
  <si>
    <t>柴田　賢十</t>
  </si>
  <si>
    <t>《略号例》</t>
    <rPh sb="1" eb="2">
      <t>リャク</t>
    </rPh>
    <rPh sb="2" eb="3">
      <t>ゴウ</t>
    </rPh>
    <rPh sb="3" eb="4">
      <t>レイ</t>
    </rPh>
    <phoneticPr fontId="29"/>
  </si>
  <si>
    <t>警告(累積2枚目次節出場停止）</t>
    <rPh sb="3" eb="5">
      <t>ルイセキ</t>
    </rPh>
    <rPh sb="6" eb="7">
      <t>マイ</t>
    </rPh>
    <rPh sb="7" eb="8">
      <t>メ</t>
    </rPh>
    <rPh sb="8" eb="10">
      <t>ジセツ</t>
    </rPh>
    <rPh sb="10" eb="12">
      <t>シュツジョウ</t>
    </rPh>
    <rPh sb="12" eb="14">
      <t>テイシ</t>
    </rPh>
    <phoneticPr fontId="29"/>
  </si>
  <si>
    <t>小野　耕一</t>
  </si>
  <si>
    <t>R007003291</t>
  </si>
  <si>
    <t>ドリブル</t>
  </si>
  <si>
    <t>R001260405</t>
  </si>
  <si>
    <t>R002917263</t>
  </si>
  <si>
    <t>～</t>
  </si>
  <si>
    <t>ゴロのパス</t>
  </si>
  <si>
    <t>B</t>
  </si>
  <si>
    <t>浮き球</t>
    <rPh sb="0" eb="1">
      <t>ウ</t>
    </rPh>
    <rPh sb="2" eb="3">
      <t>キュウ</t>
    </rPh>
    <phoneticPr fontId="29"/>
  </si>
  <si>
    <t>∩</t>
  </si>
  <si>
    <t>R004793542</t>
  </si>
  <si>
    <t>混戦</t>
    <rPh sb="0" eb="2">
      <t>コンセン</t>
    </rPh>
    <phoneticPr fontId="29"/>
  </si>
  <si>
    <t>R010354788</t>
  </si>
  <si>
    <t>八坂少年サッカークラブ</t>
  </si>
  <si>
    <t>廣田　寧孝</t>
  </si>
  <si>
    <t>（</t>
  </si>
  <si>
    <t>増田　壮我</t>
  </si>
  <si>
    <t>R010581181</t>
  </si>
  <si>
    <t>）</t>
  </si>
  <si>
    <t>小玉　湊翔</t>
  </si>
  <si>
    <t>L</t>
  </si>
  <si>
    <t>勤務先または所属</t>
  </si>
  <si>
    <t>渡邉　卓人</t>
  </si>
  <si>
    <t>　）</t>
  </si>
  <si>
    <t>工藤　龍成</t>
  </si>
  <si>
    <t>R010347358</t>
  </si>
  <si>
    <t>会　場　長</t>
    <rPh sb="0" eb="1">
      <t>カイ</t>
    </rPh>
    <rPh sb="2" eb="3">
      <t>バ</t>
    </rPh>
    <rPh sb="4" eb="5">
      <t>チョウ</t>
    </rPh>
    <phoneticPr fontId="29"/>
  </si>
  <si>
    <t>安部　千輝</t>
  </si>
  <si>
    <t>主　　審</t>
    <rPh sb="0" eb="1">
      <t>シュ</t>
    </rPh>
    <rPh sb="3" eb="4">
      <t>シン</t>
    </rPh>
    <phoneticPr fontId="29"/>
  </si>
  <si>
    <t>（２）日程</t>
  </si>
  <si>
    <t>R006937089</t>
  </si>
  <si>
    <t>岡部　安莉</t>
  </si>
  <si>
    <t>湊　弘智</t>
  </si>
  <si>
    <t>会場設営</t>
  </si>
  <si>
    <t>R001965713</t>
  </si>
  <si>
    <t>山本　瀧生</t>
  </si>
  <si>
    <t>①</t>
  </si>
  <si>
    <t>五十川　文明</t>
  </si>
  <si>
    <t>橋本　伸太郎</t>
  </si>
  <si>
    <t>②</t>
  </si>
  <si>
    <t>R010189330</t>
  </si>
  <si>
    <t>住所</t>
    <rPh sb="0" eb="2">
      <t>ジュウショ</t>
    </rPh>
    <phoneticPr fontId="29"/>
  </si>
  <si>
    <t>若林　歩夢</t>
  </si>
  <si>
    <t>R001253344</t>
  </si>
  <si>
    <t>片付け</t>
  </si>
  <si>
    <t>首藤　晴美</t>
  </si>
  <si>
    <t>宮川　大志</t>
  </si>
  <si>
    <t>山村　朔人</t>
  </si>
  <si>
    <t>山　大祐</t>
  </si>
  <si>
    <t>大会役員でしますが、ゴール移動など加勢をチーム関係者にもお願いします。</t>
  </si>
  <si>
    <t>R003256062</t>
  </si>
  <si>
    <t>表彰</t>
  </si>
  <si>
    <t>R001255935</t>
  </si>
  <si>
    <t>伊東　雅弘</t>
  </si>
  <si>
    <t>主審</t>
    <rPh sb="0" eb="2">
      <t>シュシン</t>
    </rPh>
    <phoneticPr fontId="72"/>
  </si>
  <si>
    <t>菅川　智</t>
  </si>
  <si>
    <t>R010448232</t>
  </si>
  <si>
    <t>石山　慎史</t>
  </si>
  <si>
    <t>関　翼</t>
  </si>
  <si>
    <t>　　①大会期間中は、常に選手証及び、指導者資格証、審判資格証を携帯し、必要に応じて提示すること。</t>
  </si>
  <si>
    <t>R001258914</t>
  </si>
  <si>
    <t>R001262272</t>
  </si>
  <si>
    <t>⑥</t>
  </si>
  <si>
    <t>水江　真太郎</t>
  </si>
  <si>
    <t>⑥で試合をしたチームでフラッグ・本部・ゴール等を片付けます。</t>
  </si>
  <si>
    <t>R000892429</t>
  </si>
  <si>
    <t>4審</t>
    <rPh sb="1" eb="2">
      <t>シン</t>
    </rPh>
    <phoneticPr fontId="72"/>
  </si>
  <si>
    <t>③</t>
  </si>
  <si>
    <t>R005987458</t>
  </si>
  <si>
    <t>岡松　伸弥</t>
  </si>
  <si>
    <t>立川　大記</t>
  </si>
  <si>
    <t>笠置　忠照</t>
  </si>
  <si>
    <t>有門　寿</t>
  </si>
  <si>
    <t>R009197619</t>
  </si>
  <si>
    <t>G</t>
  </si>
  <si>
    <t>④</t>
  </si>
  <si>
    <t>R001254583</t>
  </si>
  <si>
    <t>浜町　拓也</t>
  </si>
  <si>
    <t>試合時間</t>
    <rPh sb="0" eb="2">
      <t>シアイ</t>
    </rPh>
    <rPh sb="2" eb="4">
      <t>ジカン</t>
    </rPh>
    <phoneticPr fontId="29"/>
  </si>
  <si>
    <t>⑤</t>
  </si>
  <si>
    <t>馬場　睦紀</t>
  </si>
  <si>
    <t>R001253548</t>
  </si>
  <si>
    <t>R010311808</t>
  </si>
  <si>
    <t>kick off</t>
  </si>
  <si>
    <t>大久保　広紀</t>
  </si>
  <si>
    <t>末永　成久</t>
  </si>
  <si>
    <t>PK</t>
  </si>
  <si>
    <t>○</t>
  </si>
  <si>
    <t>佐藤　陸</t>
  </si>
  <si>
    <t>×</t>
  </si>
  <si>
    <t>R005164446</t>
  </si>
  <si>
    <t>合</t>
    <rPh sb="0" eb="1">
      <t>ゴウ</t>
    </rPh>
    <phoneticPr fontId="29"/>
  </si>
  <si>
    <t>ブルーウイングフットボールクラブ</t>
  </si>
  <si>
    <t>計</t>
    <rPh sb="0" eb="1">
      <t>ケイ</t>
    </rPh>
    <phoneticPr fontId="29"/>
  </si>
  <si>
    <t>交替要員</t>
  </si>
  <si>
    <t>IN</t>
  </si>
  <si>
    <t>R008797926</t>
  </si>
  <si>
    <t>久保田　英樹</t>
  </si>
  <si>
    <t>有田　利広</t>
  </si>
  <si>
    <t>大戸　朝陽</t>
  </si>
  <si>
    <t>Ｇ</t>
  </si>
  <si>
    <t>工藤　隆貴</t>
  </si>
  <si>
    <t>R010027823</t>
  </si>
  <si>
    <t>R001259870</t>
  </si>
  <si>
    <t>ＦＫ</t>
  </si>
  <si>
    <t>R006314464</t>
  </si>
  <si>
    <t>小山　響生</t>
  </si>
  <si>
    <t>A1：①帯同</t>
  </si>
  <si>
    <t>H</t>
  </si>
  <si>
    <t>パート</t>
  </si>
  <si>
    <t>シュート</t>
  </si>
  <si>
    <t>吉良　真翔</t>
  </si>
  <si>
    <t>R008798314</t>
  </si>
  <si>
    <t>小出　康博</t>
  </si>
  <si>
    <t>S</t>
  </si>
  <si>
    <t>R008174046</t>
  </si>
  <si>
    <t>チーム名</t>
    <rPh sb="3" eb="4">
      <t>メイ</t>
    </rPh>
    <phoneticPr fontId="29"/>
  </si>
  <si>
    <t>設営担当者or対応協会</t>
    <rPh sb="0" eb="2">
      <t>セツエイ</t>
    </rPh>
    <rPh sb="2" eb="5">
      <t>タントウシャ</t>
    </rPh>
    <rPh sb="7" eb="9">
      <t>タイオウ</t>
    </rPh>
    <rPh sb="9" eb="11">
      <t>キョウカイ</t>
    </rPh>
    <phoneticPr fontId="72"/>
  </si>
  <si>
    <t>軸丸　耕平</t>
  </si>
  <si>
    <t>廣瀬　帆斗</t>
  </si>
  <si>
    <t>R010465578</t>
  </si>
  <si>
    <t>篠田　裕也</t>
  </si>
  <si>
    <t>（１）期日</t>
  </si>
  <si>
    <t>朝比奈　義行</t>
  </si>
  <si>
    <t>副審</t>
    <rPh sb="0" eb="2">
      <t>フクシン</t>
    </rPh>
    <phoneticPr fontId="72"/>
  </si>
  <si>
    <t>R001264447</t>
  </si>
  <si>
    <t>中西　智彦</t>
  </si>
  <si>
    <t>延長戦kick off</t>
    <rPh sb="0" eb="2">
      <t>エンチョウ</t>
    </rPh>
    <rPh sb="2" eb="3">
      <t>セン</t>
    </rPh>
    <phoneticPr fontId="29"/>
  </si>
  <si>
    <t>K3</t>
  </si>
  <si>
    <t>渡辺　陽一郎</t>
  </si>
  <si>
    <t>vs</t>
  </si>
  <si>
    <t>R010027819</t>
  </si>
  <si>
    <t>チーム名入力（偶数）</t>
    <rPh sb="3" eb="4">
      <t>メイ</t>
    </rPh>
    <rPh sb="4" eb="6">
      <t>ニュウリョク</t>
    </rPh>
    <rPh sb="7" eb="9">
      <t>グウスウ</t>
    </rPh>
    <phoneticPr fontId="29"/>
  </si>
  <si>
    <t>中津</t>
    <rPh sb="0" eb="2">
      <t>ナカツ</t>
    </rPh>
    <phoneticPr fontId="29"/>
  </si>
  <si>
    <t>R001265190</t>
  </si>
  <si>
    <t>石丸　泰幸</t>
  </si>
  <si>
    <t>別府</t>
    <rPh sb="0" eb="2">
      <t>ベップ</t>
    </rPh>
    <phoneticPr fontId="29"/>
  </si>
  <si>
    <t>R001264289</t>
  </si>
  <si>
    <t>A1：②帯同</t>
  </si>
  <si>
    <t>R001259667</t>
  </si>
  <si>
    <t>姫野　航平</t>
  </si>
  <si>
    <t>A2：②帯同</t>
  </si>
  <si>
    <t>河村　信善</t>
  </si>
  <si>
    <t>A2：①帯同</t>
  </si>
  <si>
    <t>酒井　清行</t>
  </si>
  <si>
    <t>A1：④帯同</t>
  </si>
  <si>
    <t>R009197594</t>
  </si>
  <si>
    <t>マガリェンス　リシャルドソン</t>
  </si>
  <si>
    <t>警告/退場</t>
    <rPh sb="0" eb="2">
      <t>ケイコク</t>
    </rPh>
    <rPh sb="3" eb="5">
      <t>タイジョウ</t>
    </rPh>
    <phoneticPr fontId="29"/>
  </si>
  <si>
    <t>R001262838</t>
  </si>
  <si>
    <t>A2：④帯同</t>
  </si>
  <si>
    <t>森田　一真</t>
  </si>
  <si>
    <t>A1：③帯同</t>
  </si>
  <si>
    <t>甲斐　晶</t>
  </si>
  <si>
    <t>R002530046</t>
  </si>
  <si>
    <t>黒田　大貴</t>
  </si>
  <si>
    <t>R010073975</t>
  </si>
  <si>
    <t>和田　健二</t>
  </si>
  <si>
    <t>林　悠羽</t>
  </si>
  <si>
    <t>R：本部</t>
    <rPh sb="2" eb="4">
      <t>ホンブ</t>
    </rPh>
    <phoneticPr fontId="72"/>
  </si>
  <si>
    <t>庭瀬　元希</t>
  </si>
  <si>
    <t>足立　暖和</t>
  </si>
  <si>
    <t>R005528103</t>
  </si>
  <si>
    <t>4th：本部</t>
    <rPh sb="4" eb="6">
      <t>ホンブ</t>
    </rPh>
    <phoneticPr fontId="72"/>
  </si>
  <si>
    <t>R010093449</t>
  </si>
  <si>
    <t>審判員</t>
    <rPh sb="0" eb="3">
      <t>シンパンイン</t>
    </rPh>
    <phoneticPr fontId="72"/>
  </si>
  <si>
    <t>会場</t>
    <rPh sb="0" eb="2">
      <t>カイジョウ</t>
    </rPh>
    <phoneticPr fontId="29"/>
  </si>
  <si>
    <t>内藤　翔悟</t>
  </si>
  <si>
    <t>R001264492</t>
  </si>
  <si>
    <t>川邉　裕也</t>
  </si>
  <si>
    <t>幸　大貴</t>
  </si>
  <si>
    <t>大津　匠司</t>
  </si>
  <si>
    <t>恵美　圭介</t>
  </si>
  <si>
    <t>佐藤　日向</t>
  </si>
  <si>
    <t>秦　涼介</t>
  </si>
  <si>
    <t>須藤　健二</t>
  </si>
  <si>
    <t>8：50～ＭＣＭ</t>
  </si>
  <si>
    <t>廣瀬　惣一朗</t>
  </si>
  <si>
    <t>青木　稜羽</t>
  </si>
  <si>
    <t>※指導者以外の問い合わせは、ご遠慮願います。</t>
  </si>
  <si>
    <t>R010600681</t>
  </si>
  <si>
    <t>得失
順位</t>
    <rPh sb="0" eb="2">
      <t>トクシツ</t>
    </rPh>
    <rPh sb="3" eb="5">
      <t>ジュンイ</t>
    </rPh>
    <phoneticPr fontId="29"/>
  </si>
  <si>
    <t>設営担当者or対応協会</t>
  </si>
  <si>
    <t>B1</t>
  </si>
  <si>
    <t>地区</t>
    <rPh sb="0" eb="2">
      <t>チク</t>
    </rPh>
    <phoneticPr fontId="29"/>
  </si>
  <si>
    <t>B2</t>
  </si>
  <si>
    <t>B3</t>
  </si>
  <si>
    <t>朝吹　崇宏</t>
  </si>
  <si>
    <t>古川　士道</t>
  </si>
  <si>
    <t>C2</t>
  </si>
  <si>
    <t>佐藤　教春</t>
  </si>
  <si>
    <t>松原　広幸</t>
  </si>
  <si>
    <t>三笘　晋也</t>
  </si>
  <si>
    <t>髙野　大輔</t>
  </si>
  <si>
    <t>後藤　幸治</t>
  </si>
  <si>
    <t>C3</t>
  </si>
  <si>
    <t>R001262935</t>
  </si>
  <si>
    <t>R005603228</t>
  </si>
  <si>
    <t>長田　敏明</t>
  </si>
  <si>
    <t>鶴居ＳＳＳ</t>
  </si>
  <si>
    <t>R001257924</t>
  </si>
  <si>
    <t>D1</t>
  </si>
  <si>
    <t>池田　航</t>
  </si>
  <si>
    <t>徳丸　淳治</t>
  </si>
  <si>
    <t>D2</t>
  </si>
  <si>
    <t>菊地　玄</t>
  </si>
  <si>
    <t>師藤　一也</t>
  </si>
  <si>
    <t>原　俊輔</t>
  </si>
  <si>
    <t>関　一昭</t>
  </si>
  <si>
    <t>R007959990</t>
  </si>
  <si>
    <t>川端　大翔</t>
  </si>
  <si>
    <t>E1</t>
  </si>
  <si>
    <t>乙部　哲也</t>
  </si>
  <si>
    <t>都甲　昌亨</t>
  </si>
  <si>
    <t>河野　夏</t>
  </si>
  <si>
    <t>漆間　大士</t>
  </si>
  <si>
    <t>R010100676</t>
  </si>
  <si>
    <t>R001255193</t>
  </si>
  <si>
    <t>E3</t>
  </si>
  <si>
    <t>水島　義規</t>
  </si>
  <si>
    <t>マツウラ　コウキ</t>
  </si>
  <si>
    <t>F2</t>
  </si>
  <si>
    <t>R010027860</t>
  </si>
  <si>
    <t>敗戦</t>
    <rPh sb="0" eb="2">
      <t>ハイセン</t>
    </rPh>
    <phoneticPr fontId="29"/>
  </si>
  <si>
    <t>・</t>
  </si>
  <si>
    <t>R006221465</t>
  </si>
  <si>
    <t>G2</t>
  </si>
  <si>
    <t>F3</t>
  </si>
  <si>
    <t>G1</t>
  </si>
  <si>
    <t>永尾　透</t>
  </si>
  <si>
    <t>坂本　和哉</t>
  </si>
  <si>
    <t>安藤　洋樹</t>
  </si>
  <si>
    <t>R001264775</t>
  </si>
  <si>
    <t>和才　幸司</t>
  </si>
  <si>
    <t>大塚　浩司</t>
  </si>
  <si>
    <t>G3</t>
  </si>
  <si>
    <t>高森　宗治</t>
  </si>
  <si>
    <t>北川　周</t>
  </si>
  <si>
    <t>H1</t>
  </si>
  <si>
    <t>R007003486</t>
  </si>
  <si>
    <t>H2</t>
  </si>
  <si>
    <t>津田　憲生</t>
  </si>
  <si>
    <t>山下　省二</t>
  </si>
  <si>
    <t>R010465617</t>
  </si>
  <si>
    <t>I1</t>
  </si>
  <si>
    <t>R010579075</t>
  </si>
  <si>
    <t>中島　忠伸</t>
  </si>
  <si>
    <t>I2</t>
  </si>
  <si>
    <t>選手のけがの治療</t>
  </si>
  <si>
    <t>R001263183</t>
  </si>
  <si>
    <t>K</t>
  </si>
  <si>
    <t>I3</t>
  </si>
  <si>
    <t>中園　健太郎</t>
  </si>
  <si>
    <t>宮崎　友雅</t>
  </si>
  <si>
    <t>木下　富喜</t>
  </si>
  <si>
    <t>用具及びメンバーチェック　　キックオフ10分前</t>
    <rPh sb="0" eb="2">
      <t>ヨウグ</t>
    </rPh>
    <rPh sb="2" eb="3">
      <t>オヨ</t>
    </rPh>
    <rPh sb="21" eb="22">
      <t>フン</t>
    </rPh>
    <rPh sb="22" eb="23">
      <t>マエ</t>
    </rPh>
    <phoneticPr fontId="29"/>
  </si>
  <si>
    <t>勝点
順位</t>
  </si>
  <si>
    <t>増永　伸也</t>
  </si>
  <si>
    <t>警告</t>
    <rPh sb="0" eb="2">
      <t>ケイコク</t>
    </rPh>
    <phoneticPr fontId="29"/>
  </si>
  <si>
    <t>安東　信二</t>
  </si>
  <si>
    <t>井上　秀文</t>
  </si>
  <si>
    <t>J2</t>
  </si>
  <si>
    <t>木原　一心</t>
  </si>
  <si>
    <t>大渡　年春</t>
  </si>
  <si>
    <t>R007686216</t>
  </si>
  <si>
    <t>廣瀬　賢明</t>
  </si>
  <si>
    <t>K1</t>
  </si>
  <si>
    <t>R010352990</t>
  </si>
  <si>
    <t>K2</t>
  </si>
  <si>
    <t>岐部　裕二</t>
  </si>
  <si>
    <t>L1</t>
  </si>
  <si>
    <t>柴田　健一</t>
  </si>
  <si>
    <t>R008798183</t>
  </si>
  <si>
    <t>R010465584</t>
  </si>
  <si>
    <t>準決勝
①</t>
    <rPh sb="0" eb="3">
      <t>ジュンケッショウ</t>
    </rPh>
    <phoneticPr fontId="72"/>
  </si>
  <si>
    <t>L2</t>
  </si>
  <si>
    <t>岩尾　雅広</t>
  </si>
  <si>
    <t>R004111580</t>
  </si>
  <si>
    <t>菊川　翼</t>
  </si>
  <si>
    <t>小岩　晴久</t>
  </si>
  <si>
    <t>L3</t>
  </si>
  <si>
    <t>瀧山　理恵</t>
  </si>
  <si>
    <t>R007705326</t>
  </si>
  <si>
    <t>＜準優勝＞</t>
    <rPh sb="1" eb="2">
      <t>ジュン</t>
    </rPh>
    <phoneticPr fontId="29"/>
  </si>
  <si>
    <t>安部　正信</t>
  </si>
  <si>
    <t>氏名</t>
    <rPh sb="0" eb="2">
      <t>シメイ</t>
    </rPh>
    <phoneticPr fontId="29"/>
  </si>
  <si>
    <t>重住　亮真</t>
  </si>
  <si>
    <t>R010538301</t>
  </si>
  <si>
    <t>R:</t>
  </si>
  <si>
    <t>小関　啓太郎</t>
  </si>
  <si>
    <t>宇都宮　潤也</t>
  </si>
  <si>
    <t>級</t>
    <rPh sb="0" eb="1">
      <t>キュウ</t>
    </rPh>
    <phoneticPr fontId="29"/>
  </si>
  <si>
    <t>R010599585</t>
  </si>
  <si>
    <t>大塚　勇司</t>
  </si>
  <si>
    <t>３．参加チーム</t>
    <rPh sb="2" eb="4">
      <t>サンカ</t>
    </rPh>
    <phoneticPr fontId="29"/>
  </si>
  <si>
    <t>Bブロック(奇数)</t>
    <rPh sb="6" eb="8">
      <t>キスウ</t>
    </rPh>
    <phoneticPr fontId="29"/>
  </si>
  <si>
    <t>大分</t>
    <rPh sb="0" eb="2">
      <t>オオイタ</t>
    </rPh>
    <phoneticPr fontId="29"/>
  </si>
  <si>
    <t>五所　睦雄</t>
  </si>
  <si>
    <t>R005103418</t>
  </si>
  <si>
    <t>曽我　大一郎</t>
  </si>
  <si>
    <t>安達　勉</t>
  </si>
  <si>
    <t>直野　優斗</t>
  </si>
  <si>
    <t>Match No：</t>
  </si>
  <si>
    <t>佐伯</t>
    <rPh sb="0" eb="2">
      <t>サイキ</t>
    </rPh>
    <phoneticPr fontId="29"/>
  </si>
  <si>
    <t>古賀　雅則</t>
  </si>
  <si>
    <t>R007753129</t>
  </si>
  <si>
    <t>R005467945</t>
  </si>
  <si>
    <t>D</t>
  </si>
  <si>
    <t>４．会議次第</t>
    <rPh sb="2" eb="4">
      <t>カイギ</t>
    </rPh>
    <rPh sb="4" eb="6">
      <t>シダイ</t>
    </rPh>
    <phoneticPr fontId="29"/>
  </si>
  <si>
    <t>宮脇　百合愛</t>
  </si>
  <si>
    <t>５．その他</t>
    <rPh sb="4" eb="5">
      <t>タ</t>
    </rPh>
    <phoneticPr fontId="29"/>
  </si>
  <si>
    <t>岩永　琥太郎</t>
  </si>
  <si>
    <t>遠藤　朝春</t>
  </si>
  <si>
    <t>R008634593</t>
  </si>
  <si>
    <t>R010416216</t>
  </si>
  <si>
    <t>安藤　英明</t>
  </si>
  <si>
    <t>9：50～ＭＣＭ</t>
  </si>
  <si>
    <t>６．試合会場</t>
    <rPh sb="2" eb="4">
      <t>シアイ</t>
    </rPh>
    <rPh sb="4" eb="6">
      <t>カイジョウ</t>
    </rPh>
    <phoneticPr fontId="29"/>
  </si>
  <si>
    <t>明野西ＪＦＣ</t>
  </si>
  <si>
    <t>河野　晋也</t>
  </si>
  <si>
    <t>チーム</t>
  </si>
  <si>
    <t>木津　浩太</t>
  </si>
  <si>
    <t>抽選番号入力</t>
    <rPh sb="0" eb="2">
      <t>チュウセン</t>
    </rPh>
    <rPh sb="2" eb="4">
      <t>バンゴウ</t>
    </rPh>
    <rPh sb="4" eb="6">
      <t>ニュウリョク</t>
    </rPh>
    <phoneticPr fontId="29"/>
  </si>
  <si>
    <t>河野　英樹</t>
  </si>
  <si>
    <t>井上　直樹</t>
  </si>
  <si>
    <t>チーム名入力（奇数）</t>
    <rPh sb="3" eb="4">
      <t>メイ</t>
    </rPh>
    <rPh sb="4" eb="6">
      <t>ニュウリョク</t>
    </rPh>
    <rPh sb="7" eb="9">
      <t>キスウ</t>
    </rPh>
    <phoneticPr fontId="29"/>
  </si>
  <si>
    <t>R009460436</t>
  </si>
  <si>
    <t>脇　雄洋</t>
  </si>
  <si>
    <t>A</t>
  </si>
  <si>
    <t>廣戸　誠一</t>
  </si>
  <si>
    <t>C</t>
  </si>
  <si>
    <t>A3</t>
  </si>
  <si>
    <t>R010120116</t>
  </si>
  <si>
    <t>中川　勝裕</t>
  </si>
  <si>
    <t>E</t>
  </si>
  <si>
    <t>R001257252</t>
  </si>
  <si>
    <t>抽選順</t>
    <rPh sb="0" eb="2">
      <t>チュウセン</t>
    </rPh>
    <rPh sb="2" eb="3">
      <t>ジュン</t>
    </rPh>
    <phoneticPr fontId="29"/>
  </si>
  <si>
    <t>I</t>
  </si>
  <si>
    <t>⇒</t>
  </si>
  <si>
    <t>R001262582</t>
  </si>
  <si>
    <t>財前　友担</t>
  </si>
  <si>
    <t>小手川　朋輝</t>
  </si>
  <si>
    <t>A1：⑥帯同</t>
  </si>
  <si>
    <t>平川　伸吾</t>
  </si>
  <si>
    <t>A2：⑥帯同</t>
  </si>
  <si>
    <t>田中　悠陽</t>
  </si>
  <si>
    <t>木嶋　高行</t>
  </si>
  <si>
    <t>R001255184</t>
  </si>
  <si>
    <t>A1：⑤帯同</t>
  </si>
  <si>
    <t>R001264304</t>
  </si>
  <si>
    <t>木本　博昭</t>
  </si>
  <si>
    <t>横尾　茂</t>
  </si>
  <si>
    <t>R004653305</t>
  </si>
  <si>
    <t>安波　俊英</t>
  </si>
  <si>
    <t>決勝・準決勝</t>
    <rPh sb="0" eb="2">
      <t>ケッショウ</t>
    </rPh>
    <rPh sb="3" eb="6">
      <t>ジュンケッショウ</t>
    </rPh>
    <phoneticPr fontId="29"/>
  </si>
  <si>
    <t>R009072295</t>
  </si>
  <si>
    <t>R010539946</t>
  </si>
  <si>
    <t>A2：⑤帯同</t>
  </si>
  <si>
    <t>R010421577</t>
  </si>
  <si>
    <t>　　④抽選</t>
    <rPh sb="3" eb="5">
      <t>チュウセン</t>
    </rPh>
    <phoneticPr fontId="29"/>
  </si>
  <si>
    <t>参加料</t>
  </si>
  <si>
    <t>R010538407</t>
  </si>
  <si>
    <t>阻止(他)</t>
    <rPh sb="0" eb="2">
      <t>ソシ</t>
    </rPh>
    <rPh sb="3" eb="4">
      <t>ホカ</t>
    </rPh>
    <phoneticPr fontId="29"/>
  </si>
  <si>
    <t>三芳少年サッカースクール</t>
  </si>
  <si>
    <t>準決勝②【Match No,50】マッチコーディネーションミーティング</t>
    <rPh sb="0" eb="3">
      <t>ジュンケッショウ</t>
    </rPh>
    <phoneticPr fontId="72"/>
  </si>
  <si>
    <t>判田サッカースポーツ少年団</t>
  </si>
  <si>
    <t>下原　優一</t>
  </si>
  <si>
    <t>Aパート
1位</t>
    <rPh sb="6" eb="7">
      <t>イ</t>
    </rPh>
    <phoneticPr fontId="29"/>
  </si>
  <si>
    <t>Bパート
1位</t>
    <rPh sb="6" eb="7">
      <t>イ</t>
    </rPh>
    <phoneticPr fontId="29"/>
  </si>
  <si>
    <t>＜３位＞</t>
    <rPh sb="2" eb="3">
      <t>イ</t>
    </rPh>
    <phoneticPr fontId="29"/>
  </si>
  <si>
    <t>R005603608</t>
  </si>
  <si>
    <t>Cパート
1位</t>
    <rPh sb="6" eb="7">
      <t>イ</t>
    </rPh>
    <phoneticPr fontId="29"/>
  </si>
  <si>
    <t>Dパート
1位</t>
    <rPh sb="6" eb="7">
      <t>イ</t>
    </rPh>
    <phoneticPr fontId="29"/>
  </si>
  <si>
    <t>R010588867</t>
  </si>
  <si>
    <t>加賀　寿一</t>
  </si>
  <si>
    <t>＜優勝＞</t>
  </si>
  <si>
    <t>児玉　悠介</t>
  </si>
  <si>
    <t>勝点
順位</t>
    <rPh sb="0" eb="1">
      <t>カ</t>
    </rPh>
    <rPh sb="1" eb="2">
      <t>テン</t>
    </rPh>
    <rPh sb="3" eb="5">
      <t>ジュンイ</t>
    </rPh>
    <phoneticPr fontId="29"/>
  </si>
  <si>
    <t>2次リーグ　Bパート</t>
  </si>
  <si>
    <t>R001254477</t>
  </si>
  <si>
    <t>2次リーグ　Cパート</t>
  </si>
  <si>
    <t>R003317390</t>
  </si>
  <si>
    <t>R004793649</t>
  </si>
  <si>
    <t>AR1:</t>
  </si>
  <si>
    <t>佐々木　秀樹</t>
  </si>
  <si>
    <t>選手名カナ</t>
  </si>
  <si>
    <t>A2</t>
  </si>
  <si>
    <t>R001263697</t>
  </si>
  <si>
    <t>延前</t>
    <rPh sb="0" eb="1">
      <t>ススム</t>
    </rPh>
    <rPh sb="1" eb="2">
      <t>ゼン</t>
    </rPh>
    <phoneticPr fontId="29"/>
  </si>
  <si>
    <t>延後</t>
    <rPh sb="0" eb="1">
      <t>エン</t>
    </rPh>
    <rPh sb="1" eb="2">
      <t>ウシロ</t>
    </rPh>
    <phoneticPr fontId="29"/>
  </si>
  <si>
    <t>宇佐高田</t>
    <rPh sb="0" eb="2">
      <t>ウサ</t>
    </rPh>
    <rPh sb="2" eb="4">
      <t>タカタ</t>
    </rPh>
    <phoneticPr fontId="29"/>
  </si>
  <si>
    <t>兼田　秀虎</t>
  </si>
  <si>
    <t>申込</t>
    <rPh sb="0" eb="2">
      <t>モウシコミ</t>
    </rPh>
    <phoneticPr fontId="29"/>
  </si>
  <si>
    <t>R003677432</t>
  </si>
  <si>
    <t>準決勝①【Match No,49】マッチコーディネーションミーティング</t>
    <rPh sb="0" eb="3">
      <t>ジュンケッショウ</t>
    </rPh>
    <phoneticPr fontId="72"/>
  </si>
  <si>
    <t>決勝【Match No,51】マッチコーディネーションミーティング</t>
    <rPh sb="0" eb="2">
      <t>ケッショウ</t>
    </rPh>
    <phoneticPr fontId="72"/>
  </si>
  <si>
    <t>R001262546</t>
  </si>
  <si>
    <t>R001251504</t>
  </si>
  <si>
    <t>R009460515</t>
  </si>
  <si>
    <t>児玉　准哉</t>
  </si>
  <si>
    <t>R006148463</t>
  </si>
  <si>
    <t>江上　結奈</t>
  </si>
  <si>
    <t>MCM</t>
  </si>
  <si>
    <t>決勝</t>
    <rPh sb="0" eb="2">
      <t>ケッショウ</t>
    </rPh>
    <phoneticPr fontId="72"/>
  </si>
  <si>
    <t>廣川　敬太</t>
  </si>
  <si>
    <t>大野　盛通</t>
  </si>
  <si>
    <t>R010193704</t>
  </si>
  <si>
    <t>審判委員会</t>
    <rPh sb="0" eb="2">
      <t>シンパン</t>
    </rPh>
    <rPh sb="2" eb="5">
      <t>イインカイ</t>
    </rPh>
    <phoneticPr fontId="72"/>
  </si>
  <si>
    <t>片山　雄一</t>
  </si>
  <si>
    <t>R001255281</t>
  </si>
  <si>
    <t>須藤　来希</t>
  </si>
  <si>
    <t>山宮　俊寛</t>
  </si>
  <si>
    <t>豊肥</t>
    <rPh sb="0" eb="2">
      <t>ホウヒ</t>
    </rPh>
    <phoneticPr fontId="29"/>
  </si>
  <si>
    <t>中尾　優志</t>
  </si>
  <si>
    <t>R010261589</t>
  </si>
  <si>
    <t>R008515553</t>
  </si>
  <si>
    <t>1次ﾘｰｸﾞ</t>
    <rPh sb="1" eb="2">
      <t>ジ</t>
    </rPh>
    <phoneticPr fontId="29"/>
  </si>
  <si>
    <t>準決勝・決勝</t>
    <rPh sb="0" eb="3">
      <t>ジュンケッショウ</t>
    </rPh>
    <rPh sb="4" eb="6">
      <t>ケッショウ</t>
    </rPh>
    <phoneticPr fontId="29"/>
  </si>
  <si>
    <t>＜警告選択肢＞</t>
    <rPh sb="1" eb="3">
      <t>ケイコク</t>
    </rPh>
    <rPh sb="3" eb="6">
      <t>センタクシ</t>
    </rPh>
    <phoneticPr fontId="29"/>
  </si>
  <si>
    <t>野口　智隆</t>
  </si>
  <si>
    <t>吉良　光峰</t>
  </si>
  <si>
    <t>反スポ</t>
    <rPh sb="0" eb="1">
      <t>ハン</t>
    </rPh>
    <phoneticPr fontId="29"/>
  </si>
  <si>
    <t>R006220095</t>
  </si>
  <si>
    <t>池崎　聖矢</t>
  </si>
  <si>
    <t>宇野　耕二</t>
  </si>
  <si>
    <t>R010354817</t>
  </si>
  <si>
    <t>R006221377</t>
  </si>
  <si>
    <t>退場</t>
    <rPh sb="0" eb="2">
      <t>タイジョウ</t>
    </rPh>
    <phoneticPr fontId="29"/>
  </si>
  <si>
    <t>ラフ</t>
  </si>
  <si>
    <t>内容</t>
    <rPh sb="0" eb="2">
      <t>ナイヨウ</t>
    </rPh>
    <phoneticPr fontId="29"/>
  </si>
  <si>
    <t>金高　光哉</t>
  </si>
  <si>
    <t>異議</t>
    <rPh sb="0" eb="2">
      <t>イギ</t>
    </rPh>
    <phoneticPr fontId="29"/>
  </si>
  <si>
    <t>佐藤　大樹</t>
  </si>
  <si>
    <t>繰り返し</t>
    <rPh sb="0" eb="1">
      <t>ク</t>
    </rPh>
    <rPh sb="2" eb="3">
      <t>カエ</t>
    </rPh>
    <phoneticPr fontId="29"/>
  </si>
  <si>
    <t>R010027883</t>
  </si>
  <si>
    <t>高橋　理夢</t>
  </si>
  <si>
    <t>遅延</t>
    <rPh sb="0" eb="2">
      <t>チエン</t>
    </rPh>
    <phoneticPr fontId="29"/>
  </si>
  <si>
    <t>R001251896</t>
  </si>
  <si>
    <t>クギミヤ　アサキ</t>
  </si>
  <si>
    <t>距離</t>
    <rPh sb="0" eb="2">
      <t>キョリ</t>
    </rPh>
    <phoneticPr fontId="29"/>
  </si>
  <si>
    <t>R005164394</t>
  </si>
  <si>
    <t>森　秀太</t>
  </si>
  <si>
    <t>野田　洋平</t>
  </si>
  <si>
    <t>甲斐　一翠</t>
  </si>
  <si>
    <t>無断入</t>
    <rPh sb="0" eb="2">
      <t>ムダン</t>
    </rPh>
    <rPh sb="2" eb="3">
      <t>ハイ</t>
    </rPh>
    <phoneticPr fontId="29"/>
  </si>
  <si>
    <t>坂本　璃王</t>
  </si>
  <si>
    <t>R001253502</t>
  </si>
  <si>
    <t>キックオフ前のセレモニー</t>
  </si>
  <si>
    <t>亀山　万生</t>
  </si>
  <si>
    <t>無断去</t>
    <rPh sb="0" eb="2">
      <t>ムダン</t>
    </rPh>
    <rPh sb="2" eb="3">
      <t>サ</t>
    </rPh>
    <phoneticPr fontId="29"/>
  </si>
  <si>
    <t>＜退場選択肢＞</t>
    <rPh sb="1" eb="3">
      <t>タイジョウ</t>
    </rPh>
    <rPh sb="3" eb="6">
      <t>センタクシ</t>
    </rPh>
    <phoneticPr fontId="29"/>
  </si>
  <si>
    <t>R010352942</t>
  </si>
  <si>
    <t>つば</t>
  </si>
  <si>
    <t>黒木　一輝</t>
  </si>
  <si>
    <t>氏名</t>
  </si>
  <si>
    <t>1次ﾘｰｸﾞ①</t>
    <rPh sb="1" eb="2">
      <t>ジ</t>
    </rPh>
    <phoneticPr fontId="29"/>
  </si>
  <si>
    <t>（14）</t>
  </si>
  <si>
    <t>二ノ谷　徹</t>
  </si>
  <si>
    <t>1次ﾘｰｸﾞ②</t>
    <rPh sb="1" eb="2">
      <t>ジ</t>
    </rPh>
    <phoneticPr fontId="29"/>
  </si>
  <si>
    <t>秋吉　明</t>
  </si>
  <si>
    <t>2次ﾘｰｸﾞ①</t>
    <rPh sb="1" eb="2">
      <t>ジ</t>
    </rPh>
    <phoneticPr fontId="29"/>
  </si>
  <si>
    <t>R006901613</t>
  </si>
  <si>
    <t>R010214530</t>
  </si>
  <si>
    <t>R009659544</t>
  </si>
  <si>
    <t>酒井　祐三</t>
  </si>
  <si>
    <t>2次ﾘｰｸﾞ②</t>
    <rPh sb="1" eb="2">
      <t>ジ</t>
    </rPh>
    <phoneticPr fontId="29"/>
  </si>
  <si>
    <t>全日程スケジュール</t>
    <rPh sb="0" eb="3">
      <t>ゼンニッテイ</t>
    </rPh>
    <phoneticPr fontId="72"/>
  </si>
  <si>
    <t>本部</t>
    <rPh sb="0" eb="2">
      <t>ホンブ</t>
    </rPh>
    <phoneticPr fontId="29"/>
  </si>
  <si>
    <t>①
10:00～</t>
  </si>
  <si>
    <t>近藤　裕之</t>
  </si>
  <si>
    <t>②
11:00～</t>
  </si>
  <si>
    <t>R009484728</t>
  </si>
  <si>
    <t>川村　啓一郎</t>
  </si>
  <si>
    <t>草野　学</t>
  </si>
  <si>
    <t>R010313746</t>
  </si>
  <si>
    <t>GK</t>
  </si>
  <si>
    <t>江隈　健斗</t>
  </si>
  <si>
    <t>MF</t>
  </si>
  <si>
    <t>R010546282</t>
  </si>
  <si>
    <t>福田　紫月</t>
  </si>
  <si>
    <t>後藤　樹明</t>
  </si>
  <si>
    <t>秦　達郎</t>
  </si>
  <si>
    <t>浅井　悠成</t>
  </si>
  <si>
    <t>後藤　啓之</t>
  </si>
  <si>
    <t>小野　渚</t>
  </si>
  <si>
    <t>所属チーム</t>
    <rPh sb="0" eb="2">
      <t>ショゾク</t>
    </rPh>
    <phoneticPr fontId="29"/>
  </si>
  <si>
    <t>得丸　政徳</t>
  </si>
  <si>
    <t>R006591364</t>
  </si>
  <si>
    <t>宮脇　彪瑠</t>
  </si>
  <si>
    <t>佐藤　諒</t>
  </si>
  <si>
    <t>仲村　晃和</t>
  </si>
  <si>
    <t>R009545995</t>
  </si>
  <si>
    <t>R001252947</t>
  </si>
  <si>
    <t>杉田　翔</t>
  </si>
  <si>
    <t>後藤　晋平</t>
  </si>
  <si>
    <t>河野　匡視</t>
  </si>
  <si>
    <t>星野　杏</t>
  </si>
  <si>
    <t>R010546276</t>
  </si>
  <si>
    <t>R008798466</t>
  </si>
  <si>
    <t>植木　邦彦</t>
  </si>
  <si>
    <t>R010100659</t>
  </si>
  <si>
    <t>小石川　悟</t>
  </si>
  <si>
    <t>R001264164</t>
  </si>
  <si>
    <t>キックオフ5分前</t>
    <rPh sb="6" eb="8">
      <t>フンマエ</t>
    </rPh>
    <phoneticPr fontId="29"/>
  </si>
  <si>
    <t>永井　智大</t>
  </si>
  <si>
    <t>佐々木　慎哉</t>
  </si>
  <si>
    <t>太陽スポーツクラブ大分西</t>
  </si>
  <si>
    <t>R005603820</t>
  </si>
  <si>
    <t>ＫＩＮＧＳ　ＦＯＯＴＢＡＬＬＣＬＵＢ　Ｕ－１２</t>
  </si>
  <si>
    <t>日野　那音</t>
  </si>
  <si>
    <t>R001265172</t>
  </si>
  <si>
    <t>北村　真悟</t>
  </si>
  <si>
    <t>松原　亜衣</t>
  </si>
  <si>
    <t>大平山アソシエーション式フットボールクラブ</t>
  </si>
  <si>
    <t>相良　宣雄</t>
  </si>
  <si>
    <t>長岡　聖空</t>
  </si>
  <si>
    <t>飯倉　洋介</t>
  </si>
  <si>
    <t>ＯＫＹ山香サッカークラブ</t>
  </si>
  <si>
    <t>渡邊　彩人</t>
  </si>
  <si>
    <t>R010007845</t>
  </si>
  <si>
    <t>岡部　明男</t>
  </si>
  <si>
    <t>酒井　晴彦</t>
  </si>
  <si>
    <t>渡里　賢人</t>
  </si>
  <si>
    <t>R008537139</t>
  </si>
  <si>
    <t>岩渕　大洋</t>
  </si>
  <si>
    <t>R001869127</t>
  </si>
  <si>
    <t>大谷　伸二</t>
  </si>
  <si>
    <t>吉良　信輝</t>
  </si>
  <si>
    <t>梶川　和志</t>
  </si>
  <si>
    <t>小倉　正広</t>
  </si>
  <si>
    <t>R001264483</t>
  </si>
  <si>
    <t>R009460551</t>
  </si>
  <si>
    <t>R001254538</t>
  </si>
  <si>
    <t>安藤　博幸</t>
  </si>
  <si>
    <t>選手の品行</t>
    <rPh sb="0" eb="2">
      <t>センシュ</t>
    </rPh>
    <rPh sb="3" eb="5">
      <t>ヒンコウ</t>
    </rPh>
    <phoneticPr fontId="29"/>
  </si>
  <si>
    <t>佐伯リベロフットボールクラブ</t>
  </si>
  <si>
    <t>松尾　賢一</t>
  </si>
  <si>
    <t>１次リーグ</t>
    <rPh sb="1" eb="2">
      <t>ジ</t>
    </rPh>
    <phoneticPr fontId="29"/>
  </si>
  <si>
    <t>切封　智和</t>
  </si>
  <si>
    <t>金子　康二</t>
  </si>
  <si>
    <t>井上　彩</t>
  </si>
  <si>
    <t>アップする選手は、前試合の両チームのユニおよび審判のユニと明確に異なる色の着衣（ビブス等）を身につけること。</t>
    <rPh sb="9" eb="10">
      <t>マエ</t>
    </rPh>
    <rPh sb="10" eb="12">
      <t>シアイ</t>
    </rPh>
    <phoneticPr fontId="29"/>
  </si>
  <si>
    <t>豊田　裕司</t>
  </si>
  <si>
    <t>ワタナベ　ショウタ</t>
  </si>
  <si>
    <t>玉井　俊輝</t>
  </si>
  <si>
    <t>半谷　風花</t>
  </si>
  <si>
    <t>R010093504</t>
  </si>
  <si>
    <t>美濃　誠</t>
  </si>
  <si>
    <t>池辺　俊明</t>
  </si>
  <si>
    <t>平岡　正広</t>
  </si>
  <si>
    <t>審判登録番号</t>
  </si>
  <si>
    <t>R001262500</t>
  </si>
  <si>
    <t>選択肢より</t>
    <rPh sb="0" eb="3">
      <t>センタクシ</t>
    </rPh>
    <phoneticPr fontId="29"/>
  </si>
  <si>
    <t>宮本　結生</t>
  </si>
  <si>
    <t>佐藤　嵩隼</t>
  </si>
  <si>
    <t>R001264872</t>
  </si>
  <si>
    <t>津守　翔太</t>
  </si>
  <si>
    <t>田中　博</t>
  </si>
  <si>
    <t>笹原　年浩</t>
  </si>
  <si>
    <t>負傷した選手が交代ゾーン以外からピッチを離れ、交替する場合は交替ゾーンから交替する選手は入場する。負傷した選手が治療をおえ、再度交替し入場する場合も交替ゾーンから行う。</t>
    <rPh sb="0" eb="2">
      <t>フショウ</t>
    </rPh>
    <rPh sb="4" eb="6">
      <t>センシュ</t>
    </rPh>
    <rPh sb="7" eb="9">
      <t>コウタイ</t>
    </rPh>
    <rPh sb="12" eb="14">
      <t>イガイ</t>
    </rPh>
    <rPh sb="20" eb="21">
      <t>ハナ</t>
    </rPh>
    <rPh sb="23" eb="25">
      <t>コウタイ</t>
    </rPh>
    <rPh sb="27" eb="29">
      <t>バアイ</t>
    </rPh>
    <rPh sb="30" eb="32">
      <t>コウタイ</t>
    </rPh>
    <rPh sb="37" eb="39">
      <t>コウタイ</t>
    </rPh>
    <rPh sb="41" eb="43">
      <t>センシュ</t>
    </rPh>
    <rPh sb="44" eb="46">
      <t>ニュウジョウ</t>
    </rPh>
    <rPh sb="49" eb="51">
      <t>フショウ</t>
    </rPh>
    <rPh sb="53" eb="55">
      <t>センシュ</t>
    </rPh>
    <rPh sb="56" eb="58">
      <t>チリョウ</t>
    </rPh>
    <rPh sb="62" eb="64">
      <t>サイド</t>
    </rPh>
    <rPh sb="64" eb="66">
      <t>コウタイ</t>
    </rPh>
    <rPh sb="67" eb="69">
      <t>ニュウジョウ</t>
    </rPh>
    <rPh sb="71" eb="73">
      <t>バアイ</t>
    </rPh>
    <rPh sb="74" eb="76">
      <t>コウタイ</t>
    </rPh>
    <rPh sb="81" eb="82">
      <t>オコナ</t>
    </rPh>
    <phoneticPr fontId="29"/>
  </si>
  <si>
    <t>村上　洋平</t>
  </si>
  <si>
    <t>丸小野　聡暢</t>
  </si>
  <si>
    <t>高木　哲也</t>
  </si>
  <si>
    <t>引地　弘幸</t>
  </si>
  <si>
    <t>和田　敬生</t>
  </si>
  <si>
    <t>R006314455</t>
  </si>
  <si>
    <t>R001252390</t>
  </si>
  <si>
    <t>岩崎　浩也</t>
  </si>
  <si>
    <t>R004793852</t>
  </si>
  <si>
    <t>池邉　賢一</t>
  </si>
  <si>
    <t>村上　貴志</t>
  </si>
  <si>
    <t>R006573784</t>
  </si>
  <si>
    <t>高柿　康平</t>
  </si>
  <si>
    <t>坪井　和幸</t>
  </si>
  <si>
    <t>本戸　峰</t>
  </si>
  <si>
    <t>坂本　圭</t>
  </si>
  <si>
    <t>寺次　良生</t>
  </si>
  <si>
    <t>R001257322</t>
  </si>
  <si>
    <t>R010586324</t>
  </si>
  <si>
    <t>松下　直樹</t>
  </si>
  <si>
    <t>寺林　豊</t>
  </si>
  <si>
    <t>甲斐　直樹</t>
  </si>
  <si>
    <t>合原　竜毅</t>
  </si>
  <si>
    <t>前山　精治</t>
  </si>
  <si>
    <t>R003317336</t>
  </si>
  <si>
    <t>岡田　涼平</t>
  </si>
  <si>
    <t>矢野　三千生</t>
  </si>
  <si>
    <t>松原　マヤ</t>
  </si>
  <si>
    <t>R007728983</t>
  </si>
  <si>
    <t>塩月　勇輝</t>
  </si>
  <si>
    <t>上尾　泰裕</t>
  </si>
  <si>
    <t>清原　雄太</t>
  </si>
  <si>
    <t>有村　惇志</t>
  </si>
  <si>
    <t>三好　美輝</t>
  </si>
  <si>
    <t>毛利　明博</t>
  </si>
  <si>
    <t>松山　和寛</t>
  </si>
  <si>
    <t>柴田　徹</t>
  </si>
  <si>
    <t>山中　早一郎</t>
  </si>
  <si>
    <t>小栗　貴成</t>
  </si>
  <si>
    <t>R004326535</t>
  </si>
  <si>
    <t>R009198502</t>
  </si>
  <si>
    <t>R010214617</t>
  </si>
  <si>
    <t>秋元　貴生</t>
  </si>
  <si>
    <t>安達　信也</t>
  </si>
  <si>
    <t>中倉　奏歌</t>
  </si>
  <si>
    <t>R010046512</t>
  </si>
  <si>
    <t>中島　大成</t>
  </si>
  <si>
    <t>東稙田サッカースポーツ少年団</t>
  </si>
  <si>
    <t>江藤　雅章</t>
  </si>
  <si>
    <t>江藤　修</t>
  </si>
  <si>
    <t>R007959088</t>
  </si>
  <si>
    <t>岡部　司</t>
  </si>
  <si>
    <t>小野　修太郎</t>
  </si>
  <si>
    <t>原　正佳</t>
  </si>
  <si>
    <t>川井　勇介</t>
  </si>
  <si>
    <t>工藤　大明</t>
  </si>
  <si>
    <t>阿部　哲士</t>
  </si>
  <si>
    <t>星野　嵐</t>
  </si>
  <si>
    <t>川野　剛</t>
  </si>
  <si>
    <t>田邉　義晶</t>
  </si>
  <si>
    <t>古畑　翼</t>
  </si>
  <si>
    <t>川村　正樹</t>
  </si>
  <si>
    <t>木本　信之</t>
  </si>
  <si>
    <t>後藤　文生</t>
  </si>
  <si>
    <t>山本　晴翔</t>
  </si>
  <si>
    <t>三宮　仁</t>
  </si>
  <si>
    <t>別府フットボールクラブ．ミネルバＵ－１２</t>
  </si>
  <si>
    <t>新田　祐一郎</t>
  </si>
  <si>
    <t>松本　祐輔</t>
  </si>
  <si>
    <t>R005603802</t>
  </si>
  <si>
    <t>中間　敏彦</t>
  </si>
  <si>
    <t>浜崎　陽介</t>
  </si>
  <si>
    <t>長尾　寿郎</t>
  </si>
  <si>
    <t>原　宏一</t>
  </si>
  <si>
    <t>福元　研治</t>
  </si>
  <si>
    <t>三浦　櫂斗</t>
  </si>
  <si>
    <t>森山　信浩</t>
  </si>
  <si>
    <t>森下　洋一</t>
  </si>
  <si>
    <t>長谷雄　大和</t>
  </si>
  <si>
    <t>柳本　剛</t>
  </si>
  <si>
    <t>小手川　洋介</t>
  </si>
  <si>
    <t>R006011372</t>
  </si>
  <si>
    <t>甲斐　亮介</t>
  </si>
  <si>
    <t>安部　一徳</t>
  </si>
  <si>
    <t>R003258413</t>
  </si>
  <si>
    <t>R010007794</t>
  </si>
  <si>
    <t>旗手　悠也</t>
  </si>
  <si>
    <t>板井　龍法</t>
  </si>
  <si>
    <t>阿部　浩之</t>
  </si>
  <si>
    <t>R001253025</t>
  </si>
  <si>
    <t>安東　幹雄</t>
  </si>
  <si>
    <t>保月　寿智</t>
  </si>
  <si>
    <t>平林　拓朗</t>
  </si>
  <si>
    <t>後藤　茂好</t>
  </si>
  <si>
    <t>石川　慎也</t>
  </si>
  <si>
    <t>志賀　泰二</t>
  </si>
  <si>
    <t>宮迫　利範</t>
  </si>
  <si>
    <t>井堀　貴康</t>
  </si>
  <si>
    <t>今井　克人</t>
  </si>
  <si>
    <t>R002531522</t>
  </si>
  <si>
    <t>三浦　雄大</t>
  </si>
  <si>
    <t>上田　輝彦</t>
  </si>
  <si>
    <t>R006030599</t>
  </si>
  <si>
    <t>大久保　邦彦</t>
  </si>
  <si>
    <t>梅田　高志</t>
  </si>
  <si>
    <t>緒方　崇</t>
  </si>
  <si>
    <t>梶原　誠司</t>
  </si>
  <si>
    <t>神川　基</t>
  </si>
  <si>
    <t>宗岡　胡桃</t>
  </si>
  <si>
    <t>工藤　康博</t>
  </si>
  <si>
    <t>深田　勝弥</t>
  </si>
  <si>
    <t>佐藤　光雄</t>
  </si>
  <si>
    <t>工藤　慎一</t>
  </si>
  <si>
    <t>中野　明</t>
  </si>
  <si>
    <t>R001869093</t>
  </si>
  <si>
    <t>奥薗　将太</t>
  </si>
  <si>
    <t>熊谷　浩之</t>
  </si>
  <si>
    <t>R005603671</t>
  </si>
  <si>
    <t>R010306448</t>
  </si>
  <si>
    <t>桑原　栄二郎</t>
  </si>
  <si>
    <t>近藤　健二</t>
  </si>
  <si>
    <t>佐々木　正志</t>
  </si>
  <si>
    <t>佐藤　昭生</t>
  </si>
  <si>
    <t>佐藤　隆太</t>
  </si>
  <si>
    <t>斎藤　亮真</t>
  </si>
  <si>
    <t>佐藤　一好</t>
  </si>
  <si>
    <t>中村　冴里</t>
  </si>
  <si>
    <t>首藤　圭介</t>
  </si>
  <si>
    <t>安倍　達也</t>
  </si>
  <si>
    <t>R002678009</t>
  </si>
  <si>
    <t>城全　孝成</t>
  </si>
  <si>
    <t>秦　雅暢</t>
  </si>
  <si>
    <t>寺岡　富夫</t>
  </si>
  <si>
    <t>Ｍ．Ｓ．Ｓ</t>
  </si>
  <si>
    <t>瀬口　篤</t>
  </si>
  <si>
    <t>永路　尚道</t>
  </si>
  <si>
    <t>高橋　芳洋</t>
  </si>
  <si>
    <t>副審</t>
  </si>
  <si>
    <t>松原　政司</t>
  </si>
  <si>
    <t>高橋　雅浩</t>
  </si>
  <si>
    <t>石松　大輔</t>
  </si>
  <si>
    <t>R007959750</t>
  </si>
  <si>
    <t>高畑　智秀</t>
  </si>
  <si>
    <t>を　フリー抽選</t>
    <rPh sb="5" eb="7">
      <t>チュウセン</t>
    </rPh>
    <phoneticPr fontId="29"/>
  </si>
  <si>
    <t>永井　勇司</t>
  </si>
  <si>
    <t>R010306442</t>
  </si>
  <si>
    <t>山矢　修冬</t>
  </si>
  <si>
    <t>中津留　正三</t>
  </si>
  <si>
    <t>高畑　徳治郎</t>
  </si>
  <si>
    <t>野村　哲也</t>
  </si>
  <si>
    <t>R004055390</t>
  </si>
  <si>
    <t>安藤　卓也</t>
  </si>
  <si>
    <t>迫　裕作</t>
  </si>
  <si>
    <t>薬師寺　亮太</t>
  </si>
  <si>
    <t>佐藤　元気</t>
  </si>
  <si>
    <t>堤　祐慈</t>
  </si>
  <si>
    <t>競技者の数</t>
  </si>
  <si>
    <t>R010538358</t>
  </si>
  <si>
    <t>R009408852</t>
  </si>
  <si>
    <t>津守　一雄</t>
  </si>
  <si>
    <t>津守　正博</t>
  </si>
  <si>
    <t>寺岡　義彦</t>
  </si>
  <si>
    <t>R010376364</t>
  </si>
  <si>
    <t>R010376358</t>
  </si>
  <si>
    <t>川浪　実歩</t>
  </si>
  <si>
    <t>仲野　昭博</t>
  </si>
  <si>
    <t>西邑　聖愛</t>
  </si>
  <si>
    <t>中原　圭介</t>
  </si>
  <si>
    <t>戸髙　博秋</t>
  </si>
  <si>
    <t>柳川　知也</t>
  </si>
  <si>
    <t>東　和弘</t>
  </si>
  <si>
    <t>渕　辰雄</t>
  </si>
  <si>
    <t>清松　隆浩</t>
  </si>
  <si>
    <t>古畑　葵</t>
  </si>
  <si>
    <t>小畑　郁夫</t>
  </si>
  <si>
    <t>大塚　丈司</t>
  </si>
  <si>
    <t>佐藤　周平</t>
  </si>
  <si>
    <t>牧　和志</t>
  </si>
  <si>
    <t>川野　公聖</t>
  </si>
  <si>
    <t>R001252196</t>
  </si>
  <si>
    <t>真鍋　裕一</t>
  </si>
  <si>
    <t>永松　真樹</t>
  </si>
  <si>
    <t>野尻　憲慎</t>
  </si>
  <si>
    <t>阿地　孝</t>
  </si>
  <si>
    <t>山本　純平</t>
  </si>
  <si>
    <t>村上　一幸</t>
  </si>
  <si>
    <t>場所：</t>
    <rPh sb="0" eb="2">
      <t>バショ</t>
    </rPh>
    <phoneticPr fontId="29"/>
  </si>
  <si>
    <t>後藤　寿</t>
  </si>
  <si>
    <t>星野　敦</t>
  </si>
  <si>
    <t>屋敷　伴幸</t>
  </si>
  <si>
    <t>R010259420</t>
  </si>
  <si>
    <t>山野内　哲朗</t>
  </si>
  <si>
    <t>幸　靖博</t>
  </si>
  <si>
    <t>内海　太輝</t>
  </si>
  <si>
    <t>大塚　涼平</t>
  </si>
  <si>
    <t>三原　将弥</t>
  </si>
  <si>
    <t>米田　尚司</t>
  </si>
  <si>
    <t>野尻　崇</t>
  </si>
  <si>
    <t>浜町　隆蒔</t>
  </si>
  <si>
    <t>R002530383</t>
  </si>
  <si>
    <t>古戸　雅崇</t>
  </si>
  <si>
    <t>野津ＦＣ</t>
  </si>
  <si>
    <t>R001265233</t>
  </si>
  <si>
    <t>和田　浩</t>
  </si>
  <si>
    <t>岡崎　俊介</t>
  </si>
  <si>
    <t>斎藤　克己</t>
  </si>
  <si>
    <t>首藤　貴弘</t>
  </si>
  <si>
    <t>池田　浩</t>
  </si>
  <si>
    <t>江良　信司</t>
  </si>
  <si>
    <t>中上　聡志</t>
  </si>
  <si>
    <t>衛藤　圭典</t>
  </si>
  <si>
    <t>江崎　康平</t>
  </si>
  <si>
    <t>伊藤　宏充</t>
  </si>
  <si>
    <t>徳永　浩幸</t>
  </si>
  <si>
    <t>スマイス日出</t>
  </si>
  <si>
    <t>R007335127</t>
  </si>
  <si>
    <t>R010169040</t>
  </si>
  <si>
    <t>R003677104</t>
  </si>
  <si>
    <t>溝邊　祐幸</t>
  </si>
  <si>
    <t>得失
点差</t>
    <rPh sb="0" eb="2">
      <t>トクシツ</t>
    </rPh>
    <rPh sb="4" eb="5">
      <t>サ</t>
    </rPh>
    <phoneticPr fontId="29"/>
  </si>
  <si>
    <t>河津　裕徳</t>
  </si>
  <si>
    <t>R001260016</t>
  </si>
  <si>
    <t>小野　晃央</t>
  </si>
  <si>
    <t>衛藤　秀高</t>
  </si>
  <si>
    <t>藤本　洋</t>
  </si>
  <si>
    <t>立花　陽一郎</t>
  </si>
  <si>
    <t>上田　晃</t>
  </si>
  <si>
    <t>中尾　倫彰</t>
  </si>
  <si>
    <t>R010576362</t>
  </si>
  <si>
    <t>R010027818</t>
  </si>
  <si>
    <t>衛藤　和憲</t>
  </si>
  <si>
    <t>黒木　陸叶</t>
  </si>
  <si>
    <t>菊地　謙一</t>
  </si>
  <si>
    <t>大鶴　翔太郎</t>
  </si>
  <si>
    <t>R010448916</t>
  </si>
  <si>
    <t>R010281831</t>
  </si>
  <si>
    <t>毛藤　勇三</t>
  </si>
  <si>
    <t>宗岡　亮次</t>
  </si>
  <si>
    <t>山本　哲司</t>
  </si>
  <si>
    <t>和喜田　拓</t>
  </si>
  <si>
    <t>R010281809</t>
  </si>
  <si>
    <t>伊東　昇太郎</t>
  </si>
  <si>
    <t>内丸　貴裕</t>
  </si>
  <si>
    <t>朝山　睦夫</t>
  </si>
  <si>
    <t>椎原　健夫</t>
  </si>
  <si>
    <t>中野　雄斗</t>
  </si>
  <si>
    <t>R010099448</t>
  </si>
  <si>
    <t>吉松　赳士</t>
  </si>
  <si>
    <t>R001258899</t>
  </si>
  <si>
    <t>抽選順</t>
  </si>
  <si>
    <t>出口　功</t>
  </si>
  <si>
    <t>今宮　俊一</t>
  </si>
  <si>
    <t>久保　雅敬</t>
  </si>
  <si>
    <t>後藤　恵大</t>
  </si>
  <si>
    <t>吉田　大助</t>
  </si>
  <si>
    <t>石松　卓哉</t>
  </si>
  <si>
    <t>唐下　直之</t>
  </si>
  <si>
    <t>山本　悠司</t>
  </si>
  <si>
    <t>中山　修一</t>
  </si>
  <si>
    <t>都　学志</t>
  </si>
  <si>
    <t>信田　卓也</t>
  </si>
  <si>
    <t>寺本　義高</t>
  </si>
  <si>
    <t>田中　貴大</t>
  </si>
  <si>
    <t>岩崎　彰範</t>
  </si>
  <si>
    <t>三原　隼人</t>
  </si>
  <si>
    <t>松下　明史</t>
  </si>
  <si>
    <t>佐藤　歩虎</t>
  </si>
  <si>
    <t>R003578487</t>
  </si>
  <si>
    <t>笠置　貴路</t>
  </si>
  <si>
    <t>河野　貴裕</t>
  </si>
  <si>
    <t>村田　龍二</t>
  </si>
  <si>
    <t>塩田　誠</t>
  </si>
  <si>
    <t>R005986981</t>
  </si>
  <si>
    <t>田村　孝弘</t>
  </si>
  <si>
    <t>R001259588</t>
  </si>
  <si>
    <t>R010416214</t>
  </si>
  <si>
    <t>荒木　宗明</t>
  </si>
  <si>
    <t>大在サッカースポーツ少年団</t>
  </si>
  <si>
    <t>R004385936</t>
  </si>
  <si>
    <t>勝
点</t>
  </si>
  <si>
    <t>上田　孝騎</t>
  </si>
  <si>
    <t>杉崎　恭介</t>
  </si>
  <si>
    <t>R001262254</t>
  </si>
  <si>
    <t>R010549366</t>
  </si>
  <si>
    <t>箕迫　雄介</t>
  </si>
  <si>
    <t>中野　佐和三</t>
  </si>
  <si>
    <t>R006220101</t>
  </si>
  <si>
    <t>磯村　信一</t>
  </si>
  <si>
    <t>宇都宮　貴之</t>
  </si>
  <si>
    <t>津田　敬太</t>
  </si>
  <si>
    <t>薬師寺　章伊</t>
  </si>
  <si>
    <t>岡本　遼</t>
  </si>
  <si>
    <t>長尾　龍真</t>
  </si>
  <si>
    <t>R002384216</t>
  </si>
  <si>
    <t>小野　智史</t>
  </si>
  <si>
    <t>竹村　研一郎</t>
  </si>
  <si>
    <t>R010281804</t>
  </si>
  <si>
    <t>幸　壮一郎</t>
  </si>
  <si>
    <t>柚木　貴博</t>
  </si>
  <si>
    <t>武智　正敏</t>
  </si>
  <si>
    <t>池添　将大</t>
  </si>
  <si>
    <t>曽我　拓実</t>
  </si>
  <si>
    <t>R006220183</t>
  </si>
  <si>
    <t>森山　幸介</t>
  </si>
  <si>
    <t>安倍　和広</t>
  </si>
  <si>
    <t>矢野　晶大</t>
  </si>
  <si>
    <t>平原　晃</t>
  </si>
  <si>
    <t>酒盛　政晴</t>
  </si>
  <si>
    <t>後藤　大輝</t>
  </si>
  <si>
    <t>滝尾下郡サッカースポーツ少年団</t>
  </si>
  <si>
    <t>甲斐　竜二</t>
  </si>
  <si>
    <t>R001259056</t>
  </si>
  <si>
    <t>R005603866</t>
  </si>
  <si>
    <t>城全　晃孝</t>
  </si>
  <si>
    <t>R001255980</t>
  </si>
  <si>
    <t>出田　武</t>
  </si>
  <si>
    <t>R010600674</t>
  </si>
  <si>
    <t>阿武　志郎</t>
  </si>
  <si>
    <t>志谷　進</t>
  </si>
  <si>
    <t>敗</t>
  </si>
  <si>
    <t>R004060170</t>
  </si>
  <si>
    <t>柾木　洋平</t>
  </si>
  <si>
    <t>工藤　政野</t>
  </si>
  <si>
    <t>R010542191</t>
  </si>
  <si>
    <t>R008798217</t>
  </si>
  <si>
    <t>安藤　和洋</t>
  </si>
  <si>
    <t>スマイス・セレソン</t>
  </si>
  <si>
    <t>PK
負</t>
    <rPh sb="3" eb="4">
      <t>マ</t>
    </rPh>
    <phoneticPr fontId="29"/>
  </si>
  <si>
    <t>R010449558</t>
  </si>
  <si>
    <t>佐藤　優介</t>
  </si>
  <si>
    <t>原田　雅也</t>
  </si>
  <si>
    <t>小野　友美子</t>
  </si>
  <si>
    <t>中尾　亜夢</t>
  </si>
  <si>
    <t>藤田　和也</t>
  </si>
  <si>
    <t>前田　篤史</t>
  </si>
  <si>
    <t>R010347359</t>
  </si>
  <si>
    <t>③
12:00～</t>
  </si>
  <si>
    <t>R001264881</t>
  </si>
  <si>
    <t>濱崎　賢一</t>
  </si>
  <si>
    <t>坂田　碧琉</t>
  </si>
  <si>
    <t>大石　拓也</t>
  </si>
  <si>
    <t>R010465601</t>
  </si>
  <si>
    <t>市田　翔太</t>
  </si>
  <si>
    <t>用松　修平</t>
  </si>
  <si>
    <t>吉野　公司</t>
  </si>
  <si>
    <t>浅田　雄太</t>
  </si>
  <si>
    <t>R010546319</t>
  </si>
  <si>
    <t>徳丸　緒憧</t>
  </si>
  <si>
    <t>R006910259</t>
  </si>
  <si>
    <t>川﨑　浩司</t>
  </si>
  <si>
    <t>梅木　悠也</t>
  </si>
  <si>
    <t>佐藤　誠</t>
  </si>
  <si>
    <t>藤松　秀那</t>
  </si>
  <si>
    <t>田﨑　蒼</t>
  </si>
  <si>
    <t>竹中　勇人</t>
  </si>
  <si>
    <t>R010214623</t>
  </si>
  <si>
    <t>安部　武志</t>
  </si>
  <si>
    <t>浅井　佑太</t>
  </si>
  <si>
    <t>ＦＣ　ＷＡＹＳ</t>
  </si>
  <si>
    <t>坂本　航大</t>
  </si>
  <si>
    <t>佐藤　慎也</t>
  </si>
  <si>
    <t>三浦　哲郎</t>
  </si>
  <si>
    <t>大塚　良輝</t>
  </si>
  <si>
    <t>溝辺　宏輝</t>
  </si>
  <si>
    <t>R010093494</t>
  </si>
  <si>
    <t>香川　豊</t>
  </si>
  <si>
    <t>柚木　徹也</t>
  </si>
  <si>
    <t>本野　秀貴</t>
  </si>
  <si>
    <t>立川　充</t>
  </si>
  <si>
    <t>恵藤　和海</t>
  </si>
  <si>
    <t>R004794073</t>
  </si>
  <si>
    <t>R007606238</t>
  </si>
  <si>
    <t>桑原　将吾</t>
  </si>
  <si>
    <t>R001254051</t>
  </si>
  <si>
    <t>米澤　邦彦</t>
  </si>
  <si>
    <t>永路　拓実</t>
  </si>
  <si>
    <t>後藤　憲治</t>
  </si>
  <si>
    <t>谷川　潤弥</t>
  </si>
  <si>
    <t>主審の指示を受けた場合にのみ、2名以内のチ－ム役員と担架がフィ－ルドに入ることができる。</t>
  </si>
  <si>
    <t>石井　洋平</t>
  </si>
  <si>
    <t>如法寺　雅俊</t>
  </si>
  <si>
    <t>奥田　和彦</t>
  </si>
  <si>
    <t>近砂　覚志</t>
  </si>
  <si>
    <t>上野　貴士</t>
  </si>
  <si>
    <t>R003421426</t>
  </si>
  <si>
    <t>伊達　洋介</t>
  </si>
  <si>
    <t>中村　真彦</t>
  </si>
  <si>
    <t>西岡　京一郎</t>
  </si>
  <si>
    <t>姫野　雅俊</t>
  </si>
  <si>
    <t>赤嶺　一宇</t>
  </si>
  <si>
    <t>R001263402</t>
  </si>
  <si>
    <t>赤星　勝</t>
  </si>
  <si>
    <t>荒巻　成志</t>
  </si>
  <si>
    <t>岩崎　利勝</t>
  </si>
  <si>
    <t>山下　大輔</t>
  </si>
  <si>
    <t>河野　千恵子</t>
  </si>
  <si>
    <t>R009670176</t>
  </si>
  <si>
    <t>木下　和夫</t>
  </si>
  <si>
    <t>工藤　光範</t>
  </si>
  <si>
    <t>R010189258</t>
  </si>
  <si>
    <t>後藤　亮一</t>
  </si>
  <si>
    <t>R004747206</t>
  </si>
  <si>
    <t>工藤　洋</t>
  </si>
  <si>
    <t>桑原　剛志</t>
  </si>
  <si>
    <t>後藤　儀一郎</t>
  </si>
  <si>
    <t>資格番号</t>
  </si>
  <si>
    <t>佐藤　武吉</t>
  </si>
  <si>
    <t>R001262494</t>
  </si>
  <si>
    <t>佐藤　秀勝</t>
  </si>
  <si>
    <t>野口　康二郎</t>
  </si>
  <si>
    <t>R010159751</t>
  </si>
  <si>
    <t>R010095349</t>
  </si>
  <si>
    <t>高倉　一城</t>
  </si>
  <si>
    <t>中津④</t>
    <rPh sb="0" eb="2">
      <t>ナカツ</t>
    </rPh>
    <phoneticPr fontId="29"/>
  </si>
  <si>
    <t>中川　俊哉</t>
  </si>
  <si>
    <t>R007334951</t>
  </si>
  <si>
    <t>本田　淳仁</t>
  </si>
  <si>
    <t>R007003422</t>
  </si>
  <si>
    <t>渡辺　吉紀</t>
  </si>
  <si>
    <t>中嶋　結孝</t>
  </si>
  <si>
    <t>R008798262</t>
  </si>
  <si>
    <t>青木　大和</t>
  </si>
  <si>
    <t>中野　俊宏</t>
  </si>
  <si>
    <t>組み合わせ右側チーム</t>
  </si>
  <si>
    <t>吉松　健</t>
  </si>
  <si>
    <t>河井　寛次郎</t>
  </si>
  <si>
    <t>R001261477</t>
  </si>
  <si>
    <t>板井　晋一</t>
  </si>
  <si>
    <t>R005405255</t>
  </si>
  <si>
    <t>本杉　拓也</t>
  </si>
  <si>
    <t>保明　栄治</t>
  </si>
  <si>
    <t>組み合わせ左側チーム</t>
  </si>
  <si>
    <t>第二登録協会</t>
  </si>
  <si>
    <t>高橋　由資</t>
  </si>
  <si>
    <t>松本　侑樹</t>
  </si>
  <si>
    <t>菊地　誠</t>
  </si>
  <si>
    <t>R010189311</t>
  </si>
  <si>
    <t>小林　覚</t>
  </si>
  <si>
    <t>安藤　梨愛</t>
  </si>
  <si>
    <t>田代　修三</t>
  </si>
  <si>
    <t>和泉　宜幸</t>
  </si>
  <si>
    <t>甲斐　英治</t>
  </si>
  <si>
    <t>永松　真朗</t>
  </si>
  <si>
    <t>R001255740</t>
  </si>
  <si>
    <t>河村　航大</t>
  </si>
  <si>
    <t>R001262731</t>
  </si>
  <si>
    <t>藤原　妙子</t>
  </si>
  <si>
    <t>永山　正樹</t>
  </si>
  <si>
    <t>合原　輝翔</t>
  </si>
  <si>
    <t>明治サッカースポーツ少年団</t>
  </si>
  <si>
    <t>R010600680</t>
  </si>
  <si>
    <t>松尾　国洋</t>
  </si>
  <si>
    <t>永松　裕史</t>
  </si>
  <si>
    <t>R008173685</t>
  </si>
  <si>
    <t>首藤　煌人</t>
  </si>
  <si>
    <t>山村　悠人</t>
  </si>
  <si>
    <t>山本　康平</t>
  </si>
  <si>
    <t>R010600676</t>
  </si>
  <si>
    <t>池田　雅俊</t>
  </si>
  <si>
    <t>R010306446</t>
  </si>
  <si>
    <t>R001251133</t>
  </si>
  <si>
    <t>R006937229</t>
  </si>
  <si>
    <t>後藤　達也</t>
  </si>
  <si>
    <t>宗方サッカークラブ</t>
  </si>
  <si>
    <t>秋月　将吾</t>
  </si>
  <si>
    <t>清水　聖徳</t>
  </si>
  <si>
    <t>川野　迅翔</t>
  </si>
  <si>
    <t>R003258422</t>
  </si>
  <si>
    <t>流川　新</t>
  </si>
  <si>
    <t>山本　真乃介</t>
  </si>
  <si>
    <t>岡田　隆行</t>
  </si>
  <si>
    <t>R010162720</t>
  </si>
  <si>
    <t>釘宮　蓮</t>
  </si>
  <si>
    <t>平　和隆</t>
  </si>
  <si>
    <t>鮫島　裕貴</t>
  </si>
  <si>
    <t>仲　凌生</t>
  </si>
  <si>
    <t>曽根田　康寿</t>
  </si>
  <si>
    <t>後藤　慶太郎</t>
  </si>
  <si>
    <t>山根　雄治</t>
  </si>
  <si>
    <t>河野　成利</t>
  </si>
  <si>
    <t>R008798174</t>
  </si>
  <si>
    <t>橋本　敏邦</t>
  </si>
  <si>
    <t>田中　冠舟</t>
  </si>
  <si>
    <t>R007334890</t>
  </si>
  <si>
    <t>首藤　崇浩</t>
  </si>
  <si>
    <t>岩丸　博季</t>
  </si>
  <si>
    <t>則次　祐介</t>
  </si>
  <si>
    <t>中畑　光宏</t>
  </si>
  <si>
    <t>相良　章成</t>
  </si>
  <si>
    <t>準決勝
②</t>
    <rPh sb="0" eb="3">
      <t>ジュンケッショウ</t>
    </rPh>
    <phoneticPr fontId="72"/>
  </si>
  <si>
    <t>小田原　蓮</t>
  </si>
  <si>
    <t>本田　敬恭</t>
  </si>
  <si>
    <t>R001262023</t>
  </si>
  <si>
    <t>R005987519</t>
  </si>
  <si>
    <t>酒井　泰峰</t>
  </si>
  <si>
    <t>R003421338</t>
  </si>
  <si>
    <t>上杉　想真</t>
  </si>
  <si>
    <t>R010396582</t>
  </si>
  <si>
    <t>R001263484</t>
  </si>
  <si>
    <t>藤野　誠</t>
  </si>
  <si>
    <t>R001264058</t>
  </si>
  <si>
    <t>熊谷　勇哉</t>
  </si>
  <si>
    <t>R009460472</t>
  </si>
  <si>
    <t>高橋　央明</t>
  </si>
  <si>
    <t>竹中　啓司</t>
  </si>
  <si>
    <t>田村　音羽</t>
  </si>
  <si>
    <t>平野　道弘</t>
  </si>
  <si>
    <t>相馬　大典</t>
  </si>
  <si>
    <t>清水　圭二</t>
  </si>
  <si>
    <t>石本　直也</t>
  </si>
  <si>
    <t>庄部　正人</t>
  </si>
  <si>
    <t>R010306440</t>
  </si>
  <si>
    <t>R010538404</t>
  </si>
  <si>
    <t>R010074021</t>
  </si>
  <si>
    <t>R010099453</t>
  </si>
  <si>
    <t>R001600205</t>
  </si>
  <si>
    <t>上屋　守</t>
  </si>
  <si>
    <t>R001259287</t>
  </si>
  <si>
    <t>R007959617</t>
  </si>
  <si>
    <t>松下　立夫</t>
  </si>
  <si>
    <t>衛藤　智成</t>
  </si>
  <si>
    <t>甲斐　剛樹</t>
  </si>
  <si>
    <t>R004386023</t>
  </si>
  <si>
    <t>R005603662</t>
  </si>
  <si>
    <t>長野　高志</t>
  </si>
  <si>
    <t>後藤　友星</t>
  </si>
  <si>
    <t>（3）</t>
  </si>
  <si>
    <t>原　貴宏</t>
  </si>
  <si>
    <t>青山　恭輔</t>
  </si>
  <si>
    <t>R003677131</t>
  </si>
  <si>
    <t>植垣　秀人</t>
  </si>
  <si>
    <t>矢羽田　崇</t>
  </si>
  <si>
    <t>越智　龍平</t>
  </si>
  <si>
    <t>江藤　恭平</t>
  </si>
  <si>
    <t>R009546806</t>
  </si>
  <si>
    <t>中島　康平</t>
  </si>
  <si>
    <t>R004793825</t>
  </si>
  <si>
    <t>R001265367</t>
  </si>
  <si>
    <t>佐藤　巨規</t>
  </si>
  <si>
    <t>R010386813</t>
  </si>
  <si>
    <t>平原　悟</t>
  </si>
  <si>
    <t>橋本　葉音</t>
  </si>
  <si>
    <t>隅田　哲平</t>
  </si>
  <si>
    <t>R001265224</t>
  </si>
  <si>
    <t>高橋　洸介</t>
  </si>
  <si>
    <t>R010376279</t>
  </si>
  <si>
    <t>福西　勝哉</t>
  </si>
  <si>
    <t>関屋　俊侑</t>
  </si>
  <si>
    <t>藤本　勝爾</t>
  </si>
  <si>
    <t>清水　颯太</t>
  </si>
  <si>
    <t>廣瀬　尚人</t>
  </si>
  <si>
    <t>三浦　優真</t>
  </si>
  <si>
    <t>鈴木　優希</t>
  </si>
  <si>
    <t>R010027821</t>
  </si>
  <si>
    <t>奈須野　安侑里</t>
  </si>
  <si>
    <t>中村　智美</t>
  </si>
  <si>
    <t>柳元　哲哉</t>
  </si>
  <si>
    <t>深堀　祥司</t>
  </si>
  <si>
    <t>R010538378</t>
  </si>
  <si>
    <t>R009198487</t>
  </si>
  <si>
    <t>城野　清</t>
  </si>
  <si>
    <t>石川　誠司</t>
  </si>
  <si>
    <t>児玉　祥吾</t>
  </si>
  <si>
    <t>R010538303</t>
  </si>
  <si>
    <t>R010073993</t>
  </si>
  <si>
    <t>ティエラフットボールクラブＵ－１２</t>
  </si>
  <si>
    <t>手島　冠</t>
  </si>
  <si>
    <t>R010016109</t>
  </si>
  <si>
    <t>藤井　康之</t>
  </si>
  <si>
    <t>工藤　大昌</t>
  </si>
  <si>
    <t>安部　隆行</t>
  </si>
  <si>
    <t>R003351288</t>
  </si>
  <si>
    <t>八坂　秀青</t>
  </si>
  <si>
    <t>得失点</t>
  </si>
  <si>
    <t>高石　靖太</t>
  </si>
  <si>
    <t>R001262883</t>
  </si>
  <si>
    <t>１次リーグ　／　２次リーグ　　統一資料</t>
    <rPh sb="1" eb="2">
      <t>ジ</t>
    </rPh>
    <rPh sb="9" eb="10">
      <t>ジ</t>
    </rPh>
    <rPh sb="15" eb="17">
      <t>トウイツ</t>
    </rPh>
    <rPh sb="17" eb="19">
      <t>シリョウ</t>
    </rPh>
    <phoneticPr fontId="29"/>
  </si>
  <si>
    <t>米丸　碧</t>
  </si>
  <si>
    <t>笠村　大</t>
  </si>
  <si>
    <t>R001263785</t>
  </si>
  <si>
    <t>小田　邦昭</t>
  </si>
  <si>
    <t>工藤　忠弘</t>
  </si>
  <si>
    <t>松下　稜河</t>
  </si>
  <si>
    <t>佐藤　亮</t>
  </si>
  <si>
    <t>佐藤　翔太</t>
  </si>
  <si>
    <t>佐藤　優維人</t>
  </si>
  <si>
    <t>R007960084</t>
  </si>
  <si>
    <t>【Match No,50】</t>
  </si>
  <si>
    <t>2次リーグ　Aパート</t>
  </si>
  <si>
    <t>大森　宗樹</t>
  </si>
  <si>
    <t>村上　凛太朗</t>
  </si>
  <si>
    <t>R010599603</t>
  </si>
  <si>
    <t>【Match No,49】</t>
  </si>
  <si>
    <t>R001262403</t>
  </si>
  <si>
    <t>大会参加チーム名</t>
  </si>
  <si>
    <t>R001264766</t>
  </si>
  <si>
    <t>男女区分</t>
  </si>
  <si>
    <t>男子</t>
  </si>
  <si>
    <t>赤嶺　智輝</t>
  </si>
  <si>
    <t>女子小学生</t>
  </si>
  <si>
    <t>Ｓｈｙｎｔ　ＦＣ</t>
  </si>
  <si>
    <t>池永　蒼生</t>
  </si>
  <si>
    <t>井上　拓哉</t>
  </si>
  <si>
    <t>R003972391</t>
  </si>
  <si>
    <t>得失
順位</t>
  </si>
  <si>
    <t>大塚　誠也</t>
  </si>
  <si>
    <t>R005429893</t>
  </si>
  <si>
    <t>藤井　智也</t>
  </si>
  <si>
    <t>堀田　徠亜</t>
  </si>
  <si>
    <t>笠村　凜</t>
  </si>
  <si>
    <t>R004793940</t>
  </si>
  <si>
    <t>R001261398</t>
  </si>
  <si>
    <t>伊東　凌</t>
  </si>
  <si>
    <t>姫野　佑太郎</t>
  </si>
  <si>
    <t>中村　髙峰</t>
  </si>
  <si>
    <t>矢野　伊織</t>
  </si>
  <si>
    <t>R009198399</t>
  </si>
  <si>
    <t>矢野　十央南</t>
  </si>
  <si>
    <t>R010189276</t>
  </si>
  <si>
    <t>畑辺　康年</t>
  </si>
  <si>
    <t>R004386218</t>
  </si>
  <si>
    <t>R010352993</t>
  </si>
  <si>
    <t>R010027832</t>
  </si>
  <si>
    <t>R001265145</t>
  </si>
  <si>
    <t>諌本　秀樹</t>
  </si>
  <si>
    <t>R001264711</t>
  </si>
  <si>
    <t>大野　髙洋</t>
  </si>
  <si>
    <t>R001262971</t>
  </si>
  <si>
    <t>R001262999</t>
  </si>
  <si>
    <t>R005528255</t>
  </si>
  <si>
    <t>R001265349</t>
  </si>
  <si>
    <t>R001265376</t>
  </si>
  <si>
    <t>河崎　海斗</t>
  </si>
  <si>
    <t>角崎　暖</t>
  </si>
  <si>
    <t>R001256943</t>
  </si>
  <si>
    <t>R003255841</t>
  </si>
  <si>
    <t>波多野　政美</t>
  </si>
  <si>
    <t>R001265385</t>
  </si>
  <si>
    <t>R010214553</t>
  </si>
  <si>
    <t>R001265428</t>
  </si>
  <si>
    <t>R001265437</t>
  </si>
  <si>
    <t>R006151032</t>
  </si>
  <si>
    <t>R004226712</t>
  </si>
  <si>
    <t>日浦　慶至</t>
  </si>
  <si>
    <t>R001265358</t>
  </si>
  <si>
    <t>R001264854</t>
  </si>
  <si>
    <t>西田　亜矢</t>
  </si>
  <si>
    <t>R001265473</t>
  </si>
  <si>
    <t>R010189324</t>
  </si>
  <si>
    <t>R001260140</t>
  </si>
  <si>
    <t>R001265534</t>
  </si>
  <si>
    <t>退場者が出た場合は、交代要員から補充し、退場者のベンチ戻入は認めない。</t>
    <rPh sb="0" eb="3">
      <t>タイジョウシャ</t>
    </rPh>
    <rPh sb="20" eb="23">
      <t>タイジョウシャ</t>
    </rPh>
    <rPh sb="27" eb="29">
      <t>レイニュウ</t>
    </rPh>
    <rPh sb="30" eb="31">
      <t>ミト</t>
    </rPh>
    <phoneticPr fontId="29"/>
  </si>
  <si>
    <t>R004793755</t>
  </si>
  <si>
    <t>R001265552</t>
  </si>
  <si>
    <t>勝</t>
    <rPh sb="0" eb="1">
      <t>カ</t>
    </rPh>
    <phoneticPr fontId="29"/>
  </si>
  <si>
    <t>ボール使用の可否：</t>
  </si>
  <si>
    <t>宮成　淳也</t>
  </si>
  <si>
    <t>R002331010</t>
  </si>
  <si>
    <t>R001264632</t>
  </si>
  <si>
    <t>R001253007</t>
  </si>
  <si>
    <t>R007960093</t>
  </si>
  <si>
    <t>R007728424</t>
  </si>
  <si>
    <t>R005527353</t>
  </si>
  <si>
    <t>R001253557</t>
  </si>
  <si>
    <t>R010214533</t>
  </si>
  <si>
    <t>西村　竜司</t>
  </si>
  <si>
    <t>R001262184</t>
  </si>
  <si>
    <t>R001262209</t>
  </si>
  <si>
    <t>R005336098</t>
  </si>
  <si>
    <t>板井　崇晃</t>
  </si>
  <si>
    <t>R010538393</t>
  </si>
  <si>
    <t>R007003033</t>
  </si>
  <si>
    <t>R001253496</t>
  </si>
  <si>
    <t>R006220378</t>
  </si>
  <si>
    <t>大塚　蒼生</t>
  </si>
  <si>
    <t>R010064829</t>
  </si>
  <si>
    <t>R010579105</t>
  </si>
  <si>
    <t>R010352992</t>
  </si>
  <si>
    <t>野仲　晃生</t>
  </si>
  <si>
    <t>R010376319</t>
  </si>
  <si>
    <t>R009408904</t>
  </si>
  <si>
    <t>R001262379</t>
  </si>
  <si>
    <t>家股　麟太郎</t>
  </si>
  <si>
    <t>R004060329</t>
  </si>
  <si>
    <t>R001262397</t>
  </si>
  <si>
    <t>R010190757</t>
  </si>
  <si>
    <t>R005467918</t>
  </si>
  <si>
    <t>R006889108</t>
  </si>
  <si>
    <t>R007686234</t>
  </si>
  <si>
    <t>R001262458</t>
  </si>
  <si>
    <t>R006574172</t>
  </si>
  <si>
    <t>R004778507</t>
  </si>
  <si>
    <t>R010214611</t>
  </si>
  <si>
    <t>R001253423</t>
  </si>
  <si>
    <t>R005987050</t>
  </si>
  <si>
    <t>R007335297</t>
  </si>
  <si>
    <t>R001262573</t>
  </si>
  <si>
    <t>R003421231</t>
  </si>
  <si>
    <t>姉川　光一朗</t>
  </si>
  <si>
    <t>中津③</t>
    <rPh sb="0" eb="2">
      <t>ナカツ</t>
    </rPh>
    <phoneticPr fontId="29"/>
  </si>
  <si>
    <t>R001262874</t>
  </si>
  <si>
    <t>R005527609</t>
  </si>
  <si>
    <t>R003421161</t>
  </si>
  <si>
    <t>小田　瑛太</t>
  </si>
  <si>
    <t>R002530064</t>
  </si>
  <si>
    <t>R001263068</t>
  </si>
  <si>
    <t>小山　泉粋</t>
  </si>
  <si>
    <t>R001254510</t>
  </si>
  <si>
    <t>下嶋　龍斗</t>
  </si>
  <si>
    <t>R002384580</t>
  </si>
  <si>
    <t>R006093738</t>
  </si>
  <si>
    <t>R001253751</t>
  </si>
  <si>
    <t>R005528121</t>
  </si>
  <si>
    <t>R008174019</t>
  </si>
  <si>
    <t>【組合せ・時間割】</t>
    <rPh sb="1" eb="3">
      <t>クミアワ</t>
    </rPh>
    <rPh sb="5" eb="7">
      <t>ジカン</t>
    </rPh>
    <rPh sb="7" eb="8">
      <t>ワリ</t>
    </rPh>
    <phoneticPr fontId="29"/>
  </si>
  <si>
    <t>⑥
15:00～</t>
  </si>
  <si>
    <t>R010542207</t>
  </si>
  <si>
    <t>R001262670</t>
  </si>
  <si>
    <t>R003421222</t>
  </si>
  <si>
    <t>R001254875</t>
  </si>
  <si>
    <t>シャツについては、胸番号/背番号必須で一致していることとし、色彩は、審判員が通常着用する黒色と明確に判別し得るものでなければならない。</t>
    <rPh sb="9" eb="10">
      <t>ムネ</t>
    </rPh>
    <rPh sb="10" eb="12">
      <t>バンゴウ</t>
    </rPh>
    <rPh sb="13" eb="16">
      <t>セバンゴウ</t>
    </rPh>
    <rPh sb="16" eb="18">
      <t>ヒッス</t>
    </rPh>
    <rPh sb="19" eb="21">
      <t>イッチ</t>
    </rPh>
    <rPh sb="30" eb="32">
      <t>シキサイ</t>
    </rPh>
    <rPh sb="34" eb="37">
      <t>シンパンイン</t>
    </rPh>
    <rPh sb="38" eb="40">
      <t>ツウジョウ</t>
    </rPh>
    <rPh sb="40" eb="42">
      <t>チャクヨウ</t>
    </rPh>
    <rPh sb="44" eb="46">
      <t>クロイロ</t>
    </rPh>
    <rPh sb="47" eb="49">
      <t>メイカク</t>
    </rPh>
    <rPh sb="50" eb="52">
      <t>ハンベツ</t>
    </rPh>
    <rPh sb="53" eb="54">
      <t>エ</t>
    </rPh>
    <phoneticPr fontId="29"/>
  </si>
  <si>
    <t>R001262698</t>
  </si>
  <si>
    <t>R007075261</t>
  </si>
  <si>
    <t>小川　翔太</t>
  </si>
  <si>
    <t>R010542171</t>
  </si>
  <si>
    <t>R003972355</t>
  </si>
  <si>
    <t>R006849128</t>
  </si>
  <si>
    <t>R002996695</t>
  </si>
  <si>
    <t>R002917661</t>
  </si>
  <si>
    <t>R001262786</t>
  </si>
  <si>
    <t>R010538290</t>
  </si>
  <si>
    <t>小澤　剛史</t>
  </si>
  <si>
    <t>＜１次リーグ組み合わせ・結果＞</t>
    <rPh sb="2" eb="3">
      <t>ジ</t>
    </rPh>
    <rPh sb="6" eb="7">
      <t>ク</t>
    </rPh>
    <rPh sb="8" eb="9">
      <t>ア</t>
    </rPh>
    <rPh sb="12" eb="14">
      <t>ケッカ</t>
    </rPh>
    <phoneticPr fontId="29"/>
  </si>
  <si>
    <t>R002996659</t>
  </si>
  <si>
    <t>R004386306</t>
  </si>
  <si>
    <t>R010542172</t>
  </si>
  <si>
    <t>三浦　龍一</t>
  </si>
  <si>
    <t>R001262829</t>
  </si>
  <si>
    <t>佐々木　陽音</t>
  </si>
  <si>
    <t>R003972586</t>
  </si>
  <si>
    <t>R001255616</t>
  </si>
  <si>
    <t>選手氏名</t>
    <rPh sb="0" eb="2">
      <t>センシュ</t>
    </rPh>
    <rPh sb="2" eb="4">
      <t>シメイ</t>
    </rPh>
    <phoneticPr fontId="29"/>
  </si>
  <si>
    <t>R001255713</t>
  </si>
  <si>
    <t>R003351145</t>
  </si>
  <si>
    <t>竹尾　理志</t>
  </si>
  <si>
    <t>R001258695</t>
  </si>
  <si>
    <t>赤石　拓翔</t>
  </si>
  <si>
    <t>R003256053</t>
  </si>
  <si>
    <t>R001256129</t>
  </si>
  <si>
    <t>R001263031</t>
  </si>
  <si>
    <t>R010259414</t>
  </si>
  <si>
    <t>R001263040</t>
  </si>
  <si>
    <t>R001263077</t>
  </si>
  <si>
    <t>植田　琉生</t>
  </si>
  <si>
    <t>R007002982</t>
  </si>
  <si>
    <t>R001263110</t>
  </si>
  <si>
    <t>R001256305</t>
  </si>
  <si>
    <t>R010400187</t>
  </si>
  <si>
    <t>R001256314</t>
  </si>
  <si>
    <t>R001263165</t>
  </si>
  <si>
    <t>R008634487</t>
  </si>
  <si>
    <t>R001256402</t>
  </si>
  <si>
    <t>R007003228</t>
  </si>
  <si>
    <t>邑本　一真</t>
  </si>
  <si>
    <t>R001251577</t>
  </si>
  <si>
    <t>R001264580</t>
  </si>
  <si>
    <t>***試合前***</t>
    <rPh sb="3" eb="5">
      <t>シアイ</t>
    </rPh>
    <rPh sb="5" eb="6">
      <t>マエ</t>
    </rPh>
    <phoneticPr fontId="29"/>
  </si>
  <si>
    <t>R001263314</t>
  </si>
  <si>
    <t>後藤　侑大</t>
  </si>
  <si>
    <t>藤原　尚</t>
  </si>
  <si>
    <t>R001256624</t>
  </si>
  <si>
    <t>R001263271</t>
  </si>
  <si>
    <t>R001263369</t>
  </si>
  <si>
    <t>宇髙　篤史</t>
  </si>
  <si>
    <t>R004793764</t>
  </si>
  <si>
    <t>安倍　俊之</t>
  </si>
  <si>
    <t>山田　将来</t>
  </si>
  <si>
    <t>R001263350</t>
  </si>
  <si>
    <t>R010468356</t>
  </si>
  <si>
    <t>R001934616</t>
  </si>
  <si>
    <t>R004714688</t>
  </si>
  <si>
    <t>R003350863</t>
  </si>
  <si>
    <t>R010351368</t>
  </si>
  <si>
    <t>R001264359</t>
  </si>
  <si>
    <t>R006574400</t>
  </si>
  <si>
    <t>合嶋　雄大</t>
  </si>
  <si>
    <t>R002917500</t>
  </si>
  <si>
    <t>小山　純平</t>
  </si>
  <si>
    <t>臼杵・津久見</t>
    <rPh sb="0" eb="2">
      <t>ウスキ</t>
    </rPh>
    <rPh sb="3" eb="6">
      <t>ツクミ</t>
    </rPh>
    <phoneticPr fontId="29"/>
  </si>
  <si>
    <t>R007335136</t>
  </si>
  <si>
    <t>R001263411</t>
  </si>
  <si>
    <t>R001263448</t>
  </si>
  <si>
    <t>R007728512</t>
  </si>
  <si>
    <t>R001263475</t>
  </si>
  <si>
    <t>R008173700</t>
  </si>
  <si>
    <t>R007959936</t>
  </si>
  <si>
    <t>R010546271</t>
  </si>
  <si>
    <t>R010396525</t>
  </si>
  <si>
    <t>R008634715</t>
  </si>
  <si>
    <t>R006849182</t>
  </si>
  <si>
    <t>R001263590</t>
  </si>
  <si>
    <t>R006123774</t>
  </si>
  <si>
    <t>R001263606</t>
  </si>
  <si>
    <t>R001265419</t>
  </si>
  <si>
    <t>R001257641</t>
  </si>
  <si>
    <t>加藤　悠汰</t>
  </si>
  <si>
    <t>R001263633</t>
  </si>
  <si>
    <t>R005603282</t>
  </si>
  <si>
    <t>R003258477</t>
  </si>
  <si>
    <t>R004793834</t>
  </si>
  <si>
    <t>R008515571</t>
  </si>
  <si>
    <t>ＦＣ中津ジュニア</t>
  </si>
  <si>
    <t>R007003024</t>
  </si>
  <si>
    <t>R002530860</t>
  </si>
  <si>
    <t>R003972665</t>
  </si>
  <si>
    <t>鈴木　史朗</t>
  </si>
  <si>
    <t>R008798013</t>
  </si>
  <si>
    <t>R000896665</t>
  </si>
  <si>
    <t>R005164613</t>
  </si>
  <si>
    <t>R001263688</t>
  </si>
  <si>
    <t>R001263998</t>
  </si>
  <si>
    <t>R001263819</t>
  </si>
  <si>
    <t>⑤
14:00～</t>
  </si>
  <si>
    <t>R005987120</t>
  </si>
  <si>
    <t>R001263846</t>
  </si>
  <si>
    <t>R001263837</t>
  </si>
  <si>
    <t>福田　知行</t>
  </si>
  <si>
    <t>大塚　紀彰</t>
  </si>
  <si>
    <t>R010214604</t>
  </si>
  <si>
    <t>R006220484</t>
  </si>
  <si>
    <t>藤戸　瑛太</t>
  </si>
  <si>
    <t>R007754243</t>
  </si>
  <si>
    <t>R009554780</t>
  </si>
  <si>
    <t>R008627043</t>
  </si>
  <si>
    <t>R001258394</t>
  </si>
  <si>
    <t>R010599591</t>
  </si>
  <si>
    <t>R007728503</t>
  </si>
  <si>
    <t>R005164677</t>
  </si>
  <si>
    <t>R006125772</t>
  </si>
  <si>
    <t>R001254990</t>
  </si>
  <si>
    <t>R004793579</t>
  </si>
  <si>
    <t>R002996677</t>
  </si>
  <si>
    <t>園田　純直</t>
  </si>
  <si>
    <t>R001264003</t>
  </si>
  <si>
    <t>R001264012</t>
  </si>
  <si>
    <t>R001264049</t>
  </si>
  <si>
    <t>負</t>
    <rPh sb="0" eb="1">
      <t>マ</t>
    </rPh>
    <phoneticPr fontId="29"/>
  </si>
  <si>
    <t>R004226749</t>
  </si>
  <si>
    <t>R008174365</t>
  </si>
  <si>
    <t>R004111340</t>
  </si>
  <si>
    <t>R002848671</t>
  </si>
  <si>
    <t>R001258701</t>
  </si>
  <si>
    <t>R001258738</t>
  </si>
  <si>
    <t>R002917722</t>
  </si>
  <si>
    <t>中島　亮太</t>
  </si>
  <si>
    <t>R001260557</t>
  </si>
  <si>
    <t>藤原　迅</t>
  </si>
  <si>
    <t>R001264809</t>
  </si>
  <si>
    <t>R003421310</t>
  </si>
  <si>
    <t>R010189261</t>
  </si>
  <si>
    <t>R001264182</t>
  </si>
  <si>
    <t>R001258871</t>
  </si>
  <si>
    <t>R010448918</t>
  </si>
  <si>
    <t>R001264128</t>
  </si>
  <si>
    <t>R007334924</t>
  </si>
  <si>
    <t>河野　悠亜</t>
  </si>
  <si>
    <t>R001264252</t>
  </si>
  <si>
    <t>R001252017</t>
  </si>
  <si>
    <t>R006221094</t>
  </si>
  <si>
    <t>R007003413</t>
  </si>
  <si>
    <t>明野北フットボールクラブ</t>
  </si>
  <si>
    <t>鹿内　克彦</t>
  </si>
  <si>
    <t>R001260070</t>
  </si>
  <si>
    <t>村中　俊太</t>
  </si>
  <si>
    <t>R005528307</t>
  </si>
  <si>
    <t>R007003501</t>
  </si>
  <si>
    <t>R001264401</t>
  </si>
  <si>
    <t>廣瀬　文明</t>
  </si>
  <si>
    <t>R004386120</t>
  </si>
  <si>
    <t>R001264410</t>
  </si>
  <si>
    <t>R007753819</t>
  </si>
  <si>
    <t>R003421772</t>
  </si>
  <si>
    <t>R004060189</t>
  </si>
  <si>
    <t>R001264508</t>
  </si>
  <si>
    <t>廣池　優楽</t>
  </si>
  <si>
    <t>R001264544</t>
  </si>
  <si>
    <t>R007002733</t>
  </si>
  <si>
    <t>勝点</t>
    <rPh sb="0" eb="1">
      <t>カ</t>
    </rPh>
    <rPh sb="1" eb="2">
      <t>テン</t>
    </rPh>
    <phoneticPr fontId="29"/>
  </si>
  <si>
    <t>R004793816</t>
  </si>
  <si>
    <t>R009408737</t>
  </si>
  <si>
    <t>R005405699</t>
  </si>
  <si>
    <t>R001264669</t>
  </si>
  <si>
    <t>R004112057</t>
  </si>
  <si>
    <t>川瀬　晴斗</t>
  </si>
  <si>
    <t>R008797953</t>
  </si>
  <si>
    <t>R001264687</t>
  </si>
  <si>
    <t>但馬　廉</t>
  </si>
  <si>
    <t>R004385495</t>
  </si>
  <si>
    <t>R010067951</t>
  </si>
  <si>
    <t>R010281814</t>
  </si>
  <si>
    <t>R001265118</t>
  </si>
  <si>
    <t>R010027876</t>
  </si>
  <si>
    <t>R003350854</t>
  </si>
  <si>
    <t>岩尾　瑞貴</t>
  </si>
  <si>
    <t>R010538381</t>
  </si>
  <si>
    <t>矢﨑　年勝</t>
  </si>
  <si>
    <t>兒玉　龍樹</t>
  </si>
  <si>
    <t>R006147145</t>
  </si>
  <si>
    <t>石本　侑己</t>
  </si>
  <si>
    <t>R004111562</t>
  </si>
  <si>
    <t>R001252293</t>
  </si>
  <si>
    <t>R005164358</t>
  </si>
  <si>
    <t>時松　蒼茉</t>
  </si>
  <si>
    <t>R006664855</t>
  </si>
  <si>
    <t>R001258880</t>
  </si>
  <si>
    <t>江隈　涼星</t>
  </si>
  <si>
    <t>R003351093</t>
  </si>
  <si>
    <t>清原　勇二</t>
  </si>
  <si>
    <t>R006093817</t>
  </si>
  <si>
    <t>R001264836</t>
  </si>
  <si>
    <t>R003972443</t>
  </si>
  <si>
    <t>R001261778</t>
  </si>
  <si>
    <t>R001262111</t>
  </si>
  <si>
    <t>R007729070</t>
  </si>
  <si>
    <t>R001264890</t>
  </si>
  <si>
    <t>R008174028</t>
  </si>
  <si>
    <t>R005603884</t>
  </si>
  <si>
    <t>R010069871</t>
  </si>
  <si>
    <t>R009430268</t>
  </si>
  <si>
    <t>R005528130</t>
  </si>
  <si>
    <t>R010448235</t>
  </si>
  <si>
    <t>R007959103</t>
  </si>
  <si>
    <t>R007002715</t>
  </si>
  <si>
    <t>R008634229</t>
  </si>
  <si>
    <t>R010013254</t>
  </si>
  <si>
    <t>R005528060</t>
  </si>
  <si>
    <t>安藤　暢</t>
  </si>
  <si>
    <t>R001253584</t>
  </si>
  <si>
    <t>R010189259</t>
  </si>
  <si>
    <t>石川　裕明</t>
  </si>
  <si>
    <t>R004714712</t>
  </si>
  <si>
    <t>交代は、ボールがインプレー中、アウトオブプレー中にかかわらず行うことができ、チームの指導者、もしくは選手は「第4審」に交代選手の番号を口頭で報告し、用具チェックを受けた後、交代ゾーンから行う。ただし、交代で退く競技者が負傷している場合は、主審の承認を得た上でどこからフィールドを離れてもよい。また、ゴールキーパーが交代する場合はアウトプレー時に主審を通じ行う。</t>
  </si>
  <si>
    <t>R008536972</t>
  </si>
  <si>
    <t>R006093835</t>
  </si>
  <si>
    <t>R010007837</t>
  </si>
  <si>
    <t>板井　裕樹</t>
  </si>
  <si>
    <t>R007090808</t>
  </si>
  <si>
    <t>別府③</t>
    <rPh sb="0" eb="2">
      <t>ベップ</t>
    </rPh>
    <phoneticPr fontId="29"/>
  </si>
  <si>
    <t>園田　蓮</t>
  </si>
  <si>
    <t>須藤　聡</t>
  </si>
  <si>
    <t>R001254185</t>
  </si>
  <si>
    <t>岩﨑　嘉人</t>
  </si>
  <si>
    <t>R010415910</t>
  </si>
  <si>
    <t>R010240538</t>
  </si>
  <si>
    <t>R008480956</t>
  </si>
  <si>
    <t>女子</t>
    <rPh sb="0" eb="2">
      <t>ジョシ</t>
    </rPh>
    <phoneticPr fontId="29"/>
  </si>
  <si>
    <t>R008797944</t>
  </si>
  <si>
    <t>R010123024</t>
  </si>
  <si>
    <t>R001256244</t>
  </si>
  <si>
    <t>R010099454</t>
  </si>
  <si>
    <t>交代要員の選手は、両チームのユニおよび審判のユニと明確に異なる色の着衣（ビブス等）を身につけること。</t>
  </si>
  <si>
    <t>R001254431</t>
  </si>
  <si>
    <t>内田　真悟</t>
  </si>
  <si>
    <t>R010002119</t>
  </si>
  <si>
    <t>２次リーグ</t>
    <rPh sb="1" eb="2">
      <t>ジ</t>
    </rPh>
    <phoneticPr fontId="29"/>
  </si>
  <si>
    <t>R007090941</t>
  </si>
  <si>
    <t>R007959796</t>
  </si>
  <si>
    <t>R003350881</t>
  </si>
  <si>
    <t>R005430163</t>
  </si>
  <si>
    <t>R003421912</t>
  </si>
  <si>
    <t>佐藤　大夢</t>
  </si>
  <si>
    <t>R005987412</t>
  </si>
  <si>
    <t>R010501305</t>
  </si>
  <si>
    <t>首藤　舞空</t>
  </si>
  <si>
    <t>藤野　聖也</t>
  </si>
  <si>
    <t>R005603200</t>
  </si>
  <si>
    <t>R006901570</t>
  </si>
  <si>
    <t>時間：</t>
    <rPh sb="0" eb="2">
      <t>ジカン</t>
    </rPh>
    <phoneticPr fontId="29"/>
  </si>
  <si>
    <t>R009546064</t>
  </si>
  <si>
    <t>R006901589</t>
  </si>
  <si>
    <t>桐村　虎夢</t>
  </si>
  <si>
    <t>R005987388</t>
  </si>
  <si>
    <t>R005987397</t>
  </si>
  <si>
    <t>R009545913</t>
  </si>
  <si>
    <t>南立石サッカースポーツ少年団</t>
  </si>
  <si>
    <t>R010354651</t>
  </si>
  <si>
    <t>R007959608</t>
  </si>
  <si>
    <t>R010581157</t>
  </si>
  <si>
    <t>R002917476</t>
  </si>
  <si>
    <t>R006220606</t>
  </si>
  <si>
    <t>R005405264</t>
  </si>
  <si>
    <t>山本　耕平</t>
  </si>
  <si>
    <t>R008798147</t>
  </si>
  <si>
    <t>R001256031</t>
  </si>
  <si>
    <t>R001256068</t>
  </si>
  <si>
    <t>R009546116</t>
  </si>
  <si>
    <t>R001256253</t>
  </si>
  <si>
    <t>R010027820</t>
  </si>
  <si>
    <t>久保山　崇</t>
  </si>
  <si>
    <t>R001256387</t>
  </si>
  <si>
    <t>R001255670</t>
  </si>
  <si>
    <t>R006574206</t>
  </si>
  <si>
    <t>R010396526</t>
  </si>
  <si>
    <t>R009546091</t>
  </si>
  <si>
    <t>R001256572</t>
  </si>
  <si>
    <t>R001256590</t>
  </si>
  <si>
    <t>佐藤　祐輔</t>
  </si>
  <si>
    <t>R001256554</t>
  </si>
  <si>
    <t>R010071981</t>
  </si>
  <si>
    <t>R008173746</t>
  </si>
  <si>
    <t>R001257085</t>
  </si>
  <si>
    <t>R010542169</t>
  </si>
  <si>
    <t>R008634706</t>
  </si>
  <si>
    <t>藤原　翔大</t>
  </si>
  <si>
    <t>R001257137</t>
  </si>
  <si>
    <t>R006664615</t>
  </si>
  <si>
    <t>R010583775</t>
  </si>
  <si>
    <t>R009552560</t>
  </si>
  <si>
    <t>R005603291</t>
  </si>
  <si>
    <t>R009547124</t>
  </si>
  <si>
    <t>R008643838</t>
  </si>
  <si>
    <t>R007002645</t>
  </si>
  <si>
    <t>R009460533</t>
  </si>
  <si>
    <t>白江　直樹</t>
  </si>
  <si>
    <t>R009198335</t>
  </si>
  <si>
    <t>R008798004</t>
  </si>
  <si>
    <t>R010445840</t>
  </si>
  <si>
    <t>R008798369</t>
  </si>
  <si>
    <t>清家　大介</t>
  </si>
  <si>
    <t>R005987430</t>
  </si>
  <si>
    <t>R010468354</t>
  </si>
  <si>
    <t>碩田サッカースポーツ少年団</t>
  </si>
  <si>
    <t>R010052667</t>
  </si>
  <si>
    <t>R002917412</t>
  </si>
  <si>
    <t>R001257942</t>
  </si>
  <si>
    <t>岡本　英明</t>
  </si>
  <si>
    <t>リノスフットボールクラブ　Ｕ－１２</t>
  </si>
  <si>
    <t>R003972489</t>
  </si>
  <si>
    <t>R004371818</t>
  </si>
  <si>
    <t>R008626770</t>
  </si>
  <si>
    <t>R009430578</t>
  </si>
  <si>
    <t>山本　和真</t>
  </si>
  <si>
    <t>R008798484</t>
  </si>
  <si>
    <t>R001251753</t>
  </si>
  <si>
    <t>R001258613</t>
  </si>
  <si>
    <t>R001258686</t>
  </si>
  <si>
    <t>R003421170</t>
  </si>
  <si>
    <t>R002530329</t>
  </si>
  <si>
    <t>R001259038</t>
  </si>
  <si>
    <t>吉田　桃花</t>
  </si>
  <si>
    <t>R006148515</t>
  </si>
  <si>
    <t>R006574394</t>
  </si>
  <si>
    <t>R008174338</t>
  </si>
  <si>
    <t>R003316948</t>
  </si>
  <si>
    <t>R009197585</t>
  </si>
  <si>
    <t>佐藤　煌星</t>
  </si>
  <si>
    <t>R001251911</t>
  </si>
  <si>
    <t>中村　友海</t>
  </si>
  <si>
    <t>松本　凌茉</t>
  </si>
  <si>
    <t>後藤　凪海</t>
  </si>
  <si>
    <t>（9）</t>
  </si>
  <si>
    <t>R005164941</t>
  </si>
  <si>
    <t>ユニフォームの色の決定</t>
  </si>
  <si>
    <t>R008798253</t>
  </si>
  <si>
    <t>R001251957</t>
  </si>
  <si>
    <t>R004055664</t>
  </si>
  <si>
    <t>安藤　和樹</t>
  </si>
  <si>
    <t>R002917333</t>
  </si>
  <si>
    <t>R005527830</t>
  </si>
  <si>
    <t>R006125736</t>
  </si>
  <si>
    <t>R006544278</t>
  </si>
  <si>
    <t>R010281827</t>
  </si>
  <si>
    <t>R008797962</t>
  </si>
  <si>
    <t>R003421116</t>
  </si>
  <si>
    <t>R001259579</t>
  </si>
  <si>
    <t>R006221100</t>
  </si>
  <si>
    <t>R010067952</t>
  </si>
  <si>
    <t>馬場　晴大</t>
  </si>
  <si>
    <t>R010027875</t>
  </si>
  <si>
    <t>姫野　太輔</t>
  </si>
  <si>
    <t>R007002991</t>
  </si>
  <si>
    <t>＜時間割＞　①10:00～　②11:00～　③12:00～　④13:00～　⑤14:00～　⑥15:00～</t>
    <rPh sb="1" eb="4">
      <t>ジカンワリ</t>
    </rPh>
    <phoneticPr fontId="29"/>
  </si>
  <si>
    <t>R003972513</t>
  </si>
  <si>
    <t>足立　陸</t>
  </si>
  <si>
    <t>＜２次リーグ組み合わせ・結果＞</t>
    <rPh sb="2" eb="3">
      <t>ジ</t>
    </rPh>
    <rPh sb="6" eb="7">
      <t>ク</t>
    </rPh>
    <rPh sb="8" eb="9">
      <t>ア</t>
    </rPh>
    <rPh sb="12" eb="14">
      <t>ケッカ</t>
    </rPh>
    <phoneticPr fontId="29"/>
  </si>
  <si>
    <t>安東　龍秀</t>
  </si>
  <si>
    <t>R010538388</t>
  </si>
  <si>
    <t>ＦＣアリアーレ</t>
  </si>
  <si>
    <t>重光　日向</t>
  </si>
  <si>
    <t>R009408825</t>
  </si>
  <si>
    <t>R003351233</t>
  </si>
  <si>
    <t>R010214576</t>
  </si>
  <si>
    <t>藤原　佑史朗</t>
  </si>
  <si>
    <t>R010056105</t>
  </si>
  <si>
    <t>R005528097</t>
  </si>
  <si>
    <t>R007959723</t>
  </si>
  <si>
    <t>森岡サッカースポーツ少年団</t>
  </si>
  <si>
    <t>R004714970</t>
  </si>
  <si>
    <t>R008634283</t>
  </si>
  <si>
    <t>R006932437</t>
  </si>
  <si>
    <t>R004060374</t>
  </si>
  <si>
    <t>御手洗　佑太</t>
  </si>
  <si>
    <t>R008797908</t>
  </si>
  <si>
    <t>R010159150</t>
  </si>
  <si>
    <t>R003421684</t>
  </si>
  <si>
    <t>R010396506</t>
  </si>
  <si>
    <t>森　隆嗣</t>
  </si>
  <si>
    <t>R007002779</t>
  </si>
  <si>
    <t>R010240580</t>
  </si>
  <si>
    <t>競技関連事項</t>
  </si>
  <si>
    <t>山﨑　爽暉</t>
  </si>
  <si>
    <t>R010542187</t>
  </si>
  <si>
    <t>加藤　拓己</t>
  </si>
  <si>
    <t>選手名漢字</t>
  </si>
  <si>
    <t>R008626886</t>
  </si>
  <si>
    <t>R005603875</t>
  </si>
  <si>
    <t>R003421480</t>
  </si>
  <si>
    <t>R001261918</t>
  </si>
  <si>
    <t>R001261936</t>
  </si>
  <si>
    <t>R001261972</t>
  </si>
  <si>
    <t>上野　海翔</t>
  </si>
  <si>
    <t>２次リーグ結果　報告用紙</t>
  </si>
  <si>
    <t>R010350226</t>
  </si>
  <si>
    <t>抽選会</t>
    <rPh sb="0" eb="3">
      <t>チュウセンカイ</t>
    </rPh>
    <phoneticPr fontId="29"/>
  </si>
  <si>
    <t>得点</t>
    <rPh sb="0" eb="2">
      <t>トクテン</t>
    </rPh>
    <phoneticPr fontId="29"/>
  </si>
  <si>
    <t>失点</t>
    <rPh sb="0" eb="2">
      <t>シッテン</t>
    </rPh>
    <phoneticPr fontId="29"/>
  </si>
  <si>
    <t>AR2:</t>
  </si>
  <si>
    <t>4th:</t>
  </si>
  <si>
    <t>R010448931</t>
  </si>
  <si>
    <t>得失点</t>
    <rPh sb="0" eb="3">
      <t>トクシッテン</t>
    </rPh>
    <phoneticPr fontId="29"/>
  </si>
  <si>
    <t>―</t>
  </si>
  <si>
    <t>R010465611</t>
  </si>
  <si>
    <t>勝点表</t>
  </si>
  <si>
    <t>平石　祥梧</t>
  </si>
  <si>
    <t>△</t>
  </si>
  <si>
    <t>●</t>
  </si>
  <si>
    <t>首藤　貴志</t>
  </si>
  <si>
    <t>④
13:00～</t>
  </si>
  <si>
    <t>R010080607</t>
  </si>
  <si>
    <t>野田　晶生</t>
  </si>
  <si>
    <t>吉川　美里</t>
  </si>
  <si>
    <t>大分トリニータＵ－１２</t>
  </si>
  <si>
    <t>中津豊南ＦＣ</t>
  </si>
  <si>
    <t>明治北ＳＳＣ</t>
  </si>
  <si>
    <t>東陽フットボールクラブ</t>
  </si>
  <si>
    <t>木村　翔瑛</t>
  </si>
  <si>
    <t>隅田　渚斗</t>
  </si>
  <si>
    <t>中原　丈聖</t>
  </si>
  <si>
    <t>森永　和彦</t>
  </si>
  <si>
    <t>小野　龍之介</t>
  </si>
  <si>
    <t>矢治　弘志郎</t>
  </si>
  <si>
    <t>チームベンチへの人数</t>
  </si>
  <si>
    <t>アトレチコエラン横瀬</t>
  </si>
  <si>
    <t>安藤　洋一</t>
  </si>
  <si>
    <t>福岡県</t>
  </si>
  <si>
    <t>R010090347</t>
  </si>
  <si>
    <t>R010093443</t>
  </si>
  <si>
    <t>内山田　光史</t>
  </si>
  <si>
    <t>R010099455</t>
  </si>
  <si>
    <t>糟谷　浩志</t>
  </si>
  <si>
    <t>宮田　繁輝</t>
  </si>
  <si>
    <t>山﨑　典保</t>
  </si>
  <si>
    <t>ウォーミングアップ</t>
  </si>
  <si>
    <t>R010093439</t>
  </si>
  <si>
    <t>阿部　和明</t>
  </si>
  <si>
    <t>中島　佑介</t>
  </si>
  <si>
    <t>釘宮　央</t>
  </si>
  <si>
    <t>R010093456</t>
  </si>
  <si>
    <t>土屋　諒悟</t>
  </si>
  <si>
    <t>R010096810</t>
  </si>
  <si>
    <t>佐伯　正一</t>
  </si>
  <si>
    <t>上本　慎一郎</t>
  </si>
  <si>
    <t>R010120124</t>
  </si>
  <si>
    <t>R010100691</t>
  </si>
  <si>
    <t>浦本　雅志</t>
  </si>
  <si>
    <t>R010120137</t>
  </si>
  <si>
    <t>（5）</t>
  </si>
  <si>
    <t>水城　莉緒斗</t>
  </si>
  <si>
    <t>江上　智啓</t>
  </si>
  <si>
    <t>PK
勝</t>
    <rPh sb="3" eb="4">
      <t>カチ</t>
    </rPh>
    <phoneticPr fontId="29"/>
  </si>
  <si>
    <t>R010167737</t>
  </si>
  <si>
    <t>ユニフォームのデザイン、ロゴ等が異なっていても、本競技会主催者が認める場合、主たる色が同系色であれば着用することができる。</t>
  </si>
  <si>
    <t>大本　敏行</t>
  </si>
  <si>
    <t>R010083849</t>
  </si>
  <si>
    <t>岡田　幸太郎</t>
  </si>
  <si>
    <t>奥村　浩勝</t>
  </si>
  <si>
    <t>R010099447</t>
  </si>
  <si>
    <t>小野　裕希</t>
  </si>
  <si>
    <t>平井　喜暁</t>
  </si>
  <si>
    <t>R010538382</t>
  </si>
  <si>
    <t>R010100673</t>
  </si>
  <si>
    <t>小野　裕司</t>
  </si>
  <si>
    <t>R010120174</t>
  </si>
  <si>
    <t>梶原　規史</t>
  </si>
  <si>
    <t>角谷　直樹</t>
  </si>
  <si>
    <t>R010083877</t>
  </si>
  <si>
    <t>工藤　大和</t>
  </si>
  <si>
    <t>R010162996</t>
  </si>
  <si>
    <t>有田　遍</t>
  </si>
  <si>
    <t>R010096809</t>
  </si>
  <si>
    <t>小越　憲太郎</t>
  </si>
  <si>
    <t>R010214582</t>
  </si>
  <si>
    <t>R010169042</t>
  </si>
  <si>
    <t>後藤　芳健</t>
  </si>
  <si>
    <t>上村　叶多</t>
  </si>
  <si>
    <t>菅田　和真</t>
  </si>
  <si>
    <t>（15）</t>
  </si>
  <si>
    <t>田尻　貴志</t>
  </si>
  <si>
    <t>R010093455</t>
  </si>
  <si>
    <t>R010120117</t>
  </si>
  <si>
    <t>R010167725</t>
  </si>
  <si>
    <t>渡辺　敢太</t>
  </si>
  <si>
    <t>R010093499</t>
  </si>
  <si>
    <t>R010100678</t>
  </si>
  <si>
    <t>友松　誠二</t>
  </si>
  <si>
    <t>R010168000</t>
  </si>
  <si>
    <t>R010209402</t>
  </si>
  <si>
    <t>仲　恭平</t>
  </si>
  <si>
    <t>R010214529</t>
  </si>
  <si>
    <t>R010093448</t>
  </si>
  <si>
    <t>中野　智博</t>
  </si>
  <si>
    <t>川野　羚準</t>
  </si>
  <si>
    <t>二宮　慎太郎</t>
  </si>
  <si>
    <t>二宮　大作</t>
  </si>
  <si>
    <t>徳光　将太</t>
  </si>
  <si>
    <t>R010167733</t>
  </si>
  <si>
    <t>原　大貴</t>
  </si>
  <si>
    <t>深見　精二</t>
  </si>
  <si>
    <t>R010214583</t>
  </si>
  <si>
    <t>R010127606</t>
  </si>
  <si>
    <t>R010093445</t>
  </si>
  <si>
    <t>R010120131</t>
  </si>
  <si>
    <t>宮本　陸光</t>
  </si>
  <si>
    <t>秋月　来望</t>
  </si>
  <si>
    <t>R010162992</t>
  </si>
  <si>
    <t>村山　武志</t>
  </si>
  <si>
    <t>R010113537</t>
  </si>
  <si>
    <t>芋岡　翼</t>
  </si>
  <si>
    <t>渡邉　鷹也</t>
  </si>
  <si>
    <t>瀧水　蓮太郎</t>
  </si>
  <si>
    <t>所属協会</t>
  </si>
  <si>
    <t>大分県</t>
  </si>
  <si>
    <t>速杵国東</t>
    <rPh sb="0" eb="1">
      <t>ハヤ</t>
    </rPh>
    <rPh sb="1" eb="2">
      <t>キネ</t>
    </rPh>
    <rPh sb="2" eb="4">
      <t>クニサキ</t>
    </rPh>
    <phoneticPr fontId="29"/>
  </si>
  <si>
    <t>清末　智暉</t>
  </si>
  <si>
    <t>Ⅰ勝点（勝３点　ＰＫ勝２点　ＰＫ負１点　負０点）　Ⅱ当該チームの戦績　Ⅲ得失点差　Ⅳ多得点　Ⅴ抽選の順で順位を決定する。</t>
    <rPh sb="10" eb="11">
      <t>カチ</t>
    </rPh>
    <rPh sb="12" eb="13">
      <t>テン</t>
    </rPh>
    <rPh sb="16" eb="17">
      <t>マ</t>
    </rPh>
    <phoneticPr fontId="29"/>
  </si>
  <si>
    <t>▲</t>
  </si>
  <si>
    <t>総
順位</t>
    <rPh sb="0" eb="1">
      <t>ソウ</t>
    </rPh>
    <rPh sb="2" eb="4">
      <t>ジュンイ</t>
    </rPh>
    <phoneticPr fontId="29"/>
  </si>
  <si>
    <t>№</t>
  </si>
  <si>
    <t>幸　大翔</t>
  </si>
  <si>
    <t>ふりがな</t>
  </si>
  <si>
    <t>後藤　健伍</t>
  </si>
  <si>
    <t>亀野　佑輝</t>
  </si>
  <si>
    <t>ウェルフェアオフィサー</t>
  </si>
  <si>
    <t>その他</t>
    <rPh sb="2" eb="3">
      <t>タ</t>
    </rPh>
    <phoneticPr fontId="29"/>
  </si>
  <si>
    <t>速杵国東</t>
    <rPh sb="0" eb="1">
      <t>ソク</t>
    </rPh>
    <rPh sb="1" eb="2">
      <t>キネ</t>
    </rPh>
    <rPh sb="2" eb="4">
      <t>クニサキ</t>
    </rPh>
    <phoneticPr fontId="29"/>
  </si>
  <si>
    <t>-</t>
  </si>
  <si>
    <t>大道サッカースポーツ少年団</t>
  </si>
  <si>
    <t>弥生少年サッカークラブ</t>
  </si>
  <si>
    <t>ＦＣ大野</t>
  </si>
  <si>
    <t>R010444486</t>
  </si>
  <si>
    <t>青松　琉</t>
  </si>
  <si>
    <t>矢野　虎乃介</t>
  </si>
  <si>
    <t>小野　祥弘</t>
  </si>
  <si>
    <t>奥田　翔太</t>
  </si>
  <si>
    <t>松原　唯衣</t>
  </si>
  <si>
    <t>小野　奏音</t>
  </si>
  <si>
    <t>中村　海晴</t>
  </si>
  <si>
    <t>新納　奏太</t>
  </si>
  <si>
    <t>***試合中***</t>
    <rPh sb="3" eb="6">
      <t>シアイチュウ</t>
    </rPh>
    <phoneticPr fontId="29"/>
  </si>
  <si>
    <t>青松　来樹</t>
  </si>
  <si>
    <t>楠元　和馬</t>
  </si>
  <si>
    <t>切封　心花</t>
  </si>
  <si>
    <t>R010432642</t>
  </si>
  <si>
    <t>※　会場責任者の指示に従うこと！</t>
    <rPh sb="2" eb="4">
      <t>カイジョウ</t>
    </rPh>
    <rPh sb="4" eb="7">
      <t>セキニンシャ</t>
    </rPh>
    <rPh sb="8" eb="10">
      <t>シジ</t>
    </rPh>
    <rPh sb="11" eb="12">
      <t>シタガ</t>
    </rPh>
    <phoneticPr fontId="29"/>
  </si>
  <si>
    <t>組み合わせ</t>
  </si>
  <si>
    <t>ＦＣ　ＵＮＩＴＥ</t>
  </si>
  <si>
    <t>赤山　千晶</t>
  </si>
  <si>
    <t>R010189040</t>
  </si>
  <si>
    <t>R010189323</t>
  </si>
  <si>
    <t>安部　孝之</t>
  </si>
  <si>
    <t>戒田　直樹</t>
  </si>
  <si>
    <t>R004055585</t>
  </si>
  <si>
    <t>梶原　賢士</t>
  </si>
  <si>
    <t>R010240533</t>
  </si>
  <si>
    <t>R010189296</t>
  </si>
  <si>
    <t>R010262588</t>
  </si>
  <si>
    <t>川野　真司</t>
  </si>
  <si>
    <t>R010189294</t>
  </si>
  <si>
    <t>赤木　修二</t>
  </si>
  <si>
    <t>森　凛人</t>
  </si>
  <si>
    <t>R010189314</t>
  </si>
  <si>
    <t>河村　陽平</t>
  </si>
  <si>
    <t>鶴見少年サッカークラブ</t>
  </si>
  <si>
    <t>穴井　大地</t>
  </si>
  <si>
    <t>R010281799</t>
  </si>
  <si>
    <t>R010189318</t>
  </si>
  <si>
    <t>池邉　晋</t>
  </si>
  <si>
    <t>佐藤　泰喜</t>
  </si>
  <si>
    <t>R010189278</t>
  </si>
  <si>
    <t>一丸　顕範</t>
  </si>
  <si>
    <t>R010552551</t>
  </si>
  <si>
    <t>R010444497</t>
  </si>
  <si>
    <t>小林　年晴</t>
  </si>
  <si>
    <t>R010214557</t>
  </si>
  <si>
    <t>岩田　和真</t>
  </si>
  <si>
    <t>伊東　健太郎</t>
  </si>
  <si>
    <t>R010600675</t>
  </si>
  <si>
    <t>四日市南ＳＳＣ</t>
  </si>
  <si>
    <t>R010243651</t>
  </si>
  <si>
    <t>岩永　和馬</t>
  </si>
  <si>
    <t>工藤　遼一</t>
  </si>
  <si>
    <t>R010193702</t>
  </si>
  <si>
    <t>梅徳　里一</t>
  </si>
  <si>
    <t>大嶋　伊織</t>
  </si>
  <si>
    <t>R010599610</t>
  </si>
  <si>
    <t>岡　正一郎</t>
  </si>
  <si>
    <t>R010189264</t>
  </si>
  <si>
    <t>R010189260</t>
  </si>
  <si>
    <t>後藤　睦希</t>
  </si>
  <si>
    <t>R010214467</t>
  </si>
  <si>
    <t>高田　侑弥</t>
  </si>
  <si>
    <t>指原　健太郎</t>
  </si>
  <si>
    <t>R010189342</t>
  </si>
  <si>
    <t>R010261482</t>
  </si>
  <si>
    <t>R010256872</t>
  </si>
  <si>
    <t>R010579139</t>
  </si>
  <si>
    <t>鴨川　奨</t>
  </si>
  <si>
    <t>R010593961</t>
  </si>
  <si>
    <t>川畑　拓人</t>
  </si>
  <si>
    <t>三浦　蒼羽</t>
  </si>
  <si>
    <t>R010214584</t>
  </si>
  <si>
    <t>吉原　大翔</t>
  </si>
  <si>
    <t>木津　春歌</t>
  </si>
  <si>
    <t>R010261616</t>
  </si>
  <si>
    <t>窪田　雅一</t>
  </si>
  <si>
    <t>上野　壮琉</t>
  </si>
  <si>
    <t>R010255153</t>
  </si>
  <si>
    <t>神志那　公市</t>
  </si>
  <si>
    <t>R010214543</t>
  </si>
  <si>
    <t>R010432619</t>
  </si>
  <si>
    <t>2次リーグ</t>
    <rPh sb="1" eb="2">
      <t>ジ</t>
    </rPh>
    <phoneticPr fontId="29"/>
  </si>
  <si>
    <t>後藤　健文</t>
  </si>
  <si>
    <t>岩丸　陽斗</t>
  </si>
  <si>
    <t>R010189039</t>
  </si>
  <si>
    <t>和田　行祐</t>
  </si>
  <si>
    <t>目　匡弘</t>
  </si>
  <si>
    <t>R010189325</t>
  </si>
  <si>
    <t>和田　優作</t>
  </si>
  <si>
    <t>佐藤　遥哉</t>
  </si>
  <si>
    <t>R010351378</t>
  </si>
  <si>
    <t>R010189269</t>
  </si>
  <si>
    <t>佐藤　寛季</t>
  </si>
  <si>
    <t>R010281830</t>
  </si>
  <si>
    <t>柴田　峻佑</t>
  </si>
  <si>
    <t>R010189345</t>
  </si>
  <si>
    <t>R010214548</t>
  </si>
  <si>
    <t>鈴木　公大</t>
  </si>
  <si>
    <t>R010214540</t>
  </si>
  <si>
    <t>梶原　凌</t>
  </si>
  <si>
    <t>R010247795</t>
  </si>
  <si>
    <t>曽我　彩夏</t>
  </si>
  <si>
    <t>（8）</t>
  </si>
  <si>
    <t>豊府サッカースポーツ少年団</t>
  </si>
  <si>
    <t>高原　悠太</t>
  </si>
  <si>
    <t>R010255176</t>
  </si>
  <si>
    <t>R010259424</t>
  </si>
  <si>
    <t>R010581176</t>
  </si>
  <si>
    <t>桃田　偉吹</t>
  </si>
  <si>
    <t>園田　湊斗</t>
  </si>
  <si>
    <t>R010599602</t>
  </si>
  <si>
    <t>R010189300</t>
  </si>
  <si>
    <t xml:space="preserve">選手への厳しい叱責や体罰等があったと認められ，主審から一度注意を受けた後に再度同様な行為があった場合は，主審の判断により退席処分とし，それ以降はベンチからのコーチングを不可とする。それ以降の試合については，規律・フェアプレー委員会において協議し，処分することもある。
</t>
  </si>
  <si>
    <t>R010248583</t>
  </si>
  <si>
    <t>中野　翔梧</t>
  </si>
  <si>
    <t>永松　和寿</t>
  </si>
  <si>
    <t>ようこくバンビーレＦＣ</t>
  </si>
  <si>
    <t>長山　祐介</t>
  </si>
  <si>
    <t>二宮　慶太</t>
  </si>
  <si>
    <t>飲水タイムをとる場合は、「その他の理由」により空費された時間として追加する。</t>
    <rPh sb="0" eb="1">
      <t>イン</t>
    </rPh>
    <rPh sb="1" eb="2">
      <t>スイ</t>
    </rPh>
    <rPh sb="8" eb="10">
      <t>バアイ</t>
    </rPh>
    <phoneticPr fontId="29"/>
  </si>
  <si>
    <t>R010214556</t>
  </si>
  <si>
    <t>野中　裕介</t>
  </si>
  <si>
    <t>R010376292</t>
  </si>
  <si>
    <t>原田　裕規</t>
  </si>
  <si>
    <t>R010243665</t>
  </si>
  <si>
    <t>仲野　雅貴</t>
  </si>
  <si>
    <t>R010352999</t>
  </si>
  <si>
    <t>姫野　青空</t>
  </si>
  <si>
    <t>R010189272</t>
  </si>
  <si>
    <t>亀山　泰雅</t>
  </si>
  <si>
    <t>佐藤　守</t>
  </si>
  <si>
    <t>R010214568</t>
  </si>
  <si>
    <t>藤井　俊輔</t>
  </si>
  <si>
    <t>藤本　宏平</t>
  </si>
  <si>
    <t>ＦＣ．ＵＳＡ</t>
  </si>
  <si>
    <t>R010247786</t>
  </si>
  <si>
    <t>村上　叶恋</t>
  </si>
  <si>
    <t>柴田　晴喜</t>
  </si>
  <si>
    <t>R010214562</t>
  </si>
  <si>
    <t>R010214605</t>
  </si>
  <si>
    <t>森　恭子</t>
  </si>
  <si>
    <t>森　健太</t>
  </si>
  <si>
    <t>矢野　譲</t>
  </si>
  <si>
    <t>R010214606</t>
  </si>
  <si>
    <t>隅田　波希</t>
  </si>
  <si>
    <t>R010259432</t>
  </si>
  <si>
    <t>R010579103</t>
  </si>
  <si>
    <t>R010190754</t>
  </si>
  <si>
    <t>村上　陽哉</t>
  </si>
  <si>
    <t>R010255171</t>
  </si>
  <si>
    <t>山下　泰明</t>
  </si>
  <si>
    <t>R010214542</t>
  </si>
  <si>
    <t>山田　宏和</t>
  </si>
  <si>
    <t>R010189317</t>
  </si>
  <si>
    <t>山本　崇史</t>
  </si>
  <si>
    <t>R010214619</t>
  </si>
  <si>
    <t>安倍　京弥</t>
  </si>
  <si>
    <t>R010261479</t>
  </si>
  <si>
    <t>渡邉　直耶</t>
  </si>
  <si>
    <t>ＦＣリーベル</t>
  </si>
  <si>
    <t>対戦相手</t>
    <rPh sb="0" eb="2">
      <t>タイセン</t>
    </rPh>
    <rPh sb="2" eb="4">
      <t>アイテ</t>
    </rPh>
    <phoneticPr fontId="29"/>
  </si>
  <si>
    <t>引分</t>
    <rPh sb="0" eb="1">
      <t>ヒ</t>
    </rPh>
    <rPh sb="1" eb="2">
      <t>ワ</t>
    </rPh>
    <phoneticPr fontId="29"/>
  </si>
  <si>
    <t>引
分</t>
  </si>
  <si>
    <t>得
点</t>
  </si>
  <si>
    <t>失
点</t>
  </si>
  <si>
    <t>得失
点差</t>
  </si>
  <si>
    <t>ﾄｰﾀﾙ
順位</t>
  </si>
  <si>
    <t>星取表</t>
  </si>
  <si>
    <t>位</t>
    <rPh sb="0" eb="1">
      <t>イ</t>
    </rPh>
    <phoneticPr fontId="29"/>
  </si>
  <si>
    <t>1次リーグ</t>
    <rPh sb="1" eb="2">
      <t>ジ</t>
    </rPh>
    <phoneticPr fontId="29"/>
  </si>
  <si>
    <t>緒方　翔平</t>
  </si>
  <si>
    <t>40分</t>
    <rPh sb="2" eb="3">
      <t>プン</t>
    </rPh>
    <phoneticPr fontId="29"/>
  </si>
  <si>
    <t>10分</t>
  </si>
  <si>
    <t>1回戦</t>
    <rPh sb="1" eb="3">
      <t>カイセン</t>
    </rPh>
    <phoneticPr fontId="29"/>
  </si>
  <si>
    <t>2回戦</t>
    <rPh sb="1" eb="3">
      <t>カイセン</t>
    </rPh>
    <phoneticPr fontId="29"/>
  </si>
  <si>
    <t>R010376315</t>
  </si>
  <si>
    <t>第4の審判員</t>
    <rPh sb="0" eb="1">
      <t>ダイ</t>
    </rPh>
    <rPh sb="3" eb="5">
      <t>シンパン</t>
    </rPh>
    <rPh sb="5" eb="6">
      <t>イン</t>
    </rPh>
    <phoneticPr fontId="29"/>
  </si>
  <si>
    <t>で、2ブロックで分ける</t>
  </si>
  <si>
    <t>を　＊3の</t>
  </si>
  <si>
    <t>各地区地元開催の</t>
    <rPh sb="0" eb="3">
      <t>カクチク</t>
    </rPh>
    <rPh sb="3" eb="5">
      <t>ジモト</t>
    </rPh>
    <rPh sb="5" eb="7">
      <t>カイサイ</t>
    </rPh>
    <phoneticPr fontId="29"/>
  </si>
  <si>
    <t>を　＊1の</t>
  </si>
  <si>
    <t>No,</t>
  </si>
  <si>
    <t>ゴ－ルキ－パ－は、フィ－ルドの状態、天候によってはトラックスーツを着用しても良い。</t>
  </si>
  <si>
    <t>ＦＣ　ＲＥＧＡＴＥ</t>
  </si>
  <si>
    <t>明野東サッカースポーツ少年団</t>
  </si>
  <si>
    <t>桃園サッカースポーツ少年団</t>
  </si>
  <si>
    <t>伊藤　瑠</t>
  </si>
  <si>
    <t>R010538325</t>
  </si>
  <si>
    <t>R010396594</t>
  </si>
  <si>
    <t>櫻木　海晴</t>
  </si>
  <si>
    <t>上田　源典</t>
  </si>
  <si>
    <t>木元　大芽</t>
  </si>
  <si>
    <t>佐藤　圭悠</t>
  </si>
  <si>
    <t>山本　青</t>
  </si>
  <si>
    <t>R010396501</t>
  </si>
  <si>
    <t>原田　煌也</t>
  </si>
  <si>
    <t>竹嶋　優</t>
  </si>
  <si>
    <t>染矢　優心</t>
  </si>
  <si>
    <t>伊東　将星</t>
  </si>
  <si>
    <t>藤田　翔</t>
  </si>
  <si>
    <t>R010444487</t>
  </si>
  <si>
    <t>百田　翔貴</t>
  </si>
  <si>
    <t>別保ＳＦＣ</t>
  </si>
  <si>
    <t>R010313754</t>
  </si>
  <si>
    <t>東　大晟</t>
  </si>
  <si>
    <t>R010281871</t>
  </si>
  <si>
    <t>R010281870</t>
  </si>
  <si>
    <t>河津　愛都</t>
  </si>
  <si>
    <t>R007890271</t>
  </si>
  <si>
    <t>豊後高田ＦＣ　Ｂｏｒｄｅｒ　Ｊｒ</t>
  </si>
  <si>
    <t>臼杵ＳＳＳ</t>
  </si>
  <si>
    <t>R010538391</t>
  </si>
  <si>
    <t>コーチング</t>
  </si>
  <si>
    <t>R010376332</t>
  </si>
  <si>
    <t>岩田　琉生</t>
  </si>
  <si>
    <t>選手の交代</t>
  </si>
  <si>
    <t>R010450129</t>
  </si>
  <si>
    <t>阿地　優斗</t>
  </si>
  <si>
    <t>木原　将和</t>
  </si>
  <si>
    <t>須藤　哲也</t>
  </si>
  <si>
    <t>池田　達哉</t>
  </si>
  <si>
    <t>R010281875</t>
  </si>
  <si>
    <t>井上　颯太</t>
  </si>
  <si>
    <t>R010306435</t>
  </si>
  <si>
    <t>R010311884</t>
  </si>
  <si>
    <t>R010281800</t>
  </si>
  <si>
    <t>河野　光喜</t>
  </si>
  <si>
    <t>辻井　拓夢</t>
  </si>
  <si>
    <t>R010250271</t>
  </si>
  <si>
    <t>永芳　卓磨</t>
  </si>
  <si>
    <t>R006147048</t>
  </si>
  <si>
    <t>姫野　一陽</t>
  </si>
  <si>
    <t>松山　大二郎</t>
  </si>
  <si>
    <t>R010376296</t>
  </si>
  <si>
    <t>R010264267</t>
  </si>
  <si>
    <t>馬原　直人</t>
  </si>
  <si>
    <t>R010313745</t>
  </si>
  <si>
    <t>大石　楓太</t>
  </si>
  <si>
    <t>荒川　幸大</t>
  </si>
  <si>
    <r>
      <t>　　　　</t>
    </r>
    <r>
      <rPr>
        <b/>
        <sz val="11"/>
        <color indexed="10"/>
        <rFont val="Meiryo UI"/>
        <family val="3"/>
        <charset val="128"/>
      </rPr>
      <t>（各チームにて責任を持って準備しておく事。）</t>
    </r>
    <rPh sb="5" eb="6">
      <t>カク</t>
    </rPh>
    <rPh sb="11" eb="13">
      <t>セキニン</t>
    </rPh>
    <rPh sb="14" eb="15">
      <t>モ</t>
    </rPh>
    <rPh sb="17" eb="19">
      <t>ジュンビ</t>
    </rPh>
    <rPh sb="23" eb="24">
      <t>コト</t>
    </rPh>
    <phoneticPr fontId="29"/>
  </si>
  <si>
    <t>飯干　遼飛</t>
  </si>
  <si>
    <t>株根　聖太</t>
  </si>
  <si>
    <t>石川　高光</t>
  </si>
  <si>
    <t>姫野　大和</t>
  </si>
  <si>
    <t>R010281826</t>
  </si>
  <si>
    <t>鶴原　楓也</t>
  </si>
  <si>
    <t>ゴールキーパーのユニフォームについて、ショーツ、ソックスはフィールドプレーヤーと同色系でも良いものとする。</t>
  </si>
  <si>
    <t>松下　未来翔</t>
  </si>
  <si>
    <t>R010352971</t>
  </si>
  <si>
    <t>R010281805</t>
  </si>
  <si>
    <t>大塚　雅基</t>
  </si>
  <si>
    <t>佐藤　凛月</t>
  </si>
  <si>
    <t>R010313747</t>
  </si>
  <si>
    <t>R010306443</t>
  </si>
  <si>
    <t>R010281797</t>
  </si>
  <si>
    <t>挾間ＪＦＣ</t>
  </si>
  <si>
    <t>＜日程＞</t>
    <rPh sb="1" eb="3">
      <t>ニッテイ</t>
    </rPh>
    <phoneticPr fontId="29"/>
  </si>
  <si>
    <t>長尾　晟太朗</t>
  </si>
  <si>
    <t>室谷　優心</t>
  </si>
  <si>
    <t>佐藤　秀昭</t>
  </si>
  <si>
    <t>R010281801</t>
  </si>
  <si>
    <t>R010313749</t>
  </si>
  <si>
    <t>嶋田　尚祐</t>
  </si>
  <si>
    <t>首藤　保</t>
  </si>
  <si>
    <t>首藤　弘樹</t>
  </si>
  <si>
    <t>白石　琥太郎</t>
  </si>
  <si>
    <t>麻生　凱斗</t>
  </si>
  <si>
    <t>R010390433</t>
  </si>
  <si>
    <t>R010281853</t>
  </si>
  <si>
    <t>R010352959</t>
  </si>
  <si>
    <t>髙橋　涼介</t>
  </si>
  <si>
    <t>R010356124</t>
  </si>
  <si>
    <t>多嶋田　尚平</t>
  </si>
  <si>
    <t>田村　拓也</t>
  </si>
  <si>
    <t>筒井　愛</t>
  </si>
  <si>
    <t>三浦　龍星</t>
  </si>
  <si>
    <t>鶴田　翔一</t>
  </si>
  <si>
    <t>十時　優介</t>
  </si>
  <si>
    <t>R010281856</t>
  </si>
  <si>
    <t>仲野　翔真</t>
  </si>
  <si>
    <t>中野　竜太</t>
  </si>
  <si>
    <t>仲村　晃瑠</t>
  </si>
  <si>
    <t>城南サッカースポーツ少年団</t>
  </si>
  <si>
    <t>R010281837</t>
  </si>
  <si>
    <t>二宮　大己</t>
  </si>
  <si>
    <t>R010352972</t>
  </si>
  <si>
    <t>間　勇翔</t>
  </si>
  <si>
    <t>浦邊　剛史</t>
  </si>
  <si>
    <t>山本　隼斗</t>
  </si>
  <si>
    <t>R010352977</t>
  </si>
  <si>
    <t>濱砂　樹</t>
  </si>
  <si>
    <t>R010352938</t>
  </si>
  <si>
    <t>R010352952</t>
  </si>
  <si>
    <t>藤岡　典之</t>
  </si>
  <si>
    <t>R010352946</t>
  </si>
  <si>
    <t>[警告理由]C1：反スポーツ的行為，C2：ラフプレー，C3：異議，C4：繰り返し違反，C5：遅延行為，C6：距離不足，C7：無許可入，C8：無許可去</t>
  </si>
  <si>
    <t>本城　瑛翔</t>
  </si>
  <si>
    <t>桝永　真斗</t>
  </si>
  <si>
    <t>松田　信行</t>
  </si>
  <si>
    <t>三浦　建人</t>
  </si>
  <si>
    <t>R010350225</t>
  </si>
  <si>
    <t>南　佳織</t>
  </si>
  <si>
    <t>R010306451</t>
  </si>
  <si>
    <t>R010314806</t>
  </si>
  <si>
    <t>村上　煌誠</t>
  </si>
  <si>
    <t>R010313763</t>
  </si>
  <si>
    <t>加藤　咲妃</t>
  </si>
  <si>
    <t>村上　瑳彩</t>
  </si>
  <si>
    <t>R010314810</t>
  </si>
  <si>
    <t>大久保　賢吾</t>
  </si>
  <si>
    <t>R010601890</t>
  </si>
  <si>
    <t>用松　聖登</t>
  </si>
  <si>
    <t>元木　勇太</t>
  </si>
  <si>
    <t>児玉　佑太</t>
  </si>
  <si>
    <t>R010281811</t>
  </si>
  <si>
    <t>吉野　峨流</t>
  </si>
  <si>
    <t>森崎　敬三</t>
  </si>
  <si>
    <t>R010352985</t>
  </si>
  <si>
    <t>溝辺　哲也</t>
  </si>
  <si>
    <t>横尾　夏希</t>
  </si>
  <si>
    <t>R010281855</t>
  </si>
  <si>
    <t>吉川　哲平</t>
  </si>
  <si>
    <t>各会場にて、各パートの第1試合開始70分前に、各パートのマッチコーディネーションミーティング(MCM)を、3チーム同時に行います。</t>
  </si>
  <si>
    <t>MC</t>
  </si>
  <si>
    <t>所属協会</t>
    <rPh sb="0" eb="2">
      <t>ショゾク</t>
    </rPh>
    <rPh sb="2" eb="4">
      <t>キョウカイ</t>
    </rPh>
    <phoneticPr fontId="29"/>
  </si>
  <si>
    <t>WelfareOfficer</t>
  </si>
  <si>
    <t>記録</t>
    <rPh sb="0" eb="2">
      <t>キロク</t>
    </rPh>
    <phoneticPr fontId="29"/>
  </si>
  <si>
    <t>中原　笙</t>
  </si>
  <si>
    <t>串尾　遼馬</t>
  </si>
  <si>
    <t>ＭＦＣ三花少年サッカー教室</t>
  </si>
  <si>
    <t>平川　諒</t>
  </si>
  <si>
    <t>梶原　清太郎</t>
  </si>
  <si>
    <t>佐藤　煌汰</t>
  </si>
  <si>
    <t>友永　弥</t>
  </si>
  <si>
    <t>相良　琥希翔</t>
  </si>
  <si>
    <t>R010396604</t>
  </si>
  <si>
    <t>梅田　尚弥</t>
  </si>
  <si>
    <t>玖珠サッカースポーツ少年団</t>
  </si>
  <si>
    <t>臼杵　奏珀</t>
  </si>
  <si>
    <t>四日市北ＪＦＣ</t>
  </si>
  <si>
    <t>内藤　士穏</t>
  </si>
  <si>
    <t>中山　大我</t>
  </si>
  <si>
    <t>中根　漸</t>
  </si>
  <si>
    <t>松本　和也</t>
  </si>
  <si>
    <t>競技者の数がアンバランスになるのは、該当チームに交代要員がいなくなった時に限る。</t>
  </si>
  <si>
    <t>はやぶさフットボールクラブ</t>
  </si>
  <si>
    <t>山本　獅王</t>
  </si>
  <si>
    <t>伊賀　旺甫</t>
  </si>
  <si>
    <t>市）</t>
    <rPh sb="0" eb="1">
      <t>シ</t>
    </rPh>
    <phoneticPr fontId="29"/>
  </si>
  <si>
    <t>矢野　廉士</t>
  </si>
  <si>
    <t>高橋　颯志</t>
  </si>
  <si>
    <t>鶴見ジュニアサッカークラブ</t>
  </si>
  <si>
    <t>木村　優月</t>
  </si>
  <si>
    <t>利光　蒼太</t>
  </si>
  <si>
    <t>試合開始時の人数は、8対8（内１人はゴールキーパー）とし、６人未満となった場合０－５の負けとする。</t>
  </si>
  <si>
    <t>大平　瑛翔</t>
  </si>
  <si>
    <t>緑丘サッカースポーツ少年団</t>
  </si>
  <si>
    <t>兼田　毅竜</t>
  </si>
  <si>
    <t>R010376277</t>
  </si>
  <si>
    <t>石田　大和</t>
  </si>
  <si>
    <t>河合　来城</t>
  </si>
  <si>
    <t>谷　逞斗</t>
  </si>
  <si>
    <t>R010586318</t>
  </si>
  <si>
    <t>河野　遥真</t>
  </si>
  <si>
    <t>R010448943</t>
  </si>
  <si>
    <t>下毛ＦＣ</t>
  </si>
  <si>
    <t>R010396505</t>
  </si>
  <si>
    <t>R010538318</t>
  </si>
  <si>
    <t>R010376281</t>
  </si>
  <si>
    <t>山本　光城</t>
  </si>
  <si>
    <t>R010445239</t>
  </si>
  <si>
    <t>R010546283</t>
  </si>
  <si>
    <t>渡辺　陽斗</t>
  </si>
  <si>
    <t>R010552532</t>
  </si>
  <si>
    <t>上堅田少年サッカークラブ</t>
  </si>
  <si>
    <t>今畠　かえで</t>
  </si>
  <si>
    <t>鶴岡Ｓ―ｐｌａｙ・ＭＩＮＡＭＩ</t>
  </si>
  <si>
    <t>狩生　倖充</t>
  </si>
  <si>
    <t>麻生　政裕</t>
  </si>
  <si>
    <t>松山　琉維</t>
  </si>
  <si>
    <t>R010542530</t>
  </si>
  <si>
    <t>岡田　虎太朗</t>
  </si>
  <si>
    <t>R010465610</t>
  </si>
  <si>
    <t>竹友　勝虎</t>
  </si>
  <si>
    <t>小野　颯人</t>
  </si>
  <si>
    <t>R010579141</t>
  </si>
  <si>
    <t>戎野　堆牙</t>
  </si>
  <si>
    <t>須川　彪雅</t>
  </si>
  <si>
    <t>足立　匠海</t>
  </si>
  <si>
    <t>羽田野　天空</t>
  </si>
  <si>
    <t>ドリームキッズフットボールクラブ</t>
  </si>
  <si>
    <t>南大分サッカー少年団</t>
  </si>
  <si>
    <t>安部　海結</t>
  </si>
  <si>
    <t>戸次吉野ＳＳＳ</t>
  </si>
  <si>
    <t>試合登録メンバー（選手および役員）の確認</t>
  </si>
  <si>
    <t>二宮　陽詩</t>
  </si>
  <si>
    <t>本田　郁恭</t>
  </si>
  <si>
    <t>小野　華凜</t>
  </si>
  <si>
    <t>宮脇　大芽</t>
  </si>
  <si>
    <t>R010432598</t>
  </si>
  <si>
    <t>佐藤　凛太朗</t>
  </si>
  <si>
    <t>R010376361</t>
  </si>
  <si>
    <t>岩田　拓也</t>
  </si>
  <si>
    <t>三佐サッカースポーツ少年団</t>
  </si>
  <si>
    <t>金池長浜サッカースポーツ少年団</t>
  </si>
  <si>
    <t>堀　愛歩</t>
  </si>
  <si>
    <t>R010376290</t>
  </si>
  <si>
    <t>R010538351</t>
  </si>
  <si>
    <t>濱岡　奏也</t>
  </si>
  <si>
    <t>日岡サッカースポーツ少年団</t>
  </si>
  <si>
    <t>山口　翔大</t>
  </si>
  <si>
    <t>牧　優空</t>
  </si>
  <si>
    <t>塚崎　高典</t>
  </si>
  <si>
    <t>内藤　尚音</t>
  </si>
  <si>
    <t>鈴木　玲央</t>
  </si>
  <si>
    <t>大久保　翔太朗</t>
  </si>
  <si>
    <t>稙田ＦＣサッカースポーツ少年団</t>
  </si>
  <si>
    <t>北郡坂ノ市サッカースポーツ少年団</t>
  </si>
  <si>
    <t>R010552569</t>
  </si>
  <si>
    <t>藤澤　健琉</t>
  </si>
  <si>
    <t>上野　暉仁</t>
  </si>
  <si>
    <t>安藤　岳</t>
  </si>
  <si>
    <t>花宮　大聖</t>
  </si>
  <si>
    <t>恵藤　蒼太</t>
  </si>
  <si>
    <t>R010538341</t>
  </si>
  <si>
    <t>R010376316</t>
  </si>
  <si>
    <t>歌　好陸</t>
  </si>
  <si>
    <t>R010538360</t>
  </si>
  <si>
    <t>藤原　世</t>
  </si>
  <si>
    <t>三浦　吏琥</t>
  </si>
  <si>
    <t>岡　誉</t>
  </si>
  <si>
    <t>石﨑　蒼大</t>
  </si>
  <si>
    <t>R010465589</t>
  </si>
  <si>
    <t>日出サッカースポーツ少年団</t>
  </si>
  <si>
    <t>渡町台サッカークラブ</t>
  </si>
  <si>
    <t>竹田直入ＦＣ</t>
  </si>
  <si>
    <t>吉田　湊</t>
  </si>
  <si>
    <t>R010465597</t>
  </si>
  <si>
    <t>後藤　優空</t>
  </si>
  <si>
    <t>穴井　将斗</t>
  </si>
  <si>
    <t>二宮　秀太</t>
  </si>
  <si>
    <t>R010588863</t>
  </si>
  <si>
    <t>秋吉　真怜</t>
  </si>
  <si>
    <t>R010396522</t>
  </si>
  <si>
    <t>ＦＣ安岐</t>
  </si>
  <si>
    <t>R010376333</t>
  </si>
  <si>
    <t>佐々木　大和</t>
  </si>
  <si>
    <t>カティオーラフットボールクラブＵ－１２</t>
  </si>
  <si>
    <t>R006647584</t>
  </si>
  <si>
    <t>豊肥①</t>
    <rPh sb="0" eb="2">
      <t>ホウヒ</t>
    </rPh>
    <phoneticPr fontId="29"/>
  </si>
  <si>
    <t>角谷　春樹</t>
  </si>
  <si>
    <t>アディッショナルタイムの標記:</t>
  </si>
  <si>
    <t>長岡　蒼空</t>
  </si>
  <si>
    <t>森本　圭祐</t>
  </si>
  <si>
    <t>由布川サッカースポーツ少年団</t>
  </si>
  <si>
    <t>黒木　渚冴</t>
  </si>
  <si>
    <t>赤峰　宗佑</t>
  </si>
  <si>
    <t>伊東　湊</t>
  </si>
  <si>
    <t>新名　桜晟</t>
  </si>
  <si>
    <t>吉村　純平</t>
  </si>
  <si>
    <t>スマイスＦＣ</t>
  </si>
  <si>
    <t>中嶌　大喜</t>
  </si>
  <si>
    <t>市浜レッドソックス</t>
  </si>
  <si>
    <t>嶋津　色音</t>
  </si>
  <si>
    <t>吉田　光毅</t>
  </si>
  <si>
    <t>平川　結偉</t>
  </si>
  <si>
    <t>R010581162</t>
  </si>
  <si>
    <t>内山　隆寛</t>
  </si>
  <si>
    <t>得丸　宗志</t>
  </si>
  <si>
    <t>仲町　駿祐</t>
  </si>
  <si>
    <t>片山　峻吾</t>
  </si>
  <si>
    <t>川端　翼惺</t>
  </si>
  <si>
    <t>オノ　ハルト</t>
  </si>
  <si>
    <t>北川　奏</t>
  </si>
  <si>
    <t>R010376330</t>
  </si>
  <si>
    <t>ヴェルスパ大分　Ｕ－１２</t>
  </si>
  <si>
    <t>伊藤　太我</t>
  </si>
  <si>
    <t>西尾　晃空</t>
  </si>
  <si>
    <t>横江　恒瑛</t>
  </si>
  <si>
    <t>大分トリニータタートルズ</t>
  </si>
  <si>
    <t>R010396593</t>
  </si>
  <si>
    <t>競技開始前に登録した最大10名の交代要員の中から、自由な交代が認められ、交代して退いた競技者は交代要員となり、再び出場することができる。（交代の回数は制限されない。）</t>
  </si>
  <si>
    <t>R010376335</t>
  </si>
  <si>
    <t>R010465604</t>
  </si>
  <si>
    <t>金田　智朗</t>
  </si>
  <si>
    <t>日野　結翔</t>
  </si>
  <si>
    <t>園　将翔</t>
  </si>
  <si>
    <t>堀田　詞音</t>
  </si>
  <si>
    <t>秋吉　逞</t>
  </si>
  <si>
    <t>市川　友翔</t>
  </si>
  <si>
    <t>横瀬西ＦＣ．ＲｏｓａＣｌａｒｏ</t>
  </si>
  <si>
    <t>R010396500</t>
  </si>
  <si>
    <t>小田巻　獅童</t>
  </si>
  <si>
    <t>松村　夢生</t>
  </si>
  <si>
    <t>吉良　緋由莉</t>
  </si>
  <si>
    <t>白石　匠皇</t>
  </si>
  <si>
    <t>試合開始前および終了後のセレモニー</t>
    <rPh sb="4" eb="5">
      <t>マエ</t>
    </rPh>
    <rPh sb="8" eb="11">
      <t>シュウリョウゴ</t>
    </rPh>
    <phoneticPr fontId="29"/>
  </si>
  <si>
    <t>サッカーのイメージアップ</t>
  </si>
  <si>
    <t>後藤　誠士郎</t>
  </si>
  <si>
    <t>井手　悠稀</t>
  </si>
  <si>
    <t>髙村　悠悟</t>
  </si>
  <si>
    <t>小野　雄稀</t>
  </si>
  <si>
    <t>1次、2次リーグで副審は、担当試合の10分前までに主審と打合せを必ず行うこと。</t>
    <rPh sb="1" eb="2">
      <t>ジ</t>
    </rPh>
    <rPh sb="4" eb="5">
      <t>ジ</t>
    </rPh>
    <rPh sb="9" eb="11">
      <t>フクシン</t>
    </rPh>
    <rPh sb="13" eb="15">
      <t>タントウ</t>
    </rPh>
    <rPh sb="15" eb="17">
      <t>シアイ</t>
    </rPh>
    <rPh sb="20" eb="21">
      <t>フン</t>
    </rPh>
    <rPh sb="21" eb="22">
      <t>マエ</t>
    </rPh>
    <rPh sb="25" eb="27">
      <t>シュシン</t>
    </rPh>
    <rPh sb="28" eb="30">
      <t>ウチアワ</t>
    </rPh>
    <rPh sb="32" eb="33">
      <t>カナラ</t>
    </rPh>
    <rPh sb="34" eb="35">
      <t>オコナ</t>
    </rPh>
    <phoneticPr fontId="29"/>
  </si>
  <si>
    <t>森崎　陽輝</t>
  </si>
  <si>
    <t>末成　隼</t>
  </si>
  <si>
    <t>上野　煌太</t>
  </si>
  <si>
    <t>酒井　碧海</t>
  </si>
  <si>
    <t>朝日ＦＣ</t>
  </si>
  <si>
    <t>ＦＣ　ＪＵＮＩＯＲＳ</t>
  </si>
  <si>
    <t>永井　翔也</t>
  </si>
  <si>
    <t>小幡　愛翔</t>
  </si>
  <si>
    <t>如水ジュニアサッカークラブ</t>
  </si>
  <si>
    <t>北村　優</t>
  </si>
  <si>
    <t>安部　凌真</t>
  </si>
  <si>
    <t>R010396521</t>
  </si>
  <si>
    <t>R010390125</t>
  </si>
  <si>
    <t>R010376294</t>
  </si>
  <si>
    <t>内田　翔貴</t>
  </si>
  <si>
    <t>R009624779</t>
  </si>
  <si>
    <t>岡田　凌哉</t>
  </si>
  <si>
    <t>株根　蒼太</t>
  </si>
  <si>
    <t>木島　悠</t>
  </si>
  <si>
    <t>R010376355</t>
  </si>
  <si>
    <t>榊　謙治</t>
  </si>
  <si>
    <t>R010382660</t>
  </si>
  <si>
    <t>R010376298</t>
  </si>
  <si>
    <t>鶴田　和也</t>
  </si>
  <si>
    <t>R010382275</t>
  </si>
  <si>
    <t>R010376274</t>
  </si>
  <si>
    <t>深津　弘毅</t>
  </si>
  <si>
    <t>R010363046</t>
  </si>
  <si>
    <t>R010432641</t>
  </si>
  <si>
    <t>秋吉　慶汰</t>
  </si>
  <si>
    <t>日吉　虎輔</t>
  </si>
  <si>
    <t>阿南　広太朗</t>
  </si>
  <si>
    <t>有田　伸司</t>
  </si>
  <si>
    <t>R010376269</t>
  </si>
  <si>
    <t>R010599176</t>
  </si>
  <si>
    <t>R010465596</t>
  </si>
  <si>
    <t>R010542205</t>
  </si>
  <si>
    <t>礒辺　宏基</t>
  </si>
  <si>
    <t>山田　心結</t>
  </si>
  <si>
    <t>R010376272</t>
  </si>
  <si>
    <t>伊藤　賢治</t>
  </si>
  <si>
    <t>R010583798</t>
  </si>
  <si>
    <t>井上　航</t>
  </si>
  <si>
    <t>猪原　虹輝</t>
  </si>
  <si>
    <t>伊勢　虎斗</t>
  </si>
  <si>
    <t>R010599609</t>
  </si>
  <si>
    <t>R010415888</t>
  </si>
  <si>
    <t>R010448923</t>
  </si>
  <si>
    <t>R010357998</t>
  </si>
  <si>
    <t>R010576369</t>
  </si>
  <si>
    <t>稲積　健太</t>
  </si>
  <si>
    <t>R010581166</t>
  </si>
  <si>
    <t>R010396518</t>
  </si>
  <si>
    <t>江藤　真一</t>
  </si>
  <si>
    <t>R010444516</t>
  </si>
  <si>
    <t>佐藤　譲治</t>
  </si>
  <si>
    <t>江藤　璃大</t>
  </si>
  <si>
    <t>遠藤　之仁</t>
  </si>
  <si>
    <t>R010376317</t>
  </si>
  <si>
    <t>R010396538</t>
  </si>
  <si>
    <t>R010415890</t>
  </si>
  <si>
    <t>R010388040</t>
  </si>
  <si>
    <t>甲斐　照</t>
  </si>
  <si>
    <t>R010396549</t>
  </si>
  <si>
    <t>加藤　晴久</t>
  </si>
  <si>
    <t>試合時間は 40分（20分ハーフ）とし、ハーフタイムのインターバル（前半終了から後半開始まで）は原則として10分とする。</t>
  </si>
  <si>
    <t>R010396562</t>
  </si>
  <si>
    <t>R010388050</t>
  </si>
  <si>
    <t>R010396560</t>
  </si>
  <si>
    <t>河村　長雲</t>
  </si>
  <si>
    <t>R010396529</t>
  </si>
  <si>
    <t>仲道　悠人</t>
  </si>
  <si>
    <t>神田　武志</t>
  </si>
  <si>
    <t>R010356143</t>
  </si>
  <si>
    <t>R010448240</t>
  </si>
  <si>
    <t>工藤　竜世</t>
  </si>
  <si>
    <t>R010376344</t>
  </si>
  <si>
    <t>久保　翔太郎</t>
  </si>
  <si>
    <t>R010396510</t>
  </si>
  <si>
    <t>古賀　時宗</t>
  </si>
  <si>
    <t>宮脇　陸人</t>
  </si>
  <si>
    <t>近藤　將平</t>
  </si>
  <si>
    <t>R010388052</t>
  </si>
  <si>
    <t>R010444490</t>
  </si>
  <si>
    <t>佐藤　耕輔</t>
  </si>
  <si>
    <t>佐藤　秀弥</t>
  </si>
  <si>
    <t>R010432602</t>
  </si>
  <si>
    <t>R010396509</t>
  </si>
  <si>
    <t>佐藤　蓮太</t>
  </si>
  <si>
    <t>土屋　毅留</t>
  </si>
  <si>
    <t>小松　俊介</t>
  </si>
  <si>
    <t>野上　拳跳</t>
  </si>
  <si>
    <t>栁本　楓</t>
  </si>
  <si>
    <t>R010444495</t>
  </si>
  <si>
    <t>志藤　圭史朗</t>
  </si>
  <si>
    <t>深野　達也</t>
  </si>
  <si>
    <t>R010421576</t>
  </si>
  <si>
    <t>清水　碧倭</t>
  </si>
  <si>
    <t>R010468355</t>
  </si>
  <si>
    <t>大石　聖哉</t>
  </si>
  <si>
    <t>三浦　斡太</t>
  </si>
  <si>
    <t>向　拓磨</t>
  </si>
  <si>
    <t>流　大智</t>
  </si>
  <si>
    <r>
      <t>累積警告選手</t>
    </r>
    <r>
      <rPr>
        <b/>
        <sz val="11"/>
        <rFont val="ＭＳ Ｐゴシック"/>
        <family val="3"/>
        <charset val="128"/>
      </rPr>
      <t>等の確認</t>
    </r>
    <rPh sb="6" eb="7">
      <t>トウ</t>
    </rPh>
    <phoneticPr fontId="29"/>
  </si>
  <si>
    <t>R010444489</t>
  </si>
  <si>
    <t>秦　拓真</t>
  </si>
  <si>
    <t>R010376369</t>
  </si>
  <si>
    <t>高月　隆成</t>
  </si>
  <si>
    <t>高野　賢吾</t>
  </si>
  <si>
    <t>藤野　世那</t>
  </si>
  <si>
    <t>R010444506</t>
  </si>
  <si>
    <t>R010379064</t>
  </si>
  <si>
    <t>小野　紘弥</t>
  </si>
  <si>
    <t>都甲　空</t>
  </si>
  <si>
    <t>R010415915</t>
  </si>
  <si>
    <t>R010448251</t>
  </si>
  <si>
    <t>中倉　咲姫</t>
  </si>
  <si>
    <t>R010576367</t>
  </si>
  <si>
    <t>R010448233</t>
  </si>
  <si>
    <t>長岡　傑</t>
  </si>
  <si>
    <t>R010376366</t>
  </si>
  <si>
    <t>長岡　範</t>
  </si>
  <si>
    <t>（11）</t>
  </si>
  <si>
    <t>古代　峻也</t>
  </si>
  <si>
    <t>西田　翔</t>
  </si>
  <si>
    <t>斉藤　大翔</t>
  </si>
  <si>
    <t>岡村　勇輝</t>
  </si>
  <si>
    <t>橋本　淳平</t>
  </si>
  <si>
    <t>R010396503</t>
  </si>
  <si>
    <t>中野　幹太</t>
  </si>
  <si>
    <t>林田　健太</t>
  </si>
  <si>
    <t>R010467631</t>
  </si>
  <si>
    <t>R010376345</t>
  </si>
  <si>
    <t>日隈　駿</t>
  </si>
  <si>
    <t>R010376324</t>
  </si>
  <si>
    <t>末廣　義也</t>
  </si>
  <si>
    <t>平野　泰寛</t>
  </si>
  <si>
    <t>R010538359</t>
  </si>
  <si>
    <t>R010600673</t>
  </si>
  <si>
    <t>藤井　健人</t>
  </si>
  <si>
    <t>R010432652</t>
  </si>
  <si>
    <t>R010396574</t>
  </si>
  <si>
    <t>藤野　哲哉</t>
  </si>
  <si>
    <t>R010396545</t>
  </si>
  <si>
    <t>R010450022</t>
  </si>
  <si>
    <t>R010421581</t>
  </si>
  <si>
    <t>笹原　翔太郎</t>
  </si>
  <si>
    <t>古寺　明日架</t>
  </si>
  <si>
    <t>山田　陽喜</t>
  </si>
  <si>
    <t>松尾　征吾</t>
  </si>
  <si>
    <t>R010448941</t>
  </si>
  <si>
    <t>松尾　晴登</t>
  </si>
  <si>
    <t>松原　巧</t>
  </si>
  <si>
    <t>松村　未来</t>
  </si>
  <si>
    <t>R010358003</t>
  </si>
  <si>
    <t>R010376286</t>
  </si>
  <si>
    <t>三浦　弘大</t>
  </si>
  <si>
    <t>R010376283</t>
  </si>
  <si>
    <t>三井　雄大</t>
  </si>
  <si>
    <t>宮原　良介</t>
  </si>
  <si>
    <t>R010356116</t>
  </si>
  <si>
    <t>宮本　崇史</t>
  </si>
  <si>
    <t>R010390423</t>
  </si>
  <si>
    <t>森　健太朗</t>
  </si>
  <si>
    <t>森崎　瑠聖</t>
  </si>
  <si>
    <t>R010396581</t>
  </si>
  <si>
    <t>R010396589</t>
  </si>
  <si>
    <t>R010538338</t>
  </si>
  <si>
    <t>R010396542</t>
  </si>
  <si>
    <t>R010444491</t>
  </si>
  <si>
    <t>2次リーグ開催の</t>
    <rPh sb="1" eb="2">
      <t>ジ</t>
    </rPh>
    <rPh sb="5" eb="7">
      <t>カイサイ</t>
    </rPh>
    <phoneticPr fontId="29"/>
  </si>
  <si>
    <t>　　②要項の確認、質問、諸注意</t>
    <rPh sb="3" eb="5">
      <t>ヨウコウ</t>
    </rPh>
    <rPh sb="6" eb="8">
      <t>カクニン</t>
    </rPh>
    <rPh sb="9" eb="11">
      <t>シツモン</t>
    </rPh>
    <rPh sb="12" eb="13">
      <t>ショ</t>
    </rPh>
    <rPh sb="13" eb="15">
      <t>チュウイ</t>
    </rPh>
    <phoneticPr fontId="29"/>
  </si>
  <si>
    <t>　　③審判部より</t>
    <rPh sb="3" eb="5">
      <t>シンパン</t>
    </rPh>
    <rPh sb="5" eb="6">
      <t>ブ</t>
    </rPh>
    <phoneticPr fontId="29"/>
  </si>
  <si>
    <t>衛藤　颯</t>
  </si>
  <si>
    <t>（４）</t>
  </si>
  <si>
    <t>《問い合わせ》委員長　仲野　携帯　０９０－８６６１−３５６０</t>
    <rPh sb="1" eb="2">
      <t>ト</t>
    </rPh>
    <rPh sb="3" eb="4">
      <t>ア</t>
    </rPh>
    <rPh sb="7" eb="10">
      <t>イインチョウ</t>
    </rPh>
    <rPh sb="11" eb="13">
      <t>ナカノ</t>
    </rPh>
    <rPh sb="14" eb="16">
      <t>ケイタイ</t>
    </rPh>
    <phoneticPr fontId="29"/>
  </si>
  <si>
    <t>R010586303</t>
  </si>
  <si>
    <t>堀　夢希</t>
  </si>
  <si>
    <t>西の台ＪＦＣ</t>
  </si>
  <si>
    <t>　マッチコーディネーションミーティング</t>
  </si>
  <si>
    <t>組み合わせ左側チーム</t>
    <rPh sb="0" eb="1">
      <t>ク</t>
    </rPh>
    <rPh sb="2" eb="3">
      <t>ア</t>
    </rPh>
    <rPh sb="5" eb="7">
      <t>ヒダリガワ</t>
    </rPh>
    <phoneticPr fontId="29"/>
  </si>
  <si>
    <t>ｖｓ</t>
  </si>
  <si>
    <t>組み合わせ右側チーム</t>
    <rPh sb="0" eb="1">
      <t>ク</t>
    </rPh>
    <rPh sb="2" eb="3">
      <t>ア</t>
    </rPh>
    <rPh sb="5" eb="7">
      <t>ミギガワ</t>
    </rPh>
    <phoneticPr fontId="29"/>
  </si>
  <si>
    <t>＜会場＞</t>
    <rPh sb="1" eb="3">
      <t>カイジョウ</t>
    </rPh>
    <phoneticPr fontId="29"/>
  </si>
  <si>
    <t>Kickoff　①10：00/②11：00/③12：00/④13：00/⑤14：00/⑥15：00</t>
  </si>
  <si>
    <t xml:space="preserve"> 挨拶および出席者の確認</t>
  </si>
  <si>
    <t>主管協会（　一般社団法人　大分県サッカー協会　）</t>
  </si>
  <si>
    <t>マッチコミッショナー、対戦チームの両監督、主審</t>
    <rPh sb="11" eb="13">
      <t>タイセン</t>
    </rPh>
    <rPh sb="17" eb="18">
      <t>リョウ</t>
    </rPh>
    <rPh sb="18" eb="20">
      <t>カントク</t>
    </rPh>
    <rPh sb="21" eb="23">
      <t>シュシン</t>
    </rPh>
    <phoneticPr fontId="29"/>
  </si>
  <si>
    <t>（1）</t>
  </si>
  <si>
    <t>（本大会実施要項　9）試合方法　⑧に該当する選手）</t>
  </si>
  <si>
    <t>：</t>
  </si>
  <si>
    <t>試合時間</t>
  </si>
  <si>
    <t>次回戦進出チームの決定方法</t>
  </si>
  <si>
    <t>（6）</t>
  </si>
  <si>
    <t>競技中、怪我人が出た場合は、交代要員から補充すること。</t>
  </si>
  <si>
    <t>選手の用具　　</t>
    <rPh sb="0" eb="2">
      <t>センシュ</t>
    </rPh>
    <rPh sb="3" eb="5">
      <t>ヨウグ</t>
    </rPh>
    <phoneticPr fontId="29"/>
  </si>
  <si>
    <t>（7）</t>
  </si>
  <si>
    <t>ベンチに入るスタッフは、大会申込のスタッフ情報に申請した者の中から1名以上、３名以内とする。（内１名はJFA公認指導者ライセンスを有すること）また、交代要員となる選手は、10名を最大とする。</t>
    <rPh sb="28" eb="29">
      <t>モノ</t>
    </rPh>
    <rPh sb="30" eb="31">
      <t>ナカ</t>
    </rPh>
    <rPh sb="34" eb="37">
      <t>メイイジョウ</t>
    </rPh>
    <rPh sb="74" eb="76">
      <t>コウタイ</t>
    </rPh>
    <rPh sb="76" eb="78">
      <t>ヨウイン</t>
    </rPh>
    <phoneticPr fontId="29"/>
  </si>
  <si>
    <t>※大会登録書（メンバー表）に記載された選手及び監督・役員以外のベンチ入りは認めない。</t>
    <rPh sb="34" eb="35">
      <t>イ</t>
    </rPh>
    <phoneticPr fontId="29"/>
  </si>
  <si>
    <t>濱田　空</t>
  </si>
  <si>
    <t>可</t>
    <rPh sb="0" eb="1">
      <t>カ</t>
    </rPh>
    <phoneticPr fontId="29"/>
  </si>
  <si>
    <t>着衣：</t>
  </si>
  <si>
    <t>ベンチ横または後ろ</t>
    <rPh sb="7" eb="8">
      <t>ウシ</t>
    </rPh>
    <phoneticPr fontId="29"/>
  </si>
  <si>
    <t>否</t>
    <rPh sb="0" eb="1">
      <t>ヒ</t>
    </rPh>
    <phoneticPr fontId="29"/>
  </si>
  <si>
    <t>（10）</t>
  </si>
  <si>
    <t>レフェリ－が認める特別な場合でないかぎり、フィ－ルド内での医療処置は一切認められない。</t>
  </si>
  <si>
    <t>ケガをした選手が運び出されたり、主審の許可によりフィ－ルドを出ることが認められる場合、医療担当者は医療処置をフィ－ルドの外で行う。</t>
  </si>
  <si>
    <t>ゴ－ルキ－パ－がケガをした場合は試合を中断し、フィ－ルド内で手当てを受けることが許される。手当てが終わってから試合は再開される。</t>
  </si>
  <si>
    <t>負傷により出血した選手は、出血が止まったことを審判が確認し、主審の合図を受けてからフィールドに復帰することができる。</t>
  </si>
  <si>
    <t>（12）</t>
  </si>
  <si>
    <t>フェアプレー</t>
  </si>
  <si>
    <t>ソックスを引き上げる</t>
    <rPh sb="5" eb="6">
      <t>ヒ</t>
    </rPh>
    <rPh sb="7" eb="8">
      <t>ア</t>
    </rPh>
    <phoneticPr fontId="29"/>
  </si>
  <si>
    <t>シャツをショーツの中に入れる</t>
    <rPh sb="9" eb="10">
      <t>ナカ</t>
    </rPh>
    <rPh sb="11" eb="12">
      <t>イ</t>
    </rPh>
    <phoneticPr fontId="29"/>
  </si>
  <si>
    <t>（13）</t>
  </si>
  <si>
    <t>試合球</t>
    <rPh sb="0" eb="2">
      <t>シアイ</t>
    </rPh>
    <rPh sb="2" eb="3">
      <t>キュウ</t>
    </rPh>
    <phoneticPr fontId="29"/>
  </si>
  <si>
    <t>R010538344</t>
  </si>
  <si>
    <t xml:space="preserve">ソックスにテープまたはその他の材質のものを貼り付ける、または外部に着用する場合、ソックスと同色でなくても良い。 </t>
  </si>
  <si>
    <t>アンダーシャツの色は問わない。ただし原則としてチーム内で同色のものを着用する。</t>
  </si>
  <si>
    <t>選手集合</t>
    <rPh sb="0" eb="2">
      <t>センシュ</t>
    </rPh>
    <rPh sb="2" eb="4">
      <t>シュウゴウ</t>
    </rPh>
    <phoneticPr fontId="29"/>
  </si>
  <si>
    <t>（16）</t>
  </si>
  <si>
    <t>《</t>
  </si>
  <si>
    <t>》</t>
  </si>
  <si>
    <t>＜審判団＞</t>
    <rPh sb="1" eb="3">
      <t>シンパン</t>
    </rPh>
    <rPh sb="3" eb="4">
      <t>ダン</t>
    </rPh>
    <phoneticPr fontId="29"/>
  </si>
  <si>
    <t>[退場理由]S1：著しく不正なプレー，S2：乱暴な行為，S3：つば吐き，S4：得点機会阻止(ハンド)，S5：得点機会阻止(他)，S6：侮辱的発言，CS：警告2回による退場</t>
  </si>
  <si>
    <t>日田・玖珠</t>
    <rPh sb="0" eb="2">
      <t>ヒタ</t>
    </rPh>
    <rPh sb="3" eb="5">
      <t>クス</t>
    </rPh>
    <phoneticPr fontId="29"/>
  </si>
  <si>
    <t>大会実施要項　11)その他　⑤ユニフォームについて</t>
  </si>
  <si>
    <t>すねあてを必ず着用。</t>
  </si>
  <si>
    <t>河津　壮真</t>
  </si>
  <si>
    <r>
      <t>　　</t>
    </r>
    <r>
      <rPr>
        <b/>
        <sz val="11"/>
        <color indexed="10"/>
        <rFont val="Meiryo UI"/>
        <family val="3"/>
        <charset val="128"/>
      </rPr>
      <t>　・1次リーグ/2次リーグは、帯同審判員（大分県協会所属の3級以上）を帯同する事。</t>
    </r>
    <rPh sb="23" eb="26">
      <t>オオイタケン</t>
    </rPh>
    <rPh sb="26" eb="28">
      <t>キョウカイ</t>
    </rPh>
    <rPh sb="28" eb="30">
      <t>ショゾク</t>
    </rPh>
    <rPh sb="41" eb="42">
      <t>コト</t>
    </rPh>
    <phoneticPr fontId="29"/>
  </si>
  <si>
    <r>
      <rPr>
        <sz val="11"/>
        <color indexed="10"/>
        <rFont val="Meiryo UI"/>
        <family val="3"/>
        <charset val="128"/>
      </rPr>
      <t>　　④</t>
    </r>
    <r>
      <rPr>
        <b/>
        <sz val="11"/>
        <color indexed="10"/>
        <rFont val="Meiryo UI"/>
        <family val="3"/>
        <charset val="128"/>
      </rPr>
      <t>各会場にて、各パートの第1試合開始70分前に、各パートのマッチコーディネーションミーティング(MCM)を、3チーム同時に行います。</t>
    </r>
    <rPh sb="3" eb="4">
      <t>カク</t>
    </rPh>
    <rPh sb="4" eb="6">
      <t>カイジョウ</t>
    </rPh>
    <rPh sb="9" eb="10">
      <t>カク</t>
    </rPh>
    <rPh sb="14" eb="15">
      <t>ダイ</t>
    </rPh>
    <rPh sb="16" eb="18">
      <t>シアイ</t>
    </rPh>
    <rPh sb="18" eb="20">
      <t>カイシ</t>
    </rPh>
    <rPh sb="22" eb="24">
      <t>フンマエ</t>
    </rPh>
    <rPh sb="26" eb="27">
      <t>カク</t>
    </rPh>
    <rPh sb="60" eb="62">
      <t>ドウジ</t>
    </rPh>
    <rPh sb="63" eb="64">
      <t>オコナ</t>
    </rPh>
    <phoneticPr fontId="29"/>
  </si>
  <si>
    <t>キャプテン</t>
  </si>
  <si>
    <t>上田　暖</t>
  </si>
  <si>
    <t>R010536851</t>
  </si>
  <si>
    <t>相良　祐虎</t>
  </si>
  <si>
    <t>オノ　ヒロヤ</t>
  </si>
  <si>
    <t>若宮サッカースポーツ少年団</t>
  </si>
  <si>
    <t>ソノダ　ミナト</t>
  </si>
  <si>
    <t>唐木　耀誠</t>
  </si>
  <si>
    <t>萬　結史</t>
  </si>
  <si>
    <t>萬　善</t>
  </si>
  <si>
    <t>松岡　蓮音</t>
  </si>
  <si>
    <t>宝珠　将吾</t>
  </si>
  <si>
    <t>石井　信治朗</t>
  </si>
  <si>
    <t>繁田　大雅</t>
  </si>
  <si>
    <t>嶋末　大地</t>
  </si>
  <si>
    <t>今永　瑛仁</t>
  </si>
  <si>
    <t>河村　日那汰</t>
  </si>
  <si>
    <t>梶原　健</t>
  </si>
  <si>
    <t>後藤　璃杏</t>
  </si>
  <si>
    <t>井手　湊太</t>
  </si>
  <si>
    <t>川端　大稀</t>
  </si>
  <si>
    <t>石橋　千尋</t>
  </si>
  <si>
    <t>花宮　龍之介</t>
  </si>
  <si>
    <t>サイトウ　ヒロト</t>
  </si>
  <si>
    <t>衛藤　紘太</t>
  </si>
  <si>
    <t>朝倉　宏天</t>
  </si>
  <si>
    <t>亀井　凌</t>
  </si>
  <si>
    <t>トクマル　ショア</t>
  </si>
  <si>
    <t>R004706704</t>
  </si>
  <si>
    <t>今村　瑛太</t>
  </si>
  <si>
    <t>鹿野　亜衣莉</t>
  </si>
  <si>
    <t>長谷雄　銀士</t>
  </si>
  <si>
    <t>R010538323</t>
  </si>
  <si>
    <t>板井　建親</t>
  </si>
  <si>
    <t>R010539276</t>
  </si>
  <si>
    <t>土居　蒔詩</t>
  </si>
  <si>
    <t>児玉　冴徠</t>
  </si>
  <si>
    <t>田川　喜隆</t>
  </si>
  <si>
    <t>亀井　慶太</t>
  </si>
  <si>
    <t>伊藤　舜狼</t>
  </si>
  <si>
    <t>原田　脩平</t>
  </si>
  <si>
    <t>松尾　翔</t>
  </si>
  <si>
    <t>R010579110</t>
  </si>
  <si>
    <t>R010552538</t>
  </si>
  <si>
    <t>濱野　脩翔</t>
  </si>
  <si>
    <t>和田少年サッカークラブ</t>
  </si>
  <si>
    <t>山本　寿輝</t>
  </si>
  <si>
    <t>森本　峻太</t>
  </si>
  <si>
    <t>江田　博太朗</t>
  </si>
  <si>
    <t>岩尾　侑之助</t>
  </si>
  <si>
    <t>岡本　優</t>
  </si>
  <si>
    <t>高比良　飛吹</t>
  </si>
  <si>
    <t>髙本　澪奈</t>
  </si>
  <si>
    <t>深津　空斗</t>
  </si>
  <si>
    <t>小手川　海人</t>
  </si>
  <si>
    <t>R010465593</t>
  </si>
  <si>
    <t>二宮　颯春</t>
  </si>
  <si>
    <t>神崎　陸斗</t>
  </si>
  <si>
    <t>高木　奏</t>
  </si>
  <si>
    <t>淡路　旺太朗</t>
  </si>
  <si>
    <t>岡田　琉希</t>
  </si>
  <si>
    <t>橋井　航</t>
  </si>
  <si>
    <t>大島　佑太</t>
  </si>
  <si>
    <t>藤原　颯天</t>
  </si>
  <si>
    <t>古木　岬</t>
  </si>
  <si>
    <t>津田　楓翔</t>
  </si>
  <si>
    <t>御手洗　真</t>
  </si>
  <si>
    <t>吉岡　佑人</t>
  </si>
  <si>
    <t>児玉　隼人</t>
  </si>
  <si>
    <t>佐藤　陽斗</t>
  </si>
  <si>
    <t>石上　博也</t>
  </si>
  <si>
    <t>上野　蒼太</t>
  </si>
  <si>
    <t>渡邉　翔太</t>
  </si>
  <si>
    <t>冨澤　樹</t>
  </si>
  <si>
    <t>波多野　雄大</t>
  </si>
  <si>
    <t>矢野　陽介</t>
  </si>
  <si>
    <t>市野　琉太</t>
  </si>
  <si>
    <t>小野　琳太郎</t>
  </si>
  <si>
    <t>大嶋　蒼介</t>
  </si>
  <si>
    <t>薬師寺　悠貴</t>
  </si>
  <si>
    <t>中根　晴希</t>
  </si>
  <si>
    <t>庄司　雅人</t>
  </si>
  <si>
    <t>石見　悟</t>
  </si>
  <si>
    <t>後藤　颯斗</t>
  </si>
  <si>
    <t>菱川　暁翔</t>
  </si>
  <si>
    <t>金嶽　璃空</t>
  </si>
  <si>
    <t>長野　巧</t>
  </si>
  <si>
    <t>岩村　貫吾</t>
  </si>
  <si>
    <t>R010538362</t>
  </si>
  <si>
    <t>R010465621</t>
  </si>
  <si>
    <t>村上　駿斗</t>
  </si>
  <si>
    <t>首藤　優慎</t>
  </si>
  <si>
    <t>甲斐　勇人</t>
  </si>
  <si>
    <t>竹林　一護</t>
  </si>
  <si>
    <t>R010586315</t>
  </si>
  <si>
    <t>古家　遙真</t>
  </si>
  <si>
    <t>小野　了雅</t>
  </si>
  <si>
    <t>森山　蓮亜</t>
  </si>
  <si>
    <t>嶋村　堪太</t>
  </si>
  <si>
    <t>R010513151</t>
  </si>
  <si>
    <t>仁部屋　蓮斗</t>
  </si>
  <si>
    <t>中　優輝</t>
  </si>
  <si>
    <t>土師　優貴</t>
  </si>
  <si>
    <t>児玉　雅樹</t>
  </si>
  <si>
    <t>田北　悠斗</t>
  </si>
  <si>
    <t>吉田　将志</t>
  </si>
  <si>
    <t>黒川　壱綺</t>
  </si>
  <si>
    <t>R010465590</t>
  </si>
  <si>
    <t>藤山　優斗</t>
  </si>
  <si>
    <t>上村　真弘</t>
  </si>
  <si>
    <t>岩城　圭悟</t>
  </si>
  <si>
    <t>須藤　玲空</t>
  </si>
  <si>
    <t>佐用　大翔</t>
  </si>
  <si>
    <t>赤木　学人</t>
  </si>
  <si>
    <t>帆足　颯太</t>
  </si>
  <si>
    <t>盛武　大樹</t>
  </si>
  <si>
    <t>谷口　流星心</t>
  </si>
  <si>
    <t>三浦　拓仁</t>
  </si>
  <si>
    <t>R010599604</t>
  </si>
  <si>
    <t>森　凛桜</t>
  </si>
  <si>
    <t>R010546288</t>
  </si>
  <si>
    <t>竹本　蓮</t>
  </si>
  <si>
    <t>藤原　亜希斗</t>
  </si>
  <si>
    <t>板井　航一</t>
  </si>
  <si>
    <t>竹本　陽</t>
  </si>
  <si>
    <t>河野　悠</t>
  </si>
  <si>
    <t>R010553466</t>
  </si>
  <si>
    <t>西山　純平</t>
  </si>
  <si>
    <t>波多野　瑛斗</t>
  </si>
  <si>
    <t>吉浦　祐之助</t>
  </si>
  <si>
    <t>門田　楽汰</t>
  </si>
  <si>
    <t>蓑毛　颯</t>
  </si>
  <si>
    <t>平早水　蒼空</t>
  </si>
  <si>
    <t>山田　笙太郎</t>
  </si>
  <si>
    <t>都留　瑞</t>
  </si>
  <si>
    <t>廣石　有咲</t>
  </si>
  <si>
    <t>菊池　爽真</t>
  </si>
  <si>
    <t>日浦　上総</t>
  </si>
  <si>
    <t>古澤　愛斗</t>
  </si>
  <si>
    <t>相川　莉久</t>
  </si>
  <si>
    <t>河野　桜晴</t>
  </si>
  <si>
    <t>財前　遥仁</t>
  </si>
  <si>
    <t>道脇　陽介</t>
  </si>
  <si>
    <t>本久　旭</t>
  </si>
  <si>
    <t>緒方　惇人</t>
  </si>
  <si>
    <t>R010538309</t>
  </si>
  <si>
    <t>片山　幹彦</t>
  </si>
  <si>
    <t>安東　周平</t>
  </si>
  <si>
    <t>小野　清志郎</t>
  </si>
  <si>
    <t>北原　幸侑</t>
  </si>
  <si>
    <t>後藤　喬亮</t>
  </si>
  <si>
    <t>二宮　蓮王</t>
  </si>
  <si>
    <t>竹永　涼夢</t>
  </si>
  <si>
    <t>小曽根　育太</t>
  </si>
  <si>
    <t>小代　朔</t>
  </si>
  <si>
    <t>都　凛太朗</t>
  </si>
  <si>
    <t>金崎　瑞樹</t>
  </si>
  <si>
    <t>西　琉汰</t>
  </si>
  <si>
    <t>多田　怜真</t>
  </si>
  <si>
    <t>團塚　煌</t>
  </si>
  <si>
    <t>宮脇　遙冴</t>
  </si>
  <si>
    <t>白江　朔麻</t>
  </si>
  <si>
    <t>R010538363</t>
  </si>
  <si>
    <t>大久保　孝紀</t>
  </si>
  <si>
    <t>菅　泰河</t>
  </si>
  <si>
    <t>江藤　然生</t>
  </si>
  <si>
    <t>松原　大</t>
  </si>
  <si>
    <t>秋吉　真翔</t>
  </si>
  <si>
    <t>江藤　大央</t>
  </si>
  <si>
    <t>R010468362</t>
  </si>
  <si>
    <t>田中　理琥</t>
  </si>
  <si>
    <t>金田　敦暉</t>
  </si>
  <si>
    <t>小林　里奈</t>
  </si>
  <si>
    <t>オオクボ　コウキ</t>
  </si>
  <si>
    <t>カワセ　ハルト</t>
  </si>
  <si>
    <t>松浦　幸輝</t>
  </si>
  <si>
    <t>澤井　司聡</t>
  </si>
  <si>
    <t>R010600682</t>
  </si>
  <si>
    <t>サトウ　ジョウジ</t>
  </si>
  <si>
    <t>釘宮　旭希</t>
  </si>
  <si>
    <t>政村　青空</t>
  </si>
  <si>
    <t>鶴原　瑞葵</t>
  </si>
  <si>
    <t>阿部　瑞己</t>
  </si>
  <si>
    <t>平川　桃子</t>
  </si>
  <si>
    <t>玉井　葉夏</t>
  </si>
  <si>
    <t>秋吉　玲桜叶</t>
  </si>
  <si>
    <t>ワタナベ　コウタ</t>
  </si>
  <si>
    <t>R010538380</t>
  </si>
  <si>
    <t>上野　紗奈</t>
  </si>
  <si>
    <t>山田　蓮次</t>
  </si>
  <si>
    <t>参　優太朗</t>
  </si>
  <si>
    <t>工藤　義人</t>
  </si>
  <si>
    <t>佐藤　睦翔</t>
  </si>
  <si>
    <t>矢田　孝太郎</t>
  </si>
  <si>
    <t>廣門　胡太朗</t>
  </si>
  <si>
    <t>田中　翔</t>
  </si>
  <si>
    <t>久保　宏太</t>
  </si>
  <si>
    <t>衛藤　蒼依</t>
  </si>
  <si>
    <t>上野　透瑚</t>
  </si>
  <si>
    <t>藤田　京佑</t>
  </si>
  <si>
    <t>深田　瑠唯</t>
  </si>
  <si>
    <t>吉田　綾斗</t>
  </si>
  <si>
    <t>佐々木　壮太</t>
  </si>
  <si>
    <t>久保田　蓮</t>
  </si>
  <si>
    <t>松垣　蒼空</t>
  </si>
  <si>
    <t>本城　梛翔</t>
  </si>
  <si>
    <t>湯浅　聡</t>
  </si>
  <si>
    <t>小山　誠人</t>
  </si>
  <si>
    <t>後藤　快瑠</t>
  </si>
  <si>
    <t>押田　卓</t>
  </si>
  <si>
    <t>藤本　英太郎</t>
  </si>
  <si>
    <t>矢野　壮太郎</t>
  </si>
  <si>
    <t>瀬戸　夢人</t>
  </si>
  <si>
    <t>時枝　依吹</t>
  </si>
  <si>
    <t>中島　大雅</t>
  </si>
  <si>
    <t>橋本　陽馬</t>
  </si>
  <si>
    <t>中島　桜雅</t>
  </si>
  <si>
    <t>河野　蒼祐</t>
  </si>
  <si>
    <t>河野　真幸</t>
  </si>
  <si>
    <t>R010538292</t>
  </si>
  <si>
    <t>宮﨑　隆史</t>
  </si>
  <si>
    <t>三浦　健</t>
  </si>
  <si>
    <t>赤石　昂輝</t>
  </si>
  <si>
    <t>酒井　彩海</t>
  </si>
  <si>
    <t>鈴木　奏志</t>
  </si>
  <si>
    <t>武田　有冴</t>
  </si>
  <si>
    <t>坂本　航輝</t>
  </si>
  <si>
    <t>木本　大地</t>
  </si>
  <si>
    <t>R010542181</t>
  </si>
  <si>
    <t>川﨑　脩斗</t>
  </si>
  <si>
    <t>R010586729</t>
  </si>
  <si>
    <t>ＦＣ．ＲＥ．ＳＴＡＲＴ　</t>
  </si>
  <si>
    <t>小田　徳大</t>
  </si>
  <si>
    <t>酒井　駿</t>
  </si>
  <si>
    <t>髙木　翔</t>
  </si>
  <si>
    <t>R010067178</t>
  </si>
  <si>
    <t>伊藤　慧斗</t>
  </si>
  <si>
    <t>今富　康平</t>
  </si>
  <si>
    <t>R010465606</t>
  </si>
  <si>
    <t>坪根　弘希</t>
  </si>
  <si>
    <t>大石　雅宣</t>
  </si>
  <si>
    <t>R010498317</t>
  </si>
  <si>
    <t>R010465607</t>
  </si>
  <si>
    <t>R010261243</t>
  </si>
  <si>
    <t>加藤　史章</t>
  </si>
  <si>
    <t>R010465605</t>
  </si>
  <si>
    <t>R010465591</t>
  </si>
  <si>
    <t>古瀬　大騎</t>
  </si>
  <si>
    <t>R010538293</t>
  </si>
  <si>
    <t>後藤　寛貴</t>
  </si>
  <si>
    <t>R010538304</t>
  </si>
  <si>
    <t>R010583758</t>
  </si>
  <si>
    <t>R010552555</t>
  </si>
  <si>
    <t>敷嶋　義郎</t>
  </si>
  <si>
    <t>R010449911</t>
  </si>
  <si>
    <t>安達　健太</t>
  </si>
  <si>
    <t>R010588865</t>
  </si>
  <si>
    <t>足立　陸矩</t>
  </si>
  <si>
    <t>表彰式
参加</t>
    <rPh sb="0" eb="3">
      <t>ヒョウショウシキ</t>
    </rPh>
    <rPh sb="4" eb="6">
      <t>サンカ</t>
    </rPh>
    <phoneticPr fontId="29"/>
  </si>
  <si>
    <t>R010542528</t>
  </si>
  <si>
    <t>R010586301</t>
  </si>
  <si>
    <t>R010540070</t>
  </si>
  <si>
    <t>安養寺　伸也</t>
  </si>
  <si>
    <t>和泉　宏幸</t>
  </si>
  <si>
    <t>R010552568</t>
  </si>
  <si>
    <t>市川　嘉樹</t>
  </si>
  <si>
    <t>伊東　直人</t>
  </si>
  <si>
    <t>R010579081</t>
  </si>
  <si>
    <t>R010579071</t>
  </si>
  <si>
    <t>芋岡　克征</t>
  </si>
  <si>
    <t>R010579070</t>
  </si>
  <si>
    <t>柳井　雅貴</t>
  </si>
  <si>
    <t>岩坂　浩行</t>
  </si>
  <si>
    <t>R010546284</t>
  </si>
  <si>
    <t>R010538379</t>
  </si>
  <si>
    <t>R010599587</t>
  </si>
  <si>
    <t>内田　聖人</t>
  </si>
  <si>
    <t>R010599189</t>
  </si>
  <si>
    <t>内田　孝介</t>
  </si>
  <si>
    <t>漆間　泰我</t>
  </si>
  <si>
    <t>R010542179</t>
  </si>
  <si>
    <t>江口　烈史</t>
  </si>
  <si>
    <t>江藤　貴司</t>
  </si>
  <si>
    <t>江藤　大智</t>
  </si>
  <si>
    <t>江藤　優希</t>
  </si>
  <si>
    <t>遠藤　了彩</t>
  </si>
  <si>
    <t>R010599580</t>
  </si>
  <si>
    <t>R010538289</t>
  </si>
  <si>
    <t>大場　将公</t>
  </si>
  <si>
    <t>R010599169</t>
  </si>
  <si>
    <t>R010538294</t>
  </si>
  <si>
    <t>R010579067</t>
  </si>
  <si>
    <t>小川　祐二</t>
  </si>
  <si>
    <t>R010501273</t>
  </si>
  <si>
    <t>小田巻　裕二</t>
  </si>
  <si>
    <t>R010358202</t>
  </si>
  <si>
    <t>小野　敦司</t>
  </si>
  <si>
    <t>R010546323</t>
  </si>
  <si>
    <t>R010549371</t>
  </si>
  <si>
    <t>小野　柑太</t>
  </si>
  <si>
    <t>甲斐　順平</t>
  </si>
  <si>
    <t>R010552565</t>
  </si>
  <si>
    <t>加隈　歩夢</t>
  </si>
  <si>
    <t>R010599172</t>
  </si>
  <si>
    <t>加藤　正雄</t>
  </si>
  <si>
    <t>R010576363</t>
  </si>
  <si>
    <t>R010538326</t>
  </si>
  <si>
    <t>金丸　顕和</t>
  </si>
  <si>
    <t>R010540038</t>
  </si>
  <si>
    <t>上城　司</t>
  </si>
  <si>
    <t>R010546275</t>
  </si>
  <si>
    <t>R010549368</t>
  </si>
  <si>
    <t>R010586298</t>
  </si>
  <si>
    <t>R010583789</t>
  </si>
  <si>
    <t>R010538345</t>
  </si>
  <si>
    <t>菊屋　令</t>
  </si>
  <si>
    <t>R010546303</t>
  </si>
  <si>
    <t>R010546304</t>
  </si>
  <si>
    <t>衣笠　勇輝</t>
  </si>
  <si>
    <t>R010552550</t>
  </si>
  <si>
    <t>R010593963</t>
  </si>
  <si>
    <t>R010586314</t>
  </si>
  <si>
    <t>R010579060</t>
  </si>
  <si>
    <t>楠野　裕也</t>
  </si>
  <si>
    <t>R010576385</t>
  </si>
  <si>
    <t>R010465620</t>
  </si>
  <si>
    <t>熊井　優斗</t>
  </si>
  <si>
    <t>R010513913</t>
  </si>
  <si>
    <t>黒木　大治郎</t>
  </si>
  <si>
    <t>桑野　宏幸</t>
  </si>
  <si>
    <t>R010552559</t>
  </si>
  <si>
    <t>小林　優仁</t>
  </si>
  <si>
    <t>R010509969</t>
  </si>
  <si>
    <t>合谷　佑木</t>
  </si>
  <si>
    <t>清家　海佐輝</t>
  </si>
  <si>
    <t>R010579143</t>
  </si>
  <si>
    <t>R010538300</t>
  </si>
  <si>
    <t>R010586296</t>
  </si>
  <si>
    <t>R010552567</t>
  </si>
  <si>
    <t>R010576358</t>
  </si>
  <si>
    <t>R010600678</t>
  </si>
  <si>
    <t>R010581164</t>
  </si>
  <si>
    <t>相良　晃平</t>
  </si>
  <si>
    <t>R010542194</t>
  </si>
  <si>
    <t>迫　聖一郎</t>
  </si>
  <si>
    <t>R010538390</t>
  </si>
  <si>
    <t>R010552574</t>
  </si>
  <si>
    <t>佐藤　洸輝</t>
  </si>
  <si>
    <t>R010538354</t>
  </si>
  <si>
    <t>R010552561</t>
  </si>
  <si>
    <t>佐藤　哲也</t>
  </si>
  <si>
    <t>R010538322</t>
  </si>
  <si>
    <t>佐藤　浩樹</t>
  </si>
  <si>
    <t>R010465577</t>
  </si>
  <si>
    <t>佐藤　祐親</t>
  </si>
  <si>
    <t>R010593964</t>
  </si>
  <si>
    <t>R010552573</t>
  </si>
  <si>
    <t>R010583788</t>
  </si>
  <si>
    <t>R010542200</t>
  </si>
  <si>
    <t>R010465612</t>
  </si>
  <si>
    <t>R010581167</t>
  </si>
  <si>
    <t>R010579104</t>
  </si>
  <si>
    <t>R010542209</t>
  </si>
  <si>
    <t>R010599611</t>
  </si>
  <si>
    <t>R010576507</t>
  </si>
  <si>
    <t>R010465602</t>
  </si>
  <si>
    <t>髙木　大誠</t>
  </si>
  <si>
    <t>R010468412</t>
  </si>
  <si>
    <t>高田　雅博</t>
  </si>
  <si>
    <t>R010542168</t>
  </si>
  <si>
    <t>R010546279</t>
  </si>
  <si>
    <t>竹本　哲也</t>
  </si>
  <si>
    <t>立川　拓樹</t>
  </si>
  <si>
    <t>R010189067</t>
  </si>
  <si>
    <t>田中　靖之</t>
  </si>
  <si>
    <t>R010538395</t>
  </si>
  <si>
    <t>田邉　秀和</t>
  </si>
  <si>
    <t>R010542175</t>
  </si>
  <si>
    <t>谷川　勝利</t>
  </si>
  <si>
    <t>玉永　史春</t>
  </si>
  <si>
    <t>R010513889</t>
  </si>
  <si>
    <t>R010552563</t>
  </si>
  <si>
    <t>津崎　亮佑</t>
  </si>
  <si>
    <t>R010599174</t>
  </si>
  <si>
    <t>R010583759</t>
  </si>
  <si>
    <t>出口　湧也</t>
  </si>
  <si>
    <t>R010588855</t>
  </si>
  <si>
    <t>笘川　銀雅</t>
  </si>
  <si>
    <t>R010546313</t>
  </si>
  <si>
    <t>R010542202</t>
  </si>
  <si>
    <t>中野　匠</t>
  </si>
  <si>
    <t>R010586304</t>
  </si>
  <si>
    <t>R010593968</t>
  </si>
  <si>
    <t>R010546291</t>
  </si>
  <si>
    <t>R010599608</t>
  </si>
  <si>
    <t>中谷　翔</t>
  </si>
  <si>
    <t>R010546316</t>
  </si>
  <si>
    <t>永井　陽</t>
  </si>
  <si>
    <t>長野　武史</t>
  </si>
  <si>
    <t>R010579051</t>
  </si>
  <si>
    <t>R010576375</t>
  </si>
  <si>
    <t>R010538313</t>
  </si>
  <si>
    <t>西角　航兵</t>
  </si>
  <si>
    <t>R010576379</t>
  </si>
  <si>
    <t>R010465600</t>
  </si>
  <si>
    <t>二宮　鯛介</t>
  </si>
  <si>
    <t>R010576383</t>
  </si>
  <si>
    <t>R010430157</t>
  </si>
  <si>
    <t>野元　雅矢</t>
  </si>
  <si>
    <t>羽立　智宣</t>
  </si>
  <si>
    <t>R010544476</t>
  </si>
  <si>
    <t>R010599588</t>
  </si>
  <si>
    <t>花崎　宏</t>
  </si>
  <si>
    <t>R010468353</t>
  </si>
  <si>
    <t>R010540705</t>
  </si>
  <si>
    <t>疋田　真吾</t>
  </si>
  <si>
    <t>日野　由香里</t>
  </si>
  <si>
    <t>姫野　祥吾</t>
  </si>
  <si>
    <t>R010449907</t>
  </si>
  <si>
    <t>姫野　太一</t>
  </si>
  <si>
    <t>兵頭　哲也</t>
  </si>
  <si>
    <t>R010601885</t>
  </si>
  <si>
    <t>平松　敬章</t>
  </si>
  <si>
    <t>R010450133</t>
  </si>
  <si>
    <t>平山　雄太</t>
  </si>
  <si>
    <t>R010588861</t>
  </si>
  <si>
    <t>R010449912</t>
  </si>
  <si>
    <t>廣瀬　龍治</t>
  </si>
  <si>
    <t>R010538370</t>
  </si>
  <si>
    <t>R010501257</t>
  </si>
  <si>
    <t>淵野　日向</t>
  </si>
  <si>
    <t>R010539285</t>
  </si>
  <si>
    <t>冨米野　祐輔</t>
  </si>
  <si>
    <t>R010538352</t>
  </si>
  <si>
    <t>R010586718</t>
  </si>
  <si>
    <t>R010552533</t>
  </si>
  <si>
    <t>R010465583</t>
  </si>
  <si>
    <t>松岡　辰倫</t>
  </si>
  <si>
    <t>R010583762</t>
  </si>
  <si>
    <t>R010546270</t>
  </si>
  <si>
    <t>R010451954</t>
  </si>
  <si>
    <t>松雪　浩俊</t>
  </si>
  <si>
    <t>R010538372</t>
  </si>
  <si>
    <t>R010449908</t>
  </si>
  <si>
    <t>溝邉　陸馬</t>
  </si>
  <si>
    <t>R010542196</t>
  </si>
  <si>
    <t>満永　啓祐</t>
  </si>
  <si>
    <t>R010579098</t>
  </si>
  <si>
    <t>宮野　倖希</t>
  </si>
  <si>
    <t>R010538328</t>
  </si>
  <si>
    <t>R010546325</t>
  </si>
  <si>
    <t>室　元樹</t>
  </si>
  <si>
    <t>R010586302</t>
  </si>
  <si>
    <t>R010576513</t>
  </si>
  <si>
    <t>本室　匠翔</t>
  </si>
  <si>
    <t>R010465588</t>
  </si>
  <si>
    <t>R010540702</t>
  </si>
  <si>
    <t>米倉　佳宏</t>
  </si>
  <si>
    <t>R010465599</t>
  </si>
  <si>
    <t>薬師寺　康平</t>
  </si>
  <si>
    <t>R010579083</t>
  </si>
  <si>
    <t>R010453584</t>
  </si>
  <si>
    <t>柳本　龍成</t>
  </si>
  <si>
    <t>R010538389</t>
  </si>
  <si>
    <t>R010579108</t>
  </si>
  <si>
    <t>矢野　草隼</t>
  </si>
  <si>
    <t>矢野　裕</t>
  </si>
  <si>
    <t>R010593959</t>
  </si>
  <si>
    <t>山岸　秀彰</t>
  </si>
  <si>
    <t>R010579106</t>
  </si>
  <si>
    <t>山﨑　櫂</t>
  </si>
  <si>
    <t>R010466473</t>
  </si>
  <si>
    <t>山崎　哲也</t>
  </si>
  <si>
    <t>R010586723</t>
  </si>
  <si>
    <t>山本　太郎</t>
  </si>
  <si>
    <t>山本　成彦</t>
  </si>
  <si>
    <t>R010546337</t>
  </si>
  <si>
    <t>R010599605</t>
  </si>
  <si>
    <t>R010576376</t>
  </si>
  <si>
    <t>R010538392</t>
  </si>
  <si>
    <t>横飛　明</t>
  </si>
  <si>
    <t>R010599590</t>
  </si>
  <si>
    <t>横山　大悟</t>
  </si>
  <si>
    <t>吉田　光騎</t>
  </si>
  <si>
    <t>R010576360</t>
  </si>
  <si>
    <t>R010599582</t>
  </si>
  <si>
    <t>R010538376</t>
  </si>
  <si>
    <t>渡辺　佳歩</t>
  </si>
  <si>
    <t>R010600679</t>
  </si>
  <si>
    <t>渡辺　俊介</t>
  </si>
  <si>
    <t>R010542529</t>
  </si>
  <si>
    <t>輪田　真理</t>
  </si>
  <si>
    <t>楢崎　奏斗</t>
  </si>
  <si>
    <t>長野　瑛斗</t>
  </si>
  <si>
    <t>神崎　柊斗</t>
  </si>
  <si>
    <t>當麻　晃基</t>
  </si>
  <si>
    <r>
      <t>（大会期間中、２回（累計）の警告または、退場を宣告された</t>
    </r>
    <r>
      <rPr>
        <b/>
        <sz val="11"/>
        <rFont val="HG丸ｺﾞｼｯｸM-PRO"/>
        <family val="3"/>
        <charset val="128"/>
      </rPr>
      <t>選手等</t>
    </r>
    <r>
      <rPr>
        <sz val="11"/>
        <rFont val="HG丸ｺﾞｼｯｸM-PRO"/>
        <family val="3"/>
        <charset val="128"/>
      </rPr>
      <t>は次回戦に出場できないものとする。）</t>
    </r>
    <rPh sb="30" eb="31">
      <t>トウ</t>
    </rPh>
    <phoneticPr fontId="29"/>
  </si>
  <si>
    <t>チーム代表者は必ずユニフォームを持参(正・副全て)</t>
  </si>
  <si>
    <t>R010635513</t>
  </si>
  <si>
    <t>R010642022</t>
  </si>
  <si>
    <t>R010613629</t>
  </si>
  <si>
    <t>R010653559</t>
  </si>
  <si>
    <t>R010638090</t>
  </si>
  <si>
    <t>R010613616</t>
  </si>
  <si>
    <t>R010613609</t>
  </si>
  <si>
    <t>R010613591</t>
  </si>
  <si>
    <t>R003421736</t>
  </si>
  <si>
    <t>R010143937</t>
  </si>
  <si>
    <t>R007798672</t>
  </si>
  <si>
    <t>R010613607</t>
  </si>
  <si>
    <t>R010678841</t>
  </si>
  <si>
    <t>R010682436</t>
  </si>
  <si>
    <t>R010638080</t>
  </si>
  <si>
    <t>R010475632</t>
  </si>
  <si>
    <t>R010678834</t>
  </si>
  <si>
    <t>R010687461</t>
  </si>
  <si>
    <t>R010689525</t>
  </si>
  <si>
    <t>R010604781</t>
  </si>
  <si>
    <t>R010687467</t>
  </si>
  <si>
    <t>R010689078</t>
  </si>
  <si>
    <t>R010685239</t>
  </si>
  <si>
    <t>R010684136</t>
  </si>
  <si>
    <t>R010613603</t>
  </si>
  <si>
    <t>R010613612</t>
  </si>
  <si>
    <t>R010613594</t>
  </si>
  <si>
    <t>R010676591</t>
  </si>
  <si>
    <t>R010684101</t>
  </si>
  <si>
    <t>R010684119</t>
  </si>
  <si>
    <t>R010638076</t>
  </si>
  <si>
    <t>R010653578</t>
  </si>
  <si>
    <t>R010638053</t>
  </si>
  <si>
    <t>R010689341</t>
  </si>
  <si>
    <t>R010604096</t>
  </si>
  <si>
    <t>R010638058</t>
  </si>
  <si>
    <t>R010682437</t>
  </si>
  <si>
    <t>R010642049</t>
  </si>
  <si>
    <t>R010604773</t>
  </si>
  <si>
    <t>R010638094</t>
  </si>
  <si>
    <t>R010688486</t>
  </si>
  <si>
    <t>R010676597</t>
  </si>
  <si>
    <t>R010638091</t>
  </si>
  <si>
    <t>R010613621</t>
  </si>
  <si>
    <t>R010638051</t>
  </si>
  <si>
    <t>R010689524</t>
  </si>
  <si>
    <t>R010660811</t>
  </si>
  <si>
    <t>R010642062</t>
  </si>
  <si>
    <t>R010684093</t>
  </si>
  <si>
    <t>R010689074</t>
  </si>
  <si>
    <t>R010689061</t>
  </si>
  <si>
    <t>R010689077</t>
  </si>
  <si>
    <t>R010638063</t>
  </si>
  <si>
    <t>R010638066</t>
  </si>
  <si>
    <t>R010689533</t>
  </si>
  <si>
    <t>R010684114</t>
  </si>
  <si>
    <t>R010642050</t>
  </si>
  <si>
    <t>R010684102</t>
  </si>
  <si>
    <t>R010676619</t>
  </si>
  <si>
    <t>R010613644</t>
  </si>
  <si>
    <t>R010685268</t>
  </si>
  <si>
    <t>R010689066</t>
  </si>
  <si>
    <t>R010685253</t>
  </si>
  <si>
    <t>R010638048</t>
  </si>
  <si>
    <t>R010668410</t>
  </si>
  <si>
    <t>R010687456</t>
  </si>
  <si>
    <t>R010613634</t>
  </si>
  <si>
    <t>R010688474</t>
  </si>
  <si>
    <t>R010685270</t>
  </si>
  <si>
    <t>R010676605</t>
  </si>
  <si>
    <t>R010604761</t>
  </si>
  <si>
    <t>R010689080</t>
  </si>
  <si>
    <t>R010638067</t>
  </si>
  <si>
    <t>R010642025</t>
  </si>
  <si>
    <t>R010642035</t>
  </si>
  <si>
    <t>R010613628</t>
  </si>
  <si>
    <t>R010684112</t>
  </si>
  <si>
    <t>R010656677</t>
  </si>
  <si>
    <t>R010685259</t>
  </si>
  <si>
    <t>R010656680</t>
  </si>
  <si>
    <t>R010685269</t>
  </si>
  <si>
    <t>R010682440</t>
  </si>
  <si>
    <t>R010642034</t>
  </si>
  <si>
    <t>R010687464</t>
  </si>
  <si>
    <t>R010684016</t>
  </si>
  <si>
    <t>R010653592</t>
  </si>
  <si>
    <t>R010676613</t>
  </si>
  <si>
    <t>R010642057</t>
  </si>
  <si>
    <t>R010689529</t>
  </si>
  <si>
    <t>R010689123</t>
  </si>
  <si>
    <t>R010604782</t>
  </si>
  <si>
    <t>R010638077</t>
  </si>
  <si>
    <t>R010656684</t>
  </si>
  <si>
    <t>R010682442</t>
  </si>
  <si>
    <t>R010678827</t>
  </si>
  <si>
    <t>R010653569</t>
  </si>
  <si>
    <t>R010638041</t>
  </si>
  <si>
    <t>R010638078</t>
  </si>
  <si>
    <t>R010684137</t>
  </si>
  <si>
    <t>R010678826</t>
  </si>
  <si>
    <t>R010684107</t>
  </si>
  <si>
    <t>R010653586</t>
  </si>
  <si>
    <t>R010613604</t>
  </si>
  <si>
    <t>R010642083</t>
  </si>
  <si>
    <t>R010682443</t>
  </si>
  <si>
    <t>R010682456</t>
  </si>
  <si>
    <t>R010687772</t>
  </si>
  <si>
    <t>R010689532</t>
  </si>
  <si>
    <t>R010604086</t>
  </si>
  <si>
    <t>R010687768</t>
  </si>
  <si>
    <t>R010642058</t>
  </si>
  <si>
    <t>R010689070</t>
  </si>
  <si>
    <t>R010689527</t>
  </si>
  <si>
    <t>R010661146</t>
  </si>
  <si>
    <t>R010604780</t>
  </si>
  <si>
    <t>R010653157</t>
  </si>
  <si>
    <t>R010689069</t>
  </si>
  <si>
    <t>R010656685</t>
  </si>
  <si>
    <t>R010653570</t>
  </si>
  <si>
    <t>R010687455</t>
  </si>
  <si>
    <t>R010613625</t>
  </si>
  <si>
    <t>R010613626</t>
  </si>
  <si>
    <t>R010688480</t>
  </si>
  <si>
    <t>R010642023</t>
  </si>
  <si>
    <t>R010684017</t>
  </si>
  <si>
    <t>R010613619</t>
  </si>
  <si>
    <t>R010604770</t>
  </si>
  <si>
    <t>R010676618</t>
  </si>
  <si>
    <t>R010687757</t>
  </si>
  <si>
    <t>R010653600</t>
  </si>
  <si>
    <t>R010642071</t>
  </si>
  <si>
    <t>R010604779</t>
  </si>
  <si>
    <t>R010676606</t>
  </si>
  <si>
    <t>R010613639</t>
  </si>
  <si>
    <t>R010653163</t>
  </si>
  <si>
    <t>R010684097</t>
  </si>
  <si>
    <t>R010689083</t>
  </si>
  <si>
    <t>R010653166</t>
  </si>
  <si>
    <t>R010684129</t>
  </si>
  <si>
    <t>R010685245</t>
  </si>
  <si>
    <t>R010653581</t>
  </si>
  <si>
    <t>R010685157</t>
  </si>
  <si>
    <t>R010687758</t>
  </si>
  <si>
    <t>R010689535</t>
  </si>
  <si>
    <t>R010687460</t>
  </si>
  <si>
    <t>R010653599</t>
  </si>
  <si>
    <t>R010604777</t>
  </si>
  <si>
    <t>R010604776</t>
  </si>
  <si>
    <t>R010684015</t>
  </si>
  <si>
    <t>R010613624</t>
  </si>
  <si>
    <t>R010642075</t>
  </si>
  <si>
    <t>R010604774</t>
  </si>
  <si>
    <t>R010642031</t>
  </si>
  <si>
    <t>R010685260</t>
  </si>
  <si>
    <t>R010661142</t>
  </si>
  <si>
    <t>R010685266</t>
  </si>
  <si>
    <t>R010687781</t>
  </si>
  <si>
    <t>R010689076</t>
  </si>
  <si>
    <t>R010642036</t>
  </si>
  <si>
    <t>R010689068</t>
  </si>
  <si>
    <t>R010685272</t>
  </si>
  <si>
    <t>R010613615</t>
  </si>
  <si>
    <t>R010638092</t>
  </si>
  <si>
    <t>R010682446</t>
  </si>
  <si>
    <t>R010688260</t>
  </si>
  <si>
    <t>R010613606</t>
  </si>
  <si>
    <t>R010684111</t>
  </si>
  <si>
    <t>R010653152</t>
  </si>
  <si>
    <t>R010653580</t>
  </si>
  <si>
    <t>R010676615</t>
  </si>
  <si>
    <t>R010653162</t>
  </si>
  <si>
    <t>R010642021</t>
  </si>
  <si>
    <t>R010653574</t>
  </si>
  <si>
    <t>R010656681</t>
  </si>
  <si>
    <t>R010604117</t>
  </si>
  <si>
    <t>R010661148</t>
  </si>
  <si>
    <t>R010613638</t>
  </si>
  <si>
    <t>R010687756</t>
  </si>
  <si>
    <t>R010642039</t>
  </si>
  <si>
    <t>R010685254</t>
  </si>
  <si>
    <t>R010638069</t>
  </si>
  <si>
    <t>R010678828</t>
  </si>
  <si>
    <t>R010638055</t>
  </si>
  <si>
    <t>R010638046</t>
  </si>
  <si>
    <t>R010685246</t>
  </si>
  <si>
    <t>R010604095</t>
  </si>
  <si>
    <t>R010613613</t>
  </si>
  <si>
    <t>R010676614</t>
  </si>
  <si>
    <t>R010689084</t>
  </si>
  <si>
    <t>R010684109</t>
  </si>
  <si>
    <t>R010685165</t>
  </si>
  <si>
    <t>R010685161</t>
  </si>
  <si>
    <t>R010660814</t>
  </si>
  <si>
    <t>R010689072</t>
  </si>
  <si>
    <t>R010604767</t>
  </si>
  <si>
    <t>R010638064</t>
  </si>
  <si>
    <t>R010613608</t>
  </si>
  <si>
    <t>R010684100</t>
  </si>
  <si>
    <t>R010642024</t>
  </si>
  <si>
    <t>R010642072</t>
  </si>
  <si>
    <t>R010688484</t>
  </si>
  <si>
    <t>R010687790</t>
  </si>
  <si>
    <t>R010656670</t>
  </si>
  <si>
    <t>R010676601</t>
  </si>
  <si>
    <t>R010687760</t>
  </si>
  <si>
    <t>R010676590</t>
  </si>
  <si>
    <t>R010604765</t>
  </si>
  <si>
    <t>R010678821</t>
  </si>
  <si>
    <t>R010684140</t>
  </si>
  <si>
    <t>R010638043</t>
  </si>
  <si>
    <t>R010660804</t>
  </si>
  <si>
    <t>R010656691</t>
  </si>
  <si>
    <t>R010687462</t>
  </si>
  <si>
    <t>R010653584</t>
  </si>
  <si>
    <t>R010661140</t>
  </si>
  <si>
    <t>R010613636</t>
  </si>
  <si>
    <t>R010689531</t>
  </si>
  <si>
    <t>R010687765</t>
  </si>
  <si>
    <t>R010687769</t>
  </si>
  <si>
    <t>R010604070</t>
  </si>
  <si>
    <t>R010613642</t>
  </si>
  <si>
    <t>R010604124</t>
  </si>
  <si>
    <t>R010685240</t>
  </si>
  <si>
    <t>R010676676</t>
  </si>
  <si>
    <t>R010638056</t>
  </si>
  <si>
    <t>R010642077</t>
  </si>
  <si>
    <t>R010642074</t>
  </si>
  <si>
    <t>R010684117</t>
  </si>
  <si>
    <t>R010676600</t>
  </si>
  <si>
    <t>R010660805</t>
  </si>
  <si>
    <t>R010678823</t>
  </si>
  <si>
    <t>R010653575</t>
  </si>
  <si>
    <t>R010642068</t>
  </si>
  <si>
    <t>R010638059</t>
  </si>
  <si>
    <t>R010653597</t>
  </si>
  <si>
    <t>R010656682</t>
  </si>
  <si>
    <t>R010638074</t>
  </si>
  <si>
    <t>R010684128</t>
  </si>
  <si>
    <t>R010613599</t>
  </si>
  <si>
    <t>R010642078</t>
  </si>
  <si>
    <t>R010687465</t>
  </si>
  <si>
    <t>R010676674</t>
  </si>
  <si>
    <t>R010639576</t>
  </si>
  <si>
    <t>R010604120</t>
  </si>
  <si>
    <t>R010685257</t>
  </si>
  <si>
    <t>R010676595</t>
  </si>
  <si>
    <t>R010689064</t>
  </si>
  <si>
    <t>R010653577</t>
  </si>
  <si>
    <t>R010687766</t>
  </si>
  <si>
    <t>R010604763</t>
  </si>
  <si>
    <t>R010613593</t>
  </si>
  <si>
    <t>R010687457</t>
  </si>
  <si>
    <t>R010613623</t>
  </si>
  <si>
    <t>R010638085</t>
  </si>
  <si>
    <t>R010604077</t>
  </si>
  <si>
    <t>R010604778</t>
  </si>
  <si>
    <t>R010682448</t>
  </si>
  <si>
    <t>R010604769</t>
  </si>
  <si>
    <t>R010613617</t>
  </si>
  <si>
    <t>R010642061</t>
  </si>
  <si>
    <t>R010653154</t>
  </si>
  <si>
    <t>R010653582</t>
  </si>
  <si>
    <t>R010638088</t>
  </si>
  <si>
    <t>R010613627</t>
  </si>
  <si>
    <t>R010638079</t>
  </si>
  <si>
    <t>R010684019</t>
  </si>
  <si>
    <t>R010689065</t>
  </si>
  <si>
    <t>R010682447</t>
  </si>
  <si>
    <t>R010689075</t>
  </si>
  <si>
    <t>R010642073</t>
  </si>
  <si>
    <t>R010638087</t>
  </si>
  <si>
    <t>R010682827</t>
  </si>
  <si>
    <t>R010685160</t>
  </si>
  <si>
    <t>R010688483</t>
  </si>
  <si>
    <t>R010638062</t>
  </si>
  <si>
    <t>R010676608</t>
  </si>
  <si>
    <t>R010604094</t>
  </si>
  <si>
    <t>R010604775</t>
  </si>
  <si>
    <t>R010684118</t>
  </si>
  <si>
    <t>R010653160</t>
  </si>
  <si>
    <t>R010676609</t>
  </si>
  <si>
    <t>R010613600</t>
  </si>
  <si>
    <t>R010660831</t>
  </si>
  <si>
    <t>R010638068</t>
  </si>
  <si>
    <t>R010604087</t>
  </si>
  <si>
    <t>R010687466</t>
  </si>
  <si>
    <t>R010657826</t>
  </si>
  <si>
    <t>R010653610</t>
  </si>
  <si>
    <t>R010689073</t>
  </si>
  <si>
    <t>R010642070</t>
  </si>
  <si>
    <t>R010638070</t>
  </si>
  <si>
    <t>R010684095</t>
  </si>
  <si>
    <t>R010688479</t>
  </si>
  <si>
    <t>二宮　勇志</t>
  </si>
  <si>
    <t>赤峰　桃香</t>
  </si>
  <si>
    <t>足立　緋由</t>
  </si>
  <si>
    <t>伊藤　雅範</t>
  </si>
  <si>
    <t>上原　成貴</t>
  </si>
  <si>
    <t>木城　健太</t>
  </si>
  <si>
    <t>佐々井　誠也</t>
  </si>
  <si>
    <t>佐々木　英雄</t>
  </si>
  <si>
    <t>下田　拓哉</t>
  </si>
  <si>
    <t>髙橋　航介</t>
  </si>
  <si>
    <t>西村　崇</t>
  </si>
  <si>
    <t>松浦　将志</t>
  </si>
  <si>
    <t>松原　仁</t>
  </si>
  <si>
    <t>森本　将司</t>
  </si>
  <si>
    <t>八坂　龍之介</t>
  </si>
  <si>
    <t>矢野　紘平</t>
  </si>
  <si>
    <t>吉元　剛</t>
  </si>
  <si>
    <t>秋本　廉斗</t>
  </si>
  <si>
    <t>麻生　侑希</t>
  </si>
  <si>
    <t>安達　正信</t>
  </si>
  <si>
    <t>穴井　久徳</t>
  </si>
  <si>
    <t>阿部　啓</t>
  </si>
  <si>
    <t>阿部　健介</t>
  </si>
  <si>
    <t>安部　裕樹</t>
  </si>
  <si>
    <t>阿部　真尋</t>
  </si>
  <si>
    <t>安部　衛</t>
  </si>
  <si>
    <t>阿部　優磨</t>
  </si>
  <si>
    <t>荒牧　聡</t>
  </si>
  <si>
    <t>有永　咲</t>
  </si>
  <si>
    <t>安藤　和明</t>
  </si>
  <si>
    <t>安東　佑剛</t>
  </si>
  <si>
    <t>井伊　利大</t>
  </si>
  <si>
    <t>池永　陽琥</t>
  </si>
  <si>
    <t>石橋　将</t>
  </si>
  <si>
    <t>石丸　恵登</t>
  </si>
  <si>
    <t>泉　丈一郎</t>
  </si>
  <si>
    <t>一色　隆紀</t>
  </si>
  <si>
    <t>井手　陽太</t>
  </si>
  <si>
    <t>井手　温稀</t>
  </si>
  <si>
    <t>稲葉　和博</t>
  </si>
  <si>
    <t>稲葉　紳之介</t>
  </si>
  <si>
    <t>岩男　樹希也</t>
  </si>
  <si>
    <t>岩田　璃空</t>
  </si>
  <si>
    <t>岩中　海璃</t>
  </si>
  <si>
    <t>上原　保</t>
  </si>
  <si>
    <t>上村　歩生</t>
  </si>
  <si>
    <t>上森　海司</t>
  </si>
  <si>
    <t>宇野　一星</t>
  </si>
  <si>
    <t>榮森　結菜</t>
  </si>
  <si>
    <t>衛藤　さすけ</t>
  </si>
  <si>
    <t>衛藤　蒼羽</t>
  </si>
  <si>
    <t>衞藤　勇</t>
  </si>
  <si>
    <t>江藤　康博</t>
  </si>
  <si>
    <t>江藤　悠斗</t>
  </si>
  <si>
    <t>大河　聡</t>
  </si>
  <si>
    <t>大峯　陸</t>
  </si>
  <si>
    <t>岡　航太郎</t>
  </si>
  <si>
    <t>岡　正樹</t>
  </si>
  <si>
    <t>岡部　正典</t>
  </si>
  <si>
    <t>小倉　優弥</t>
  </si>
  <si>
    <t>小野　昂輝</t>
  </si>
  <si>
    <t>小野　悠樹</t>
  </si>
  <si>
    <t>小原　陸</t>
  </si>
  <si>
    <t>金森　海樹</t>
  </si>
  <si>
    <t>金山　将希</t>
  </si>
  <si>
    <t>金子　寛太</t>
  </si>
  <si>
    <t>金崎　悠斗</t>
  </si>
  <si>
    <t>金田　煌矢</t>
  </si>
  <si>
    <t>金當　悠也</t>
  </si>
  <si>
    <t>川上　徐生</t>
  </si>
  <si>
    <t>川副　優斗</t>
  </si>
  <si>
    <t>川田　裕之</t>
  </si>
  <si>
    <t>河村　忠起</t>
  </si>
  <si>
    <t>川村　悠介</t>
  </si>
  <si>
    <t>神﨑　斗亜</t>
  </si>
  <si>
    <t>神崎　雅且</t>
  </si>
  <si>
    <t>神田　遼太郎</t>
  </si>
  <si>
    <t>木谷　大希</t>
  </si>
  <si>
    <t>北林　佑心</t>
  </si>
  <si>
    <t>北村　鴻尚</t>
  </si>
  <si>
    <t>木津　翔貴</t>
  </si>
  <si>
    <t>吉良　昌一郎</t>
  </si>
  <si>
    <t>吉良　匠生</t>
  </si>
  <si>
    <t>黒田　歩</t>
  </si>
  <si>
    <t>小泉　逹邦</t>
  </si>
  <si>
    <t>河野　慧大</t>
  </si>
  <si>
    <t>小林　新明</t>
  </si>
  <si>
    <t>後藤　拓人</t>
  </si>
  <si>
    <t>後藤　暖翔</t>
  </si>
  <si>
    <t>後藤　雅弥</t>
  </si>
  <si>
    <t>後藤　竜樹</t>
  </si>
  <si>
    <t>堺　彩葉</t>
  </si>
  <si>
    <t>坂井　孝行</t>
  </si>
  <si>
    <t>酒井　大空翔</t>
  </si>
  <si>
    <t>坂井　祐介</t>
  </si>
  <si>
    <t>坂本　海</t>
  </si>
  <si>
    <t>坂本　翔</t>
  </si>
  <si>
    <t>相良　漣音</t>
  </si>
  <si>
    <t>佐古　慎之助</t>
  </si>
  <si>
    <t>佐藤　伸哉</t>
  </si>
  <si>
    <t>佐藤　崇真</t>
  </si>
  <si>
    <t>佐藤　成</t>
  </si>
  <si>
    <t>佐藤　悠樹</t>
  </si>
  <si>
    <t>佐藤　博哉</t>
  </si>
  <si>
    <t>佐藤　光浩</t>
  </si>
  <si>
    <t>澤井　一颯</t>
  </si>
  <si>
    <t>椎原　吟峨</t>
  </si>
  <si>
    <t>汐月　達也</t>
  </si>
  <si>
    <t>志手　佑守</t>
  </si>
  <si>
    <t>嶋津　藍夢</t>
  </si>
  <si>
    <t>清水　和記</t>
  </si>
  <si>
    <t>下山　直也</t>
  </si>
  <si>
    <t>首藤　瑚春</t>
  </si>
  <si>
    <t>白井　紘彰</t>
  </si>
  <si>
    <t>新納　信彦</t>
  </si>
  <si>
    <t>曽我　大樹</t>
  </si>
  <si>
    <t>高倉　暖基</t>
  </si>
  <si>
    <t>高崎　純之介</t>
  </si>
  <si>
    <t>髙橋　昂希</t>
  </si>
  <si>
    <t>髙橋　璃央</t>
  </si>
  <si>
    <t>髙山　僚太</t>
  </si>
  <si>
    <t>竹内　崇士</t>
  </si>
  <si>
    <t>竹田　皓一</t>
  </si>
  <si>
    <t>竹中　健悟</t>
  </si>
  <si>
    <t>竹本　徠愛</t>
  </si>
  <si>
    <t>田崎　順嗣</t>
  </si>
  <si>
    <t>田代　真士</t>
  </si>
  <si>
    <t>田多　智晴</t>
  </si>
  <si>
    <t>立川　粋人</t>
  </si>
  <si>
    <t>田中　脩翔</t>
  </si>
  <si>
    <t>田中　誠</t>
  </si>
  <si>
    <t>田邉　研昇</t>
  </si>
  <si>
    <t>田吹　奏太</t>
  </si>
  <si>
    <t>玉正　龍蒼</t>
  </si>
  <si>
    <t>地原　陽斗</t>
  </si>
  <si>
    <t>辻野　優吾</t>
  </si>
  <si>
    <t>出口　雅也</t>
  </si>
  <si>
    <t>利光　洋介</t>
  </si>
  <si>
    <t>飛瀬　龍宝</t>
  </si>
  <si>
    <t>友松　駿斗</t>
  </si>
  <si>
    <t>友松　力</t>
  </si>
  <si>
    <t>豊田　葵</t>
  </si>
  <si>
    <t>中島　拓郎</t>
  </si>
  <si>
    <t>中島　大介</t>
  </si>
  <si>
    <t>中畑　晴和</t>
  </si>
  <si>
    <t>永嶋　竜太朗</t>
  </si>
  <si>
    <t>永冨　斗</t>
  </si>
  <si>
    <t>長野　諄也</t>
  </si>
  <si>
    <t>長野　仁樹</t>
  </si>
  <si>
    <t>長光　飛輝</t>
  </si>
  <si>
    <t>西　海輝</t>
  </si>
  <si>
    <t>野田　泰紀</t>
  </si>
  <si>
    <t>橋口　優斗</t>
  </si>
  <si>
    <t>林　知徳</t>
  </si>
  <si>
    <t>早見　裕基</t>
  </si>
  <si>
    <t>原　稜磨</t>
  </si>
  <si>
    <t>飯田　佳亮</t>
  </si>
  <si>
    <t>飯田　侑平</t>
  </si>
  <si>
    <t>馬場　悠士郎</t>
  </si>
  <si>
    <t>東　拓史</t>
  </si>
  <si>
    <t>東　美月</t>
  </si>
  <si>
    <t>日隈　心靖</t>
  </si>
  <si>
    <t>泥谷　貫太</t>
  </si>
  <si>
    <t>日高　聖也</t>
  </si>
  <si>
    <t>平井　桜晴</t>
  </si>
  <si>
    <t>平田　尚翔</t>
  </si>
  <si>
    <t>廣池　樂</t>
  </si>
  <si>
    <t>廣田　智納</t>
  </si>
  <si>
    <t>藤田　淳也</t>
  </si>
  <si>
    <t>藤髙　温希</t>
  </si>
  <si>
    <t>藤本　貴裕</t>
  </si>
  <si>
    <t>舩津　滉太郎</t>
  </si>
  <si>
    <t>豊東　龍司</t>
  </si>
  <si>
    <t>宝珠　咲羽</t>
  </si>
  <si>
    <t>星　享佑</t>
  </si>
  <si>
    <t>堀　菜々美</t>
  </si>
  <si>
    <t>堀切　鈴央</t>
  </si>
  <si>
    <t>堀田　信斗</t>
  </si>
  <si>
    <t>本田　光宣</t>
  </si>
  <si>
    <t>松井　悠斗</t>
  </si>
  <si>
    <t>松岡　祐太</t>
  </si>
  <si>
    <t>松木　優飛</t>
  </si>
  <si>
    <t>松胴　煌</t>
  </si>
  <si>
    <t>松永　康汰</t>
  </si>
  <si>
    <t>水本　純平</t>
  </si>
  <si>
    <t>道頭　学</t>
  </si>
  <si>
    <t>南　樹吏</t>
  </si>
  <si>
    <t>宮川　咲輝</t>
  </si>
  <si>
    <t>森　勇大</t>
  </si>
  <si>
    <t>森田　廉也</t>
  </si>
  <si>
    <t>安松　稜</t>
  </si>
  <si>
    <t>柳井　秀斗</t>
  </si>
  <si>
    <t>矢野　晃也</t>
  </si>
  <si>
    <t>山本　和慧</t>
  </si>
  <si>
    <t>山本　光彦</t>
  </si>
  <si>
    <t>幸重　頼人</t>
  </si>
  <si>
    <t>弓削　ひらり</t>
  </si>
  <si>
    <t>吉谷　俊哉</t>
  </si>
  <si>
    <t>吉田　翼</t>
  </si>
  <si>
    <t>渡邊　修平</t>
  </si>
  <si>
    <t>渡邉　雄敏</t>
  </si>
  <si>
    <t>渡邉　陸斗</t>
  </si>
  <si>
    <t>国東ジュニアサッカークラブ</t>
  </si>
  <si>
    <t>中津沖代ジュニアサッカークラブ</t>
  </si>
  <si>
    <t>カティオーラフットボールクラブＵ－１２　Ｎｅｘｔ</t>
  </si>
  <si>
    <t>カティオーラフットボールクラブＵ－１２　Ｆｕｔｕｒｅ</t>
  </si>
  <si>
    <t>彦陽ジュニアサッカークラブ</t>
  </si>
  <si>
    <t>建　来和</t>
  </si>
  <si>
    <t>タテ　ライト</t>
  </si>
  <si>
    <t>本多　太惺</t>
  </si>
  <si>
    <t>ホンダ　タイセイ</t>
  </si>
  <si>
    <t>伊藤　朔麻</t>
  </si>
  <si>
    <t>イトウ　サクマ</t>
  </si>
  <si>
    <t>千原　蓮己</t>
  </si>
  <si>
    <t>チハラ　レンゴ</t>
  </si>
  <si>
    <t>吉谷　海翔</t>
  </si>
  <si>
    <t>ヨシタニ　カイト</t>
  </si>
  <si>
    <t>財津　洸希</t>
  </si>
  <si>
    <t>ザイツ　コウキ</t>
  </si>
  <si>
    <t>幸　龍弥</t>
  </si>
  <si>
    <t>ユキ　タツヤ</t>
  </si>
  <si>
    <t>伊藤　翠</t>
  </si>
  <si>
    <t>小山　清志郎</t>
  </si>
  <si>
    <t>松尾　俊輝</t>
  </si>
  <si>
    <t>高倉　佑心</t>
  </si>
  <si>
    <t>藤原　聖希</t>
  </si>
  <si>
    <t>山本　真輝</t>
  </si>
  <si>
    <t>豊永　優人</t>
  </si>
  <si>
    <t>トヨナガ　ユウト</t>
  </si>
  <si>
    <t>大力　隼翔</t>
  </si>
  <si>
    <t>ダイリキ　ハヤト</t>
  </si>
  <si>
    <t>髙橋　旺太郎</t>
  </si>
  <si>
    <t>タカハシ　オウタロウ</t>
  </si>
  <si>
    <t>川野　樹</t>
  </si>
  <si>
    <t>幡手　蓮</t>
  </si>
  <si>
    <t>銅野　男児</t>
  </si>
  <si>
    <t>高畑　敦仁</t>
  </si>
  <si>
    <t>和田　大里</t>
  </si>
  <si>
    <t>川端　一誓</t>
  </si>
  <si>
    <t>羽賀　遼太郎</t>
  </si>
  <si>
    <t>ハガ　リョウタロウ</t>
  </si>
  <si>
    <t>高橋　なな子</t>
  </si>
  <si>
    <t>タカハシ　ナナコ</t>
  </si>
  <si>
    <t>南　翔真</t>
  </si>
  <si>
    <t>吉田　律</t>
  </si>
  <si>
    <t>冨来　柊介</t>
  </si>
  <si>
    <t>トミク　シュウスケ</t>
  </si>
  <si>
    <t>青野　良誠</t>
  </si>
  <si>
    <t>アオノ　リョウセイ</t>
  </si>
  <si>
    <t>末廣　皇也</t>
  </si>
  <si>
    <t>喜久里　怜央</t>
  </si>
  <si>
    <t>桑原　光希</t>
  </si>
  <si>
    <t>尾川　勇冴</t>
  </si>
  <si>
    <t>稲吉　夢月</t>
  </si>
  <si>
    <t>上川　颯太</t>
  </si>
  <si>
    <t>上家　伯斗</t>
  </si>
  <si>
    <t>坂内　陸斗</t>
  </si>
  <si>
    <t>迫　大輔</t>
  </si>
  <si>
    <t>中川　友喜</t>
  </si>
  <si>
    <t>荻本　拓摩</t>
  </si>
  <si>
    <t>廣瀬　健支</t>
  </si>
  <si>
    <t>ヒロセ　ケンシ</t>
  </si>
  <si>
    <t>日名子　隼弥</t>
  </si>
  <si>
    <t>前田　麟</t>
  </si>
  <si>
    <t>ゴトウ　ユウダイ</t>
  </si>
  <si>
    <t>平松　篤仁</t>
  </si>
  <si>
    <t>坂田　琉仁</t>
  </si>
  <si>
    <t>サカタ　リュウト</t>
  </si>
  <si>
    <t>エトウ　ソウスケ</t>
  </si>
  <si>
    <t>黒田　陸</t>
  </si>
  <si>
    <t>クロダ　リク</t>
  </si>
  <si>
    <t>山口　颯太</t>
  </si>
  <si>
    <t>渡辺　大起</t>
  </si>
  <si>
    <t>恒成　洋吉</t>
  </si>
  <si>
    <t>田崎　大夢</t>
  </si>
  <si>
    <t>江口　佳樹</t>
  </si>
  <si>
    <t>岩尾　岳東</t>
  </si>
  <si>
    <t>塔元　想弥</t>
  </si>
  <si>
    <t>岡山　銀臣</t>
  </si>
  <si>
    <t>オカヤマ　ギンジ</t>
  </si>
  <si>
    <t>堀内　瑛嗣</t>
  </si>
  <si>
    <t>平山　聖佳</t>
  </si>
  <si>
    <t>小松　未来</t>
  </si>
  <si>
    <t>栗山　夕弦</t>
  </si>
  <si>
    <t>植山　碧</t>
  </si>
  <si>
    <t>伊賀上　智竣</t>
  </si>
  <si>
    <t>イガウエ　チハヤ</t>
  </si>
  <si>
    <t>上田　晄斗</t>
  </si>
  <si>
    <t>渡邉　雅功</t>
  </si>
  <si>
    <t>ワタナベ　ガク</t>
  </si>
  <si>
    <t>清家　世良</t>
  </si>
  <si>
    <t>セイケ　セラ</t>
  </si>
  <si>
    <t>八藤　晴那</t>
  </si>
  <si>
    <t>小川　颯介</t>
  </si>
  <si>
    <t>オガワ　ソウスケ</t>
  </si>
  <si>
    <t>塩月　宗右</t>
  </si>
  <si>
    <t>シオツキ　ソウ</t>
  </si>
  <si>
    <t>黒岩　伴次</t>
  </si>
  <si>
    <t>江藤　陽</t>
  </si>
  <si>
    <t>工藤　栄伸</t>
  </si>
  <si>
    <t>小野　平良</t>
  </si>
  <si>
    <t>末永　廉</t>
  </si>
  <si>
    <t>安達　嘉人</t>
  </si>
  <si>
    <t>宗　孝志郎</t>
  </si>
  <si>
    <t>川田　侑</t>
  </si>
  <si>
    <t>カワタ　アツム</t>
  </si>
  <si>
    <t>佐脇　暖斗</t>
  </si>
  <si>
    <t>武田　七生</t>
  </si>
  <si>
    <t>横山　玲志</t>
  </si>
  <si>
    <t>ヨコヤマ　レイシ</t>
  </si>
  <si>
    <t>柴田　柚希</t>
  </si>
  <si>
    <t>大島　湊</t>
  </si>
  <si>
    <t>矢野　海斗</t>
  </si>
  <si>
    <t>ヤノ　カイト</t>
  </si>
  <si>
    <t>本田　一葵</t>
  </si>
  <si>
    <t>河野　結人</t>
  </si>
  <si>
    <t>首藤　晴道</t>
  </si>
  <si>
    <t>葛城　佑真</t>
  </si>
  <si>
    <t>塚田　英翔</t>
  </si>
  <si>
    <t>大石　凌久</t>
  </si>
  <si>
    <t>馬﨑　隆世</t>
  </si>
  <si>
    <t>佐藤　蓮</t>
  </si>
  <si>
    <t>市原　旦陽</t>
  </si>
  <si>
    <t>庄司　幸平</t>
  </si>
  <si>
    <t>姫野　遥登</t>
  </si>
  <si>
    <t>オノ　アオト</t>
  </si>
  <si>
    <t>河野　蒼良</t>
  </si>
  <si>
    <t>湯之原　旺輔</t>
  </si>
  <si>
    <t>天﨑　圭太朗</t>
  </si>
  <si>
    <t>汐月　春斗</t>
  </si>
  <si>
    <t>シオツキ　ハルト</t>
  </si>
  <si>
    <t>河野　安璃</t>
  </si>
  <si>
    <t>阿部　唯信</t>
  </si>
  <si>
    <t>平野　聖樹</t>
  </si>
  <si>
    <t>元島　拓海</t>
  </si>
  <si>
    <t>清田　蒼介</t>
  </si>
  <si>
    <t>ミシロ　ヨウ</t>
  </si>
  <si>
    <t>磯部　輝</t>
  </si>
  <si>
    <t>佐藤　弘人</t>
  </si>
  <si>
    <t>佐藤　快奏</t>
  </si>
  <si>
    <t>エトウ　コウスケ</t>
  </si>
  <si>
    <t>後藤　拓海</t>
  </si>
  <si>
    <t>坂本　凰心郎</t>
  </si>
  <si>
    <t>カイ　ミナト</t>
  </si>
  <si>
    <t>後藤　渚玖</t>
  </si>
  <si>
    <t>廣瀬　圭</t>
  </si>
  <si>
    <t>廣瀬　開</t>
  </si>
  <si>
    <t>河野　凜</t>
  </si>
  <si>
    <t>福田　翼</t>
  </si>
  <si>
    <t>河野　蘭心</t>
  </si>
  <si>
    <t>伊東　空我</t>
  </si>
  <si>
    <t>小栗　佑斗</t>
  </si>
  <si>
    <t>小田　遥杏</t>
  </si>
  <si>
    <t>堀　萌々華</t>
  </si>
  <si>
    <t>宮川　葵</t>
  </si>
  <si>
    <t>井　成生</t>
  </si>
  <si>
    <t>イ　ナルキ</t>
  </si>
  <si>
    <t>前田　隆之介</t>
  </si>
  <si>
    <t>後藤　丈平</t>
  </si>
  <si>
    <t>土谷　兼世</t>
  </si>
  <si>
    <t>友永　大翔</t>
  </si>
  <si>
    <t>三宮　悠人</t>
  </si>
  <si>
    <t>生野　陽大</t>
  </si>
  <si>
    <t>野尻　風羽</t>
  </si>
  <si>
    <t>内田　麟太朗</t>
  </si>
  <si>
    <t>木本　悠太</t>
  </si>
  <si>
    <t>釘宮　康人</t>
  </si>
  <si>
    <t>堀　晴翔</t>
  </si>
  <si>
    <t>タカナミ　リョウマ</t>
  </si>
  <si>
    <t>カワベ　トウゴ</t>
  </si>
  <si>
    <t>牧野　寛大</t>
  </si>
  <si>
    <t>阿部　聡介</t>
  </si>
  <si>
    <t>アベ　ソウスケ</t>
  </si>
  <si>
    <t>西藤　顕吾</t>
  </si>
  <si>
    <t>諌山　心空</t>
  </si>
  <si>
    <t>匹田　心絆</t>
  </si>
  <si>
    <t>是永　啓助</t>
  </si>
  <si>
    <t>コレナガ　ケイタ</t>
  </si>
  <si>
    <t>江藤　大稀</t>
  </si>
  <si>
    <t>西田　遼斗</t>
  </si>
  <si>
    <t>ニシダ　ハルト</t>
  </si>
  <si>
    <t>日高　颯真</t>
  </si>
  <si>
    <t>敷嶋　健翔</t>
  </si>
  <si>
    <t>牧　凛生</t>
  </si>
  <si>
    <t>佐藤　蓮斗</t>
  </si>
  <si>
    <t>原田　蒼汰</t>
  </si>
  <si>
    <t>石崎　寧々</t>
  </si>
  <si>
    <t>後藤　生翔</t>
  </si>
  <si>
    <t>ゴトウ　イクト</t>
  </si>
  <si>
    <t>後藤　大翔</t>
  </si>
  <si>
    <t>ゴトウ　タイガ</t>
  </si>
  <si>
    <t>後藤　蒼翔</t>
  </si>
  <si>
    <t>萱田　桜凰</t>
  </si>
  <si>
    <t>カヤタ　レオ</t>
  </si>
  <si>
    <t>和田　彩人</t>
  </si>
  <si>
    <t>ワダ　アヤト</t>
  </si>
  <si>
    <t>山崎　璃道</t>
  </si>
  <si>
    <t>ヤマサキ　リドウ</t>
  </si>
  <si>
    <t>後藤　絢人</t>
  </si>
  <si>
    <t>ゴトウ　アヤト</t>
  </si>
  <si>
    <t>村山　ことね</t>
  </si>
  <si>
    <t>ムラヤマ　コトネ</t>
  </si>
  <si>
    <t>下元　脩希</t>
  </si>
  <si>
    <t>シモモト　ハルキ</t>
  </si>
  <si>
    <t>泉　琉希</t>
  </si>
  <si>
    <t>今永　和希</t>
  </si>
  <si>
    <t>渡邊　俊太朗</t>
  </si>
  <si>
    <t>永竿　友大</t>
  </si>
  <si>
    <t>幸　歩夢</t>
  </si>
  <si>
    <t>小畠　健</t>
  </si>
  <si>
    <t>三浦　悠生</t>
  </si>
  <si>
    <t>竹内　新汰</t>
  </si>
  <si>
    <t>高月　海真</t>
  </si>
  <si>
    <t>タカツキ　カイシン</t>
  </si>
  <si>
    <t>首藤　悠緋</t>
  </si>
  <si>
    <t>大茂　蓮人</t>
  </si>
  <si>
    <t>秋吉　侃太</t>
  </si>
  <si>
    <t>アキヨシ　カンタ</t>
  </si>
  <si>
    <t>大野　拓翔</t>
  </si>
  <si>
    <t>オオノ　タクト</t>
  </si>
  <si>
    <t>行平　健晟</t>
  </si>
  <si>
    <t>ユキヒラ　ケンセイ</t>
  </si>
  <si>
    <t>渡邊　光稀</t>
  </si>
  <si>
    <t>成田　怜</t>
  </si>
  <si>
    <t>羽田野　陸</t>
  </si>
  <si>
    <t>廣田　瑠依</t>
  </si>
  <si>
    <t>ヒロタ　ルイ</t>
  </si>
  <si>
    <t>本田　光</t>
  </si>
  <si>
    <t>ホンダ　レイ</t>
  </si>
  <si>
    <t>イノウエ　ハルト</t>
  </si>
  <si>
    <t>上野　晃斗</t>
  </si>
  <si>
    <t>ウエノ　アキト</t>
  </si>
  <si>
    <t>木村　琳一</t>
  </si>
  <si>
    <t>宇野　藤獅郎</t>
  </si>
  <si>
    <t>池田　蒼梧</t>
  </si>
  <si>
    <t>中鶴　悠翔</t>
  </si>
  <si>
    <t>大塚　優河</t>
  </si>
  <si>
    <t>西江　真翔</t>
  </si>
  <si>
    <t>石田　頼樹</t>
  </si>
  <si>
    <t>椎原　健太</t>
  </si>
  <si>
    <t>花川　龍生</t>
  </si>
  <si>
    <t>椎葉　琉稀</t>
  </si>
  <si>
    <t>シイバ　ルキ</t>
  </si>
  <si>
    <t>政村　春瑠</t>
  </si>
  <si>
    <t>マサムラ　ハル</t>
  </si>
  <si>
    <t>児玉　颯汰</t>
  </si>
  <si>
    <t>ワタナベ　マサムネ</t>
  </si>
  <si>
    <t>安部　伍輝</t>
  </si>
  <si>
    <t>アベ　イツキ</t>
  </si>
  <si>
    <t>桑田　優辰</t>
  </si>
  <si>
    <t>佐藤　大和</t>
  </si>
  <si>
    <t>田中　進太郎</t>
  </si>
  <si>
    <t>山本　京次郎</t>
  </si>
  <si>
    <t>ヤマモト　キョウジロウ</t>
  </si>
  <si>
    <t>アベ　ソウマ</t>
  </si>
  <si>
    <t>薬師寺　洵翔</t>
  </si>
  <si>
    <t>眞庭　航</t>
  </si>
  <si>
    <t>椎原　颯哉</t>
  </si>
  <si>
    <t>伊東　武流</t>
  </si>
  <si>
    <t>イトウ　タケル</t>
  </si>
  <si>
    <t>依田　侑大</t>
  </si>
  <si>
    <t>ヨダ　ユウダイ</t>
  </si>
  <si>
    <t>山本　康人</t>
  </si>
  <si>
    <t>ヤマモト　ヤスヒト</t>
  </si>
  <si>
    <t>佐藤　湊斗</t>
  </si>
  <si>
    <t>サトウ　ミナト</t>
  </si>
  <si>
    <t>藤原　颯大</t>
  </si>
  <si>
    <t>フジワラ　ソウタ</t>
  </si>
  <si>
    <t>河野　朔</t>
  </si>
  <si>
    <t>小野　剛瑠</t>
  </si>
  <si>
    <t>帆足　太陽</t>
  </si>
  <si>
    <t>土屋　樹平</t>
  </si>
  <si>
    <t>安部　悠真</t>
  </si>
  <si>
    <t>北山　春斗</t>
  </si>
  <si>
    <t>栗林　透我</t>
  </si>
  <si>
    <t>古野　光臥</t>
  </si>
  <si>
    <t>宮田　柊真</t>
  </si>
  <si>
    <t>亀井　嘉人</t>
  </si>
  <si>
    <t>下瀬　魁莉</t>
  </si>
  <si>
    <t>桑原　匡輝</t>
  </si>
  <si>
    <t>廣瀬　彩杜</t>
  </si>
  <si>
    <t>山本　大海</t>
  </si>
  <si>
    <t>三浦　航雅</t>
  </si>
  <si>
    <t>ミウラ　コウガ</t>
  </si>
  <si>
    <t>郡田　匠</t>
  </si>
  <si>
    <t>吉田　悠真</t>
  </si>
  <si>
    <t>深田　吏都</t>
  </si>
  <si>
    <t>フカタ　リツ</t>
  </si>
  <si>
    <t>田口　椋雅</t>
  </si>
  <si>
    <t>工藤　陽稀</t>
  </si>
  <si>
    <t>足達　蒼介</t>
  </si>
  <si>
    <t>向　一志</t>
  </si>
  <si>
    <t>岡部　悠李</t>
  </si>
  <si>
    <t>オカベ　ユウリ</t>
  </si>
  <si>
    <t>松垣　龍空</t>
  </si>
  <si>
    <t>井上　楓斗</t>
  </si>
  <si>
    <t>加藤　慶大</t>
  </si>
  <si>
    <t>田口　朔久</t>
  </si>
  <si>
    <t>タグチ　サク</t>
  </si>
  <si>
    <t>後藤　瑛斗</t>
  </si>
  <si>
    <t>ゴトウ　エイト</t>
  </si>
  <si>
    <t>栗本　真帆</t>
  </si>
  <si>
    <t>佐藤　稜悟</t>
  </si>
  <si>
    <t>中野　祥汰</t>
  </si>
  <si>
    <t>諌山　永遠</t>
  </si>
  <si>
    <t>碇山　大貴</t>
  </si>
  <si>
    <t>久保﨑　兆</t>
  </si>
  <si>
    <t>立花　煉</t>
  </si>
  <si>
    <t>吉田　圭吾</t>
  </si>
  <si>
    <t>ヨシダ　ケイゴ</t>
  </si>
  <si>
    <t>河野　智咲</t>
  </si>
  <si>
    <t>カワノ　チサキ</t>
  </si>
  <si>
    <t>竹中　啓悟</t>
  </si>
  <si>
    <t>高山　尚大</t>
  </si>
  <si>
    <t>サトウ　ソウマ</t>
  </si>
  <si>
    <t>本村　湊士</t>
  </si>
  <si>
    <t>福田　悠之介</t>
  </si>
  <si>
    <t>田尻　真路</t>
  </si>
  <si>
    <t>橋本　竜人</t>
  </si>
  <si>
    <t>工藤　快翔</t>
  </si>
  <si>
    <t>矢野　虎士朗</t>
  </si>
  <si>
    <t>生野　晴斗</t>
  </si>
  <si>
    <t>荒井　応生</t>
  </si>
  <si>
    <t>坪根　央汰</t>
  </si>
  <si>
    <t>後藤　蓮汰</t>
  </si>
  <si>
    <t>垂水　彰智</t>
  </si>
  <si>
    <t>末神　天世</t>
  </si>
  <si>
    <t>田中　湊人</t>
  </si>
  <si>
    <t>吉崎　晴登</t>
  </si>
  <si>
    <t>高崎　藍太郎</t>
  </si>
  <si>
    <t>酒迎　瑛太</t>
  </si>
  <si>
    <t>濱内　大輝</t>
  </si>
  <si>
    <t>原田　一瑳</t>
  </si>
  <si>
    <t>中村　神童</t>
  </si>
  <si>
    <t>小野　倫平</t>
  </si>
  <si>
    <t>林　虎空</t>
  </si>
  <si>
    <t>結城　寛太</t>
  </si>
  <si>
    <t>船津　幸矢</t>
  </si>
  <si>
    <t>フナツ　コウヤ</t>
  </si>
  <si>
    <t>中川　泰良</t>
  </si>
  <si>
    <t>大津　瑞斗</t>
  </si>
  <si>
    <t>奈須　虎太郎</t>
  </si>
  <si>
    <t>髙橋　悠真</t>
  </si>
  <si>
    <t>須川　礼理</t>
  </si>
  <si>
    <t>中津</t>
    <rPh sb="0" eb="2">
      <t>ナカツ</t>
    </rPh>
    <phoneticPr fontId="29"/>
  </si>
  <si>
    <t>別府</t>
    <rPh sb="0" eb="2">
      <t>ベップ</t>
    </rPh>
    <phoneticPr fontId="29"/>
  </si>
  <si>
    <t>ディーアクト（D-ACT）スポーツパーク永添(永添運動公園)
人工芝多目的グラウンド</t>
    <phoneticPr fontId="110"/>
  </si>
  <si>
    <t>宇佐市平成令和の森スポーツ公園</t>
    <rPh sb="5" eb="7">
      <t>レイワ</t>
    </rPh>
    <phoneticPr fontId="110"/>
  </si>
  <si>
    <t>宇佐市院内町原口146-1</t>
    <phoneticPr fontId="110"/>
  </si>
  <si>
    <t>豊後大野市三重町百枝1086番地273</t>
    <phoneticPr fontId="110"/>
  </si>
  <si>
    <t>恵藤建設サン・スポーツランド(サン・スポーツランドみえ)</t>
    <phoneticPr fontId="110"/>
  </si>
  <si>
    <t>臼杵・津久見</t>
    <rPh sb="0" eb="2">
      <t>ウスキ</t>
    </rPh>
    <phoneticPr fontId="110"/>
  </si>
  <si>
    <t>佐伯市総合運動公園人工芝グラウンド</t>
    <phoneticPr fontId="110"/>
  </si>
  <si>
    <t>佐伯市大字長谷2614番地</t>
    <rPh sb="11" eb="13">
      <t>バンチ</t>
    </rPh>
    <phoneticPr fontId="110"/>
  </si>
  <si>
    <t>マッチコミッショナー</t>
  </si>
  <si>
    <r>
      <t xml:space="preserve">次回戦進出チームの決定方法は、1次リーグ・2次リーグにおいては、Ⅰ:勝点（勝3点　分け1点　負0点）　Ⅱ:当該チームの戦績　Ⅲ:PK戦の順で順位を決定する。1次リーグ・2次リーグにおいて、3チーム共に同率時のPK戦を行う場合は、2連勝したチームが次回戦進出とする。
</t>
    </r>
    <r>
      <rPr>
        <sz val="10"/>
        <rFont val="HG丸ｺﾞｼｯｸM-PRO"/>
        <family val="3"/>
        <charset val="128"/>
      </rPr>
      <t>（次回戦進出チームを決定するPK方式においてフィールドプレーヤーをゴールキーパーとする場合、その選手と同番号のゴールキーパーユニフォームまたはサブユニフォームのシャツを着用させる。）</t>
    </r>
    <rPh sb="0" eb="2">
      <t>ジカイ</t>
    </rPh>
    <rPh sb="2" eb="3">
      <t>セン</t>
    </rPh>
    <rPh sb="3" eb="5">
      <t>シンシュツ</t>
    </rPh>
    <rPh sb="9" eb="11">
      <t>ケッテイ</t>
    </rPh>
    <rPh sb="11" eb="13">
      <t>ホウホウ</t>
    </rPh>
    <phoneticPr fontId="29"/>
  </si>
  <si>
    <t>寒田．敷戸ＦＣ</t>
  </si>
  <si>
    <t>15,16</t>
    <phoneticPr fontId="29"/>
  </si>
  <si>
    <t>全枠空きにならないように、長考しながら調整</t>
    <rPh sb="0" eb="2">
      <t>ゼンワク</t>
    </rPh>
    <rPh sb="2" eb="3">
      <t>ア</t>
    </rPh>
    <rPh sb="13" eb="15">
      <t>チョウコウ</t>
    </rPh>
    <rPh sb="19" eb="21">
      <t>チョウセイ</t>
    </rPh>
    <phoneticPr fontId="29"/>
  </si>
  <si>
    <t>内海　輝月</t>
  </si>
  <si>
    <t>ウツミ　ヒマル</t>
  </si>
  <si>
    <t>阿南　綾祐</t>
  </si>
  <si>
    <t>宮崎　大珠</t>
  </si>
  <si>
    <t>ミヤザキ　タイジュ</t>
  </si>
  <si>
    <t>黒木　丈介</t>
  </si>
  <si>
    <t>クロキ　ジョウスケ</t>
  </si>
  <si>
    <t>井上　大馳</t>
  </si>
  <si>
    <t>イノウエ　タイチ</t>
  </si>
  <si>
    <t>渡邉　聡典</t>
  </si>
  <si>
    <t>ワタナベ　ソウスケ</t>
  </si>
  <si>
    <t>尾形　智希</t>
  </si>
  <si>
    <t>今井　琉雅</t>
  </si>
  <si>
    <t>佐藤　銀</t>
  </si>
  <si>
    <t>松木　悠歩</t>
  </si>
  <si>
    <t>梶原　慶</t>
  </si>
  <si>
    <t>衛藤　新</t>
  </si>
  <si>
    <t>エトウ　シン</t>
  </si>
  <si>
    <t>吉田　幸永</t>
  </si>
  <si>
    <t>ヨシダ　ユキヒサ</t>
  </si>
  <si>
    <t>平川　蒼士郎</t>
  </si>
  <si>
    <t>ヒラカワ　ソウジロウ</t>
  </si>
  <si>
    <t>今仁　桃南</t>
  </si>
  <si>
    <t>蓮輪　蒼真</t>
  </si>
  <si>
    <t>竹島　琉生</t>
  </si>
  <si>
    <t>タケシマ　ルイ</t>
  </si>
  <si>
    <t>合原　秀馬</t>
  </si>
  <si>
    <t>ゴウバラ　シュウマ</t>
  </si>
  <si>
    <t>量山　慶宗</t>
  </si>
  <si>
    <t>リョウザン　ヨシムネ</t>
  </si>
  <si>
    <t>荒巻　央琥</t>
  </si>
  <si>
    <t>アラマキ　オウガ</t>
  </si>
  <si>
    <t>酒井　脩翔</t>
  </si>
  <si>
    <t>サカイ　シュウト</t>
  </si>
  <si>
    <t>三浦　颯真</t>
  </si>
  <si>
    <t>ミウラ　ソウマ</t>
  </si>
  <si>
    <t>河野　結斗</t>
  </si>
  <si>
    <t>コウノ　ユイト</t>
  </si>
  <si>
    <t>本多　蓮雅</t>
  </si>
  <si>
    <t>ホンダ　レンマ</t>
  </si>
  <si>
    <t>大石　卓矢</t>
  </si>
  <si>
    <t>オオイシ　タクヤ</t>
  </si>
  <si>
    <t>板井　月音</t>
  </si>
  <si>
    <t>イタイ　ツキノ</t>
  </si>
  <si>
    <t>中磨　詩乃</t>
  </si>
  <si>
    <t>ナカマ　シノ</t>
  </si>
  <si>
    <t>吉田　慶知</t>
  </si>
  <si>
    <t>ヨシダ　ケイジ</t>
  </si>
  <si>
    <t>平野　亜紗妃</t>
  </si>
  <si>
    <t>ヒラノ　アサヒ</t>
  </si>
  <si>
    <t>河野　維月</t>
  </si>
  <si>
    <t>小谷瀬　悠</t>
  </si>
  <si>
    <t>コヤセ　ユウ</t>
  </si>
  <si>
    <t>今西　叶</t>
  </si>
  <si>
    <t>イマニシ　カナト</t>
  </si>
  <si>
    <t>高橋　悠太郎</t>
  </si>
  <si>
    <t>タカハシ　ユウタロウ</t>
  </si>
  <si>
    <t>平川　凛空</t>
  </si>
  <si>
    <t>ヒラカワ　リク</t>
  </si>
  <si>
    <t>松本　蒼介</t>
  </si>
  <si>
    <t>マツモト　ソウスケ</t>
  </si>
  <si>
    <t>稲用　泰士</t>
  </si>
  <si>
    <t>イナモチ　タイシ</t>
  </si>
  <si>
    <t>麻生　大暉</t>
  </si>
  <si>
    <t>アソウ　ダイキ</t>
  </si>
  <si>
    <t>末廣　三樹也</t>
  </si>
  <si>
    <t>スエヒロ　ミキヤ</t>
  </si>
  <si>
    <t>小川　悠斗</t>
  </si>
  <si>
    <t>竹山　碧人</t>
  </si>
  <si>
    <t>ヨシダ　ハルマ</t>
  </si>
  <si>
    <t>ゴトウ　コウセイ</t>
  </si>
  <si>
    <t>廣瀬　叶真</t>
  </si>
  <si>
    <t>ヒロセ　トウマ</t>
  </si>
  <si>
    <t>足立　昊之輔</t>
  </si>
  <si>
    <t>三代　大誠</t>
  </si>
  <si>
    <t>ミシロ　タイセイ</t>
  </si>
  <si>
    <t>東田　悠伸</t>
  </si>
  <si>
    <t>トウダ　ユウシン</t>
  </si>
  <si>
    <t>トオヤ　ハヤト</t>
  </si>
  <si>
    <t>後藤　彩羽</t>
  </si>
  <si>
    <t>ゴトウ　イロハ</t>
  </si>
  <si>
    <t>繁昌　璃斗</t>
  </si>
  <si>
    <t>ハンジョウ　リト</t>
  </si>
  <si>
    <t>後藤　蒼空</t>
  </si>
  <si>
    <t>ゴトウ　ソラ</t>
  </si>
  <si>
    <t>大関　尚春</t>
  </si>
  <si>
    <t>オオゼキ　ナオハル</t>
  </si>
  <si>
    <t>古屋　輝優</t>
  </si>
  <si>
    <t>コヤ　ソウマ</t>
  </si>
  <si>
    <t>吉田　結希人</t>
  </si>
  <si>
    <t>ヨシダ　ユキヒト</t>
  </si>
  <si>
    <t>坂本　愛斗</t>
  </si>
  <si>
    <t>サカモト　マナト</t>
  </si>
  <si>
    <t>犬塚　鉄生</t>
  </si>
  <si>
    <t>イヌヅカ　テッショウ</t>
  </si>
  <si>
    <t>中原　一華</t>
  </si>
  <si>
    <t>ナカハラ　イチカ</t>
  </si>
  <si>
    <t>坂本　華</t>
  </si>
  <si>
    <t>首藤　優貴</t>
  </si>
  <si>
    <t>シュトウ　ユウキ</t>
  </si>
  <si>
    <t>田原　颯冴</t>
  </si>
  <si>
    <t>タハラ　ソウゴ</t>
  </si>
  <si>
    <t>田原　隼輝</t>
  </si>
  <si>
    <t>タハラ　ハヤテ</t>
  </si>
  <si>
    <t>香川　柊真</t>
  </si>
  <si>
    <t>桑野　鉄世</t>
  </si>
  <si>
    <t>クワノ　テッセイ</t>
  </si>
  <si>
    <t>田中　修斗</t>
  </si>
  <si>
    <t>山田　晴香</t>
  </si>
  <si>
    <t>田中　遥翔</t>
  </si>
  <si>
    <t>東　蒼太</t>
  </si>
  <si>
    <t>古間地　悠愛</t>
  </si>
  <si>
    <t>フルマジ　ユウア</t>
  </si>
  <si>
    <t>伊東　琉彩</t>
  </si>
  <si>
    <t>イトウ　リュウア</t>
  </si>
  <si>
    <t>畑辺　杏</t>
  </si>
  <si>
    <t>ハタベ　アン</t>
  </si>
  <si>
    <t>池田　蒼月</t>
  </si>
  <si>
    <t>イケダ　アツキ</t>
  </si>
  <si>
    <t>元木　蓮哉</t>
  </si>
  <si>
    <t>モトキ　レンヤ</t>
  </si>
  <si>
    <t>岩尾　奈瑞菜</t>
  </si>
  <si>
    <t>イワオ　ナズナ</t>
  </si>
  <si>
    <t>堀内　琥嗣</t>
  </si>
  <si>
    <t>ホリウチ　コウシ</t>
  </si>
  <si>
    <t>林　稜久</t>
  </si>
  <si>
    <t>塔元　陽南太</t>
  </si>
  <si>
    <t>トウモト　ヒナタ</t>
  </si>
  <si>
    <t>曽我　歩夢</t>
  </si>
  <si>
    <t>ソガ　アユム</t>
  </si>
  <si>
    <t>佐野　湊斗</t>
  </si>
  <si>
    <t>サノ　ミナト</t>
  </si>
  <si>
    <t>増田　山人</t>
  </si>
  <si>
    <t>マスダ　ヤマト</t>
  </si>
  <si>
    <t>菅野　悠翔</t>
  </si>
  <si>
    <t>秋吉　太耀</t>
  </si>
  <si>
    <t>アキヨシ　タイヨウ</t>
  </si>
  <si>
    <t>岩田　千諒</t>
  </si>
  <si>
    <t>平山　丈</t>
  </si>
  <si>
    <t>卯花　慶太</t>
  </si>
  <si>
    <t>藤丸　敦毅</t>
  </si>
  <si>
    <t>井手　奏太</t>
  </si>
  <si>
    <t>宇土　碧波</t>
  </si>
  <si>
    <t>ウト　アオバ</t>
  </si>
  <si>
    <t>田中　友梧</t>
  </si>
  <si>
    <t>タナカ　ユウゴ</t>
  </si>
  <si>
    <t>堀部　心桜</t>
  </si>
  <si>
    <t>ホリベ　コハル</t>
  </si>
  <si>
    <t>恒任　結斗</t>
  </si>
  <si>
    <t>ツネトウ　ユイト</t>
  </si>
  <si>
    <t>恒成　大智</t>
  </si>
  <si>
    <t>ツネナリ　ダイチ</t>
  </si>
  <si>
    <t>ヤマダ　カリン</t>
  </si>
  <si>
    <t>有永　睦基</t>
  </si>
  <si>
    <t>アリナガ　ムツキ</t>
  </si>
  <si>
    <t>上田　真絆斗</t>
  </si>
  <si>
    <t>ウエダ　マナト</t>
  </si>
  <si>
    <t>高司　蓮</t>
  </si>
  <si>
    <t>タカツカ　レン</t>
  </si>
  <si>
    <t>岡村　茉白</t>
  </si>
  <si>
    <t>オカムラ　マシロ</t>
  </si>
  <si>
    <t>矢石　皇惺</t>
  </si>
  <si>
    <t>ヤイシ　コウセイ</t>
  </si>
  <si>
    <t>福泉　咲希</t>
  </si>
  <si>
    <t>フクイズミ　サキ</t>
  </si>
  <si>
    <t>木許　真極人</t>
  </si>
  <si>
    <t>キモト　マキト</t>
  </si>
  <si>
    <t>黒木　徠己</t>
  </si>
  <si>
    <t>クロキ　ライミ</t>
  </si>
  <si>
    <t>秋元　ほまれ</t>
  </si>
  <si>
    <t>アキモト　ホマレ</t>
  </si>
  <si>
    <t>兒玉　直樹</t>
  </si>
  <si>
    <t>イトウ　シュンタ</t>
  </si>
  <si>
    <t>小野　哲平</t>
  </si>
  <si>
    <t>吉野内　歩真</t>
  </si>
  <si>
    <t>ヨシノウチ　アユマ</t>
  </si>
  <si>
    <t>上野　杏莉</t>
  </si>
  <si>
    <t>ウエノ　アンリ</t>
  </si>
  <si>
    <t>日吉　獅恩</t>
  </si>
  <si>
    <t>ヒヨシ　シオン</t>
  </si>
  <si>
    <t>簀戸　洋翔</t>
  </si>
  <si>
    <t>スド　ヒロト</t>
  </si>
  <si>
    <t>神崎　陽貴</t>
  </si>
  <si>
    <t>カンザキ　ハルキ</t>
  </si>
  <si>
    <t>井野本　煌羽</t>
  </si>
  <si>
    <t>イノモト　コウ</t>
  </si>
  <si>
    <t>松尾　怜咲佑</t>
  </si>
  <si>
    <t>マツオ　レイショウ</t>
  </si>
  <si>
    <t>井野本　瑠羽</t>
  </si>
  <si>
    <t>イノモト　ルウ</t>
  </si>
  <si>
    <t>古賀　結景</t>
  </si>
  <si>
    <t>佐藤　嗣翔</t>
  </si>
  <si>
    <t>山下　葵斗</t>
  </si>
  <si>
    <t>西　寛太郎</t>
  </si>
  <si>
    <t>岩尾　結夏</t>
  </si>
  <si>
    <t>岩尾　幸芽</t>
  </si>
  <si>
    <t>平井　澄昂</t>
  </si>
  <si>
    <t>仲道　悠雅</t>
  </si>
  <si>
    <t>ナカミチ　ユウガ</t>
  </si>
  <si>
    <t>山本　峻</t>
  </si>
  <si>
    <t>ヤマモト　シュン</t>
  </si>
  <si>
    <t>森　健留</t>
  </si>
  <si>
    <t>モリ　タケル</t>
  </si>
  <si>
    <t>平井　晃暉</t>
  </si>
  <si>
    <t>戎野　琉</t>
  </si>
  <si>
    <t>加藤　大和</t>
  </si>
  <si>
    <t>水永　陽花太</t>
  </si>
  <si>
    <t>藤内　陸叶</t>
  </si>
  <si>
    <t>下川　蓮</t>
  </si>
  <si>
    <t>梶原　琉翔</t>
  </si>
  <si>
    <t>貝嶋　悠月</t>
  </si>
  <si>
    <t>橋本　万璃</t>
  </si>
  <si>
    <t>藤原　頼翔</t>
  </si>
  <si>
    <t>木許　賀琥</t>
  </si>
  <si>
    <t>高橋　新ノ介</t>
  </si>
  <si>
    <t>小林　咲翔</t>
  </si>
  <si>
    <t>上杉　結希</t>
  </si>
  <si>
    <t>黒木　颯馬</t>
  </si>
  <si>
    <t>久冨　かりん</t>
  </si>
  <si>
    <t>ヒサトミ　カリン</t>
  </si>
  <si>
    <t>安部　咲</t>
  </si>
  <si>
    <t>アベ　サキ</t>
  </si>
  <si>
    <t>竹内　順之丞</t>
  </si>
  <si>
    <t>タケウチ　ジュンノスケ</t>
  </si>
  <si>
    <t>宮脇　黄鈴</t>
  </si>
  <si>
    <t>ミヤワキ　キリン</t>
  </si>
  <si>
    <t>楢橋　心羽</t>
  </si>
  <si>
    <t>ナラハシ　コハネ</t>
  </si>
  <si>
    <t>江藤　翼</t>
  </si>
  <si>
    <t>エトウ　ツバサ</t>
  </si>
  <si>
    <t>川谷　仁</t>
  </si>
  <si>
    <t>カワタニ　ジン</t>
  </si>
  <si>
    <t>シュトウ　ケンシン</t>
  </si>
  <si>
    <t>山﨑　碧真</t>
  </si>
  <si>
    <t>ヤマサキ　アオマ</t>
  </si>
  <si>
    <t>山﨑　颯真</t>
  </si>
  <si>
    <t>ヤマサキ　ソウマ</t>
  </si>
  <si>
    <t>小野　烈魁</t>
  </si>
  <si>
    <t>オノ　レッカ</t>
  </si>
  <si>
    <t>草野　煌太</t>
  </si>
  <si>
    <t>クサノ　コウタ</t>
  </si>
  <si>
    <t>岡原　瑞月</t>
  </si>
  <si>
    <t>オカハラ　ミヅキ</t>
  </si>
  <si>
    <t>二ノ宮　颯太</t>
  </si>
  <si>
    <t>ニノミヤ　ソウタ</t>
  </si>
  <si>
    <t>財津　凱吏</t>
  </si>
  <si>
    <t>三澤　碧空</t>
  </si>
  <si>
    <t>ミサワ　ソラ</t>
  </si>
  <si>
    <t>仁部屋　友希</t>
  </si>
  <si>
    <t>渡邉　洸太</t>
  </si>
  <si>
    <t>吉永　虎太郎</t>
  </si>
  <si>
    <t>三浦　颯斗</t>
  </si>
  <si>
    <t>ミウラ　ハヤト</t>
  </si>
  <si>
    <t>松下　新</t>
  </si>
  <si>
    <t>マツシタ　アラタ</t>
  </si>
  <si>
    <t>和田　湊樹</t>
  </si>
  <si>
    <t>ワダ　ソウキ</t>
  </si>
  <si>
    <t>林　瑛斗</t>
  </si>
  <si>
    <t>森山　琉亜</t>
  </si>
  <si>
    <t>楠　由希</t>
  </si>
  <si>
    <t>阿孫　悠琉</t>
  </si>
  <si>
    <t>アソン　ハル</t>
  </si>
  <si>
    <t>石黒　大智</t>
  </si>
  <si>
    <t>小川　英志</t>
  </si>
  <si>
    <t>オガワ　エイジ</t>
  </si>
  <si>
    <t>中村　一心</t>
  </si>
  <si>
    <t>ナカムラ　イッシン</t>
  </si>
  <si>
    <t>森田　亘英</t>
  </si>
  <si>
    <t>モリタ　ノブヒデ</t>
  </si>
  <si>
    <t>山村　夏樹</t>
  </si>
  <si>
    <t>ヤマムラ　ナツキ</t>
  </si>
  <si>
    <t>廣岡　光楓</t>
  </si>
  <si>
    <t>ヒロオカ　ヒカル</t>
  </si>
  <si>
    <t>緒方　唯翔</t>
  </si>
  <si>
    <t>オガタ　ユウト</t>
  </si>
  <si>
    <t>一万田　蓮</t>
  </si>
  <si>
    <t>西村　央</t>
  </si>
  <si>
    <t>ニシムラ　オウ</t>
  </si>
  <si>
    <t>オノ　オウシロウ</t>
  </si>
  <si>
    <t>佐藤　魁音</t>
  </si>
  <si>
    <t>サトウ　カイト</t>
  </si>
  <si>
    <t>甲斐　錬介</t>
  </si>
  <si>
    <t>カイ　レンスケ</t>
  </si>
  <si>
    <t>櫛間　椿</t>
  </si>
  <si>
    <t>クシマ　ツバキ</t>
  </si>
  <si>
    <t>岩尾　彩華</t>
  </si>
  <si>
    <t>イワオ　アヤカ</t>
  </si>
  <si>
    <t>山田　汐菜</t>
  </si>
  <si>
    <t>ヤマダ　セナ</t>
  </si>
  <si>
    <t>清原　睦貴</t>
  </si>
  <si>
    <t>キヨハラ　ムツキ</t>
  </si>
  <si>
    <t>武田　歩睦</t>
  </si>
  <si>
    <t>タケダ　アユム</t>
  </si>
  <si>
    <t>赤木　海音</t>
  </si>
  <si>
    <t>アカギ　カイト</t>
  </si>
  <si>
    <t>帆足　昂太</t>
  </si>
  <si>
    <t>須藤　暖望</t>
  </si>
  <si>
    <t>山﨑　音和</t>
  </si>
  <si>
    <t>ヤマサキ　トオ</t>
  </si>
  <si>
    <t>佐藤　天晴</t>
  </si>
  <si>
    <t>サトウ　テンセイ</t>
  </si>
  <si>
    <t>松田　瑞規</t>
  </si>
  <si>
    <t>マツダ　ミズキ</t>
  </si>
  <si>
    <t>斎藤　尊</t>
  </si>
  <si>
    <t>サイトウ　タケル</t>
  </si>
  <si>
    <t>石井　智也</t>
  </si>
  <si>
    <t>イシイ　トモヤ</t>
  </si>
  <si>
    <t>二宮　渉</t>
  </si>
  <si>
    <t>ニノミヤ　ワタル</t>
  </si>
  <si>
    <t>佐藤　想真</t>
  </si>
  <si>
    <t>益子　航</t>
  </si>
  <si>
    <t>マシコ　ワタル</t>
  </si>
  <si>
    <t>福田　翔</t>
  </si>
  <si>
    <t>フクダ　ショウ</t>
  </si>
  <si>
    <t>工藤　日向登</t>
  </si>
  <si>
    <t>岩田　光琉</t>
  </si>
  <si>
    <t>イワタ　ヒカル</t>
  </si>
  <si>
    <t>円本　桜瀬</t>
  </si>
  <si>
    <t>エンモト　オウセ</t>
  </si>
  <si>
    <t>桑原　唯人</t>
  </si>
  <si>
    <t>浜田　倫太郎</t>
  </si>
  <si>
    <t>植田　琉海</t>
  </si>
  <si>
    <t>木田　翔大郎</t>
  </si>
  <si>
    <t>大野　広翔</t>
  </si>
  <si>
    <t>亀山　竜聖</t>
  </si>
  <si>
    <t>岩永　泰生</t>
  </si>
  <si>
    <t>イワナガ　タイセイ</t>
  </si>
  <si>
    <t>遠藤　征生</t>
  </si>
  <si>
    <t>エンドウ　マサキ</t>
  </si>
  <si>
    <t>濱岡　聖也</t>
  </si>
  <si>
    <t>ハマオカ　セイヤ</t>
  </si>
  <si>
    <t>九鬼丸　あいり</t>
  </si>
  <si>
    <t>ハヤシ　コウタ</t>
  </si>
  <si>
    <t>山室　青空</t>
  </si>
  <si>
    <t>坂本　仁之丞</t>
  </si>
  <si>
    <t>サカモト　ジンノスケ</t>
  </si>
  <si>
    <t>小石　蓮</t>
  </si>
  <si>
    <t>コイシ　レン</t>
  </si>
  <si>
    <t>小村　翔琉</t>
  </si>
  <si>
    <t>コムラ　ハル</t>
  </si>
  <si>
    <t>九鬼丸　拓光</t>
  </si>
  <si>
    <t>クキマル　タクミ</t>
  </si>
  <si>
    <t>松尾　唯叶</t>
  </si>
  <si>
    <t>マツオ　ユイト</t>
  </si>
  <si>
    <t>吉浦　竣亮</t>
  </si>
  <si>
    <t>ヨシウラ　シュンスケ</t>
  </si>
  <si>
    <t>江口　泰生</t>
  </si>
  <si>
    <t>船田　侑生</t>
  </si>
  <si>
    <t>福澤　煌雅</t>
  </si>
  <si>
    <t>岡本　蓮音</t>
  </si>
  <si>
    <t>阿部　哲大</t>
  </si>
  <si>
    <t>アベ　テツト</t>
  </si>
  <si>
    <t>今村　幸介</t>
  </si>
  <si>
    <t>隈田原　湧真</t>
  </si>
  <si>
    <t>クマタバラ　ユウマ</t>
  </si>
  <si>
    <t>田中　悠聖</t>
  </si>
  <si>
    <t>タナカ　ユウセイ</t>
  </si>
  <si>
    <t>渡邉　彰太</t>
  </si>
  <si>
    <t>南　怜</t>
  </si>
  <si>
    <t>村上　魁仁</t>
  </si>
  <si>
    <t>大庭　将暉</t>
  </si>
  <si>
    <t>樋渡　ひかる</t>
  </si>
  <si>
    <t>喜多　陽喜</t>
  </si>
  <si>
    <t>キタ　ハルキ</t>
  </si>
  <si>
    <t>井上　篤志</t>
  </si>
  <si>
    <t>イノウエ　アツシ</t>
  </si>
  <si>
    <t>長澤　友輝</t>
  </si>
  <si>
    <t>ナガサワ　トモキ</t>
  </si>
  <si>
    <t>中西　眞翔</t>
  </si>
  <si>
    <t>ナカニシ　マナト</t>
  </si>
  <si>
    <t>小野　湊人</t>
  </si>
  <si>
    <t>オノ　ミナト</t>
  </si>
  <si>
    <t>後藤　壮志</t>
  </si>
  <si>
    <t>山上　大智</t>
  </si>
  <si>
    <t>丸田　恵也</t>
  </si>
  <si>
    <t>マルタ　ケイヤ</t>
  </si>
  <si>
    <t>牛野　瑛太</t>
  </si>
  <si>
    <t>ウシノ　エイタ</t>
  </si>
  <si>
    <t>三ノ宮　作太郎</t>
  </si>
  <si>
    <t>サンノミヤ　サクタロウ</t>
  </si>
  <si>
    <t>カマモト　コウキ</t>
  </si>
  <si>
    <t>岩田　優生</t>
  </si>
  <si>
    <t>イワタ　ユウセイ</t>
  </si>
  <si>
    <t>加藤　匠也</t>
  </si>
  <si>
    <t>カトウ　ショウヤ</t>
  </si>
  <si>
    <t>豊饒　蓮斗</t>
  </si>
  <si>
    <t>ブニョウ　レント</t>
  </si>
  <si>
    <t>深田　絆人</t>
  </si>
  <si>
    <t>フカタ　ハント</t>
  </si>
  <si>
    <t>矢野　佑伍</t>
  </si>
  <si>
    <t>ヤノ　ユウゴ</t>
  </si>
  <si>
    <t>畑上　湊</t>
  </si>
  <si>
    <t>ハタガミ　ミナト</t>
  </si>
  <si>
    <t>甲斐　悠聖</t>
  </si>
  <si>
    <t>高橋　桜将</t>
  </si>
  <si>
    <t>タカハシ　オウスケ</t>
  </si>
  <si>
    <t>安野　七音</t>
  </si>
  <si>
    <t>ヤスノ　ナオト</t>
  </si>
  <si>
    <t>了戒　煌空</t>
  </si>
  <si>
    <t>リョウカイ　キラ</t>
  </si>
  <si>
    <t>大嶋　智敬</t>
  </si>
  <si>
    <t>小野　遥翔</t>
  </si>
  <si>
    <t>阿部　涼平</t>
  </si>
  <si>
    <t>首藤　蒼世</t>
  </si>
  <si>
    <t>シュトウ　ソウセイ</t>
  </si>
  <si>
    <t>渡邉　羽</t>
  </si>
  <si>
    <t>ワタナベ　ハク</t>
  </si>
  <si>
    <t>幸　空來</t>
  </si>
  <si>
    <t>ユキ　ソラ</t>
  </si>
  <si>
    <t>小川　駆琉</t>
  </si>
  <si>
    <t>オガワ　カケル</t>
  </si>
  <si>
    <t>池部　歩夢</t>
  </si>
  <si>
    <t>イケベ　アユム</t>
  </si>
  <si>
    <t>伊藤　春輝</t>
  </si>
  <si>
    <t>阿部　璃來</t>
  </si>
  <si>
    <t>馬場　栄汰</t>
  </si>
  <si>
    <t>ババ　エイタ</t>
  </si>
  <si>
    <t>野崎　佑斗</t>
  </si>
  <si>
    <t>ノザキ　ユウト</t>
  </si>
  <si>
    <t>荻原　そら</t>
  </si>
  <si>
    <t>山崎　遼太郎</t>
  </si>
  <si>
    <t>ヤマサキ　リョウタロウ</t>
  </si>
  <si>
    <t>秋吉　結菜</t>
  </si>
  <si>
    <t>アキヨシ　ユイナ</t>
  </si>
  <si>
    <t>伊藤　美結</t>
  </si>
  <si>
    <t>イトウ　ミユ</t>
  </si>
  <si>
    <t>此本　晴仁</t>
  </si>
  <si>
    <t>コノモト　ハルヒト</t>
  </si>
  <si>
    <t>高井　琉雅</t>
  </si>
  <si>
    <t>タカイ　リュウガ</t>
  </si>
  <si>
    <t>山本　悠真</t>
  </si>
  <si>
    <t>ヤマモト　ユウマ</t>
  </si>
  <si>
    <t>橋迫　大河</t>
  </si>
  <si>
    <t>谷　廉太朗</t>
  </si>
  <si>
    <t>増井　蒼介</t>
  </si>
  <si>
    <t>マスイ　ソウスケ</t>
  </si>
  <si>
    <t>松尾　瑛斗</t>
  </si>
  <si>
    <t>阿南　大和</t>
  </si>
  <si>
    <t>アナミ　ヤマト</t>
  </si>
  <si>
    <t>市原　琉生</t>
  </si>
  <si>
    <t>安藤　心翔</t>
  </si>
  <si>
    <t>アンドウ　マナト</t>
  </si>
  <si>
    <t>永松　知康</t>
  </si>
  <si>
    <t>ナガマツ　トモヤス</t>
  </si>
  <si>
    <t>土屋　澄怜</t>
  </si>
  <si>
    <t>ツチヤ　スミレ</t>
  </si>
  <si>
    <t>佐田　稜祐</t>
  </si>
  <si>
    <t>サダ　リョウスケ</t>
  </si>
  <si>
    <t>大野　航大</t>
  </si>
  <si>
    <t>オオノ　コウダイ</t>
  </si>
  <si>
    <t>村上　真威人</t>
  </si>
  <si>
    <t>ムラカミ　マイト</t>
  </si>
  <si>
    <t>阿南　慧大</t>
  </si>
  <si>
    <t>アナン　ケイタ</t>
  </si>
  <si>
    <t>甲斐　朔人</t>
  </si>
  <si>
    <t>カイ　サクト</t>
  </si>
  <si>
    <t>高峯　咲太郎</t>
  </si>
  <si>
    <t>タカミネ　サクタロウ</t>
  </si>
  <si>
    <t>ウエノ　ソウスケ</t>
  </si>
  <si>
    <t>廣見　優雅</t>
  </si>
  <si>
    <t>利光　流雅</t>
  </si>
  <si>
    <t>中山　蒼人</t>
  </si>
  <si>
    <t>松本　優志</t>
  </si>
  <si>
    <t>マツモト　ユウシ</t>
  </si>
  <si>
    <t>仲摩　晴渡</t>
  </si>
  <si>
    <t>ナカマ　ハルト</t>
  </si>
  <si>
    <t>小松　直輝</t>
  </si>
  <si>
    <t>コマツ　ナオキ</t>
  </si>
  <si>
    <t>芦刈　仁</t>
  </si>
  <si>
    <t>松下　詩音</t>
  </si>
  <si>
    <t>橋本　拓翔</t>
  </si>
  <si>
    <t>ハシモト　タクト</t>
  </si>
  <si>
    <t>佐藤　永祐</t>
  </si>
  <si>
    <t>サトウ　エイスケ</t>
  </si>
  <si>
    <t>西川　幸多</t>
  </si>
  <si>
    <t>ニシカワ　コウタ</t>
  </si>
  <si>
    <t>ソノダ　カイラ</t>
  </si>
  <si>
    <t>矢野　拓己</t>
  </si>
  <si>
    <t>ヤノ　タクミ</t>
  </si>
  <si>
    <t>橋本　理央</t>
  </si>
  <si>
    <t>ハシモト　リオ</t>
  </si>
  <si>
    <t>森本　悠斗</t>
  </si>
  <si>
    <t>モリモト　ユウト</t>
  </si>
  <si>
    <t>松尾　颯磨</t>
  </si>
  <si>
    <t>松田　煌</t>
  </si>
  <si>
    <t>萱島　奏太</t>
  </si>
  <si>
    <t>田中　煌晟</t>
  </si>
  <si>
    <t>石田　琉生</t>
  </si>
  <si>
    <t>藤井　巧真</t>
  </si>
  <si>
    <t>川上　倫央</t>
  </si>
  <si>
    <t>園　智尋</t>
  </si>
  <si>
    <t>實方　萌莉</t>
  </si>
  <si>
    <t>川野　優斗</t>
  </si>
  <si>
    <t>山﨑　楓</t>
  </si>
  <si>
    <t>佐田　優心</t>
  </si>
  <si>
    <t>サダ　ユウシン</t>
  </si>
  <si>
    <t>大塚　遥希</t>
  </si>
  <si>
    <t>オオツカ　ハルキ</t>
  </si>
  <si>
    <t>佐藤　祐翔</t>
  </si>
  <si>
    <t>サトウ　ユウト</t>
  </si>
  <si>
    <t>麻生　明秀</t>
  </si>
  <si>
    <t>平川　雄惺</t>
  </si>
  <si>
    <t>下瀬　琥珀</t>
  </si>
  <si>
    <t>シモセ　コハク</t>
  </si>
  <si>
    <t>矢野　遥陽</t>
  </si>
  <si>
    <t>ヤノ　ハルヒ</t>
  </si>
  <si>
    <t>清水　絃太郎</t>
  </si>
  <si>
    <t>シミズ　ゲンタロウ</t>
  </si>
  <si>
    <t>東　定臣</t>
  </si>
  <si>
    <t>ヒガシ　サダオミ</t>
  </si>
  <si>
    <t>橘　巧工</t>
  </si>
  <si>
    <t>タチバナ　タク</t>
  </si>
  <si>
    <t>幸　駿翔</t>
  </si>
  <si>
    <t>吉良　太輝</t>
  </si>
  <si>
    <t>キラ　タイキ</t>
  </si>
  <si>
    <t>梶原　有翔</t>
  </si>
  <si>
    <t>竹尾　蓮司</t>
  </si>
  <si>
    <t>小野　琥太郎</t>
  </si>
  <si>
    <t>田羽多　利希亜</t>
  </si>
  <si>
    <t>秋月　太一</t>
  </si>
  <si>
    <t>梅尾　俊介</t>
  </si>
  <si>
    <t>横山　成毅</t>
  </si>
  <si>
    <t>岩本　蒼</t>
  </si>
  <si>
    <t>安元　伊月</t>
  </si>
  <si>
    <t>髙松　航輔</t>
  </si>
  <si>
    <t>タカマツ　コウスケ</t>
  </si>
  <si>
    <t>黒田　琉生</t>
  </si>
  <si>
    <t>クロダ　リュウキ</t>
  </si>
  <si>
    <t>幸長　淳斗</t>
  </si>
  <si>
    <t>ユキナガ　アツト</t>
  </si>
  <si>
    <t>宮下　陽真</t>
  </si>
  <si>
    <t>ミヤシタ　ハルマ</t>
  </si>
  <si>
    <t>幸長　梨央</t>
  </si>
  <si>
    <t>ユキナガ　リオ</t>
  </si>
  <si>
    <t>安部　菜央</t>
  </si>
  <si>
    <t>アンベ　ナオ</t>
  </si>
  <si>
    <t>東　昊ノ輔</t>
  </si>
  <si>
    <t>ヒガシ　コウノスケ</t>
  </si>
  <si>
    <t>平山　凪</t>
  </si>
  <si>
    <t>ヒラヤマ　ナギ</t>
  </si>
  <si>
    <t>工藤　陽斗</t>
  </si>
  <si>
    <t>クドウ　ハルト</t>
  </si>
  <si>
    <t>河野　陽斗</t>
  </si>
  <si>
    <t>鶴岡　晃汰</t>
  </si>
  <si>
    <t>日野　真治</t>
  </si>
  <si>
    <t>三浦　遥輝</t>
  </si>
  <si>
    <t>工藤　悠真</t>
  </si>
  <si>
    <t>野呂　心人</t>
  </si>
  <si>
    <t>上野　輝翔</t>
  </si>
  <si>
    <t>ウエノ　ライト</t>
  </si>
  <si>
    <t>遠藤　陽希</t>
  </si>
  <si>
    <t>エンドウ　ハルキ</t>
  </si>
  <si>
    <t>伊東　俊紀</t>
  </si>
  <si>
    <t>小林　央宜</t>
  </si>
  <si>
    <t>諏訪　要</t>
  </si>
  <si>
    <t>田島　勇波</t>
  </si>
  <si>
    <t>佐藤　空也</t>
  </si>
  <si>
    <t>サトウ　ソラ</t>
  </si>
  <si>
    <t>木下　凌佑</t>
  </si>
  <si>
    <t>塚本　楓空</t>
  </si>
  <si>
    <t>河野　祐生</t>
  </si>
  <si>
    <t>戸田　将成</t>
  </si>
  <si>
    <t>中園　侑吾</t>
  </si>
  <si>
    <t>ナカゾノ　ユウゴ</t>
  </si>
  <si>
    <t>志賀　大巳</t>
  </si>
  <si>
    <t>シガ　ヒロミ</t>
  </si>
  <si>
    <t>沖本　将吾</t>
  </si>
  <si>
    <t>オキモト　ショウゴ</t>
  </si>
  <si>
    <t>西耒路　歩夢</t>
  </si>
  <si>
    <t>サイライジ　アユム</t>
  </si>
  <si>
    <t>園田　永愛</t>
  </si>
  <si>
    <t>ソノダ　トア</t>
  </si>
  <si>
    <t>児島　一颯</t>
  </si>
  <si>
    <t>甲斐　睦人</t>
  </si>
  <si>
    <t>池田　春翔</t>
  </si>
  <si>
    <t>松川　詠斗</t>
  </si>
  <si>
    <t>小平　靖空</t>
  </si>
  <si>
    <t>コダイラ　セア</t>
  </si>
  <si>
    <t>佐藤　由晟</t>
  </si>
  <si>
    <t>サトウ　ユウセイ</t>
  </si>
  <si>
    <t>首藤　織人</t>
  </si>
  <si>
    <t>シュトウ　オリト</t>
  </si>
  <si>
    <t>矢野　聖志朗</t>
  </si>
  <si>
    <t>ヤノ　セイシロウ</t>
  </si>
  <si>
    <t>上原　光然</t>
  </si>
  <si>
    <t>ウエハラ　コウゼン</t>
  </si>
  <si>
    <t>矢野　晴</t>
  </si>
  <si>
    <t>ヤノ　ハル</t>
  </si>
  <si>
    <t>関　湊士</t>
  </si>
  <si>
    <t>セキ　ソウシ</t>
  </si>
  <si>
    <t>佐藤　仁哉</t>
  </si>
  <si>
    <t>サトウ　ジンヤ</t>
  </si>
  <si>
    <t>江藤　夢磨</t>
  </si>
  <si>
    <t>河野　煌大</t>
  </si>
  <si>
    <t>カワノ　コウダイ</t>
  </si>
  <si>
    <t>後藤　竜成</t>
  </si>
  <si>
    <t>ゴトウ　リュウセイ</t>
  </si>
  <si>
    <t>淵野　勇汰</t>
  </si>
  <si>
    <t>後藤　直大</t>
  </si>
  <si>
    <t>ゴトウ　ナオ</t>
  </si>
  <si>
    <t>河野　陽介</t>
  </si>
  <si>
    <t>村上　瑛翔</t>
  </si>
  <si>
    <t>平川　朝陽</t>
  </si>
  <si>
    <t>尾林　秀哉</t>
  </si>
  <si>
    <t>稲垣　樹紀</t>
  </si>
  <si>
    <t>イナガキ　イツキ</t>
  </si>
  <si>
    <t>勘崎　優衣</t>
  </si>
  <si>
    <t>カンザキ　ユイ</t>
  </si>
  <si>
    <t>木付　柊斗</t>
  </si>
  <si>
    <t>キヅキ　シュウト</t>
  </si>
  <si>
    <t>立山　心詠</t>
  </si>
  <si>
    <t>河野　快音</t>
  </si>
  <si>
    <t>カワノ　カイト</t>
  </si>
  <si>
    <t>中村　碧大</t>
  </si>
  <si>
    <t>川野　颯斗</t>
  </si>
  <si>
    <t>清原　大絆</t>
  </si>
  <si>
    <t>松前　明日斗</t>
  </si>
  <si>
    <t>川端　陸夢</t>
  </si>
  <si>
    <t>カワバタ　リム</t>
  </si>
  <si>
    <t>奥原　大和</t>
  </si>
  <si>
    <t>内山　嶺弥</t>
  </si>
  <si>
    <t>西田　斗真</t>
  </si>
  <si>
    <t>平川　悠太</t>
  </si>
  <si>
    <t>倉富　奏大</t>
  </si>
  <si>
    <t>松尾　宗助</t>
  </si>
  <si>
    <t>元永　央人</t>
  </si>
  <si>
    <t>中山　煌</t>
  </si>
  <si>
    <t>江藤　友輝</t>
  </si>
  <si>
    <t>本多　大河</t>
  </si>
  <si>
    <t>柾木　陸</t>
  </si>
  <si>
    <t>川村　将平</t>
  </si>
  <si>
    <t>後藤　賢斗</t>
  </si>
  <si>
    <t>成重　星那</t>
  </si>
  <si>
    <t>ナリシゲ　セイナ</t>
  </si>
  <si>
    <t>邑本　竜慎</t>
  </si>
  <si>
    <t>川野　龍空</t>
  </si>
  <si>
    <t>寺西　岳</t>
  </si>
  <si>
    <t>山本　優吾</t>
  </si>
  <si>
    <t>ヤマモト　ユウゴ</t>
  </si>
  <si>
    <t>前山　遼希</t>
  </si>
  <si>
    <t>マエヤマ　ハルキ</t>
  </si>
  <si>
    <t>藤井　夢翔</t>
  </si>
  <si>
    <t>フジイ　ユメト</t>
  </si>
  <si>
    <t>中村　洸翔</t>
  </si>
  <si>
    <t>ナカムラ　ヒロト</t>
  </si>
  <si>
    <t>河津　丈生</t>
  </si>
  <si>
    <t>カワヅ　ジョウ</t>
  </si>
  <si>
    <t>染矢　杏沙</t>
  </si>
  <si>
    <t>染矢　獅王</t>
  </si>
  <si>
    <t>ソメヤ　レオ</t>
  </si>
  <si>
    <t>岩崎　翔太</t>
  </si>
  <si>
    <t>イワサキ　ショウタ</t>
  </si>
  <si>
    <t>染矢　龍徳</t>
  </si>
  <si>
    <t>ソメヤ　リュウト</t>
  </si>
  <si>
    <t>清家　彬跳</t>
  </si>
  <si>
    <t>セイケ　アルト</t>
  </si>
  <si>
    <t>細川　榛仁</t>
  </si>
  <si>
    <t>ホソカワ　ハルト</t>
  </si>
  <si>
    <t>咸宜ＳＣ</t>
  </si>
  <si>
    <t>スマイス　セレソン　スポーツクラブＢ</t>
  </si>
  <si>
    <t>R010698128</t>
  </si>
  <si>
    <t>東　紘造</t>
  </si>
  <si>
    <t>R010700305</t>
  </si>
  <si>
    <t>伊藤　勇士</t>
  </si>
  <si>
    <t>R010698142</t>
  </si>
  <si>
    <t>伊藤　勇汰</t>
  </si>
  <si>
    <t>岡本　紗奈</t>
  </si>
  <si>
    <t>加藤　邦彦</t>
  </si>
  <si>
    <t>R010746602</t>
  </si>
  <si>
    <t>後藤　和人</t>
  </si>
  <si>
    <t>R010018266</t>
  </si>
  <si>
    <t>末信　大</t>
  </si>
  <si>
    <t>R010746601</t>
  </si>
  <si>
    <t>髙倉　普平</t>
  </si>
  <si>
    <t>R010728146</t>
  </si>
  <si>
    <t>武吉　翔平</t>
  </si>
  <si>
    <t>R010181309</t>
  </si>
  <si>
    <t>團塚　結芽</t>
  </si>
  <si>
    <t>R010698136</t>
  </si>
  <si>
    <t>塚崎　仁志</t>
  </si>
  <si>
    <t>R010746613</t>
  </si>
  <si>
    <t>蜷川　勇来</t>
  </si>
  <si>
    <t>R010700316</t>
  </si>
  <si>
    <t>日野　颯太</t>
  </si>
  <si>
    <t>R005216183</t>
  </si>
  <si>
    <t>廣田　大河</t>
  </si>
  <si>
    <t>R010698139</t>
  </si>
  <si>
    <t>山口　大空</t>
  </si>
  <si>
    <t>R010698175</t>
  </si>
  <si>
    <t>山中　将貴</t>
  </si>
  <si>
    <t>R010767669</t>
  </si>
  <si>
    <t>R010719621</t>
  </si>
  <si>
    <t>赤木　心玖朗</t>
  </si>
  <si>
    <t>R010774552</t>
  </si>
  <si>
    <t>R010746604</t>
  </si>
  <si>
    <t>秋月　拓海</t>
  </si>
  <si>
    <t>R010768399</t>
  </si>
  <si>
    <t>秋吉　愛斗</t>
  </si>
  <si>
    <t>R010728106</t>
  </si>
  <si>
    <t>R010728101</t>
  </si>
  <si>
    <t>圷　史峻</t>
  </si>
  <si>
    <t>R010775192</t>
  </si>
  <si>
    <t>R010776379</t>
  </si>
  <si>
    <t>麻生　隼佑</t>
  </si>
  <si>
    <t>R010698140</t>
  </si>
  <si>
    <t>麻生　勇太</t>
  </si>
  <si>
    <t>R010757861</t>
  </si>
  <si>
    <t>R010728134</t>
  </si>
  <si>
    <t>R010746608</t>
  </si>
  <si>
    <t>穴井　己登</t>
  </si>
  <si>
    <t>R010714973</t>
  </si>
  <si>
    <t>姉川　蓮太</t>
  </si>
  <si>
    <t>R010714989</t>
  </si>
  <si>
    <t>R010757876</t>
  </si>
  <si>
    <t>R010746658</t>
  </si>
  <si>
    <t>安部　亘平</t>
  </si>
  <si>
    <t>R010698154</t>
  </si>
  <si>
    <t>阿部　想士朗</t>
  </si>
  <si>
    <t>安部　大地</t>
  </si>
  <si>
    <t>R010774524</t>
  </si>
  <si>
    <t>R010715014</t>
  </si>
  <si>
    <t>阿部　祐世</t>
  </si>
  <si>
    <t>R010698150</t>
  </si>
  <si>
    <t>安部　優真</t>
  </si>
  <si>
    <t>R010774547</t>
  </si>
  <si>
    <t>R010728159</t>
  </si>
  <si>
    <t>荒木　雅敏</t>
  </si>
  <si>
    <t>R010700312</t>
  </si>
  <si>
    <t>荒巻　而志</t>
  </si>
  <si>
    <t>R010700311</t>
  </si>
  <si>
    <t>荒巻　乃得</t>
  </si>
  <si>
    <t>R010746624</t>
  </si>
  <si>
    <t>有田　龍起</t>
  </si>
  <si>
    <t>R010691469</t>
  </si>
  <si>
    <t>有永　元</t>
  </si>
  <si>
    <t>R010737843</t>
  </si>
  <si>
    <t>R010728170</t>
  </si>
  <si>
    <t>安藤　聡史</t>
  </si>
  <si>
    <t>R010728099</t>
  </si>
  <si>
    <t>R010728154</t>
  </si>
  <si>
    <t>R010766128</t>
  </si>
  <si>
    <t>R010698167</t>
  </si>
  <si>
    <t>池田　京司</t>
  </si>
  <si>
    <t>R010698162</t>
  </si>
  <si>
    <t>池永　葎</t>
  </si>
  <si>
    <t>R010776351</t>
  </si>
  <si>
    <t>R010775762</t>
  </si>
  <si>
    <t>R010776389</t>
  </si>
  <si>
    <t>石掛　徹</t>
  </si>
  <si>
    <t>R010737004</t>
  </si>
  <si>
    <t>R010775770</t>
  </si>
  <si>
    <t>石倉　結仁</t>
  </si>
  <si>
    <t>R010767678</t>
  </si>
  <si>
    <t>R010757871</t>
  </si>
  <si>
    <t>R010700318</t>
  </si>
  <si>
    <t>石丸　大喜</t>
  </si>
  <si>
    <t>R010088723</t>
  </si>
  <si>
    <t>和泉　拓夫</t>
  </si>
  <si>
    <t>R010728167</t>
  </si>
  <si>
    <t>R010714979</t>
  </si>
  <si>
    <t>礒崎　丈瑠</t>
  </si>
  <si>
    <t>R010728137</t>
  </si>
  <si>
    <t>R010746634</t>
  </si>
  <si>
    <t>R010776338</t>
  </si>
  <si>
    <t>板井　高志</t>
  </si>
  <si>
    <t>R010767682</t>
  </si>
  <si>
    <t>R010776346</t>
  </si>
  <si>
    <t>一万田　剛志</t>
  </si>
  <si>
    <t>R010775773</t>
  </si>
  <si>
    <t>R010768419</t>
  </si>
  <si>
    <t>R010728138</t>
  </si>
  <si>
    <t>R010767661</t>
  </si>
  <si>
    <t>R010698130</t>
  </si>
  <si>
    <t>糸永　敬</t>
  </si>
  <si>
    <t>R010757879</t>
  </si>
  <si>
    <t>糸長　比呂志</t>
  </si>
  <si>
    <t>R010767687</t>
  </si>
  <si>
    <t>糸永　良久</t>
  </si>
  <si>
    <t>R010728166</t>
  </si>
  <si>
    <t>R010719618</t>
  </si>
  <si>
    <t>井上　陽斗</t>
  </si>
  <si>
    <t>R010698148</t>
  </si>
  <si>
    <t>今津　久満</t>
  </si>
  <si>
    <t>R010774520</t>
  </si>
  <si>
    <t>R010776395</t>
  </si>
  <si>
    <t>岩尾　康佑</t>
  </si>
  <si>
    <t>R010714983</t>
  </si>
  <si>
    <t>岩﨑　尚叶</t>
  </si>
  <si>
    <t>R010714971</t>
  </si>
  <si>
    <t>岩﨑　正進</t>
  </si>
  <si>
    <t>R010776361</t>
  </si>
  <si>
    <t>R010728098</t>
  </si>
  <si>
    <t>岩田　優佑</t>
  </si>
  <si>
    <t>R010776370</t>
  </si>
  <si>
    <t>R010768413</t>
  </si>
  <si>
    <t>R010728142</t>
  </si>
  <si>
    <t>R010746642</t>
  </si>
  <si>
    <t>R010746615</t>
  </si>
  <si>
    <t>岩村　仁徳</t>
  </si>
  <si>
    <t>R010757865</t>
  </si>
  <si>
    <t>岩本　昭仁</t>
  </si>
  <si>
    <t>R010766121</t>
  </si>
  <si>
    <t>R010767670</t>
  </si>
  <si>
    <t>R010700308</t>
  </si>
  <si>
    <t>R010774540</t>
  </si>
  <si>
    <t>R010776349</t>
  </si>
  <si>
    <t>上野　哲典</t>
  </si>
  <si>
    <t>R010715020</t>
  </si>
  <si>
    <t>上原　和也</t>
  </si>
  <si>
    <t>R010776356</t>
  </si>
  <si>
    <t>R010775188</t>
  </si>
  <si>
    <t>R010757883</t>
  </si>
  <si>
    <t>R010719609</t>
  </si>
  <si>
    <t>内之浦　崇太</t>
  </si>
  <si>
    <t>R010768400</t>
  </si>
  <si>
    <t>卯花　孔二</t>
  </si>
  <si>
    <t>R010728168</t>
  </si>
  <si>
    <t>梅田　陽</t>
  </si>
  <si>
    <t>R010766010</t>
  </si>
  <si>
    <t>R010714975</t>
  </si>
  <si>
    <t>R010714985</t>
  </si>
  <si>
    <t>R010714970</t>
  </si>
  <si>
    <t>R010757892</t>
  </si>
  <si>
    <t>R010766116</t>
  </si>
  <si>
    <t>R010766119</t>
  </si>
  <si>
    <t>R010757887</t>
  </si>
  <si>
    <t>R010700301</t>
  </si>
  <si>
    <t>大久保　孝太</t>
  </si>
  <si>
    <t>R010766127</t>
  </si>
  <si>
    <t>大久保　翔平</t>
  </si>
  <si>
    <t>大倉　宝子</t>
  </si>
  <si>
    <t>R010776386</t>
  </si>
  <si>
    <t>R010715002</t>
  </si>
  <si>
    <t>R010746661</t>
  </si>
  <si>
    <t>太田　圭祐</t>
  </si>
  <si>
    <t>R010746606</t>
  </si>
  <si>
    <t>大谷　貴晴</t>
  </si>
  <si>
    <t>R010776371</t>
  </si>
  <si>
    <t>R010728162</t>
  </si>
  <si>
    <t>R010689461</t>
  </si>
  <si>
    <t>大塚　瑛斗</t>
  </si>
  <si>
    <t>R010714980</t>
  </si>
  <si>
    <t>R010765294</t>
  </si>
  <si>
    <t>大原　悠貴</t>
  </si>
  <si>
    <t>R010776348</t>
  </si>
  <si>
    <t>大峯　翼</t>
  </si>
  <si>
    <t>R010698168</t>
  </si>
  <si>
    <t>大森　健太</t>
  </si>
  <si>
    <t>R010719616</t>
  </si>
  <si>
    <t>大山　拳史</t>
  </si>
  <si>
    <t>R010737001</t>
  </si>
  <si>
    <t>R010746607</t>
  </si>
  <si>
    <t>小笠原　貴之</t>
  </si>
  <si>
    <t>R010776343</t>
  </si>
  <si>
    <t>R010776376</t>
  </si>
  <si>
    <t>緒方　亮介</t>
  </si>
  <si>
    <t>尾形　ルイス</t>
  </si>
  <si>
    <t>R010746631</t>
  </si>
  <si>
    <t>奥野　達也</t>
  </si>
  <si>
    <t>R010737003</t>
  </si>
  <si>
    <t>尾﨑　恭</t>
  </si>
  <si>
    <t>R010728172</t>
  </si>
  <si>
    <t>小座本　諒</t>
  </si>
  <si>
    <t>R010757882</t>
  </si>
  <si>
    <t>小田　蒼汰</t>
  </si>
  <si>
    <t>R010728116</t>
  </si>
  <si>
    <t>R010700296</t>
  </si>
  <si>
    <t>小野　喬</t>
  </si>
  <si>
    <t>R010757867</t>
  </si>
  <si>
    <t>小野　崇記</t>
  </si>
  <si>
    <t>R010714995</t>
  </si>
  <si>
    <t>R010774543</t>
  </si>
  <si>
    <t>R010715012</t>
  </si>
  <si>
    <t>小野　大和</t>
  </si>
  <si>
    <t>R010757878</t>
  </si>
  <si>
    <t>R010714984</t>
  </si>
  <si>
    <t>小野　涼成</t>
  </si>
  <si>
    <t>R010714988</t>
  </si>
  <si>
    <t>R010698164</t>
  </si>
  <si>
    <t>河合　奏風</t>
  </si>
  <si>
    <t>R010719604</t>
  </si>
  <si>
    <t>甲斐　鉄士</t>
  </si>
  <si>
    <t>R010757884</t>
  </si>
  <si>
    <t>R010691458</t>
  </si>
  <si>
    <t>賀来　玲音</t>
  </si>
  <si>
    <t>傘木　太郎</t>
  </si>
  <si>
    <t>R010776392</t>
  </si>
  <si>
    <t>梶原　明空</t>
  </si>
  <si>
    <t>R010775765</t>
  </si>
  <si>
    <t>R010728131</t>
  </si>
  <si>
    <t>R010757874</t>
  </si>
  <si>
    <t>R010689456</t>
  </si>
  <si>
    <t>R010766006</t>
  </si>
  <si>
    <t>加藤　樹里愛</t>
  </si>
  <si>
    <t>R010757889</t>
  </si>
  <si>
    <t>R010715011</t>
  </si>
  <si>
    <t>R010775197</t>
  </si>
  <si>
    <t>R010774550</t>
  </si>
  <si>
    <t>R010728155</t>
  </si>
  <si>
    <t>R010700292</t>
  </si>
  <si>
    <t>神屋　伸敏</t>
  </si>
  <si>
    <t>R010774535</t>
  </si>
  <si>
    <t>R010776363</t>
  </si>
  <si>
    <t>R010728122</t>
  </si>
  <si>
    <t>R010776397</t>
  </si>
  <si>
    <t>河野　駿</t>
  </si>
  <si>
    <t>R010698146</t>
  </si>
  <si>
    <t>河野　史勇太</t>
  </si>
  <si>
    <t>R010757857</t>
  </si>
  <si>
    <t>R010728094</t>
  </si>
  <si>
    <t>川野　大樹</t>
  </si>
  <si>
    <t>R010737007</t>
  </si>
  <si>
    <t>R010776333</t>
  </si>
  <si>
    <t>川野　均</t>
  </si>
  <si>
    <t>R010728149</t>
  </si>
  <si>
    <t>R010757855</t>
  </si>
  <si>
    <t>R010757852</t>
  </si>
  <si>
    <t>R010774542</t>
  </si>
  <si>
    <t>R010768410</t>
  </si>
  <si>
    <t>R010746641</t>
  </si>
  <si>
    <t>河村　夢生</t>
  </si>
  <si>
    <t>R010768402</t>
  </si>
  <si>
    <t>閑　蒼斗</t>
  </si>
  <si>
    <t>R010737006</t>
  </si>
  <si>
    <t>神﨑　雄人</t>
  </si>
  <si>
    <t>R010736998</t>
  </si>
  <si>
    <t>R010776378</t>
  </si>
  <si>
    <t>蒲池　教証</t>
  </si>
  <si>
    <t>R010728156</t>
  </si>
  <si>
    <t>R010774523</t>
  </si>
  <si>
    <t>R010728169</t>
  </si>
  <si>
    <t>木崎　彰二</t>
  </si>
  <si>
    <t>R010714991</t>
  </si>
  <si>
    <t>木谷　灯吾</t>
  </si>
  <si>
    <t>R010774555</t>
  </si>
  <si>
    <t>R010768421</t>
  </si>
  <si>
    <t>R010728117</t>
  </si>
  <si>
    <t>R010700314</t>
  </si>
  <si>
    <t>木田　貴浩</t>
  </si>
  <si>
    <t>R010728113</t>
  </si>
  <si>
    <t>木津　大河</t>
  </si>
  <si>
    <t>R010768418</t>
  </si>
  <si>
    <t>木津　悠日</t>
  </si>
  <si>
    <t>R010700306</t>
  </si>
  <si>
    <t>岐部　蒼海</t>
  </si>
  <si>
    <t>R010773917</t>
  </si>
  <si>
    <t>九鬼丸　直哉</t>
  </si>
  <si>
    <t>R010746623</t>
  </si>
  <si>
    <t>釘宮　早風</t>
  </si>
  <si>
    <t>R010691461</t>
  </si>
  <si>
    <t>工藤　煌人</t>
  </si>
  <si>
    <t>R010766126</t>
  </si>
  <si>
    <t>R010728127</t>
  </si>
  <si>
    <t>R010774541</t>
  </si>
  <si>
    <t>久保田　龍太朗</t>
  </si>
  <si>
    <t>R010728160</t>
  </si>
  <si>
    <t>R010766009</t>
  </si>
  <si>
    <t>R010728132</t>
  </si>
  <si>
    <t>R010700302</t>
  </si>
  <si>
    <t>黒木　亮輔</t>
  </si>
  <si>
    <t>R010768420</t>
  </si>
  <si>
    <t>R010719613</t>
  </si>
  <si>
    <t>神田　将志</t>
  </si>
  <si>
    <t>R010715005</t>
  </si>
  <si>
    <t>R010774526</t>
  </si>
  <si>
    <t>R010698135</t>
  </si>
  <si>
    <t>小坂　亮</t>
  </si>
  <si>
    <t>R010728153</t>
  </si>
  <si>
    <t>児玉　稜空</t>
  </si>
  <si>
    <t>R010736991</t>
  </si>
  <si>
    <t>R010719624</t>
  </si>
  <si>
    <t>小堀　優翔</t>
  </si>
  <si>
    <t>R010775772</t>
  </si>
  <si>
    <t>R010766118</t>
  </si>
  <si>
    <t>R010768416</t>
  </si>
  <si>
    <t>R010766113</t>
  </si>
  <si>
    <t>R010757858</t>
  </si>
  <si>
    <t>R010728119</t>
  </si>
  <si>
    <t>R010728103</t>
  </si>
  <si>
    <t>後藤　舜稀</t>
  </si>
  <si>
    <t>R010776362</t>
  </si>
  <si>
    <t>R010728133</t>
  </si>
  <si>
    <t>R010698165</t>
  </si>
  <si>
    <t>R010715000</t>
  </si>
  <si>
    <t>R010767662</t>
  </si>
  <si>
    <t>R010698149</t>
  </si>
  <si>
    <t>後藤　護</t>
  </si>
  <si>
    <t>R010715021</t>
  </si>
  <si>
    <t>齊藤　晃平</t>
  </si>
  <si>
    <t>R010728161</t>
  </si>
  <si>
    <t>R010762822</t>
  </si>
  <si>
    <t>R010719617</t>
  </si>
  <si>
    <t>酒井　晴斗</t>
  </si>
  <si>
    <t>R010728096</t>
  </si>
  <si>
    <t>R010767666</t>
  </si>
  <si>
    <t>R010776358</t>
  </si>
  <si>
    <t>R010714998</t>
  </si>
  <si>
    <t>R010767677</t>
  </si>
  <si>
    <t>R010767660</t>
  </si>
  <si>
    <t>R010728141</t>
  </si>
  <si>
    <t>佐藤　朱仁</t>
  </si>
  <si>
    <t>R010757875</t>
  </si>
  <si>
    <t>R010767689</t>
  </si>
  <si>
    <t>佐藤　範和</t>
  </si>
  <si>
    <t>R010775771</t>
  </si>
  <si>
    <t>R010728143</t>
  </si>
  <si>
    <t>R010776391</t>
  </si>
  <si>
    <t>R010746647</t>
  </si>
  <si>
    <t>佐藤　雅哉</t>
  </si>
  <si>
    <t>R010774539</t>
  </si>
  <si>
    <t>R010767671</t>
  </si>
  <si>
    <t>R010774548</t>
  </si>
  <si>
    <t>R010715004</t>
  </si>
  <si>
    <t>R010774525</t>
  </si>
  <si>
    <t>R010776352</t>
  </si>
  <si>
    <t>R010698134</t>
  </si>
  <si>
    <t>三宮　英士</t>
  </si>
  <si>
    <t>R010776360</t>
  </si>
  <si>
    <t>R010689458</t>
  </si>
  <si>
    <t>塩手　晴仁</t>
  </si>
  <si>
    <t>R010728135</t>
  </si>
  <si>
    <t>R010774532</t>
  </si>
  <si>
    <t>R010746656</t>
  </si>
  <si>
    <t>芝関　廉</t>
  </si>
  <si>
    <t>R010776385</t>
  </si>
  <si>
    <t>柴田　叡昇</t>
  </si>
  <si>
    <t>R010737005</t>
  </si>
  <si>
    <t>柴田　美佳</t>
  </si>
  <si>
    <t>R010774536</t>
  </si>
  <si>
    <t>R010774530</t>
  </si>
  <si>
    <t>R010767672</t>
  </si>
  <si>
    <t>R010776375</t>
  </si>
  <si>
    <t>R010746621</t>
  </si>
  <si>
    <t>首藤　謙二</t>
  </si>
  <si>
    <t>R010728112</t>
  </si>
  <si>
    <t>首藤　孝寛</t>
  </si>
  <si>
    <t>R010757847</t>
  </si>
  <si>
    <t>R010757877</t>
  </si>
  <si>
    <t>R010728157</t>
  </si>
  <si>
    <t>首藤　佑樹</t>
  </si>
  <si>
    <t>R010757881</t>
  </si>
  <si>
    <t>R010714997</t>
  </si>
  <si>
    <t>首藤　涼太</t>
  </si>
  <si>
    <t>R010776372</t>
  </si>
  <si>
    <t>R010774528</t>
  </si>
  <si>
    <t>R010776355</t>
  </si>
  <si>
    <t>R010728100</t>
  </si>
  <si>
    <t>秦　鼓乃実</t>
  </si>
  <si>
    <t>R010746609</t>
  </si>
  <si>
    <t>軸丸　昇</t>
  </si>
  <si>
    <t>R010757891</t>
  </si>
  <si>
    <t>實方　来夏</t>
  </si>
  <si>
    <t>R010728102</t>
  </si>
  <si>
    <t>城　孝明</t>
  </si>
  <si>
    <t>R010775193</t>
  </si>
  <si>
    <t>R010714987</t>
  </si>
  <si>
    <t>R010728109</t>
  </si>
  <si>
    <t>杉　吉隆</t>
  </si>
  <si>
    <t>R010715013</t>
  </si>
  <si>
    <t>杉村　祐心</t>
  </si>
  <si>
    <t>R010767674</t>
  </si>
  <si>
    <t>R010746619</t>
  </si>
  <si>
    <t>簀戸　裕樹</t>
  </si>
  <si>
    <t>R010714982</t>
  </si>
  <si>
    <t>R010776364</t>
  </si>
  <si>
    <t>R010766011</t>
  </si>
  <si>
    <t>関　愛子</t>
  </si>
  <si>
    <t>R010746644</t>
  </si>
  <si>
    <t>瀬口　遼太</t>
  </si>
  <si>
    <t>R010737009</t>
  </si>
  <si>
    <t>R010719608</t>
  </si>
  <si>
    <t>髙木　獅道</t>
  </si>
  <si>
    <t>R010776337</t>
  </si>
  <si>
    <t>高倉　遥樹</t>
  </si>
  <si>
    <t>R010768401</t>
  </si>
  <si>
    <t>R010715016</t>
  </si>
  <si>
    <t>高橋　天翔</t>
  </si>
  <si>
    <t>R010728136</t>
  </si>
  <si>
    <t>髙橋　恒太</t>
  </si>
  <si>
    <t>R010719611</t>
  </si>
  <si>
    <t>高橋　典誠</t>
  </si>
  <si>
    <t>R010767668</t>
  </si>
  <si>
    <t>R010768411</t>
  </si>
  <si>
    <t>R010774556</t>
  </si>
  <si>
    <t>高橋　凜</t>
  </si>
  <si>
    <t>R010700293</t>
  </si>
  <si>
    <t>高原　啓司</t>
  </si>
  <si>
    <t>R010776369</t>
  </si>
  <si>
    <t>髙森　颯誠</t>
  </si>
  <si>
    <t>R010715009</t>
  </si>
  <si>
    <t>R010757886</t>
  </si>
  <si>
    <t>R010698159</t>
  </si>
  <si>
    <t>瀧口　康平</t>
  </si>
  <si>
    <t>R010766125</t>
  </si>
  <si>
    <t>R010700297</t>
  </si>
  <si>
    <t>田口　聖</t>
  </si>
  <si>
    <t>R010714986</t>
  </si>
  <si>
    <t>竹内　彪斗</t>
  </si>
  <si>
    <t>R010746649</t>
  </si>
  <si>
    <t>武田　豊</t>
  </si>
  <si>
    <t>R010774519</t>
  </si>
  <si>
    <t>R010776332</t>
  </si>
  <si>
    <t>R010776341</t>
  </si>
  <si>
    <t>R010776387</t>
  </si>
  <si>
    <t>竹本　大祐</t>
  </si>
  <si>
    <t>R010714981</t>
  </si>
  <si>
    <t>R010700307</t>
  </si>
  <si>
    <t>田阪　将平</t>
  </si>
  <si>
    <t>R010768417</t>
  </si>
  <si>
    <t>田嶋　一翔</t>
  </si>
  <si>
    <t>R010728130</t>
  </si>
  <si>
    <t>R010768404</t>
  </si>
  <si>
    <t>R010767676</t>
  </si>
  <si>
    <t>R010757896</t>
  </si>
  <si>
    <t>R010691473</t>
  </si>
  <si>
    <t>谷　悠真</t>
  </si>
  <si>
    <t>R010776377</t>
  </si>
  <si>
    <t>田原　智明</t>
  </si>
  <si>
    <t>R010776405</t>
  </si>
  <si>
    <t>田吹　陽</t>
  </si>
  <si>
    <t>R010746603</t>
  </si>
  <si>
    <t>田吹　将</t>
  </si>
  <si>
    <t>R010776365</t>
  </si>
  <si>
    <t>R010728148</t>
  </si>
  <si>
    <t>R010728108</t>
  </si>
  <si>
    <t>団塚　智幸</t>
  </si>
  <si>
    <t>R010698147</t>
  </si>
  <si>
    <t>団塚　浩</t>
  </si>
  <si>
    <t>R010775194</t>
  </si>
  <si>
    <t>R010768405</t>
  </si>
  <si>
    <t>R010776354</t>
  </si>
  <si>
    <t>R010776331</t>
  </si>
  <si>
    <t>手嶋　章博</t>
  </si>
  <si>
    <t>R010776390</t>
  </si>
  <si>
    <t>手島　巧士郎</t>
  </si>
  <si>
    <t>R010728121</t>
  </si>
  <si>
    <t>手島　蕾翔</t>
  </si>
  <si>
    <t>R010757895</t>
  </si>
  <si>
    <t>手水　翔太</t>
  </si>
  <si>
    <t>寺嶋　孝規</t>
  </si>
  <si>
    <t>R010715006</t>
  </si>
  <si>
    <t>R010775764</t>
  </si>
  <si>
    <t>R010774538</t>
  </si>
  <si>
    <t>R010776336</t>
  </si>
  <si>
    <t>冨吉　智元</t>
  </si>
  <si>
    <t>R010766112</t>
  </si>
  <si>
    <t>R010737000</t>
  </si>
  <si>
    <t>R010774534</t>
  </si>
  <si>
    <t>R010768409</t>
  </si>
  <si>
    <t>R010767680</t>
  </si>
  <si>
    <t>R010776381</t>
  </si>
  <si>
    <t>中津留　将悟</t>
  </si>
  <si>
    <t>R010767667</t>
  </si>
  <si>
    <t>R010746632</t>
  </si>
  <si>
    <t>中堀　定</t>
  </si>
  <si>
    <t>R010775196</t>
  </si>
  <si>
    <t>R010757870</t>
  </si>
  <si>
    <t>R010776347</t>
  </si>
  <si>
    <t>中村　俊彦</t>
  </si>
  <si>
    <t>R010728147</t>
  </si>
  <si>
    <t>R010714976</t>
  </si>
  <si>
    <t>R010774553</t>
  </si>
  <si>
    <t>R010776350</t>
  </si>
  <si>
    <t>永迫　泰斗</t>
  </si>
  <si>
    <t>R010774544</t>
  </si>
  <si>
    <t>R010719607</t>
  </si>
  <si>
    <t>永野　貴碩</t>
  </si>
  <si>
    <t>R010776357</t>
  </si>
  <si>
    <t>R010757848</t>
  </si>
  <si>
    <t>R010719605</t>
  </si>
  <si>
    <t>永松　涼介</t>
  </si>
  <si>
    <t>R010774549</t>
  </si>
  <si>
    <t>R010774557</t>
  </si>
  <si>
    <t>R010714999</t>
  </si>
  <si>
    <t>R010776404</t>
  </si>
  <si>
    <t>西村　英朗</t>
  </si>
  <si>
    <t>R010691462</t>
  </si>
  <si>
    <t>西本　達哉</t>
  </si>
  <si>
    <t>R010766114</t>
  </si>
  <si>
    <t>R010728139</t>
  </si>
  <si>
    <t>丹生　昂亨</t>
  </si>
  <si>
    <t>R010719600</t>
  </si>
  <si>
    <t>R010689459</t>
  </si>
  <si>
    <t>野尻　聖斗</t>
  </si>
  <si>
    <t>R010776383</t>
  </si>
  <si>
    <t>野尻　裕貴</t>
  </si>
  <si>
    <t>R010775766</t>
  </si>
  <si>
    <t>R010766117</t>
  </si>
  <si>
    <t>R010746653</t>
  </si>
  <si>
    <t>秦　宗一朗</t>
  </si>
  <si>
    <t>R010767673</t>
  </si>
  <si>
    <t>R010757873</t>
  </si>
  <si>
    <t>R010714972</t>
  </si>
  <si>
    <t>羽田野　雄大</t>
  </si>
  <si>
    <t>R010776388</t>
  </si>
  <si>
    <t>花木　総元</t>
  </si>
  <si>
    <t>R010719614</t>
  </si>
  <si>
    <t>濵砂　詩虎</t>
  </si>
  <si>
    <t>R010774521</t>
  </si>
  <si>
    <t>R010767663</t>
  </si>
  <si>
    <t>R010728114</t>
  </si>
  <si>
    <t>林　裕樹</t>
  </si>
  <si>
    <t>R010757880</t>
  </si>
  <si>
    <t>R010698151</t>
  </si>
  <si>
    <t>春田　喜介</t>
  </si>
  <si>
    <t>R010774545</t>
  </si>
  <si>
    <t>R010715001</t>
  </si>
  <si>
    <t>R010766122</t>
  </si>
  <si>
    <t>R010757897</t>
  </si>
  <si>
    <t>姫野　佑太</t>
  </si>
  <si>
    <t>R010757860</t>
  </si>
  <si>
    <t>平川　颯人</t>
  </si>
  <si>
    <t>R010728150</t>
  </si>
  <si>
    <t>R010768403</t>
  </si>
  <si>
    <t>R010766344</t>
  </si>
  <si>
    <t>R010775195</t>
  </si>
  <si>
    <t>R010714992</t>
  </si>
  <si>
    <t>廣田　惺我</t>
  </si>
  <si>
    <t>R010714996</t>
  </si>
  <si>
    <t>深尾　一颯</t>
  </si>
  <si>
    <t>R010775191</t>
  </si>
  <si>
    <t>R010714974</t>
  </si>
  <si>
    <t>R010775189</t>
  </si>
  <si>
    <t>R010757899</t>
  </si>
  <si>
    <t>藤井　耀斗</t>
  </si>
  <si>
    <t>R010691474</t>
  </si>
  <si>
    <t>藤井　新生</t>
  </si>
  <si>
    <t>R010774537</t>
  </si>
  <si>
    <t>R010776345</t>
  </si>
  <si>
    <t>R010700304</t>
  </si>
  <si>
    <t>藤原　翔平</t>
  </si>
  <si>
    <t>R010736990</t>
  </si>
  <si>
    <t>R010774546</t>
  </si>
  <si>
    <t>R010728152</t>
  </si>
  <si>
    <t>R010715019</t>
  </si>
  <si>
    <t>R010776335</t>
  </si>
  <si>
    <t>堀　公一</t>
  </si>
  <si>
    <t>R010728128</t>
  </si>
  <si>
    <t>R010766120</t>
  </si>
  <si>
    <t>R010719603</t>
  </si>
  <si>
    <t>前田　龍心</t>
  </si>
  <si>
    <t>R010714993</t>
  </si>
  <si>
    <t>R010774554</t>
  </si>
  <si>
    <t>R010719622</t>
  </si>
  <si>
    <t>増田　真聡</t>
  </si>
  <si>
    <t>R010765298</t>
  </si>
  <si>
    <t>益留　葵</t>
  </si>
  <si>
    <t>R010746648</t>
  </si>
  <si>
    <t>松浦　統馬</t>
  </si>
  <si>
    <t>R010776396</t>
  </si>
  <si>
    <t>R010766115</t>
  </si>
  <si>
    <t>R010715018</t>
  </si>
  <si>
    <t>松木　歩潤</t>
  </si>
  <si>
    <t>R010776334</t>
  </si>
  <si>
    <t>松下　直矢</t>
  </si>
  <si>
    <t>R010776374</t>
  </si>
  <si>
    <t>松本　鉄昌</t>
  </si>
  <si>
    <t>R010715015</t>
  </si>
  <si>
    <t>松本　倖也</t>
  </si>
  <si>
    <t>R010691463</t>
  </si>
  <si>
    <t>丸山　芽惟</t>
  </si>
  <si>
    <t>R010766123</t>
  </si>
  <si>
    <t>R010698160</t>
  </si>
  <si>
    <t>三重野　晋司</t>
  </si>
  <si>
    <t>R010512243</t>
  </si>
  <si>
    <t>三重野　将弘</t>
  </si>
  <si>
    <t>R010691467</t>
  </si>
  <si>
    <t>三ヶ尻　啓輔</t>
  </si>
  <si>
    <t>R010767690</t>
  </si>
  <si>
    <t>水谷　誠治</t>
  </si>
  <si>
    <t>R010768406</t>
  </si>
  <si>
    <t>R010728110</t>
  </si>
  <si>
    <t>皆見　一樹</t>
  </si>
  <si>
    <t>R010736996</t>
  </si>
  <si>
    <t>南　秀和</t>
  </si>
  <si>
    <t>R010746605</t>
  </si>
  <si>
    <t>峰尾　勝</t>
  </si>
  <si>
    <t>R010766124</t>
  </si>
  <si>
    <t>R010767679</t>
  </si>
  <si>
    <t>R010775190</t>
  </si>
  <si>
    <t>R010774529</t>
  </si>
  <si>
    <t>R010746629</t>
  </si>
  <si>
    <t>宮本　祥光</t>
  </si>
  <si>
    <t>R010746628</t>
  </si>
  <si>
    <t>鞭馬　龍也</t>
  </si>
  <si>
    <t>R010728158</t>
  </si>
  <si>
    <t>R010700317</t>
  </si>
  <si>
    <t>森木　大雅</t>
  </si>
  <si>
    <t>R010691457</t>
  </si>
  <si>
    <t>森迫　大翔</t>
  </si>
  <si>
    <t>R010776359</t>
  </si>
  <si>
    <t>R010719612</t>
  </si>
  <si>
    <t>森田　爽楽</t>
  </si>
  <si>
    <t>R010776384</t>
  </si>
  <si>
    <t>森田　陽介</t>
  </si>
  <si>
    <t>R010714978</t>
  </si>
  <si>
    <t>R010714977</t>
  </si>
  <si>
    <t>R010746638</t>
  </si>
  <si>
    <t>諸冨　貴宣</t>
  </si>
  <si>
    <t>R010698171</t>
  </si>
  <si>
    <t>保田　拓海</t>
  </si>
  <si>
    <t>R010776398</t>
  </si>
  <si>
    <t>安野　利来</t>
  </si>
  <si>
    <t>R010767685</t>
  </si>
  <si>
    <t>R010767684</t>
  </si>
  <si>
    <t>R010766129</t>
  </si>
  <si>
    <t>R010757898</t>
  </si>
  <si>
    <t>矢野　貴裕</t>
  </si>
  <si>
    <t>R010715007</t>
  </si>
  <si>
    <t>R010698143</t>
  </si>
  <si>
    <t>矢野　善朗</t>
  </si>
  <si>
    <t>R010746645</t>
  </si>
  <si>
    <t>山岡　哲也</t>
  </si>
  <si>
    <t>R010700310</t>
  </si>
  <si>
    <t>山口　駿</t>
  </si>
  <si>
    <t>R010768415</t>
  </si>
  <si>
    <t>R010728115</t>
  </si>
  <si>
    <t>山﨑　温仁</t>
  </si>
  <si>
    <t>R010746654</t>
  </si>
  <si>
    <t>R010728126</t>
  </si>
  <si>
    <t>山下　竜輝</t>
  </si>
  <si>
    <t>R010757863</t>
  </si>
  <si>
    <t>R010728144</t>
  </si>
  <si>
    <t>R010767675</t>
  </si>
  <si>
    <t>R010719610</t>
  </si>
  <si>
    <t>山本　海</t>
  </si>
  <si>
    <t>R010776380</t>
  </si>
  <si>
    <t>山本　空</t>
  </si>
  <si>
    <t>R010728123</t>
  </si>
  <si>
    <t>R010768412</t>
  </si>
  <si>
    <t>R010776344</t>
  </si>
  <si>
    <t>R010728105</t>
  </si>
  <si>
    <t>幸　浩史朗</t>
  </si>
  <si>
    <t>R010715010</t>
  </si>
  <si>
    <t>幸　拓磨</t>
  </si>
  <si>
    <t>R010762831</t>
  </si>
  <si>
    <t>R010698155</t>
  </si>
  <si>
    <t>横山　幸司</t>
  </si>
  <si>
    <t>R010776353</t>
  </si>
  <si>
    <t>吉國　凜音</t>
  </si>
  <si>
    <t>R010700295</t>
  </si>
  <si>
    <t>吉崎　隼司</t>
  </si>
  <si>
    <t>R010775767</t>
  </si>
  <si>
    <t>R010746626</t>
  </si>
  <si>
    <t>吉田　和雅</t>
  </si>
  <si>
    <t>R010775763</t>
  </si>
  <si>
    <t>R010719623</t>
  </si>
  <si>
    <t>吉田　大河</t>
  </si>
  <si>
    <t>R010714994</t>
  </si>
  <si>
    <t>吉田　悠馬</t>
  </si>
  <si>
    <t>R010691460</t>
  </si>
  <si>
    <t>吉水　蒼真</t>
  </si>
  <si>
    <t>R010728129</t>
  </si>
  <si>
    <t>R010776399</t>
  </si>
  <si>
    <t>脇　康介</t>
  </si>
  <si>
    <t>R010698152</t>
  </si>
  <si>
    <t>稙田　瑛汰</t>
  </si>
  <si>
    <t>R010736997</t>
  </si>
  <si>
    <t>渡邉　圭輔</t>
  </si>
  <si>
    <t>R010776342</t>
  </si>
  <si>
    <t>渡邉　颯太</t>
  </si>
  <si>
    <t>R010768422</t>
  </si>
  <si>
    <t>R010698161</t>
  </si>
  <si>
    <t>渡邉　敏範</t>
  </si>
  <si>
    <t>R010776339</t>
  </si>
  <si>
    <t>渡邉　勇士郎</t>
  </si>
  <si>
    <t>R010746652</t>
  </si>
  <si>
    <t>渡邊　稜平</t>
  </si>
  <si>
    <t>の空白の所に、大分以外が入るように</t>
    <rPh sb="1" eb="3">
      <t>クウハク</t>
    </rPh>
    <rPh sb="4" eb="5">
      <t>トコロ</t>
    </rPh>
    <rPh sb="7" eb="9">
      <t>オオイタ</t>
    </rPh>
    <rPh sb="9" eb="11">
      <t>イガイ</t>
    </rPh>
    <rPh sb="12" eb="13">
      <t>ハイ</t>
    </rPh>
    <phoneticPr fontId="29"/>
  </si>
  <si>
    <t>抽選会及び監督(代表者)会議</t>
    <rPh sb="0" eb="3">
      <t>チュウセンカイ</t>
    </rPh>
    <rPh sb="3" eb="4">
      <t>オヨ</t>
    </rPh>
    <rPh sb="5" eb="7">
      <t>カントク</t>
    </rPh>
    <rPh sb="8" eb="11">
      <t>ダイヒョウシャ</t>
    </rPh>
    <rPh sb="12" eb="14">
      <t>カイギ</t>
    </rPh>
    <phoneticPr fontId="110"/>
  </si>
  <si>
    <t>臼杵・津久見</t>
    <rPh sb="3" eb="6">
      <t>ツクミ</t>
    </rPh>
    <phoneticPr fontId="29"/>
  </si>
  <si>
    <r>
      <t>戦術的指示を与える際は、その都度ただ1名の</t>
    </r>
    <r>
      <rPr>
        <sz val="10"/>
        <color theme="1"/>
        <rFont val="HG丸ｺﾞｼｯｸM-PRO"/>
        <family val="3"/>
        <charset val="128"/>
      </rPr>
      <t>役員(監督に限定されない)のみが、テクニカルエリア(ベンチの両端から１メ－トルとタッチラインから1メ－トル)内で行うこと。</t>
    </r>
    <phoneticPr fontId="29"/>
  </si>
  <si>
    <t>・</t>
    <phoneticPr fontId="110"/>
  </si>
  <si>
    <t>２．場所　　大分市　クラサスドーム大分 B-1 406会議室予定</t>
    <rPh sb="2" eb="4">
      <t>バショ</t>
    </rPh>
    <rPh sb="6" eb="9">
      <t>オオイタシ</t>
    </rPh>
    <rPh sb="17" eb="19">
      <t>オオイタ</t>
    </rPh>
    <rPh sb="27" eb="30">
      <t>カイギシツ</t>
    </rPh>
    <rPh sb="30" eb="32">
      <t>ヨテイ</t>
    </rPh>
    <phoneticPr fontId="29"/>
  </si>
  <si>
    <t>速杵国東</t>
    <rPh sb="0" eb="4">
      <t>ソッキクニサキ</t>
    </rPh>
    <phoneticPr fontId="110"/>
  </si>
  <si>
    <t>フットボールセンター大分きつき(杵築市営サッカー場)</t>
    <phoneticPr fontId="110"/>
  </si>
  <si>
    <t>杵築市山香町大字野原700-5</t>
    <phoneticPr fontId="110"/>
  </si>
  <si>
    <t>2次リーグ
大会2日目</t>
    <rPh sb="1" eb="2">
      <t>ジ</t>
    </rPh>
    <rPh sb="7" eb="9">
      <t>タイカイ</t>
    </rPh>
    <phoneticPr fontId="110"/>
  </si>
  <si>
    <t>1次リーグ
大会1日目</t>
    <phoneticPr fontId="110"/>
  </si>
  <si>
    <t>決勝
準決勝
大会3日目</t>
    <phoneticPr fontId="110"/>
  </si>
  <si>
    <r>
      <t>②本大会実施要項　13）その他　⑦の事項を、役員・保護者に周知徹底し、大会運営及び</t>
    </r>
    <r>
      <rPr>
        <sz val="9"/>
        <color rgb="FFFF0000"/>
        <rFont val="HG丸ｺﾞｼｯｸM-PRO"/>
        <family val="3"/>
        <charset val="128"/>
      </rPr>
      <t>感染症対策等</t>
    </r>
    <r>
      <rPr>
        <sz val="9"/>
        <rFont val="HG丸ｺﾞｼｯｸM-PRO"/>
        <family val="3"/>
      </rPr>
      <t>に協力すること。</t>
    </r>
    <rPh sb="39" eb="40">
      <t>オヨ</t>
    </rPh>
    <rPh sb="41" eb="44">
      <t>カンセンショウ</t>
    </rPh>
    <rPh sb="44" eb="46">
      <t>タイサク</t>
    </rPh>
    <rPh sb="46" eb="47">
      <t>トウ</t>
    </rPh>
    <phoneticPr fontId="29"/>
  </si>
  <si>
    <t>『安心安全なサッカー　～ベンチからの声かけ～』</t>
    <phoneticPr fontId="110"/>
  </si>
  <si>
    <t xml:space="preserve">①大会期間中は、常に選手証及び、指導者資格証、審判資格証を携帯し、必要に応じて提示すること。
　指導者資格証、審判資格証を有していない、ベンチ入り予定の指導者については、顔写真の確認が出来る
　証明書(運転免許証等)を携帯し、必要に応じて提示すること。 </t>
    <phoneticPr fontId="29"/>
  </si>
  <si>
    <t>8:30～</t>
    <phoneticPr fontId="129"/>
  </si>
  <si>
    <t>10:00～</t>
    <phoneticPr fontId="129"/>
  </si>
  <si>
    <t>11:00～</t>
    <phoneticPr fontId="129"/>
  </si>
  <si>
    <t>12:00～</t>
    <phoneticPr fontId="129"/>
  </si>
  <si>
    <t>13:00～</t>
    <phoneticPr fontId="129"/>
  </si>
  <si>
    <t>14:00～</t>
    <phoneticPr fontId="129"/>
  </si>
  <si>
    <t>15:00～</t>
    <phoneticPr fontId="129"/>
  </si>
  <si>
    <t>8:00～</t>
    <phoneticPr fontId="72"/>
  </si>
  <si>
    <t>以下のように整列し、本部側に礼をした後、プレーの開始方法を確認する。</t>
    <rPh sb="0" eb="2">
      <t>イカ</t>
    </rPh>
    <rPh sb="6" eb="8">
      <t>セイレツ</t>
    </rPh>
    <rPh sb="12" eb="13">
      <t>ガワ</t>
    </rPh>
    <rPh sb="14" eb="15">
      <t>レイ</t>
    </rPh>
    <rPh sb="18" eb="19">
      <t>ノチ</t>
    </rPh>
    <rPh sb="24" eb="26">
      <t>カイシ</t>
    </rPh>
    <rPh sb="26" eb="28">
      <t>ホウホウ</t>
    </rPh>
    <rPh sb="29" eb="31">
      <t>カクニン</t>
    </rPh>
    <phoneticPr fontId="29"/>
  </si>
  <si>
    <t>東　Ｆ　Ｃ</t>
  </si>
  <si>
    <t>春日ＳＳＳ</t>
  </si>
  <si>
    <t>賀来ジュニアサッカークラブ</t>
  </si>
  <si>
    <t>県央おおのＪＦＣ</t>
  </si>
  <si>
    <t>大分セントラルＦＣ</t>
  </si>
  <si>
    <t>Ｄｉｖｅｒｔ．ＦＣ</t>
  </si>
  <si>
    <t>ＮＦＣ・ＯＩＴＡ　Ｕ１２</t>
  </si>
  <si>
    <t>川井　幹太</t>
  </si>
  <si>
    <t>渡邉　大蔵</t>
  </si>
  <si>
    <t>小陣　柊哉</t>
  </si>
  <si>
    <t>佐藤　青空</t>
  </si>
  <si>
    <t>穴井　一颯</t>
  </si>
  <si>
    <t>宇野　太惺</t>
  </si>
  <si>
    <t>阿南　颯磨</t>
  </si>
  <si>
    <t>立川　佑奈</t>
  </si>
  <si>
    <t>八代　珠太朗</t>
  </si>
  <si>
    <t>八代　禅太朗</t>
  </si>
  <si>
    <t>財津　光</t>
  </si>
  <si>
    <t>新原　琉翔</t>
  </si>
  <si>
    <t>高田　愛斗</t>
  </si>
  <si>
    <t>樋口　瑛汰</t>
  </si>
  <si>
    <t>樋口　煌人</t>
  </si>
  <si>
    <t>河津　絢悠</t>
  </si>
  <si>
    <t>狩生　剛聖</t>
  </si>
  <si>
    <t>白石　大也</t>
  </si>
  <si>
    <t>トーマス　ヘイデン</t>
  </si>
  <si>
    <t>村上　煌征</t>
  </si>
  <si>
    <t>河津　文汰</t>
  </si>
  <si>
    <t>後藤　壱侍</t>
  </si>
  <si>
    <t>萬　三史郎</t>
  </si>
  <si>
    <t>吉海　れの</t>
  </si>
  <si>
    <t>三笘　友羽果</t>
  </si>
  <si>
    <t>吉光　悠人</t>
  </si>
  <si>
    <t>中嶋　隆心</t>
  </si>
  <si>
    <t>梶原　直太朗</t>
  </si>
  <si>
    <t>松木　創志</t>
  </si>
  <si>
    <t>小野　真輝</t>
  </si>
  <si>
    <t>溝口　華央</t>
  </si>
  <si>
    <t>井上　大楽</t>
  </si>
  <si>
    <t>穴井　希成</t>
  </si>
  <si>
    <t>吉武　紅美</t>
  </si>
  <si>
    <t>江藤　楓真</t>
  </si>
  <si>
    <t>太郎良　元翔</t>
  </si>
  <si>
    <t>梅木　杏珠</t>
  </si>
  <si>
    <t>渡辺　由彩</t>
  </si>
  <si>
    <t>秋好　勇信</t>
  </si>
  <si>
    <t>日野　湊太</t>
  </si>
  <si>
    <t>川野　晴太</t>
  </si>
  <si>
    <t>前川　心晴</t>
  </si>
  <si>
    <t>友松　蒼士</t>
  </si>
  <si>
    <t>梶原　志煌</t>
  </si>
  <si>
    <t>小野　百華</t>
  </si>
  <si>
    <t>藤原　光希</t>
  </si>
  <si>
    <t>渡邉　叶人</t>
  </si>
  <si>
    <t>端山　朝耀</t>
  </si>
  <si>
    <t>阪口　優心</t>
  </si>
  <si>
    <t>中島　叶太</t>
  </si>
  <si>
    <t>井上　喜心</t>
  </si>
  <si>
    <t>松本　碧音</t>
  </si>
  <si>
    <t>津田　透李</t>
  </si>
  <si>
    <t>三村　真史</t>
  </si>
  <si>
    <t>元吉　優太</t>
  </si>
  <si>
    <t>畑辺　涼佑</t>
  </si>
  <si>
    <t>徳永　拓真</t>
  </si>
  <si>
    <t>安倍　聖空</t>
  </si>
  <si>
    <t>今井　旭陽</t>
  </si>
  <si>
    <t>光岡　勇飛</t>
  </si>
  <si>
    <t>大西　心空</t>
  </si>
  <si>
    <t>神田　亜優夢</t>
  </si>
  <si>
    <t>角南　正翔</t>
  </si>
  <si>
    <t>阿部　航士</t>
  </si>
  <si>
    <t>阿部　時煌</t>
  </si>
  <si>
    <t>藤本　竜之介</t>
  </si>
  <si>
    <t>大西　風流</t>
  </si>
  <si>
    <t>賀来　大河</t>
  </si>
  <si>
    <t>安倍　愼</t>
  </si>
  <si>
    <t>鴨田　光真</t>
  </si>
  <si>
    <t>河野　れお</t>
  </si>
  <si>
    <t>稲吉　龍</t>
  </si>
  <si>
    <t>稲吉　怜</t>
  </si>
  <si>
    <t>井口　晴琉</t>
  </si>
  <si>
    <t>小嶋　龍</t>
  </si>
  <si>
    <t>小嶋　櫂</t>
  </si>
  <si>
    <t>野田　拓真</t>
  </si>
  <si>
    <t>佐加良　瑛翔</t>
  </si>
  <si>
    <t>江川　優馬</t>
  </si>
  <si>
    <t>上田　大陽</t>
  </si>
  <si>
    <t>矢野　尋士</t>
  </si>
  <si>
    <t>山本　煌</t>
  </si>
  <si>
    <t>安部　斗真</t>
  </si>
  <si>
    <t>松本　月</t>
  </si>
  <si>
    <t>稲吉　海李</t>
  </si>
  <si>
    <t>中山　龍馬</t>
  </si>
  <si>
    <t>村上　佑心</t>
  </si>
  <si>
    <t>木部　太心</t>
  </si>
  <si>
    <t>棚成　葵</t>
  </si>
  <si>
    <t>長野　碧生</t>
  </si>
  <si>
    <t>弓崎　祐輝</t>
  </si>
  <si>
    <t>廣瀬　芽生</t>
  </si>
  <si>
    <t>芝関　壱心</t>
  </si>
  <si>
    <t>長野　燈吏</t>
  </si>
  <si>
    <t>遠矢　隼斗</t>
  </si>
  <si>
    <t>佐保　汰輔</t>
  </si>
  <si>
    <t>前田　惇</t>
  </si>
  <si>
    <t>生野　晴真</t>
  </si>
  <si>
    <t>二宮　慶</t>
  </si>
  <si>
    <t>野地　葉月</t>
  </si>
  <si>
    <t>辻　波留</t>
  </si>
  <si>
    <t>後藤　美虎臣</t>
  </si>
  <si>
    <t>足立　維吹</t>
  </si>
  <si>
    <t>浅越　悠楓</t>
  </si>
  <si>
    <t>田中　昴</t>
  </si>
  <si>
    <t>裏　絢太</t>
  </si>
  <si>
    <t>堀　理音</t>
  </si>
  <si>
    <t>渡辺　空青</t>
  </si>
  <si>
    <t>宗岡　ひより</t>
  </si>
  <si>
    <t>井端　昂叶</t>
  </si>
  <si>
    <t>江藤　桜夏</t>
  </si>
  <si>
    <t>花木　一心</t>
  </si>
  <si>
    <t>中谷　陽七汰</t>
  </si>
  <si>
    <t>井上　一心</t>
  </si>
  <si>
    <t>久持　蓮</t>
  </si>
  <si>
    <t>眞鍋　昊士</t>
  </si>
  <si>
    <t>下畑　朝陽</t>
  </si>
  <si>
    <t>原田　華鈴</t>
  </si>
  <si>
    <t>丸田　珠生</t>
  </si>
  <si>
    <t>宮脇　昂司</t>
  </si>
  <si>
    <t>渡邉　凛太</t>
  </si>
  <si>
    <t>上城　元</t>
  </si>
  <si>
    <t>貞許　福志</t>
  </si>
  <si>
    <t>片岡　功正</t>
  </si>
  <si>
    <t>村井　創志</t>
  </si>
  <si>
    <t>友松　理久</t>
  </si>
  <si>
    <t>中島　凛</t>
  </si>
  <si>
    <t>吉岡　大星</t>
  </si>
  <si>
    <t>古賀　晴真</t>
  </si>
  <si>
    <t>関根　雄太</t>
  </si>
  <si>
    <t>川口　蒼真</t>
  </si>
  <si>
    <t>友松　ゆず</t>
  </si>
  <si>
    <t>廣畑　寧々</t>
  </si>
  <si>
    <t>吉崎　陽玄</t>
  </si>
  <si>
    <t>合津　花波</t>
  </si>
  <si>
    <t>貴戸　瞬</t>
  </si>
  <si>
    <t>安東　宏人</t>
  </si>
  <si>
    <t>橋本　侑樹</t>
  </si>
  <si>
    <t>久家　颯真</t>
  </si>
  <si>
    <t>井手　朔士</t>
  </si>
  <si>
    <t>卯花　優奈</t>
  </si>
  <si>
    <t>栗山　すず</t>
  </si>
  <si>
    <t>門田　千洋</t>
  </si>
  <si>
    <t>小山　葉月</t>
  </si>
  <si>
    <t>山田　花凛</t>
  </si>
  <si>
    <t>中村　源</t>
  </si>
  <si>
    <t>石田　惺也</t>
  </si>
  <si>
    <t>伊賀上　怜太</t>
  </si>
  <si>
    <t>山田　莉生</t>
  </si>
  <si>
    <t>三浦　健大朗</t>
  </si>
  <si>
    <t>陸丸　源太</t>
  </si>
  <si>
    <t>浅海　翔</t>
  </si>
  <si>
    <t>安達　誠人</t>
  </si>
  <si>
    <t>冨高　想介</t>
  </si>
  <si>
    <t>木許　恵介</t>
  </si>
  <si>
    <t>二見　勝</t>
  </si>
  <si>
    <t>田代　豊修</t>
  </si>
  <si>
    <t>狩生　健太</t>
  </si>
  <si>
    <t>川田　到</t>
  </si>
  <si>
    <t>西方　朔也</t>
  </si>
  <si>
    <t>坂本　燈真</t>
  </si>
  <si>
    <t>塩月　琢叶</t>
  </si>
  <si>
    <t>木村　栄太</t>
  </si>
  <si>
    <t>塩月　誠叶</t>
  </si>
  <si>
    <t>横山　心奏</t>
  </si>
  <si>
    <t>鈴木　悠真</t>
  </si>
  <si>
    <t>迫田　大和</t>
  </si>
  <si>
    <t>木本　汰旺</t>
  </si>
  <si>
    <t>長尾　律希</t>
  </si>
  <si>
    <t>宮田　駿士</t>
  </si>
  <si>
    <t>吉良　悠輝</t>
  </si>
  <si>
    <t>野々下　海星</t>
  </si>
  <si>
    <t>増村　旺太</t>
  </si>
  <si>
    <t>髙橋　凛恩</t>
  </si>
  <si>
    <t>冨澤　碧</t>
  </si>
  <si>
    <t>谷川　優太</t>
  </si>
  <si>
    <t>白水　空</t>
  </si>
  <si>
    <t>宮本　匠望</t>
  </si>
  <si>
    <t>岩丸　洋太郎</t>
  </si>
  <si>
    <t>井俣　嘉太</t>
  </si>
  <si>
    <t>長谷川　蓮人</t>
  </si>
  <si>
    <t>小嶋　瑛太</t>
  </si>
  <si>
    <t>植村　碧</t>
  </si>
  <si>
    <t>麻生　友輝</t>
  </si>
  <si>
    <t>長野　泰樹</t>
  </si>
  <si>
    <t>市原　愛莉</t>
  </si>
  <si>
    <t>仲野　琉衣</t>
  </si>
  <si>
    <t>若杉　奏翔</t>
  </si>
  <si>
    <t>中原　喜助</t>
  </si>
  <si>
    <t>塚﨑　琉生</t>
  </si>
  <si>
    <t>三浦　旺真</t>
  </si>
  <si>
    <t>吉田　晴馬</t>
  </si>
  <si>
    <t>北尾　颯士</t>
  </si>
  <si>
    <t>河野　豪</t>
  </si>
  <si>
    <t>田邉　結大</t>
  </si>
  <si>
    <t>竹ノ内　聡真</t>
  </si>
  <si>
    <t>仲道　陸空人</t>
  </si>
  <si>
    <t>宮口　悠人</t>
  </si>
  <si>
    <t>首藤　颯翔</t>
  </si>
  <si>
    <t>村山　杏奈</t>
  </si>
  <si>
    <t>浅尾　啓太</t>
  </si>
  <si>
    <t>園田　和</t>
  </si>
  <si>
    <t>園田　尊</t>
  </si>
  <si>
    <t>安藤　綾人</t>
  </si>
  <si>
    <t>中邑　景太郎</t>
  </si>
  <si>
    <t>菊地　壮輔</t>
  </si>
  <si>
    <t>岩　ひかり</t>
  </si>
  <si>
    <t>岩田　日佳理</t>
  </si>
  <si>
    <t>尾﨑　亘</t>
  </si>
  <si>
    <t>古庄　櫂士</t>
  </si>
  <si>
    <t>西山　圭</t>
  </si>
  <si>
    <t>浅利　奏人</t>
  </si>
  <si>
    <t>黒澤　絢斗</t>
  </si>
  <si>
    <t>手島　大智</t>
  </si>
  <si>
    <t>中邑　咲太郎</t>
  </si>
  <si>
    <t>浅田　陽大</t>
  </si>
  <si>
    <t>工藤　寿</t>
  </si>
  <si>
    <t>安部　央恭</t>
  </si>
  <si>
    <t>福田　海斗</t>
  </si>
  <si>
    <t>小野　碧仁</t>
  </si>
  <si>
    <t>河野　快翔</t>
  </si>
  <si>
    <t>秦　歩夢</t>
  </si>
  <si>
    <t>小野　豹雅</t>
  </si>
  <si>
    <t>平野　晃大</t>
  </si>
  <si>
    <t>衛藤　壮佑</t>
  </si>
  <si>
    <t>山田　凌翔</t>
  </si>
  <si>
    <t>仲元寺　彪樹</t>
  </si>
  <si>
    <t>渕野　蒼介</t>
  </si>
  <si>
    <t>荻本　圭</t>
  </si>
  <si>
    <t>日野　碧人</t>
  </si>
  <si>
    <t>和田　唯威斗</t>
  </si>
  <si>
    <t>黒川　厚綺</t>
  </si>
  <si>
    <t>山村　駿太</t>
  </si>
  <si>
    <t>首藤　直人</t>
  </si>
  <si>
    <t>中野　陽太</t>
  </si>
  <si>
    <t>瀧山　勝汰</t>
  </si>
  <si>
    <t>相良　篤太朗</t>
  </si>
  <si>
    <t>多田　唯人</t>
  </si>
  <si>
    <t>御筆　康誠</t>
  </si>
  <si>
    <t>甲斐　逸平</t>
  </si>
  <si>
    <t>上野　颯太</t>
  </si>
  <si>
    <t>森　悠馬</t>
  </si>
  <si>
    <t>渡邊　剛生</t>
  </si>
  <si>
    <t>小野　央士郎</t>
  </si>
  <si>
    <t>谷口　海斗</t>
  </si>
  <si>
    <t>佐藤　歩</t>
  </si>
  <si>
    <t>志賀　琉人</t>
  </si>
  <si>
    <t>赤木　尚翔</t>
  </si>
  <si>
    <t>佐藤　凱李</t>
  </si>
  <si>
    <t>小島　大空</t>
  </si>
  <si>
    <t>長井　清音</t>
  </si>
  <si>
    <t>大井　裕翔</t>
  </si>
  <si>
    <t>橋本　拓弥</t>
  </si>
  <si>
    <t>田中　琉生</t>
  </si>
  <si>
    <t>帶刀　春馬</t>
  </si>
  <si>
    <t>岐部　樹希</t>
  </si>
  <si>
    <t>立川　大翔</t>
  </si>
  <si>
    <t>後藤　煌晴</t>
  </si>
  <si>
    <t>近藤　楓馬</t>
  </si>
  <si>
    <t>坊向　実明</t>
  </si>
  <si>
    <t>野村　祐弘</t>
  </si>
  <si>
    <t>蒲原　彰人</t>
  </si>
  <si>
    <t>廣瀬　亘</t>
  </si>
  <si>
    <t>秋山　湊</t>
  </si>
  <si>
    <t>太田　寿希</t>
  </si>
  <si>
    <t>伊達　絵利華</t>
  </si>
  <si>
    <t>齋藤　大遙</t>
  </si>
  <si>
    <t>森島　圭都</t>
  </si>
  <si>
    <t>榮森　琥太郎</t>
  </si>
  <si>
    <t>安達　拓実</t>
  </si>
  <si>
    <t>安藤　仁李</t>
  </si>
  <si>
    <t>江戸　瞬太</t>
  </si>
  <si>
    <t>笠置　拓翔</t>
  </si>
  <si>
    <t>足立　慶矢</t>
  </si>
  <si>
    <t>岩永　桔平</t>
  </si>
  <si>
    <t>野田　逞真</t>
  </si>
  <si>
    <t>小田　せな</t>
  </si>
  <si>
    <t>小野　陽翔</t>
  </si>
  <si>
    <t>溜池　陸</t>
  </si>
  <si>
    <t>園田　碧</t>
  </si>
  <si>
    <t>伊東　蒼斗</t>
  </si>
  <si>
    <t>薬師寺　輝仁</t>
  </si>
  <si>
    <t>須川　太陽</t>
  </si>
  <si>
    <t>向井　嵐真</t>
  </si>
  <si>
    <t>古野　煌</t>
  </si>
  <si>
    <t>佐藤　陽飛</t>
  </si>
  <si>
    <t>樋渡　空</t>
  </si>
  <si>
    <t>財前　歩</t>
  </si>
  <si>
    <t>阿南　沙耶斗</t>
  </si>
  <si>
    <t>高浪　遼馬</t>
  </si>
  <si>
    <t>川口　和空</t>
  </si>
  <si>
    <t>荒金　総志</t>
  </si>
  <si>
    <t>阿部　康介</t>
  </si>
  <si>
    <t>矢野　楓弦</t>
  </si>
  <si>
    <t>西　琥太朗</t>
  </si>
  <si>
    <t>柴田　葵生</t>
  </si>
  <si>
    <t>深田　虹</t>
  </si>
  <si>
    <t>牧　俊佑</t>
  </si>
  <si>
    <t>銅城　凜華</t>
  </si>
  <si>
    <t>岐部　廉太郎</t>
  </si>
  <si>
    <t>橋口　岳</t>
  </si>
  <si>
    <t>中村　颯斗</t>
  </si>
  <si>
    <t>松浦　栄斗</t>
  </si>
  <si>
    <t>桑原　絆多</t>
  </si>
  <si>
    <t>中村　唯斗</t>
  </si>
  <si>
    <t>桑原　一旗</t>
  </si>
  <si>
    <t>銅城　遥翔</t>
  </si>
  <si>
    <t>片野　翔太</t>
  </si>
  <si>
    <t>安東　優一朗</t>
  </si>
  <si>
    <t>野尻　蒼葉</t>
  </si>
  <si>
    <t>梶原　颯太</t>
  </si>
  <si>
    <t>宮脇　貴大</t>
  </si>
  <si>
    <t>川尻　陽弥</t>
  </si>
  <si>
    <t>手嶋　悠貴</t>
  </si>
  <si>
    <t>首藤　歩夢</t>
  </si>
  <si>
    <t>富來　皇真</t>
  </si>
  <si>
    <t>板井　道忠</t>
  </si>
  <si>
    <t>瓜生　陽希</t>
  </si>
  <si>
    <t>牧　輝真</t>
  </si>
  <si>
    <t>平田　架</t>
  </si>
  <si>
    <t>串間　彰斗</t>
  </si>
  <si>
    <t>木下　央理</t>
  </si>
  <si>
    <t>廣戸　大輝</t>
  </si>
  <si>
    <t>山下　雅功</t>
  </si>
  <si>
    <t>荒田　晴</t>
  </si>
  <si>
    <t>菊地　七海</t>
  </si>
  <si>
    <t>小野　一珈</t>
  </si>
  <si>
    <t>池辺　湊登</t>
  </si>
  <si>
    <t>首藤　凜太郎</t>
  </si>
  <si>
    <t>古山　颯馬</t>
  </si>
  <si>
    <t>霍田　健</t>
  </si>
  <si>
    <t>恵藤　俊祐</t>
  </si>
  <si>
    <t>副田　悠生</t>
  </si>
  <si>
    <t>田中　悠斗</t>
  </si>
  <si>
    <t>築城　未侑</t>
  </si>
  <si>
    <t>松本　航汰</t>
  </si>
  <si>
    <t>弓削　颯允</t>
  </si>
  <si>
    <t>和田　心陽</t>
  </si>
  <si>
    <t>大田　桜都</t>
  </si>
  <si>
    <t>渡辺　煌琥</t>
  </si>
  <si>
    <t>馬場　蒼汰</t>
  </si>
  <si>
    <t>長尾　凜和</t>
  </si>
  <si>
    <t>加藤　柊</t>
  </si>
  <si>
    <t>斜木　稜介</t>
  </si>
  <si>
    <t>工藤　颯馬</t>
  </si>
  <si>
    <t>髙橋　凰介</t>
  </si>
  <si>
    <t>肌野　昇輝</t>
  </si>
  <si>
    <t>藤原　匠吾</t>
  </si>
  <si>
    <t>萱嶋　天翔</t>
  </si>
  <si>
    <t>岩坂　惇平</t>
  </si>
  <si>
    <t>村上　白翔</t>
  </si>
  <si>
    <t>石上　智也</t>
  </si>
  <si>
    <t>山田　大輝</t>
  </si>
  <si>
    <t>南　和樹</t>
  </si>
  <si>
    <t>藤本　大粋</t>
  </si>
  <si>
    <t>渡辺　啓伍</t>
  </si>
  <si>
    <t>小森　悠生</t>
  </si>
  <si>
    <t>嶋田　将希</t>
  </si>
  <si>
    <t>兵頭　羚王</t>
  </si>
  <si>
    <t>橋迫　楓河</t>
  </si>
  <si>
    <t>孫田　匠翔</t>
  </si>
  <si>
    <t>田中　陵太</t>
  </si>
  <si>
    <t>松尾　翔斗</t>
  </si>
  <si>
    <t>柴田　柏介</t>
  </si>
  <si>
    <t>花北　旭輝</t>
  </si>
  <si>
    <t>柚須　涼太</t>
  </si>
  <si>
    <t>大野　理玖</t>
  </si>
  <si>
    <t>山本　怜旺</t>
  </si>
  <si>
    <t>安藤　巧馬</t>
  </si>
  <si>
    <t>植木　風樹</t>
  </si>
  <si>
    <t>櫻井　仁</t>
  </si>
  <si>
    <t>溝部　あやか</t>
  </si>
  <si>
    <t>岡　湊翔</t>
  </si>
  <si>
    <t>野田　雅</t>
  </si>
  <si>
    <t>平岡　充望</t>
  </si>
  <si>
    <t>市原　姫奈</t>
  </si>
  <si>
    <t>永野　結翔</t>
  </si>
  <si>
    <t>櫻井　旬</t>
  </si>
  <si>
    <t>昆　桜空</t>
  </si>
  <si>
    <t>山田　智波</t>
  </si>
  <si>
    <t>森　煌太郎</t>
  </si>
  <si>
    <t>菊池　奏汰</t>
  </si>
  <si>
    <t>田村　鷹雪</t>
  </si>
  <si>
    <t>門田　淳希</t>
  </si>
  <si>
    <t>福田　雅</t>
  </si>
  <si>
    <t>佐藤　泰生</t>
  </si>
  <si>
    <t>小笠原　伊織</t>
  </si>
  <si>
    <t>田中　凌大</t>
  </si>
  <si>
    <t>佐藤　吟汰</t>
  </si>
  <si>
    <t>酒井　心大朗</t>
  </si>
  <si>
    <t>佐藤　悠生</t>
  </si>
  <si>
    <t>高田　想佑</t>
  </si>
  <si>
    <t>上田　大耀</t>
  </si>
  <si>
    <t>吉良　凛太朗</t>
  </si>
  <si>
    <t>上野　蒼祐</t>
  </si>
  <si>
    <t>菊川　晄</t>
  </si>
  <si>
    <t>桑原　正太</t>
  </si>
  <si>
    <t>島田　唯歩</t>
  </si>
  <si>
    <t>中津留　逞真</t>
  </si>
  <si>
    <t>渡邊　真統</t>
  </si>
  <si>
    <t>眞井　賢志郎</t>
  </si>
  <si>
    <t>山崎　翔</t>
  </si>
  <si>
    <t>村上　冬磨</t>
  </si>
  <si>
    <t>髙野　瑞基</t>
  </si>
  <si>
    <t>河野　冬馬</t>
  </si>
  <si>
    <t>荻野　公汰</t>
  </si>
  <si>
    <t>大戸　涼雅</t>
  </si>
  <si>
    <t>甲斐　慈大</t>
  </si>
  <si>
    <t>坂川　太駈</t>
  </si>
  <si>
    <t>眞庭　壮</t>
  </si>
  <si>
    <t>吉良　遥翔</t>
  </si>
  <si>
    <t>橋本　大心</t>
  </si>
  <si>
    <t>園田　海?</t>
  </si>
  <si>
    <t>和哥山　隼</t>
  </si>
  <si>
    <t>黒田　彪牙</t>
  </si>
  <si>
    <t>福田　大耀</t>
  </si>
  <si>
    <t>長岡　明飛</t>
  </si>
  <si>
    <t>椎葉　蒼生</t>
  </si>
  <si>
    <t>井植　星翔</t>
  </si>
  <si>
    <t>嶋田　裕人</t>
  </si>
  <si>
    <t>清原　将希</t>
  </si>
  <si>
    <t>平島　優叶</t>
  </si>
  <si>
    <t>里見　悠太</t>
  </si>
  <si>
    <t>原田　透利</t>
  </si>
  <si>
    <t>長田　旺祐</t>
  </si>
  <si>
    <t>松田　悠</t>
  </si>
  <si>
    <t>井口　蒼士</t>
  </si>
  <si>
    <t>青山　拓馬</t>
  </si>
  <si>
    <t>中島　汰宥</t>
  </si>
  <si>
    <t>島田　遥汰</t>
  </si>
  <si>
    <t>中崎　悠大</t>
  </si>
  <si>
    <t>廣松　揺士郎</t>
  </si>
  <si>
    <t>齊藤　蓮太朗</t>
  </si>
  <si>
    <t>末永　葵空</t>
  </si>
  <si>
    <t>高橋　英斗</t>
  </si>
  <si>
    <t>木元　星杏</t>
  </si>
  <si>
    <t>井餘田　琉稀</t>
  </si>
  <si>
    <t>佐藤　慶</t>
  </si>
  <si>
    <t>後藤　悠真</t>
  </si>
  <si>
    <t>森﨑　友哉</t>
  </si>
  <si>
    <t>山﨑　勇人</t>
  </si>
  <si>
    <t>濵﨑　翼</t>
  </si>
  <si>
    <t>松岡　陽奈</t>
  </si>
  <si>
    <t>山本　葵</t>
  </si>
  <si>
    <t>三又　瑛</t>
  </si>
  <si>
    <t>下村　匠真</t>
  </si>
  <si>
    <t>野仲　翔空</t>
  </si>
  <si>
    <t>首藤　真乃愛</t>
  </si>
  <si>
    <t>土谷　一普</t>
  </si>
  <si>
    <t>坂本　蓮太</t>
  </si>
  <si>
    <t>赤嶺　爽真</t>
  </si>
  <si>
    <t>角谷　樹希</t>
  </si>
  <si>
    <t>馬場　海斗</t>
  </si>
  <si>
    <t>油布　泰地</t>
  </si>
  <si>
    <t>後藤　成朋</t>
  </si>
  <si>
    <t>後藤　羽空</t>
  </si>
  <si>
    <t>山﨑　翔</t>
  </si>
  <si>
    <t>山本　波音</t>
  </si>
  <si>
    <t>合沢　拓海</t>
  </si>
  <si>
    <t>安藤　成都</t>
  </si>
  <si>
    <t>矢田　てん介</t>
  </si>
  <si>
    <t>鈴木　叶我</t>
  </si>
  <si>
    <t>古賀　晴也</t>
  </si>
  <si>
    <t>神崎　海斗</t>
  </si>
  <si>
    <t>高橋　愛衣斗</t>
  </si>
  <si>
    <t>井ノ口　遥稀</t>
  </si>
  <si>
    <t>南　叶汰</t>
  </si>
  <si>
    <t>倉掛　秀太</t>
  </si>
  <si>
    <t>髙橋　蒼汰</t>
  </si>
  <si>
    <t>藤原　壮希</t>
  </si>
  <si>
    <t>高橋　恵太朗</t>
  </si>
  <si>
    <t>江藤　丈二</t>
  </si>
  <si>
    <t>幸　仁</t>
  </si>
  <si>
    <t>脇　優虎</t>
  </si>
  <si>
    <t>新名　純也</t>
  </si>
  <si>
    <t>山田　耀心</t>
  </si>
  <si>
    <t>白井　湊士</t>
  </si>
  <si>
    <t>田口　壱翔</t>
  </si>
  <si>
    <t>大塚　康太</t>
  </si>
  <si>
    <t>加木　心絆</t>
  </si>
  <si>
    <t>狭間　陽奈太</t>
  </si>
  <si>
    <t>森田　彩加</t>
  </si>
  <si>
    <t>佐々木　颯斗</t>
  </si>
  <si>
    <t>渋谷　一晟</t>
  </si>
  <si>
    <t>杉　逞斗</t>
  </si>
  <si>
    <t>藤原　力希空</t>
  </si>
  <si>
    <t>森田　悠司</t>
  </si>
  <si>
    <t>城井　翔梧</t>
  </si>
  <si>
    <t>森山　悠人</t>
  </si>
  <si>
    <t>田崎　裕之助</t>
  </si>
  <si>
    <t>通戸　丈助</t>
  </si>
  <si>
    <t>上塚　多喜</t>
  </si>
  <si>
    <t>佐藤　慶士郎</t>
  </si>
  <si>
    <t>友岡　煌晴</t>
  </si>
  <si>
    <t>田上　琉偉</t>
  </si>
  <si>
    <t>城井　琢杜</t>
  </si>
  <si>
    <t>石本　蒼志郎</t>
  </si>
  <si>
    <t>岡本　恒平</t>
  </si>
  <si>
    <t>宮部　圭佑</t>
  </si>
  <si>
    <t>小池　真生</t>
  </si>
  <si>
    <t>大城　慶士</t>
  </si>
  <si>
    <t>森　奏多</t>
  </si>
  <si>
    <t>実本　慶翔</t>
  </si>
  <si>
    <t>渡辺　和志</t>
  </si>
  <si>
    <t>児玉　梛生</t>
  </si>
  <si>
    <t>甲斐　琥冴</t>
  </si>
  <si>
    <t>大石　晃太</t>
  </si>
  <si>
    <t>三浦　桜介</t>
  </si>
  <si>
    <t>神崎　心晴</t>
  </si>
  <si>
    <t>御手洗　翼</t>
  </si>
  <si>
    <t>坂元　柊哉</t>
  </si>
  <si>
    <t>川上　心平</t>
  </si>
  <si>
    <t>藤井　朔太郎</t>
  </si>
  <si>
    <t>畠山　遥瑠</t>
  </si>
  <si>
    <t>竹村　倫太朗</t>
  </si>
  <si>
    <t>亀井　凌真</t>
  </si>
  <si>
    <t>村上　大翔</t>
  </si>
  <si>
    <t>兒玉　昊士</t>
  </si>
  <si>
    <t>田川　凛都</t>
  </si>
  <si>
    <t>幸　遼輔</t>
  </si>
  <si>
    <t>三浦　晃輝</t>
  </si>
  <si>
    <t>吉田　一翔</t>
  </si>
  <si>
    <t>森田　朔久</t>
  </si>
  <si>
    <t>首藤　瑛太</t>
  </si>
  <si>
    <t>成松　響</t>
  </si>
  <si>
    <t>三木　帆乃花</t>
  </si>
  <si>
    <t>三宮　柊真</t>
  </si>
  <si>
    <t>畑中　結登</t>
  </si>
  <si>
    <t>長峯　結希</t>
  </si>
  <si>
    <t>佐藤　大耀</t>
  </si>
  <si>
    <t>楢田　瑞月</t>
  </si>
  <si>
    <t>麻生　瑛涼</t>
  </si>
  <si>
    <t>油布　昂己</t>
  </si>
  <si>
    <t>加来　武志</t>
  </si>
  <si>
    <t>長松　陽真</t>
  </si>
  <si>
    <t>中山　翔</t>
  </si>
  <si>
    <t>小雲　虹</t>
  </si>
  <si>
    <t>南　咲太郎</t>
  </si>
  <si>
    <t>識名　十二朗</t>
  </si>
  <si>
    <t>河野　壮汰</t>
  </si>
  <si>
    <t>大園　友葵</t>
  </si>
  <si>
    <t>河野　賢心</t>
  </si>
  <si>
    <t>内木　綱人</t>
  </si>
  <si>
    <t>渡邉　陽太</t>
  </si>
  <si>
    <t>松川　斗真</t>
  </si>
  <si>
    <t>萱島　快音</t>
  </si>
  <si>
    <t>寺司　京太郎</t>
  </si>
  <si>
    <t>松井　響大</t>
  </si>
  <si>
    <t>安倍　巴</t>
  </si>
  <si>
    <t>石見　湊湟</t>
  </si>
  <si>
    <t>藤原　聡真</t>
  </si>
  <si>
    <t>長田　啓吾</t>
  </si>
  <si>
    <t>糸長　賢斗</t>
  </si>
  <si>
    <t>髙倉　啓伍</t>
  </si>
  <si>
    <t>藤本　勇人</t>
  </si>
  <si>
    <t>矢野　斗麻</t>
  </si>
  <si>
    <t>中村　心和</t>
  </si>
  <si>
    <t>佐藤　一叶</t>
  </si>
  <si>
    <t>梶原　夏</t>
  </si>
  <si>
    <t>石井　琥二郎</t>
  </si>
  <si>
    <t>井上　笑里</t>
  </si>
  <si>
    <t>伊藤　暉狼</t>
  </si>
  <si>
    <t>吉田　聖己</t>
  </si>
  <si>
    <t>山本　悠流</t>
  </si>
  <si>
    <t>吉武　橙利</t>
  </si>
  <si>
    <t>佐藤　壮真</t>
  </si>
  <si>
    <t>磯田　光希</t>
  </si>
  <si>
    <t>中村　光希</t>
  </si>
  <si>
    <t>櫻井　翔琉</t>
  </si>
  <si>
    <t>江藤　晴琉</t>
  </si>
  <si>
    <t>櫻井　琥次郎</t>
  </si>
  <si>
    <t>後藤　虎大</t>
  </si>
  <si>
    <t>菅　泰輔</t>
  </si>
  <si>
    <t>池辺　光凱</t>
  </si>
  <si>
    <t>佳元　懸汰</t>
  </si>
  <si>
    <t>中野　稀</t>
  </si>
  <si>
    <t>河野　弘季</t>
  </si>
  <si>
    <t>若林　煌明</t>
  </si>
  <si>
    <t>麻生　雅斗</t>
  </si>
  <si>
    <t>西田　虎太朗</t>
  </si>
  <si>
    <t>安波　桜次郎</t>
  </si>
  <si>
    <t>白石　樹</t>
  </si>
  <si>
    <t>伊藤　駿汰</t>
  </si>
  <si>
    <t>野村　一颯</t>
  </si>
  <si>
    <t>新村　隼士</t>
  </si>
  <si>
    <t>佐藤　永音</t>
  </si>
  <si>
    <t>首藤　絢心</t>
  </si>
  <si>
    <t>高井　斗蒼</t>
  </si>
  <si>
    <t>河野　稜祐</t>
  </si>
  <si>
    <t>寺田　駿也</t>
  </si>
  <si>
    <t>伊藤　文乃</t>
  </si>
  <si>
    <t>岡本　楓己</t>
  </si>
  <si>
    <t>手嶋　佑蒼</t>
  </si>
  <si>
    <t>右田　逞</t>
  </si>
  <si>
    <t>新村　眞士</t>
  </si>
  <si>
    <t>繁里　翼冴</t>
  </si>
  <si>
    <t>永野　央頼</t>
  </si>
  <si>
    <t>日野　勇利</t>
  </si>
  <si>
    <t>阿部　史弥</t>
  </si>
  <si>
    <t>森下　葵翔</t>
  </si>
  <si>
    <t>髙橋　崇史郎</t>
  </si>
  <si>
    <t>川口　瑛大</t>
  </si>
  <si>
    <t>曽我　凰雅</t>
  </si>
  <si>
    <t>畑中　凛人</t>
  </si>
  <si>
    <t>兵頭　琥太郎</t>
  </si>
  <si>
    <t>稲月　庵</t>
  </si>
  <si>
    <t>垂水　大地</t>
  </si>
  <si>
    <t>冨賀見　空也</t>
  </si>
  <si>
    <t>田辺　大也</t>
  </si>
  <si>
    <t>辰島　陽人</t>
  </si>
  <si>
    <t>酒井　志悠</t>
  </si>
  <si>
    <t>元永　匠音</t>
  </si>
  <si>
    <t>竹本　虎駆</t>
  </si>
  <si>
    <t>廣崎　一眞</t>
  </si>
  <si>
    <t>小倉　琉煌</t>
  </si>
  <si>
    <t>内丸　駿太朗</t>
  </si>
  <si>
    <t>田中　瞬矢</t>
  </si>
  <si>
    <t>壇　葵</t>
  </si>
  <si>
    <t>森　裕翠</t>
  </si>
  <si>
    <t>東　紅成</t>
  </si>
  <si>
    <t>原　旭陽</t>
  </si>
  <si>
    <t>東　秦也</t>
  </si>
  <si>
    <t>後藤　愛斗</t>
  </si>
  <si>
    <t>島田　陽翔</t>
  </si>
  <si>
    <t>原　大和</t>
  </si>
  <si>
    <t>安部　拳志郎</t>
  </si>
  <si>
    <t>島田　旺汰</t>
  </si>
  <si>
    <t>原　颯也</t>
  </si>
  <si>
    <t>髙倉　琉優</t>
  </si>
  <si>
    <t>四辻　輝大</t>
  </si>
  <si>
    <t>寺川　大翔</t>
  </si>
  <si>
    <t>上田　悠生</t>
  </si>
  <si>
    <t>稲積　比呂斗</t>
  </si>
  <si>
    <t>穴井　真碧</t>
  </si>
  <si>
    <t>安養寺　天馬</t>
  </si>
  <si>
    <t>中原　大耀</t>
  </si>
  <si>
    <t>坂本　英澄</t>
  </si>
  <si>
    <t>岩田　宗亮</t>
  </si>
  <si>
    <t>松木　創平</t>
  </si>
  <si>
    <t>吉良　櫂伸</t>
  </si>
  <si>
    <t>松木　清志郎</t>
  </si>
  <si>
    <t>橋本　蕾武</t>
  </si>
  <si>
    <t>髙田　篤人</t>
  </si>
  <si>
    <t>荒金　煌也</t>
  </si>
  <si>
    <t>古畑　道</t>
  </si>
  <si>
    <t>池田　拓人</t>
  </si>
  <si>
    <t>亀井　あかり</t>
  </si>
  <si>
    <t>今津　翼</t>
  </si>
  <si>
    <t>大星　龍輝</t>
  </si>
  <si>
    <t>大星　来騎</t>
  </si>
  <si>
    <t>橋本　宏太郎</t>
  </si>
  <si>
    <t>岡部　聖来</t>
  </si>
  <si>
    <t>室　蓮翔</t>
  </si>
  <si>
    <t>石掛　雅希</t>
  </si>
  <si>
    <t>石掛　実央</t>
  </si>
  <si>
    <t>古藤　星穏</t>
  </si>
  <si>
    <t>西村　蒼馬</t>
  </si>
  <si>
    <t>室　天翔</t>
  </si>
  <si>
    <t>麻生　朔玖</t>
  </si>
  <si>
    <t>児玉　朝飛</t>
  </si>
  <si>
    <t>麻川　琉海</t>
  </si>
  <si>
    <t>阿部　常信</t>
  </si>
  <si>
    <t>遠藤　大和</t>
  </si>
  <si>
    <t>大久保　颯人</t>
  </si>
  <si>
    <t>首藤　凛成</t>
  </si>
  <si>
    <t>仁部屋　太希</t>
  </si>
  <si>
    <t>財津　佑成</t>
  </si>
  <si>
    <t>安藤　晴</t>
  </si>
  <si>
    <t>渡辺　大悟</t>
  </si>
  <si>
    <t>濱口　晴真</t>
  </si>
  <si>
    <t>髙橋　保仁</t>
  </si>
  <si>
    <t>濱口　太陽</t>
  </si>
  <si>
    <t>井上　陽登</t>
  </si>
  <si>
    <t>カワイ　カンタ</t>
  </si>
  <si>
    <t>ワタナベ　ダイゾウ</t>
  </si>
  <si>
    <t>アナイ　イブキ</t>
  </si>
  <si>
    <t>ウノ　タイセイ</t>
  </si>
  <si>
    <t>アナン　ソウマ</t>
  </si>
  <si>
    <t>タツカワ　ユナ</t>
  </si>
  <si>
    <t>ヤツシロ　ジュタロウ</t>
  </si>
  <si>
    <t>ヤツシロ　ゼンタロウ</t>
  </si>
  <si>
    <t>ザイツ　ヒカリ</t>
  </si>
  <si>
    <t>タカダ　マナト</t>
  </si>
  <si>
    <t>ムラカミ　コウセイ</t>
  </si>
  <si>
    <t>カワヅ　アヤタ</t>
  </si>
  <si>
    <t>ゴトウ　イツジ</t>
  </si>
  <si>
    <t>ヨロズ　サンシロウ</t>
  </si>
  <si>
    <t>ヨシカイ　レノ</t>
  </si>
  <si>
    <t>ミトマ　ユウカ</t>
  </si>
  <si>
    <t>ナカシマ　リュウシン</t>
  </si>
  <si>
    <t>カジワラ　ナオタロウ</t>
  </si>
  <si>
    <t>マツキ　ソウシ</t>
  </si>
  <si>
    <t>オノ　マサキ</t>
  </si>
  <si>
    <t>ミゾグチ　カオ</t>
  </si>
  <si>
    <t>イノウエ　タイラ</t>
  </si>
  <si>
    <t>アナイ　キナリ</t>
  </si>
  <si>
    <t>ヨシタケ　コウミ</t>
  </si>
  <si>
    <t>エトウ　フウマ</t>
  </si>
  <si>
    <t>タロウラ　ゲント</t>
  </si>
  <si>
    <t>ウメキ　アンジュ</t>
  </si>
  <si>
    <t>ワタナベ　ユウア</t>
  </si>
  <si>
    <t>アキヨシ　ユウシン</t>
  </si>
  <si>
    <t>ヒノ　ソウタ</t>
  </si>
  <si>
    <t>カワノ　セイタ</t>
  </si>
  <si>
    <t>マエカワ　コハル</t>
  </si>
  <si>
    <t>トモマツ　アオシ</t>
  </si>
  <si>
    <t>カジワラ　シオン</t>
  </si>
  <si>
    <t>フジワラ　コウキ</t>
  </si>
  <si>
    <t>ワタナベ　カナト</t>
  </si>
  <si>
    <t>ハヤマ　アサヒ</t>
  </si>
  <si>
    <t>サカグチ　ユウシン</t>
  </si>
  <si>
    <t>ナカシマ　カナタ</t>
  </si>
  <si>
    <t>イノウエ　キシン</t>
  </si>
  <si>
    <t>マツモト　アオト</t>
  </si>
  <si>
    <t>ツダ　トウリ</t>
  </si>
  <si>
    <t>ミムラ　ナオフミ</t>
  </si>
  <si>
    <t>モトヨシ　ユウタ</t>
  </si>
  <si>
    <t>ハタベ　リョウスケ</t>
  </si>
  <si>
    <t>トクナガ　タクマ</t>
  </si>
  <si>
    <t>アベ　セイア</t>
  </si>
  <si>
    <t>イマイ　アサヒ</t>
  </si>
  <si>
    <t>ミツオカ　ユウヒ</t>
  </si>
  <si>
    <t>オオニシ　ソラ</t>
  </si>
  <si>
    <t>カンダ　アユム</t>
  </si>
  <si>
    <t>スナミ　マサト</t>
  </si>
  <si>
    <t>アベ　コウシ</t>
  </si>
  <si>
    <t>アベ　ハルキ</t>
  </si>
  <si>
    <t>フジモト　リュウノスケ</t>
  </si>
  <si>
    <t>オオニシ　フウリュウ</t>
  </si>
  <si>
    <t>カク　タイガ</t>
  </si>
  <si>
    <t>アンベ　シン</t>
  </si>
  <si>
    <t>カモダ　コウマ</t>
  </si>
  <si>
    <t>コウノ　レオ</t>
  </si>
  <si>
    <t>イナヨシ　レイ</t>
  </si>
  <si>
    <t>イノクチ　ハル</t>
  </si>
  <si>
    <t>コジマ　タツミ</t>
  </si>
  <si>
    <t>コジマ　トウキ</t>
  </si>
  <si>
    <t>ノダ　タクマ</t>
  </si>
  <si>
    <t>サガラ　エイト</t>
  </si>
  <si>
    <t>エガワ　ユウマ</t>
  </si>
  <si>
    <t>ウエダ　タイヨウ</t>
  </si>
  <si>
    <t>ヤノ　ヒロト</t>
  </si>
  <si>
    <t>アベ　トウマ</t>
  </si>
  <si>
    <t>マツモト　ライト</t>
  </si>
  <si>
    <t>ムラカミ　タスク</t>
  </si>
  <si>
    <t>タナナリ　アオイ</t>
  </si>
  <si>
    <t>ナガノ　アオイ</t>
  </si>
  <si>
    <t>ユミサキ　ユウキ</t>
  </si>
  <si>
    <t>ヒロセ　メイ</t>
  </si>
  <si>
    <t>シバセキ　イッシン</t>
  </si>
  <si>
    <t>ナガノ　トウリ</t>
  </si>
  <si>
    <t>サホ　タイスケ</t>
  </si>
  <si>
    <t>ショウノ　ハルマ</t>
  </si>
  <si>
    <t>ニノミヤ　ケイ</t>
  </si>
  <si>
    <t>ノジ　ハヅキ</t>
  </si>
  <si>
    <t>ツジ　ハル</t>
  </si>
  <si>
    <t>アダチ　イブキ</t>
  </si>
  <si>
    <t>アサゴエ　ハルキ</t>
  </si>
  <si>
    <t>タナカ　スバル</t>
  </si>
  <si>
    <t>ウラ　ジュンタ</t>
  </si>
  <si>
    <t>ホリ　リオト</t>
  </si>
  <si>
    <t>ワタナベ　ソア</t>
  </si>
  <si>
    <t>ムナオカ　ヒヨリ</t>
  </si>
  <si>
    <t>イバタ　タカト</t>
  </si>
  <si>
    <t>エトウ　オウカ</t>
  </si>
  <si>
    <t>ハナキ　イッシン</t>
  </si>
  <si>
    <t>ナカタニ　ヒナタ</t>
  </si>
  <si>
    <t>ヒサモチ　レン</t>
  </si>
  <si>
    <t>マナベ　コウシ</t>
  </si>
  <si>
    <t>シモハタ　アサヒ</t>
  </si>
  <si>
    <t>ハラダ　カリン</t>
  </si>
  <si>
    <t>マルタ　シュウ</t>
  </si>
  <si>
    <t>ミヤワキ　コウジ</t>
  </si>
  <si>
    <t>ワタナベ　リンタ</t>
  </si>
  <si>
    <t>カミジョウ　モトキ</t>
  </si>
  <si>
    <t>サダモト　フクシ</t>
  </si>
  <si>
    <t>カタオカ　コウセイ</t>
  </si>
  <si>
    <t>ムライ　ソウシ</t>
  </si>
  <si>
    <t>ヨシオカ　タイセイ</t>
  </si>
  <si>
    <t>コガ　ハルマ</t>
  </si>
  <si>
    <t>カワグチ　ソウマ</t>
  </si>
  <si>
    <t>トモマツ　ユズ</t>
  </si>
  <si>
    <t>ヒロハタ　ネネ</t>
  </si>
  <si>
    <t>ヨシザキ　ヒゲン</t>
  </si>
  <si>
    <t>アイヅ　カナミ</t>
  </si>
  <si>
    <t>キド　シュン</t>
  </si>
  <si>
    <t>アンドウ　ヒロト</t>
  </si>
  <si>
    <t>ハシモト　ユウキ</t>
  </si>
  <si>
    <t>クゲ　ソウマ</t>
  </si>
  <si>
    <t>ウノハナ　ユナ</t>
  </si>
  <si>
    <t>クリヤマ　スズ</t>
  </si>
  <si>
    <t>カドタ　チヒロ</t>
  </si>
  <si>
    <t>コヤマ　ハヅキ</t>
  </si>
  <si>
    <t>ナカムラ　ゲン</t>
  </si>
  <si>
    <t>イガウエ　リョウタ</t>
  </si>
  <si>
    <t>ヤマダ　リオ</t>
  </si>
  <si>
    <t>リクマル　ゲンタ</t>
  </si>
  <si>
    <t>アサウミ　ショウ</t>
  </si>
  <si>
    <t>アダチ　マサト</t>
  </si>
  <si>
    <t>トミタカ　ソウスケ</t>
  </si>
  <si>
    <t>キモト　ケイスケ</t>
  </si>
  <si>
    <t>フタミ　スグル</t>
  </si>
  <si>
    <t>タシロ　トヨノブ</t>
  </si>
  <si>
    <t>カリュウ　ケンタ</t>
  </si>
  <si>
    <t>カワタ　イタル</t>
  </si>
  <si>
    <t>サカモト　トウマ</t>
  </si>
  <si>
    <t>シオツキ　タクト</t>
  </si>
  <si>
    <t>キムラ　エイタ</t>
  </si>
  <si>
    <t>ヨコヤマ　ココナ</t>
  </si>
  <si>
    <t>スズキ　ユウマ</t>
  </si>
  <si>
    <t>サコダ　ヤマト</t>
  </si>
  <si>
    <t>キモト　タオ</t>
  </si>
  <si>
    <t>ナガオ　リツキ</t>
  </si>
  <si>
    <t>ミヤタ　シュント</t>
  </si>
  <si>
    <t>キラ　ハルキ</t>
  </si>
  <si>
    <t>ノノシタ　カイセイ</t>
  </si>
  <si>
    <t>マスムラ　オウタ</t>
  </si>
  <si>
    <t>タニガワ　ユウタ</t>
  </si>
  <si>
    <t>シロミズ　ソラ</t>
  </si>
  <si>
    <t>ミヤモト　タクミ</t>
  </si>
  <si>
    <t>イワマル　ヨウタロウ</t>
  </si>
  <si>
    <t>イノマタ　ケイタ</t>
  </si>
  <si>
    <t>ハセガワ　レント</t>
  </si>
  <si>
    <t>コジマ　エイタ</t>
  </si>
  <si>
    <t>ウエムラ　アオイ</t>
  </si>
  <si>
    <t>アソウ　トモキ</t>
  </si>
  <si>
    <t>ナガノ　タイキ</t>
  </si>
  <si>
    <t>ワカスギ　カナト</t>
  </si>
  <si>
    <t>ミウラ　オウマ</t>
  </si>
  <si>
    <t>タナベ　ユウダイ</t>
  </si>
  <si>
    <t>タケノウチ　ソウマ</t>
  </si>
  <si>
    <t>ミヤグチ　ユウト</t>
  </si>
  <si>
    <t>シュトウ　ソラト</t>
  </si>
  <si>
    <t>ムラヤマ　アンナ</t>
  </si>
  <si>
    <t>アサオ　ケイタ</t>
  </si>
  <si>
    <t>アベ　オウスケ</t>
  </si>
  <si>
    <t>フクダ　カイト</t>
  </si>
  <si>
    <t>シン　アユム</t>
  </si>
  <si>
    <t>オノ　ヒョウガ</t>
  </si>
  <si>
    <t>ヒラノ　コウタ</t>
  </si>
  <si>
    <t>ヤマダ　リオト</t>
  </si>
  <si>
    <t>フチノ　ソウスケ</t>
  </si>
  <si>
    <t>オギモト　ケイ</t>
  </si>
  <si>
    <t>ヒノ　アオト</t>
  </si>
  <si>
    <t>ワダ　ユイト</t>
  </si>
  <si>
    <t>クロカワ　アツキ</t>
  </si>
  <si>
    <t>ヤマムラ　シュンタ</t>
  </si>
  <si>
    <t>シュトウ　ナオト</t>
  </si>
  <si>
    <t>ナカノ　ヒナタ</t>
  </si>
  <si>
    <t>タキヤマ　ショウタ</t>
  </si>
  <si>
    <t>サガラ　トクタロウ</t>
  </si>
  <si>
    <t>タダ　ユイト</t>
  </si>
  <si>
    <t>カイ　イッペイ</t>
  </si>
  <si>
    <t>ウエノ　リュウタ</t>
  </si>
  <si>
    <t>モリ　ユウマ</t>
  </si>
  <si>
    <t>ワタナベ　ゴウキ</t>
  </si>
  <si>
    <t>タニグチ　カイト</t>
  </si>
  <si>
    <t>サトウ　アユム</t>
  </si>
  <si>
    <t>シガ　リヒト</t>
  </si>
  <si>
    <t>アカギ　ナオト</t>
  </si>
  <si>
    <t>サトウ　カイリ</t>
  </si>
  <si>
    <t>コジマ　ソラ</t>
  </si>
  <si>
    <t>ナガイ　キヨト</t>
  </si>
  <si>
    <t>オオイ　ヒロト</t>
  </si>
  <si>
    <t>ハシモト　タクヤ</t>
  </si>
  <si>
    <t>タナカ　ルイ</t>
  </si>
  <si>
    <t>キベ　タツキ</t>
  </si>
  <si>
    <t>タツカワ　ヒロト</t>
  </si>
  <si>
    <t>コンドウ　フウマ</t>
  </si>
  <si>
    <t>ボウムキ　サネアキ</t>
  </si>
  <si>
    <t>ノムラ　タスク</t>
  </si>
  <si>
    <t>カマハラ　アキト</t>
  </si>
  <si>
    <t>ヒロセ　コウ</t>
  </si>
  <si>
    <t>アキヤマ　ミナト</t>
  </si>
  <si>
    <t>オオタ　ジュノ</t>
  </si>
  <si>
    <t>ダテ　エリカ</t>
  </si>
  <si>
    <t>サイトウ　ハル</t>
  </si>
  <si>
    <t>モリシマ　ケイト</t>
  </si>
  <si>
    <t>エイモリ　コタロウ</t>
  </si>
  <si>
    <t>アダチ　タクミ</t>
  </si>
  <si>
    <t>エド　シュンタ</t>
  </si>
  <si>
    <t>アダチ　ケイヤ</t>
  </si>
  <si>
    <t>イワナガ　キッペイ</t>
  </si>
  <si>
    <t>オダ　セナ</t>
  </si>
  <si>
    <t>オノ　ヒナタ</t>
  </si>
  <si>
    <t>ソノダ　アオ</t>
  </si>
  <si>
    <t>イトウ　アイト</t>
  </si>
  <si>
    <t>アナミ　サヤト</t>
  </si>
  <si>
    <t>カワグチ　ワク</t>
  </si>
  <si>
    <t>ハラダ　コウヤ</t>
  </si>
  <si>
    <t>アラカネ　ソウシ</t>
  </si>
  <si>
    <t>アベ　コウスケ</t>
  </si>
  <si>
    <t>ニシ　コタロウ</t>
  </si>
  <si>
    <t>シバタ　アオイ</t>
  </si>
  <si>
    <t>フカタ　コウ</t>
  </si>
  <si>
    <t>カタノ　ショウタ</t>
  </si>
  <si>
    <t>アンドウ　ユウイチロウ</t>
  </si>
  <si>
    <t>ノジリ　アオバ</t>
  </si>
  <si>
    <t>カジハラ　ソウタ</t>
  </si>
  <si>
    <t>カワジリ　ハルヤ</t>
  </si>
  <si>
    <t>マキ　テルマ</t>
  </si>
  <si>
    <t>ヒラタ　カケル</t>
  </si>
  <si>
    <t>クシマ　アキト</t>
  </si>
  <si>
    <t>アラタ　ハル</t>
  </si>
  <si>
    <t>キクチ　ナナミ</t>
  </si>
  <si>
    <t>オノ　イチカ</t>
  </si>
  <si>
    <t>イケベ　ミナト</t>
  </si>
  <si>
    <t>サトウ　リョウマ</t>
  </si>
  <si>
    <t>コヤマ　ソウマ</t>
  </si>
  <si>
    <t>ツルタ　タケル</t>
  </si>
  <si>
    <t>エトウ　シュンスケ</t>
  </si>
  <si>
    <t>ソエダ　ハルキ</t>
  </si>
  <si>
    <t>タナカ　ユウト</t>
  </si>
  <si>
    <t>ツユキ　ミユ</t>
  </si>
  <si>
    <t>マツモト　コウタ</t>
  </si>
  <si>
    <t>ユゲ　ソウマ</t>
  </si>
  <si>
    <t>ワダ　ムネハル</t>
  </si>
  <si>
    <t>オオタ　サクト</t>
  </si>
  <si>
    <t>ワタナベ　オウガ</t>
  </si>
  <si>
    <t>ババ　ソウタ</t>
  </si>
  <si>
    <t>ナガオ　リント</t>
  </si>
  <si>
    <t>カトウ　シュウ</t>
  </si>
  <si>
    <t>ナナメキ　リョウスケ</t>
  </si>
  <si>
    <t>クドウ　ソウマ</t>
  </si>
  <si>
    <t>ハダノ　ショウキ</t>
  </si>
  <si>
    <t>フジワラ　ショウゴ</t>
  </si>
  <si>
    <t>カヤシマ　ソラ</t>
  </si>
  <si>
    <t>イワサカ　ジュンペイ</t>
  </si>
  <si>
    <t>ムラカミ　ハクト</t>
  </si>
  <si>
    <t>ヤマダ　ダイキ</t>
  </si>
  <si>
    <t>ミナミ　カズキ</t>
  </si>
  <si>
    <t>フジモト　タイキ</t>
  </si>
  <si>
    <t>ハシザコ　タイガ</t>
  </si>
  <si>
    <t>コモリ　ユウキ</t>
  </si>
  <si>
    <t>シマダ　マサキ</t>
  </si>
  <si>
    <t>ハシザコ　フウガ</t>
  </si>
  <si>
    <t>マゴタ　タクト</t>
  </si>
  <si>
    <t>タナカ　リョウタ</t>
  </si>
  <si>
    <t>マツオ　ショウト</t>
  </si>
  <si>
    <t>シバタ　ハクスケ</t>
  </si>
  <si>
    <t>ハナキタ　アサヒ</t>
  </si>
  <si>
    <t>ユス　リョウタ</t>
  </si>
  <si>
    <t>オオノ　リク</t>
  </si>
  <si>
    <t>ヤマモト　レオ</t>
  </si>
  <si>
    <t>アンドウ　タクマ</t>
  </si>
  <si>
    <t>ウエキ　フウキ</t>
  </si>
  <si>
    <t>サクライ　ジン</t>
  </si>
  <si>
    <t>ミゾベ　アヤカ</t>
  </si>
  <si>
    <t>オカ　ミナト</t>
  </si>
  <si>
    <t>イチハラ　ルイ</t>
  </si>
  <si>
    <t>ナガノ　ユイト</t>
  </si>
  <si>
    <t>サクライ　シュン</t>
  </si>
  <si>
    <t>コン　オウスケ</t>
  </si>
  <si>
    <t>ヤマダ　チナミ</t>
  </si>
  <si>
    <t>モリ　コウタロウ</t>
  </si>
  <si>
    <t>キクチ　カナタ</t>
  </si>
  <si>
    <t>タムラ　タカユキ</t>
  </si>
  <si>
    <t>カドタ　アツキ</t>
  </si>
  <si>
    <t>フクダ　ミヤビ</t>
  </si>
  <si>
    <t>サトウ　タイセイ</t>
  </si>
  <si>
    <t>オガサワラ　イオリ</t>
  </si>
  <si>
    <t>サトウ　ギンタ</t>
  </si>
  <si>
    <t>サカイ　コタロウ</t>
  </si>
  <si>
    <t>タカダ　ソウスケ</t>
  </si>
  <si>
    <t>キラ　リンタロウ</t>
  </si>
  <si>
    <t>トシミツ　リョウガ</t>
  </si>
  <si>
    <t>キクカワ　ヒカル</t>
  </si>
  <si>
    <t>クワハラ　ショウタ</t>
  </si>
  <si>
    <t>シマダ　ユイト</t>
  </si>
  <si>
    <t>マイ　ケンシロウ</t>
  </si>
  <si>
    <t>ヤマサキ　ソラ</t>
  </si>
  <si>
    <t>タカノ　ミズキ</t>
  </si>
  <si>
    <t>カワノ　トウマ</t>
  </si>
  <si>
    <t>オギノ　コウタ</t>
  </si>
  <si>
    <t>ネギ　リョウガ</t>
  </si>
  <si>
    <t>カイ　イツキ</t>
  </si>
  <si>
    <t>マニワ　ソウ</t>
  </si>
  <si>
    <t>キラ　ハルト</t>
  </si>
  <si>
    <t>ハシモト　ヒロト</t>
  </si>
  <si>
    <t>ワカヤマ　シュン</t>
  </si>
  <si>
    <t>クロダ　ヒュウガ</t>
  </si>
  <si>
    <t>フクダ　タイヨウ</t>
  </si>
  <si>
    <t>シイバ　アオイ</t>
  </si>
  <si>
    <t>イノウエ　セイト</t>
  </si>
  <si>
    <t>シマダ　ヒロト</t>
  </si>
  <si>
    <t>キヨハラ　ショウキ</t>
  </si>
  <si>
    <t>ヒラシマ　ユウト</t>
  </si>
  <si>
    <t>サトミ　ユウタ</t>
  </si>
  <si>
    <t>ハラダ　トオリ</t>
  </si>
  <si>
    <t>マツダ　ユウ</t>
  </si>
  <si>
    <t>イノクチ　ソウシ</t>
  </si>
  <si>
    <t>アオヤマ　タクマ</t>
  </si>
  <si>
    <t>ナカシマ　タイスケ</t>
  </si>
  <si>
    <t>シマダ　ハルタ</t>
  </si>
  <si>
    <t>ナカザキ　ユウダイ</t>
  </si>
  <si>
    <t>ヒロマツ　ヨウジロウ</t>
  </si>
  <si>
    <t>サイトウ　レンタロウ</t>
  </si>
  <si>
    <t>スエナガ　アオト</t>
  </si>
  <si>
    <t>タカハシ　エイト</t>
  </si>
  <si>
    <t>キモト　セアン</t>
  </si>
  <si>
    <t>ゴトウ　ユウマ</t>
  </si>
  <si>
    <t>ヤマサキ　ハヤト</t>
  </si>
  <si>
    <t>ハマサキ　タスク</t>
  </si>
  <si>
    <t>マツオカ　ヒナ</t>
  </si>
  <si>
    <t>ヤマモト　アオイ</t>
  </si>
  <si>
    <t>ミマタ　テル</t>
  </si>
  <si>
    <t>シモムラ　タクマ</t>
  </si>
  <si>
    <t>ノナカ　トア</t>
  </si>
  <si>
    <t>シュトウ　マノア</t>
  </si>
  <si>
    <t>ユフ　エイト</t>
  </si>
  <si>
    <t>ツチヤ　イッシン</t>
  </si>
  <si>
    <t>サカモト　レンタ</t>
  </si>
  <si>
    <t>アカミネ　ソウマ</t>
  </si>
  <si>
    <t>カクヤ　イツキ</t>
  </si>
  <si>
    <t>ババ　カイト</t>
  </si>
  <si>
    <t>ゴトウ　ワク</t>
  </si>
  <si>
    <t>ヤマサキ　ショウ</t>
  </si>
  <si>
    <t>ヤマモト　ナオト</t>
  </si>
  <si>
    <t>アイザワ　タクミ</t>
  </si>
  <si>
    <t>アンドウ　ナリト</t>
  </si>
  <si>
    <t>ヤダ　テンスケ</t>
  </si>
  <si>
    <t>スズキ　トウガ</t>
  </si>
  <si>
    <t>コガ　ハルヤ</t>
  </si>
  <si>
    <t>カンザキ　カイト</t>
  </si>
  <si>
    <t>タカハシ　アイト</t>
  </si>
  <si>
    <t>イノグチ　ハルキ</t>
  </si>
  <si>
    <t>ミナミ　カナタ</t>
  </si>
  <si>
    <t>タカハシ　ソウタ</t>
  </si>
  <si>
    <t>フジワラ　ソウマ</t>
  </si>
  <si>
    <t>タカハシ　ケイタロウ</t>
  </si>
  <si>
    <t>ユキ　ジン</t>
  </si>
  <si>
    <t>ワキ　ユウト</t>
  </si>
  <si>
    <t>ニイナ　ジュンヤ</t>
  </si>
  <si>
    <t>ヤマダ　ヨウシン</t>
  </si>
  <si>
    <t>シライ　ミナト</t>
  </si>
  <si>
    <t>タグチ　イチト</t>
  </si>
  <si>
    <t>オオツカ　コウタ</t>
  </si>
  <si>
    <t>カキ　シンバ</t>
  </si>
  <si>
    <t>ハザマ　ヒナタ</t>
  </si>
  <si>
    <t>モリタ　アヤカ</t>
  </si>
  <si>
    <t>ササキ　ハヤト</t>
  </si>
  <si>
    <t>シブヤ　イッセイ</t>
  </si>
  <si>
    <t>スギ　タク</t>
  </si>
  <si>
    <t>トオリド　ジョウスケ</t>
  </si>
  <si>
    <t>ウエツカ　タキ</t>
  </si>
  <si>
    <t>サトウ　ケイシロウ</t>
  </si>
  <si>
    <t>トモオカ　コオセイ</t>
  </si>
  <si>
    <t>タノウエ　ルイ</t>
  </si>
  <si>
    <t>キイ　タクト</t>
  </si>
  <si>
    <t>コイケ　マコナリ</t>
  </si>
  <si>
    <t>ジツモト　ケイト</t>
  </si>
  <si>
    <t>ワタナベ　カズシ</t>
  </si>
  <si>
    <t>コダマ　ナギ</t>
  </si>
  <si>
    <t>カイ　コウガ</t>
  </si>
  <si>
    <t>オオイシ　コウタ</t>
  </si>
  <si>
    <t>ミウラ　オウスケ</t>
  </si>
  <si>
    <t>ミタライ　ツバサ</t>
  </si>
  <si>
    <t>サカモト　シュウヤ</t>
  </si>
  <si>
    <t>カワカミ　シンペイ</t>
  </si>
  <si>
    <t>フジイ　サクタロウ</t>
  </si>
  <si>
    <t>ハタケヤマ　ハル</t>
  </si>
  <si>
    <t>タケムラ　リンタロウ</t>
  </si>
  <si>
    <t>カメイ　リョウマ</t>
  </si>
  <si>
    <t>ムラカミ　ダイト</t>
  </si>
  <si>
    <t>コダマ　ヒロト</t>
  </si>
  <si>
    <t>タガワ　リト</t>
  </si>
  <si>
    <t>ユキ　リョウスケ</t>
  </si>
  <si>
    <t>ミウラ　コウキ</t>
  </si>
  <si>
    <t>ヨシダ　カズト</t>
  </si>
  <si>
    <t>モリタ　サク</t>
  </si>
  <si>
    <t>シュトウ　エイタ</t>
  </si>
  <si>
    <t>ミキ　ホノカ</t>
  </si>
  <si>
    <t>サンノミヤ　シュウマ</t>
  </si>
  <si>
    <t>ナカヤマ　カケル</t>
  </si>
  <si>
    <t>オグモ　アキラ</t>
  </si>
  <si>
    <t>ミナミ　サクタロウ</t>
  </si>
  <si>
    <t>シキナ　トウジロウ</t>
  </si>
  <si>
    <t>コウノ　ソウタ</t>
  </si>
  <si>
    <t>オオゾノ　トモキ</t>
  </si>
  <si>
    <t>ナイキ　ツナト</t>
  </si>
  <si>
    <t>ワタナベ　ヒナタ</t>
  </si>
  <si>
    <t>マツカワ　トウマ</t>
  </si>
  <si>
    <t>テラジ　キョウタロウ</t>
  </si>
  <si>
    <t>マツイ　キョウタ</t>
  </si>
  <si>
    <t>アベ　トモエ</t>
  </si>
  <si>
    <t>イシミ　シオン</t>
  </si>
  <si>
    <t>ナガタ　ケイゴ</t>
  </si>
  <si>
    <t>イトナガ　ケント</t>
  </si>
  <si>
    <t>タカクラ　ケイゴ</t>
  </si>
  <si>
    <t>フジモト　ハヤト</t>
  </si>
  <si>
    <t>ヤノ　トウマ</t>
  </si>
  <si>
    <t>ナカムラ　シンカ</t>
  </si>
  <si>
    <t>サトウ　イチト</t>
  </si>
  <si>
    <t>カジワラ　ナツ</t>
  </si>
  <si>
    <t>イシイ　コジロウ</t>
  </si>
  <si>
    <t>イノウエ　エミリ</t>
  </si>
  <si>
    <t>イトウ　フェイラン</t>
  </si>
  <si>
    <t>ヨシダ　コウキ</t>
  </si>
  <si>
    <t>ヤマモト　ハル</t>
  </si>
  <si>
    <t>ヨシタケ　トウキ</t>
  </si>
  <si>
    <t>イソダ　コウキ</t>
  </si>
  <si>
    <t>エトウ　ハル</t>
  </si>
  <si>
    <t>サクライ　コジロウ</t>
  </si>
  <si>
    <t>ゴトウ　コオ</t>
  </si>
  <si>
    <t>カン　タイスケ</t>
  </si>
  <si>
    <t>ヨシモト　ケンタ</t>
  </si>
  <si>
    <t>ナカノ　レア</t>
  </si>
  <si>
    <t>コウノ　ヒロキ</t>
  </si>
  <si>
    <t>ワカバヤシ　コウメイ</t>
  </si>
  <si>
    <t>アソウ　マサト</t>
  </si>
  <si>
    <t>ニシダ　コタロウ</t>
  </si>
  <si>
    <t>ヤスナミ　オウジロウ</t>
  </si>
  <si>
    <t>シライシ　イツキ</t>
  </si>
  <si>
    <t>サンパイオ　ガルシア　マヌエラ</t>
  </si>
  <si>
    <t>タカイ　トア</t>
  </si>
  <si>
    <t>カワノ　リョウスケ</t>
  </si>
  <si>
    <t>テラダ　シュンヤ</t>
  </si>
  <si>
    <t>イトウ　アヤノ</t>
  </si>
  <si>
    <t>オカモト　フウキ</t>
  </si>
  <si>
    <t>テシマ　ユアト</t>
  </si>
  <si>
    <t>ナガノ　オウラ</t>
  </si>
  <si>
    <t>アベ　フミヤ</t>
  </si>
  <si>
    <t>モリシタ　アオト</t>
  </si>
  <si>
    <t>タカハシ　ソウシロウ</t>
  </si>
  <si>
    <t>オカザキ　ミヒロ</t>
  </si>
  <si>
    <t>ハタナカ　リト</t>
  </si>
  <si>
    <t>ヒョウドウ　コタロウ</t>
  </si>
  <si>
    <t>イナヅキ　イオリ</t>
  </si>
  <si>
    <t>タルミ　ダイチ</t>
  </si>
  <si>
    <t>タナベ　ダイヤ</t>
  </si>
  <si>
    <t>タツシマ　ハルト</t>
  </si>
  <si>
    <t>モトナガ　タクト</t>
  </si>
  <si>
    <t>タケモト　タイガ</t>
  </si>
  <si>
    <t>ヒロサキ　イッシン</t>
  </si>
  <si>
    <t>ウチマル　シュンタロウ</t>
  </si>
  <si>
    <t>タナカ　シュンヤ</t>
  </si>
  <si>
    <t>ダン　アオイ</t>
  </si>
  <si>
    <t>モリ　ヒロアキ</t>
  </si>
  <si>
    <t>ヒガシ　コウナ</t>
  </si>
  <si>
    <t>ハラ　アサヒ</t>
  </si>
  <si>
    <t>ヒガシ　ダイヤ</t>
  </si>
  <si>
    <t>ゴトウ　マナト</t>
  </si>
  <si>
    <t>ハラ　ヤマト</t>
  </si>
  <si>
    <t>アベ　ケンシロウ</t>
  </si>
  <si>
    <t>シマダ　オウタ</t>
  </si>
  <si>
    <t>ハラ　ソウヤ</t>
  </si>
  <si>
    <t>タカクラ　リュウショウ</t>
  </si>
  <si>
    <t>ヨツジ　コウキ</t>
  </si>
  <si>
    <t>テラカワ　タイト</t>
  </si>
  <si>
    <t>ウエダ　ユウセイ</t>
  </si>
  <si>
    <t>イナヅミ　ヒロト</t>
  </si>
  <si>
    <t>アナイ　マオ</t>
  </si>
  <si>
    <t>ナカハラ　タイヨウ</t>
  </si>
  <si>
    <t>サカモト　エイト</t>
  </si>
  <si>
    <t>キラ　カイシン</t>
  </si>
  <si>
    <t>マツキ　キヨシロウ</t>
  </si>
  <si>
    <t>ハシモト　ラブ</t>
  </si>
  <si>
    <t>タカダ　アツト</t>
  </si>
  <si>
    <t>アラカネ　コウヤ</t>
  </si>
  <si>
    <t>フルハタ　ワタル</t>
  </si>
  <si>
    <t>イケダ　タクト</t>
  </si>
  <si>
    <t>カメイ　アカリ</t>
  </si>
  <si>
    <t>オオボシ　リュウキ</t>
  </si>
  <si>
    <t>オオボシ　ライキ</t>
  </si>
  <si>
    <t>オカベ　セラ</t>
  </si>
  <si>
    <t>ムロ　レント</t>
  </si>
  <si>
    <t>イシカケ　マサキ</t>
  </si>
  <si>
    <t>イシカケ　ミオ</t>
  </si>
  <si>
    <t>コトウ　シオン</t>
  </si>
  <si>
    <t>ムロ　タカト</t>
  </si>
  <si>
    <t>アソウ　サク</t>
  </si>
  <si>
    <t>アサカワ　ルカ</t>
  </si>
  <si>
    <t>アベ　ジョウシン</t>
  </si>
  <si>
    <t>エンドウ　ヤマト</t>
  </si>
  <si>
    <t>オオクボ　ハヤト</t>
  </si>
  <si>
    <t>シュトウ　リンセイ</t>
  </si>
  <si>
    <t>ニブヤ　タイキ</t>
  </si>
  <si>
    <t>ザイツ　ユウセイ</t>
  </si>
  <si>
    <t>アンドウ　ハル</t>
  </si>
  <si>
    <t>ワタナベ　ダイゴ</t>
  </si>
  <si>
    <t>ハマグチ　ハルマ</t>
  </si>
  <si>
    <t>タカハシ　ヤスヒト</t>
  </si>
  <si>
    <t>ハマグチ　ヒナタ</t>
  </si>
  <si>
    <t>R001251601</t>
  </si>
  <si>
    <t>R005170641</t>
  </si>
  <si>
    <t>小林　剛</t>
  </si>
  <si>
    <t>R010850848</t>
  </si>
  <si>
    <t>赤峯　和紀</t>
  </si>
  <si>
    <t>R010789999</t>
  </si>
  <si>
    <t>安藤　大生</t>
  </si>
  <si>
    <t>R010802212</t>
  </si>
  <si>
    <t>R010816968</t>
  </si>
  <si>
    <t>泉谷　友都</t>
  </si>
  <si>
    <t>上村　洋孝</t>
  </si>
  <si>
    <t>大久保　大暉</t>
  </si>
  <si>
    <t>R010640404</t>
  </si>
  <si>
    <t>佐々木　陽生</t>
  </si>
  <si>
    <t>R010789032</t>
  </si>
  <si>
    <t>重松　佑哉</t>
  </si>
  <si>
    <t>R002762140</t>
  </si>
  <si>
    <t>篠田　一義</t>
  </si>
  <si>
    <t>R010816962</t>
  </si>
  <si>
    <t>中村　太偉悟</t>
  </si>
  <si>
    <t>R010789036</t>
  </si>
  <si>
    <t>長谷部　浩</t>
  </si>
  <si>
    <t>R010789012</t>
  </si>
  <si>
    <t>藤原　尚平</t>
  </si>
  <si>
    <t>R010816969</t>
  </si>
  <si>
    <t>松下　真大</t>
  </si>
  <si>
    <t>R010587433</t>
  </si>
  <si>
    <t>松村　和哉</t>
  </si>
  <si>
    <t>R010285187</t>
  </si>
  <si>
    <t>森本　珠寿</t>
  </si>
  <si>
    <t>R010390475</t>
  </si>
  <si>
    <t>山本　健吾</t>
  </si>
  <si>
    <t>R010789013</t>
  </si>
  <si>
    <t>山本　貴司</t>
  </si>
  <si>
    <t>R010865015</t>
  </si>
  <si>
    <t>R010866420</t>
  </si>
  <si>
    <t>R010809893</t>
  </si>
  <si>
    <t>R010817729</t>
  </si>
  <si>
    <t>R010866353</t>
  </si>
  <si>
    <t>R010864997</t>
  </si>
  <si>
    <t>R010789996</t>
  </si>
  <si>
    <t>秋廣　涼介</t>
  </si>
  <si>
    <t>R010866431</t>
  </si>
  <si>
    <t>秋元　智早</t>
  </si>
  <si>
    <t>R010866407</t>
  </si>
  <si>
    <t>秋山　将司</t>
  </si>
  <si>
    <t>R010866400</t>
  </si>
  <si>
    <t>R010865012</t>
  </si>
  <si>
    <t>R010869233</t>
  </si>
  <si>
    <t>R010817707</t>
  </si>
  <si>
    <t>R010817712</t>
  </si>
  <si>
    <t>R010851373</t>
  </si>
  <si>
    <t>渥美　ののか</t>
  </si>
  <si>
    <t>R010783049</t>
  </si>
  <si>
    <t>穴見　恒輝</t>
  </si>
  <si>
    <t>R010783055</t>
  </si>
  <si>
    <t>阿南　徠已</t>
  </si>
  <si>
    <t>R010866409</t>
  </si>
  <si>
    <t>阿部　周史</t>
  </si>
  <si>
    <t>R010789037</t>
  </si>
  <si>
    <t>安部　太智</t>
  </si>
  <si>
    <t>R010866392</t>
  </si>
  <si>
    <t>阿部　翔空</t>
  </si>
  <si>
    <t>R010783051</t>
  </si>
  <si>
    <t>阿部　希空</t>
  </si>
  <si>
    <t>R010817733</t>
  </si>
  <si>
    <t>R010790025</t>
  </si>
  <si>
    <t>安部　稜司</t>
  </si>
  <si>
    <t>R010781553</t>
  </si>
  <si>
    <t>新井　瑛人</t>
  </si>
  <si>
    <t>R010790016</t>
  </si>
  <si>
    <t>荒木　仁</t>
  </si>
  <si>
    <t>R010790030</t>
  </si>
  <si>
    <t>荒巻　龍一</t>
  </si>
  <si>
    <t>R010783058</t>
  </si>
  <si>
    <t>有田　悠真</t>
  </si>
  <si>
    <t>R010827360</t>
  </si>
  <si>
    <t>R010866340</t>
  </si>
  <si>
    <t>R010865011</t>
  </si>
  <si>
    <t>安藤　心大</t>
  </si>
  <si>
    <t>R010817694</t>
  </si>
  <si>
    <t>安藤　大智</t>
  </si>
  <si>
    <t>R010781552</t>
  </si>
  <si>
    <t>安藤　晴葵</t>
  </si>
  <si>
    <t>R010866408</t>
  </si>
  <si>
    <t>安藤　広祥</t>
  </si>
  <si>
    <t>R010865019</t>
  </si>
  <si>
    <t>R010802660</t>
  </si>
  <si>
    <t>碇山　結大</t>
  </si>
  <si>
    <t>R010817678</t>
  </si>
  <si>
    <t>池田　和也</t>
  </si>
  <si>
    <t>R010866429</t>
  </si>
  <si>
    <t>池田　亘輝</t>
  </si>
  <si>
    <t>R010817689</t>
  </si>
  <si>
    <t>R010802634</t>
  </si>
  <si>
    <t>池田　隼人</t>
  </si>
  <si>
    <t>R010865017</t>
  </si>
  <si>
    <t>R010790014</t>
  </si>
  <si>
    <t>池邉　翔馬</t>
  </si>
  <si>
    <t>R010851104</t>
  </si>
  <si>
    <t>池辺　大悟</t>
  </si>
  <si>
    <t>R010851368</t>
  </si>
  <si>
    <t>石田　香麦</t>
  </si>
  <si>
    <t>R010817691</t>
  </si>
  <si>
    <t>R010851362</t>
  </si>
  <si>
    <t>石原　奏音</t>
  </si>
  <si>
    <t>R010817728</t>
  </si>
  <si>
    <t>石原　翔</t>
  </si>
  <si>
    <t>R010817680</t>
  </si>
  <si>
    <t>石本　麟</t>
  </si>
  <si>
    <t>R010866346</t>
  </si>
  <si>
    <t>R010789035</t>
  </si>
  <si>
    <t>市田　将剛</t>
  </si>
  <si>
    <t>R010790036</t>
  </si>
  <si>
    <t>R010812546</t>
  </si>
  <si>
    <t>R010817732</t>
  </si>
  <si>
    <t>R010866405</t>
  </si>
  <si>
    <t>伊藤　秀大</t>
  </si>
  <si>
    <t>R010780309</t>
  </si>
  <si>
    <t>稲生　ひより</t>
  </si>
  <si>
    <t>R010781526</t>
  </si>
  <si>
    <t>稲熊　海成</t>
  </si>
  <si>
    <t>R010839455</t>
  </si>
  <si>
    <t>R010851188</t>
  </si>
  <si>
    <t>R010783054</t>
  </si>
  <si>
    <t>井野　景太</t>
  </si>
  <si>
    <t>R010809910</t>
  </si>
  <si>
    <t>R010866356</t>
  </si>
  <si>
    <t>井上　功平</t>
  </si>
  <si>
    <t>R010839447</t>
  </si>
  <si>
    <t>井上　直之</t>
  </si>
  <si>
    <t>R010827344</t>
  </si>
  <si>
    <t>井上　雄大</t>
  </si>
  <si>
    <t>R010851189</t>
  </si>
  <si>
    <t>今石　旺甫</t>
  </si>
  <si>
    <t>R010866422</t>
  </si>
  <si>
    <t>今津　翔真</t>
  </si>
  <si>
    <t>R010781535</t>
  </si>
  <si>
    <t>岩尾　淳矢</t>
  </si>
  <si>
    <t>R010817685</t>
  </si>
  <si>
    <t>岩崎　惺大</t>
  </si>
  <si>
    <t>R010869217</t>
  </si>
  <si>
    <t>岩崎　冬輝</t>
  </si>
  <si>
    <t>R010866434</t>
  </si>
  <si>
    <t>岩﨑　大翔</t>
  </si>
  <si>
    <t>R010780316</t>
  </si>
  <si>
    <t>岩崎　結子</t>
  </si>
  <si>
    <t>R010812550</t>
  </si>
  <si>
    <t>岩永　明日翔</t>
  </si>
  <si>
    <t>R010864998</t>
  </si>
  <si>
    <t>R010789038</t>
  </si>
  <si>
    <t>岩本　太志</t>
  </si>
  <si>
    <t>R010800935</t>
  </si>
  <si>
    <t>印山　法音</t>
  </si>
  <si>
    <t>R010802636</t>
  </si>
  <si>
    <t>上條　恵大</t>
  </si>
  <si>
    <t>R010866416</t>
  </si>
  <si>
    <t>R010809894</t>
  </si>
  <si>
    <t>R010869228</t>
  </si>
  <si>
    <t>上田　彗斗</t>
  </si>
  <si>
    <t>R010789024</t>
  </si>
  <si>
    <t>R010781543</t>
  </si>
  <si>
    <t>上田　倫太郎</t>
  </si>
  <si>
    <t>R010864983</t>
  </si>
  <si>
    <t>R010802626</t>
  </si>
  <si>
    <t>上野　瑛太</t>
  </si>
  <si>
    <t>R010866424</t>
  </si>
  <si>
    <t>R010827341</t>
  </si>
  <si>
    <t>上野　尊光</t>
  </si>
  <si>
    <t>R010865035</t>
  </si>
  <si>
    <t>R010865037</t>
  </si>
  <si>
    <t>R010827352</t>
  </si>
  <si>
    <t>宇都宮　幸樹</t>
  </si>
  <si>
    <t>R010817724</t>
  </si>
  <si>
    <t>宇都宮　大輔</t>
  </si>
  <si>
    <t>R010817687</t>
  </si>
  <si>
    <t>R010781530</t>
  </si>
  <si>
    <t>馬出　蒼士</t>
  </si>
  <si>
    <t>R010865010</t>
  </si>
  <si>
    <t>R010839463</t>
  </si>
  <si>
    <t>R010864989</t>
  </si>
  <si>
    <t>R010790032</t>
  </si>
  <si>
    <t>衞藤　寿々乃</t>
  </si>
  <si>
    <t>R010809868</t>
  </si>
  <si>
    <t>R010817700</t>
  </si>
  <si>
    <t>R010851194</t>
  </si>
  <si>
    <t>江藤　侑也</t>
  </si>
  <si>
    <t>R010855694</t>
  </si>
  <si>
    <t>R010865033</t>
  </si>
  <si>
    <t>R010866337</t>
  </si>
  <si>
    <t>R010866418</t>
  </si>
  <si>
    <t>R010827332</t>
  </si>
  <si>
    <t>太田　悠斗</t>
  </si>
  <si>
    <t>R010817696</t>
  </si>
  <si>
    <t>R010812541</t>
  </si>
  <si>
    <t>R010851106</t>
  </si>
  <si>
    <t>大津留　慧彬</t>
  </si>
  <si>
    <t>R010866433</t>
  </si>
  <si>
    <t>大鶴　泰雅</t>
  </si>
  <si>
    <t>R010865038</t>
  </si>
  <si>
    <t>R010781554</t>
  </si>
  <si>
    <t>大原　瑠斗</t>
  </si>
  <si>
    <t>R010864975</t>
  </si>
  <si>
    <t>大平　英</t>
  </si>
  <si>
    <t>R010866403</t>
  </si>
  <si>
    <t>岡崎　碧</t>
  </si>
  <si>
    <t>R010851206</t>
  </si>
  <si>
    <t>岡﨑　暁広</t>
  </si>
  <si>
    <t>R010851214</t>
  </si>
  <si>
    <t>岡田　愛志</t>
  </si>
  <si>
    <t>R010817692</t>
  </si>
  <si>
    <t>R010812552</t>
  </si>
  <si>
    <t>岡松　洸希</t>
  </si>
  <si>
    <t>R010851370</t>
  </si>
  <si>
    <t>岡本　純菜</t>
  </si>
  <si>
    <t>R010839469</t>
  </si>
  <si>
    <t>R010865040</t>
  </si>
  <si>
    <t>奥村　桂一</t>
  </si>
  <si>
    <t>R010851364</t>
  </si>
  <si>
    <t>奥村　澪愛</t>
  </si>
  <si>
    <t>R010783063</t>
  </si>
  <si>
    <t>小倉　遙隼</t>
  </si>
  <si>
    <t>R010789039</t>
  </si>
  <si>
    <t>R010781531</t>
  </si>
  <si>
    <t>小澤　卓実</t>
  </si>
  <si>
    <t>R010790007</t>
  </si>
  <si>
    <t>鴛海　巧也</t>
  </si>
  <si>
    <t>R010790043</t>
  </si>
  <si>
    <t>小田原　誠</t>
  </si>
  <si>
    <t>R010866344</t>
  </si>
  <si>
    <t>小野　一明</t>
  </si>
  <si>
    <t>R010865007</t>
  </si>
  <si>
    <t>R010869230</t>
  </si>
  <si>
    <t>小野　琢磨</t>
  </si>
  <si>
    <t>R010780314</t>
  </si>
  <si>
    <t>小野　夏希</t>
  </si>
  <si>
    <t>R010802645</t>
  </si>
  <si>
    <t>小野　駿斗</t>
  </si>
  <si>
    <t>R010869224</t>
  </si>
  <si>
    <t>小野　陽斗</t>
  </si>
  <si>
    <t>R010864985</t>
  </si>
  <si>
    <t>R010869244</t>
  </si>
  <si>
    <t>小畑　楓叶</t>
  </si>
  <si>
    <t>R010790012</t>
  </si>
  <si>
    <t>小袋　敦矢</t>
  </si>
  <si>
    <t>R010839457</t>
  </si>
  <si>
    <t>小村　朔太郎</t>
  </si>
  <si>
    <t>R010781546</t>
  </si>
  <si>
    <t>尾本　泰雅</t>
  </si>
  <si>
    <t>R010789020</t>
  </si>
  <si>
    <t>尾本　翔</t>
  </si>
  <si>
    <t>R010864982</t>
  </si>
  <si>
    <t>R010864995</t>
  </si>
  <si>
    <t>甲斐　凜太郎</t>
  </si>
  <si>
    <t>R010817717</t>
  </si>
  <si>
    <t>R010866436</t>
  </si>
  <si>
    <t>角藤　翼</t>
  </si>
  <si>
    <t>R010809897</t>
  </si>
  <si>
    <t>R010866419</t>
  </si>
  <si>
    <t>風戸　陵太</t>
  </si>
  <si>
    <t>R010809864</t>
  </si>
  <si>
    <t>加島　兼大</t>
  </si>
  <si>
    <t>R010839454</t>
  </si>
  <si>
    <t>梶原　侑眞</t>
  </si>
  <si>
    <t>R010809871</t>
  </si>
  <si>
    <t>R010839467</t>
  </si>
  <si>
    <t>加藤　愛琉</t>
  </si>
  <si>
    <t>R010851105</t>
  </si>
  <si>
    <t>加藤　和弥</t>
  </si>
  <si>
    <t>R010855688</t>
  </si>
  <si>
    <t>R010850853</t>
  </si>
  <si>
    <t>加藤　誠一郎</t>
  </si>
  <si>
    <t>R010866338</t>
  </si>
  <si>
    <t>加藤　龍</t>
  </si>
  <si>
    <t>R010809920</t>
  </si>
  <si>
    <t>R010851193</t>
  </si>
  <si>
    <t>R010851191</t>
  </si>
  <si>
    <t>R010869222</t>
  </si>
  <si>
    <t>神野　隼羽</t>
  </si>
  <si>
    <t>R010817702</t>
  </si>
  <si>
    <t>R010817726</t>
  </si>
  <si>
    <t>R010789017</t>
  </si>
  <si>
    <t>川﨑　聡子</t>
  </si>
  <si>
    <t>R010812555</t>
  </si>
  <si>
    <t>河津　瞬</t>
  </si>
  <si>
    <t>R010812561</t>
  </si>
  <si>
    <t>R010827372</t>
  </si>
  <si>
    <t>R010839452</t>
  </si>
  <si>
    <t>R010865028</t>
  </si>
  <si>
    <t>R010809919</t>
  </si>
  <si>
    <t>R010869219</t>
  </si>
  <si>
    <t>川野　晃汰</t>
  </si>
  <si>
    <t>R010817725</t>
  </si>
  <si>
    <t>R010817672</t>
  </si>
  <si>
    <t>R010809921</t>
  </si>
  <si>
    <t>R010865025</t>
  </si>
  <si>
    <t>R010866432</t>
  </si>
  <si>
    <t>R010865004</t>
  </si>
  <si>
    <t>R010869234</t>
  </si>
  <si>
    <t>R010839451</t>
  </si>
  <si>
    <t>R010790021</t>
  </si>
  <si>
    <t>川端　大輝</t>
  </si>
  <si>
    <t>R010869216</t>
  </si>
  <si>
    <t>河辺　光央</t>
  </si>
  <si>
    <t>R010817711</t>
  </si>
  <si>
    <t>川邉　蒼大</t>
  </si>
  <si>
    <t>R010851196</t>
  </si>
  <si>
    <t>R010827364</t>
  </si>
  <si>
    <t>岸野　颯太</t>
  </si>
  <si>
    <t>R010789031</t>
  </si>
  <si>
    <t>木城　玲音</t>
  </si>
  <si>
    <t>R010817674</t>
  </si>
  <si>
    <t>木田　圭亮</t>
  </si>
  <si>
    <t>R010546305</t>
  </si>
  <si>
    <t>木下　敬介</t>
  </si>
  <si>
    <t>R010812551</t>
  </si>
  <si>
    <t>木下　琥太郎</t>
  </si>
  <si>
    <t>R010802646</t>
  </si>
  <si>
    <t>木下　颯</t>
  </si>
  <si>
    <t>R010809886</t>
  </si>
  <si>
    <t>R010789041</t>
  </si>
  <si>
    <t>木原　悠聖</t>
  </si>
  <si>
    <t>R010817688</t>
  </si>
  <si>
    <t>R010864977</t>
  </si>
  <si>
    <t>R010800926</t>
  </si>
  <si>
    <t>木元　湧大</t>
  </si>
  <si>
    <t>清永　愛哉</t>
  </si>
  <si>
    <t>R010790003</t>
  </si>
  <si>
    <t>清原　昇馬</t>
  </si>
  <si>
    <t>R010809913</t>
  </si>
  <si>
    <t>R010790020</t>
  </si>
  <si>
    <t>清源　遥冬</t>
  </si>
  <si>
    <t>R010869231</t>
  </si>
  <si>
    <t>吉良　瑛翔</t>
  </si>
  <si>
    <t>R010790035</t>
  </si>
  <si>
    <t>R010809882</t>
  </si>
  <si>
    <t>R010817719</t>
  </si>
  <si>
    <t>R010850855</t>
  </si>
  <si>
    <t>久家　侑奈</t>
  </si>
  <si>
    <t>R010812547</t>
  </si>
  <si>
    <t>R010809888</t>
  </si>
  <si>
    <t>R010817684</t>
  </si>
  <si>
    <t>R010809914</t>
  </si>
  <si>
    <t>R010865018</t>
  </si>
  <si>
    <t>R010865009</t>
  </si>
  <si>
    <t>工藤　龍希</t>
  </si>
  <si>
    <t>R010817671</t>
  </si>
  <si>
    <t>久保田　航</t>
  </si>
  <si>
    <t>R010778434</t>
  </si>
  <si>
    <t>熊谷　志保</t>
  </si>
  <si>
    <t>R010790029</t>
  </si>
  <si>
    <t>熊本　剛</t>
  </si>
  <si>
    <t>R010827369</t>
  </si>
  <si>
    <t>倉見　颯</t>
  </si>
  <si>
    <t>R010809901</t>
  </si>
  <si>
    <t>R010809879</t>
  </si>
  <si>
    <t>R010851211</t>
  </si>
  <si>
    <t>黒土　挨吾</t>
  </si>
  <si>
    <t>R010855693</t>
  </si>
  <si>
    <t>桑野　ゆりな</t>
  </si>
  <si>
    <t>R010817709</t>
  </si>
  <si>
    <t>R010600911</t>
  </si>
  <si>
    <t>桑原　優人</t>
  </si>
  <si>
    <t>R010790037</t>
  </si>
  <si>
    <t>小石　宗太郎</t>
  </si>
  <si>
    <t>小泉　杏奈</t>
  </si>
  <si>
    <t>R010781525</t>
  </si>
  <si>
    <t>江田　聖流</t>
  </si>
  <si>
    <t>幸野　英史郎</t>
  </si>
  <si>
    <t>R010817734</t>
  </si>
  <si>
    <t>河野　寛貴</t>
  </si>
  <si>
    <t>R010869229</t>
  </si>
  <si>
    <t>R010802635</t>
  </si>
  <si>
    <t>古閑　駿介</t>
  </si>
  <si>
    <t>R010865016</t>
  </si>
  <si>
    <t>R010864981</t>
  </si>
  <si>
    <t>R010817666</t>
  </si>
  <si>
    <t>小嶋　将</t>
  </si>
  <si>
    <t>R010866348</t>
  </si>
  <si>
    <t>R010866426</t>
  </si>
  <si>
    <t>R010809916</t>
  </si>
  <si>
    <t>R010827335</t>
  </si>
  <si>
    <t>R010864978</t>
  </si>
  <si>
    <t>R010802651</t>
  </si>
  <si>
    <t>児玉　優飛</t>
  </si>
  <si>
    <t>R010869232</t>
  </si>
  <si>
    <t>小手川　耀</t>
  </si>
  <si>
    <t>R010809899</t>
  </si>
  <si>
    <t>R010809867</t>
  </si>
  <si>
    <t>R010789022</t>
  </si>
  <si>
    <t>小林　隆嗣</t>
  </si>
  <si>
    <t>R010869226</t>
  </si>
  <si>
    <t>R010839460</t>
  </si>
  <si>
    <t>R010812544</t>
  </si>
  <si>
    <t>R010812559</t>
  </si>
  <si>
    <t>R010869225</t>
  </si>
  <si>
    <t>近藤　大翔</t>
  </si>
  <si>
    <t>R010839461</t>
  </si>
  <si>
    <t>R010866351</t>
  </si>
  <si>
    <t>後藤　和貴</t>
  </si>
  <si>
    <t>R010809869</t>
  </si>
  <si>
    <t>R010790045</t>
  </si>
  <si>
    <t>後藤　純</t>
  </si>
  <si>
    <t>R010809883</t>
  </si>
  <si>
    <t>R010864993</t>
  </si>
  <si>
    <t>後藤　勇輝</t>
  </si>
  <si>
    <t>R010817727</t>
  </si>
  <si>
    <t>R010851197</t>
  </si>
  <si>
    <t>R010809870</t>
  </si>
  <si>
    <t>齋藤　暖太</t>
  </si>
  <si>
    <t>R010781534</t>
  </si>
  <si>
    <t>西耒　琥界</t>
  </si>
  <si>
    <t>R010802630</t>
  </si>
  <si>
    <t>佐伯　啓太</t>
  </si>
  <si>
    <t>R010851367</t>
  </si>
  <si>
    <t>境　笑美</t>
  </si>
  <si>
    <t>R010851198</t>
  </si>
  <si>
    <t>R010802653</t>
  </si>
  <si>
    <t>坂口　太一</t>
  </si>
  <si>
    <t>R010790013</t>
  </si>
  <si>
    <t>坂下　蓮</t>
  </si>
  <si>
    <t>R010809892</t>
  </si>
  <si>
    <t>R010790041</t>
  </si>
  <si>
    <t>坂本　優太</t>
  </si>
  <si>
    <t>R010865002</t>
  </si>
  <si>
    <t>桜木　歩人</t>
  </si>
  <si>
    <t>R010817677</t>
  </si>
  <si>
    <t>R010866411</t>
  </si>
  <si>
    <t>迫　宗次郎</t>
  </si>
  <si>
    <t>R010827350</t>
  </si>
  <si>
    <t>佐田　英彰</t>
  </si>
  <si>
    <t>R010802648</t>
  </si>
  <si>
    <t>佐藤　青輝</t>
  </si>
  <si>
    <t>R010790008</t>
  </si>
  <si>
    <t>佐藤　瑛</t>
  </si>
  <si>
    <t>R010790022</t>
  </si>
  <si>
    <t>佐藤　伊音</t>
  </si>
  <si>
    <t>R010869240</t>
  </si>
  <si>
    <t>佐藤　嘉倉</t>
  </si>
  <si>
    <t>R010802644</t>
  </si>
  <si>
    <t>佐藤　喜一</t>
  </si>
  <si>
    <t>R010851365</t>
  </si>
  <si>
    <t>佐藤　樹菜</t>
  </si>
  <si>
    <t>R010812563</t>
  </si>
  <si>
    <t>R010817695</t>
  </si>
  <si>
    <t>佐藤　駿介</t>
  </si>
  <si>
    <t>R010865036</t>
  </si>
  <si>
    <t>佐藤　蒼太</t>
  </si>
  <si>
    <t>R010809896</t>
  </si>
  <si>
    <t>R010789029</t>
  </si>
  <si>
    <t>佐藤　大介</t>
  </si>
  <si>
    <t>R010812554</t>
  </si>
  <si>
    <t>佐藤　暖仁</t>
  </si>
  <si>
    <t>R010866423</t>
  </si>
  <si>
    <t>R010827358</t>
  </si>
  <si>
    <t>佐藤　祐次郎</t>
  </si>
  <si>
    <t>R010866347</t>
  </si>
  <si>
    <t>佐藤　佑麻</t>
  </si>
  <si>
    <t>R010809908</t>
  </si>
  <si>
    <t>R010817731</t>
  </si>
  <si>
    <t>R010790023</t>
  </si>
  <si>
    <t>サフカ　ユリアン</t>
  </si>
  <si>
    <t>R010869241</t>
  </si>
  <si>
    <t>R010869236</t>
  </si>
  <si>
    <t>椎原　蓮丸</t>
  </si>
  <si>
    <t>R010869239</t>
  </si>
  <si>
    <t>敷嶋　慶武</t>
  </si>
  <si>
    <t>R010802658</t>
  </si>
  <si>
    <t>篠森　龍磨</t>
  </si>
  <si>
    <t>R010783050</t>
  </si>
  <si>
    <t>芝　虎之介</t>
  </si>
  <si>
    <t>R010789990</t>
  </si>
  <si>
    <t>芝崎　駿</t>
  </si>
  <si>
    <t>R010790044</t>
  </si>
  <si>
    <t>しばさき　つばさ</t>
  </si>
  <si>
    <t>R010817699</t>
  </si>
  <si>
    <t>R010866428</t>
  </si>
  <si>
    <t>R010869220</t>
  </si>
  <si>
    <t>柴田　琉生</t>
  </si>
  <si>
    <t>R010802643</t>
  </si>
  <si>
    <t>島田　一杜</t>
  </si>
  <si>
    <t>R010851204</t>
  </si>
  <si>
    <t>島田　幹斗</t>
  </si>
  <si>
    <t>R010866395</t>
  </si>
  <si>
    <t>嶋田　優星</t>
  </si>
  <si>
    <t>R010839464</t>
  </si>
  <si>
    <t>島津　大河</t>
  </si>
  <si>
    <t>R010817706</t>
  </si>
  <si>
    <t>R010790031</t>
  </si>
  <si>
    <t>首藤　杏</t>
  </si>
  <si>
    <t>R010790001</t>
  </si>
  <si>
    <t>首藤　惺南</t>
  </si>
  <si>
    <t>R010809924</t>
  </si>
  <si>
    <t>R010827370</t>
  </si>
  <si>
    <t>白井　友雅</t>
  </si>
  <si>
    <t>R010827346</t>
  </si>
  <si>
    <t>R010790027</t>
  </si>
  <si>
    <t>白尾　正敏</t>
  </si>
  <si>
    <t>R010802655</t>
  </si>
  <si>
    <t>白木　暖人</t>
  </si>
  <si>
    <t>R010855692</t>
  </si>
  <si>
    <t>R010851201</t>
  </si>
  <si>
    <t>R010781540</t>
  </si>
  <si>
    <t>末弘　俊晶</t>
  </si>
  <si>
    <t>R010866394</t>
  </si>
  <si>
    <t>菅原　禄介</t>
  </si>
  <si>
    <t>R010781551</t>
  </si>
  <si>
    <t>杉元　琉久</t>
  </si>
  <si>
    <t>R010817676</t>
  </si>
  <si>
    <t>砂川　大河</t>
  </si>
  <si>
    <t>R010783048</t>
  </si>
  <si>
    <t>隅　悠來</t>
  </si>
  <si>
    <t>R010809872</t>
  </si>
  <si>
    <t>R010839466</t>
  </si>
  <si>
    <t>R010783059</t>
  </si>
  <si>
    <t>宗　志優</t>
  </si>
  <si>
    <t>R010869237</t>
  </si>
  <si>
    <t>曽我　?地</t>
  </si>
  <si>
    <t>R010855689</t>
  </si>
  <si>
    <t>R010865013</t>
  </si>
  <si>
    <t>R010783060</t>
  </si>
  <si>
    <t>染矢　徠翔</t>
  </si>
  <si>
    <t>R010864992</t>
  </si>
  <si>
    <t>髙岡　聖生</t>
  </si>
  <si>
    <t>R010866396</t>
  </si>
  <si>
    <t>高瀬　宏人</t>
  </si>
  <si>
    <t>R010864976</t>
  </si>
  <si>
    <t>高野　修</t>
  </si>
  <si>
    <t>R010866415</t>
  </si>
  <si>
    <t>髙野　誠一</t>
  </si>
  <si>
    <t>R010869221</t>
  </si>
  <si>
    <t>高野　泰輔</t>
  </si>
  <si>
    <t>R010789988</t>
  </si>
  <si>
    <t>高橋　清志郎</t>
  </si>
  <si>
    <t>R010800923</t>
  </si>
  <si>
    <t>高橋　康太</t>
  </si>
  <si>
    <t>R010817683</t>
  </si>
  <si>
    <t>R010865026</t>
  </si>
  <si>
    <t>R010812562</t>
  </si>
  <si>
    <t>高橋　蒼介</t>
  </si>
  <si>
    <t>R010790000</t>
  </si>
  <si>
    <t>髙橋　裕太郎</t>
  </si>
  <si>
    <t>R010817673</t>
  </si>
  <si>
    <t>R010851190</t>
  </si>
  <si>
    <t>R010851110</t>
  </si>
  <si>
    <t>瀧田　好浩</t>
  </si>
  <si>
    <t>R010802637</t>
  </si>
  <si>
    <t>田口　滉洋</t>
  </si>
  <si>
    <t>R010865000</t>
  </si>
  <si>
    <t>R010864984</t>
  </si>
  <si>
    <t>R010778438</t>
  </si>
  <si>
    <t>竹内　志貴</t>
  </si>
  <si>
    <t>R010851210</t>
  </si>
  <si>
    <t>竹尾　莞太朗</t>
  </si>
  <si>
    <t>R010817693</t>
  </si>
  <si>
    <t>武生　倫太郎</t>
  </si>
  <si>
    <t>R010864996</t>
  </si>
  <si>
    <t>R010827371</t>
  </si>
  <si>
    <t>竹ノ下　祐介</t>
  </si>
  <si>
    <t>R010809887</t>
  </si>
  <si>
    <t>R010789028</t>
  </si>
  <si>
    <t>田崎　拓朗</t>
  </si>
  <si>
    <t>R010865008</t>
  </si>
  <si>
    <t>田崎　周平</t>
  </si>
  <si>
    <t>R010817703</t>
  </si>
  <si>
    <t>R010809895</t>
  </si>
  <si>
    <t>R010827348</t>
  </si>
  <si>
    <t>R010789019</t>
  </si>
  <si>
    <t>立川　格</t>
  </si>
  <si>
    <t>R010865014</t>
  </si>
  <si>
    <t>R010802639</t>
  </si>
  <si>
    <t>立山　航大</t>
  </si>
  <si>
    <t>R010827353</t>
  </si>
  <si>
    <t>帯刀　勇人</t>
  </si>
  <si>
    <t>R010839456</t>
  </si>
  <si>
    <t>R010839472</t>
  </si>
  <si>
    <t>R010802632</t>
  </si>
  <si>
    <t>田辺　旺生</t>
  </si>
  <si>
    <t>R010800929</t>
  </si>
  <si>
    <t>田邉　航汰</t>
  </si>
  <si>
    <t>R010783065</t>
  </si>
  <si>
    <t>田邉　諒真</t>
  </si>
  <si>
    <t>R010866349</t>
  </si>
  <si>
    <t>谷口　悠太</t>
  </si>
  <si>
    <t>R010827345</t>
  </si>
  <si>
    <t>谷原　光</t>
  </si>
  <si>
    <t>R010851187</t>
  </si>
  <si>
    <t>谷山　洸</t>
  </si>
  <si>
    <t>R010827362</t>
  </si>
  <si>
    <t>田上　裕司</t>
  </si>
  <si>
    <t>R010809911</t>
  </si>
  <si>
    <t>R010851203</t>
  </si>
  <si>
    <t>R010839473</t>
  </si>
  <si>
    <t>だん　ちひろ</t>
  </si>
  <si>
    <t>R010827347</t>
  </si>
  <si>
    <t>R010802628</t>
  </si>
  <si>
    <t>長木　環和</t>
  </si>
  <si>
    <t>R010865041</t>
  </si>
  <si>
    <t>R010809904</t>
  </si>
  <si>
    <t>R010789987</t>
  </si>
  <si>
    <t>津下　一孝</t>
  </si>
  <si>
    <t>R010827337</t>
  </si>
  <si>
    <t>R010865043</t>
  </si>
  <si>
    <t>R010851202</t>
  </si>
  <si>
    <t>R010809907</t>
  </si>
  <si>
    <t>R010716481</t>
  </si>
  <si>
    <t>手島　祥貴</t>
  </si>
  <si>
    <t>R010866341</t>
  </si>
  <si>
    <t>寺坂　洸希</t>
  </si>
  <si>
    <t>R010778437</t>
  </si>
  <si>
    <t>寺村　いずみ</t>
  </si>
  <si>
    <t>R010790038</t>
  </si>
  <si>
    <t>徳重　宗太</t>
  </si>
  <si>
    <t>R010790017</t>
  </si>
  <si>
    <t>利光　亜風</t>
  </si>
  <si>
    <t>R010866358</t>
  </si>
  <si>
    <t>利光　和心</t>
  </si>
  <si>
    <t>R010827361</t>
  </si>
  <si>
    <t>R010802640</t>
  </si>
  <si>
    <t>友永　響</t>
  </si>
  <si>
    <t>R010865031</t>
  </si>
  <si>
    <t>友寄　美桜</t>
  </si>
  <si>
    <t>R010839471</t>
  </si>
  <si>
    <t>堂上　春希</t>
  </si>
  <si>
    <t>R010839453</t>
  </si>
  <si>
    <t>R010864990</t>
  </si>
  <si>
    <t>R010869214</t>
  </si>
  <si>
    <t>R010839459</t>
  </si>
  <si>
    <t>R010744010</t>
  </si>
  <si>
    <t>中島　直哉</t>
  </si>
  <si>
    <t>R010851363</t>
  </si>
  <si>
    <t>仲島　心琥</t>
  </si>
  <si>
    <t>R010817679</t>
  </si>
  <si>
    <t>中津留　正大</t>
  </si>
  <si>
    <t>R010817690</t>
  </si>
  <si>
    <t>R010866397</t>
  </si>
  <si>
    <t>中根　龍馬</t>
  </si>
  <si>
    <t>R010809902</t>
  </si>
  <si>
    <t>R010790040</t>
  </si>
  <si>
    <t>中野　晄聖</t>
  </si>
  <si>
    <t>R010851213</t>
  </si>
  <si>
    <t>中野　琉星</t>
  </si>
  <si>
    <t>R010865027</t>
  </si>
  <si>
    <t>R010866350</t>
  </si>
  <si>
    <t>中村　陸</t>
  </si>
  <si>
    <t>R010851195</t>
  </si>
  <si>
    <t>R010864991</t>
  </si>
  <si>
    <t>R010783053</t>
  </si>
  <si>
    <t>長岡　輝一</t>
  </si>
  <si>
    <t>R010809917</t>
  </si>
  <si>
    <t>R010851360</t>
  </si>
  <si>
    <t>長瀨　彩姫</t>
  </si>
  <si>
    <t>R010869227</t>
  </si>
  <si>
    <t>長友　響叶</t>
  </si>
  <si>
    <t>R010802633</t>
  </si>
  <si>
    <t>西　咲人</t>
  </si>
  <si>
    <t>R010865022</t>
  </si>
  <si>
    <t>R010851212</t>
  </si>
  <si>
    <t>西　凌我</t>
  </si>
  <si>
    <t>R010781528</t>
  </si>
  <si>
    <t>西尾　基希</t>
  </si>
  <si>
    <t>R010817737</t>
  </si>
  <si>
    <t>西村　博企</t>
  </si>
  <si>
    <t>R010851366</t>
  </si>
  <si>
    <t>西村　優里奈</t>
  </si>
  <si>
    <t>二宮　蘭</t>
  </si>
  <si>
    <t>R010866359</t>
  </si>
  <si>
    <t>R010866352</t>
  </si>
  <si>
    <t>R010809875</t>
  </si>
  <si>
    <t>野上　泰雅</t>
  </si>
  <si>
    <t>R010809881</t>
  </si>
  <si>
    <t>R010866355</t>
  </si>
  <si>
    <t>野田　豊</t>
  </si>
  <si>
    <t>R010817669</t>
  </si>
  <si>
    <t>野村　航平</t>
  </si>
  <si>
    <t>R010800928</t>
  </si>
  <si>
    <t>野依　千夏</t>
  </si>
  <si>
    <t>R010809889</t>
  </si>
  <si>
    <t>乗冨　璃星</t>
  </si>
  <si>
    <t>R010809865</t>
  </si>
  <si>
    <t>乗冨　璃弥哉</t>
  </si>
  <si>
    <t>R010817720</t>
  </si>
  <si>
    <t>R010864987</t>
  </si>
  <si>
    <t>R010809884</t>
  </si>
  <si>
    <t>土師　大知</t>
  </si>
  <si>
    <t>R010865020</t>
  </si>
  <si>
    <t>R010789033</t>
  </si>
  <si>
    <t>波多野　大成</t>
  </si>
  <si>
    <t>R010802647</t>
  </si>
  <si>
    <t>波多野　太一</t>
  </si>
  <si>
    <t>R010789989</t>
  </si>
  <si>
    <t>羽田野　康平</t>
  </si>
  <si>
    <t>R010866357</t>
  </si>
  <si>
    <t>服部　善一</t>
  </si>
  <si>
    <t>R010866427</t>
  </si>
  <si>
    <t>波戸崎　武虎</t>
  </si>
  <si>
    <t>R010839462</t>
  </si>
  <si>
    <t>R010851107</t>
  </si>
  <si>
    <t>濵﨑　柊登</t>
  </si>
  <si>
    <t>R010783067</t>
  </si>
  <si>
    <t>濵田　司</t>
  </si>
  <si>
    <t>R010827363</t>
  </si>
  <si>
    <t>R010869242</t>
  </si>
  <si>
    <t>R010789034</t>
  </si>
  <si>
    <t>原　翔大</t>
  </si>
  <si>
    <t>R010809923</t>
  </si>
  <si>
    <t>R010866406</t>
  </si>
  <si>
    <t>原野　浩一</t>
  </si>
  <si>
    <t>R010783553</t>
  </si>
  <si>
    <t>馬場　賢治</t>
  </si>
  <si>
    <t>R010850850</t>
  </si>
  <si>
    <t>馬場　栄州</t>
  </si>
  <si>
    <t>R010865030</t>
  </si>
  <si>
    <t>バラッチョ　アンドレルイス</t>
  </si>
  <si>
    <t>R010801863</t>
  </si>
  <si>
    <t>東　昌治</t>
  </si>
  <si>
    <t>R010802638</t>
  </si>
  <si>
    <t>東　龍之介</t>
  </si>
  <si>
    <t>R010817710</t>
  </si>
  <si>
    <t>R010866343</t>
  </si>
  <si>
    <t>日名子　瑛二</t>
  </si>
  <si>
    <t>R010809874</t>
  </si>
  <si>
    <t>R010809877</t>
  </si>
  <si>
    <t>R010789021</t>
  </si>
  <si>
    <t>姫野　宥弥</t>
  </si>
  <si>
    <t>R010827342</t>
  </si>
  <si>
    <t>R010789025</t>
  </si>
  <si>
    <t>R010869243</t>
  </si>
  <si>
    <t>平川　晴貴</t>
  </si>
  <si>
    <t>R010817705</t>
  </si>
  <si>
    <t>R010866354</t>
  </si>
  <si>
    <t>R010827368</t>
  </si>
  <si>
    <t>ヒラノ　ソウタロウ</t>
  </si>
  <si>
    <t>R010790018</t>
  </si>
  <si>
    <t>平野　稔</t>
  </si>
  <si>
    <t>R010789986</t>
  </si>
  <si>
    <t>平原　修人</t>
  </si>
  <si>
    <t>R010800927</t>
  </si>
  <si>
    <t>R010809866</t>
  </si>
  <si>
    <t>R010866399</t>
  </si>
  <si>
    <t>R010805403</t>
  </si>
  <si>
    <t>廣瀬　有気</t>
  </si>
  <si>
    <t>R010866391</t>
  </si>
  <si>
    <t>広津　佑亮</t>
  </si>
  <si>
    <t>R010827351</t>
  </si>
  <si>
    <t>深田　慎一</t>
  </si>
  <si>
    <t>R010869215</t>
  </si>
  <si>
    <t>R010851209</t>
  </si>
  <si>
    <t>福田　雲雀</t>
  </si>
  <si>
    <t>R010809905</t>
  </si>
  <si>
    <t>R010783064</t>
  </si>
  <si>
    <t>福吉　晴斗</t>
  </si>
  <si>
    <t>R010866402</t>
  </si>
  <si>
    <t>福吉　琉七</t>
  </si>
  <si>
    <t>R010865001</t>
  </si>
  <si>
    <t>R010827355</t>
  </si>
  <si>
    <t>藤澤　大斗</t>
  </si>
  <si>
    <t>R010778436</t>
  </si>
  <si>
    <t>藤永　遥</t>
  </si>
  <si>
    <t>R010817686</t>
  </si>
  <si>
    <t>R010809925</t>
  </si>
  <si>
    <t>R010866430</t>
  </si>
  <si>
    <t>R010817682</t>
  </si>
  <si>
    <t>R010790004</t>
  </si>
  <si>
    <t>藤原　竜靖</t>
  </si>
  <si>
    <t>R010802659</t>
  </si>
  <si>
    <t>R010809903</t>
  </si>
  <si>
    <t>R010789998</t>
  </si>
  <si>
    <t>渕野　怜紋</t>
  </si>
  <si>
    <t>R010809878</t>
  </si>
  <si>
    <t>古川　紘平</t>
  </si>
  <si>
    <t>R010817697</t>
  </si>
  <si>
    <t>R010809922</t>
  </si>
  <si>
    <t>R010809900</t>
  </si>
  <si>
    <t>R010870313</t>
  </si>
  <si>
    <t>外園　優心</t>
  </si>
  <si>
    <t>R010866435</t>
  </si>
  <si>
    <t>細川　秀眞</t>
  </si>
  <si>
    <t>R010855690</t>
  </si>
  <si>
    <t>R010802656</t>
  </si>
  <si>
    <t>堀切　壱悟</t>
  </si>
  <si>
    <t>R010778440</t>
  </si>
  <si>
    <t>本城　紗也菜</t>
  </si>
  <si>
    <t>R010827340</t>
  </si>
  <si>
    <t>R010827367</t>
  </si>
  <si>
    <t>本多　一貴</t>
  </si>
  <si>
    <t>R010809918</t>
  </si>
  <si>
    <t>R010789030</t>
  </si>
  <si>
    <t>眞上　まどか</t>
  </si>
  <si>
    <t>R010851109</t>
  </si>
  <si>
    <t>牧　匠見</t>
  </si>
  <si>
    <t>R010817714</t>
  </si>
  <si>
    <t>R010817721</t>
  </si>
  <si>
    <t>牧野　太我</t>
  </si>
  <si>
    <t>益留　紅葉</t>
  </si>
  <si>
    <t>R010851369</t>
  </si>
  <si>
    <t>R010781539</t>
  </si>
  <si>
    <t>松井　暖</t>
  </si>
  <si>
    <t>R010809909</t>
  </si>
  <si>
    <t>R010851208</t>
  </si>
  <si>
    <t>R010865023</t>
  </si>
  <si>
    <t>R010812543</t>
  </si>
  <si>
    <t>R010812545</t>
  </si>
  <si>
    <t>R010864980</t>
  </si>
  <si>
    <t>R010809876</t>
  </si>
  <si>
    <t>R010817715</t>
  </si>
  <si>
    <t>R010851199</t>
  </si>
  <si>
    <t>松下　颯真</t>
  </si>
  <si>
    <t>R010865005</t>
  </si>
  <si>
    <t>R010839448</t>
  </si>
  <si>
    <t>松永　一慶</t>
  </si>
  <si>
    <t>R010809912</t>
  </si>
  <si>
    <t>R010866404</t>
  </si>
  <si>
    <t>松本　一男</t>
  </si>
  <si>
    <t>R010869223</t>
  </si>
  <si>
    <t>R010802641</t>
  </si>
  <si>
    <t>眞弓　恭輔</t>
  </si>
  <si>
    <t>R010781541</t>
  </si>
  <si>
    <t>箕迫　海斗</t>
  </si>
  <si>
    <t>R010809898</t>
  </si>
  <si>
    <t>R010864988</t>
  </si>
  <si>
    <t>R010790019</t>
  </si>
  <si>
    <t>三枝　正博</t>
  </si>
  <si>
    <t>R010866393</t>
  </si>
  <si>
    <t>三重野　颯太</t>
  </si>
  <si>
    <t>R010781533</t>
  </si>
  <si>
    <t>水田　暖人</t>
  </si>
  <si>
    <t>R010789027</t>
  </si>
  <si>
    <t>水野　滉</t>
  </si>
  <si>
    <t>R010864974</t>
  </si>
  <si>
    <t>水野　嘉輝</t>
  </si>
  <si>
    <t>R010812540</t>
  </si>
  <si>
    <t>三苫　靖</t>
  </si>
  <si>
    <t>R010865006</t>
  </si>
  <si>
    <t>R010817675</t>
  </si>
  <si>
    <t>R010866345</t>
  </si>
  <si>
    <t>三房　真昭</t>
  </si>
  <si>
    <t>R010781547</t>
  </si>
  <si>
    <t>三股　虎聖</t>
  </si>
  <si>
    <t>R010817701</t>
  </si>
  <si>
    <t>R010864999</t>
  </si>
  <si>
    <t>宮本　渉夢</t>
  </si>
  <si>
    <t>R010865021</t>
  </si>
  <si>
    <t>R010812542</t>
  </si>
  <si>
    <t>宮本　祐太</t>
  </si>
  <si>
    <t>R010802654</t>
  </si>
  <si>
    <t>宮本　留榎</t>
  </si>
  <si>
    <t>R010866425</t>
  </si>
  <si>
    <t>R010817723</t>
  </si>
  <si>
    <t>R010855687</t>
  </si>
  <si>
    <t>R010865042</t>
  </si>
  <si>
    <t>R010781532</t>
  </si>
  <si>
    <t>向田　颯太郎</t>
  </si>
  <si>
    <t>R010827333</t>
  </si>
  <si>
    <t>鞭馬　大輝</t>
  </si>
  <si>
    <t>R010809890</t>
  </si>
  <si>
    <t>R010864986</t>
  </si>
  <si>
    <t>R010781544</t>
  </si>
  <si>
    <t>村上　弘樹</t>
  </si>
  <si>
    <t>R010817670</t>
  </si>
  <si>
    <t>村上　真斗</t>
  </si>
  <si>
    <t>R010839465</t>
  </si>
  <si>
    <t>R010790026</t>
  </si>
  <si>
    <t>室園　悠來</t>
  </si>
  <si>
    <t>R010802650</t>
  </si>
  <si>
    <t>毛利　秀弥</t>
  </si>
  <si>
    <t>R010809873</t>
  </si>
  <si>
    <t>R010851200</t>
  </si>
  <si>
    <t>R010817735</t>
  </si>
  <si>
    <t>R010781527</t>
  </si>
  <si>
    <t>森　大翔</t>
  </si>
  <si>
    <t>R010790034</t>
  </si>
  <si>
    <t>森﨑　聖菜</t>
  </si>
  <si>
    <t>R010809891</t>
  </si>
  <si>
    <t>R010800922</t>
  </si>
  <si>
    <t>R010851186</t>
  </si>
  <si>
    <t>森本　壮大</t>
  </si>
  <si>
    <t>R010817716</t>
  </si>
  <si>
    <t>R010783046</t>
  </si>
  <si>
    <t>薬師寺　凌空</t>
  </si>
  <si>
    <t>R010781538</t>
  </si>
  <si>
    <t>屋敷　健将</t>
  </si>
  <si>
    <t>R010865039</t>
  </si>
  <si>
    <t>R010800931</t>
  </si>
  <si>
    <t>矢頭　蓮</t>
  </si>
  <si>
    <t>R010827366</t>
  </si>
  <si>
    <t>矢田　啓介</t>
  </si>
  <si>
    <t>R010827339</t>
  </si>
  <si>
    <t>R010827338</t>
  </si>
  <si>
    <t>R010783057</t>
  </si>
  <si>
    <t>矢野　都織</t>
  </si>
  <si>
    <t>R010790010</t>
  </si>
  <si>
    <t>矢野　智大</t>
  </si>
  <si>
    <t>R010851192</t>
  </si>
  <si>
    <t>矢幡　乙輝</t>
  </si>
  <si>
    <t>R010789023</t>
  </si>
  <si>
    <t>山口　蒼空</t>
  </si>
  <si>
    <t>R010800939</t>
  </si>
  <si>
    <t>山﨑　恵美梨</t>
  </si>
  <si>
    <t>R010827343</t>
  </si>
  <si>
    <t>山崎　快斗</t>
  </si>
  <si>
    <t>R010865003</t>
  </si>
  <si>
    <t>山下　悠悟</t>
  </si>
  <si>
    <t>R010817667</t>
  </si>
  <si>
    <t>山路　昴</t>
  </si>
  <si>
    <t>R010789985</t>
  </si>
  <si>
    <t>山添　康之</t>
  </si>
  <si>
    <t>R010855691</t>
  </si>
  <si>
    <t>R010268464</t>
  </si>
  <si>
    <t>山根　玲音</t>
  </si>
  <si>
    <t>R010817698</t>
  </si>
  <si>
    <t>R010827354</t>
  </si>
  <si>
    <t>山村　心大</t>
  </si>
  <si>
    <t>R010866342</t>
  </si>
  <si>
    <t>R010869218</t>
  </si>
  <si>
    <t>山本　蒼</t>
  </si>
  <si>
    <t>R010850852</t>
  </si>
  <si>
    <t>山本　青空</t>
  </si>
  <si>
    <t>R010817704</t>
  </si>
  <si>
    <t>R010839468</t>
  </si>
  <si>
    <t>山元　響生</t>
  </si>
  <si>
    <t>R010866401</t>
  </si>
  <si>
    <t>山本　玲央</t>
  </si>
  <si>
    <t>R010812556</t>
  </si>
  <si>
    <t>R010869235</t>
  </si>
  <si>
    <t>幸　優翔</t>
  </si>
  <si>
    <t>R010839450</t>
  </si>
  <si>
    <t>R010802631</t>
  </si>
  <si>
    <t>横田　翔也</t>
  </si>
  <si>
    <t>R010865029</t>
  </si>
  <si>
    <t>横田　真樹</t>
  </si>
  <si>
    <t>R010864994</t>
  </si>
  <si>
    <t>R010866339</t>
  </si>
  <si>
    <t>吉浦　優希</t>
  </si>
  <si>
    <t>R010817665</t>
  </si>
  <si>
    <t>吉川　和仁</t>
  </si>
  <si>
    <t>R010802652</t>
  </si>
  <si>
    <t>吉賀　駿斗</t>
  </si>
  <si>
    <t>R010800933</t>
  </si>
  <si>
    <t>吉崎　巧真</t>
  </si>
  <si>
    <t>R010783045</t>
  </si>
  <si>
    <t>吉田　爽人</t>
  </si>
  <si>
    <t>R010869238</t>
  </si>
  <si>
    <t>R010865032</t>
  </si>
  <si>
    <t>R010594449</t>
  </si>
  <si>
    <t>吉田　楼風</t>
  </si>
  <si>
    <t>R010827357</t>
  </si>
  <si>
    <t>吉光　和樹</t>
  </si>
  <si>
    <t>R010778433</t>
  </si>
  <si>
    <t>若林　祐衣</t>
  </si>
  <si>
    <t>R010809915</t>
  </si>
  <si>
    <t>R010866421</t>
  </si>
  <si>
    <t>R010851205</t>
  </si>
  <si>
    <t>渡辺　大空</t>
  </si>
  <si>
    <t>R010783052</t>
  </si>
  <si>
    <t>渡辺　太観</t>
  </si>
  <si>
    <t>R010866413</t>
  </si>
  <si>
    <t>渡邉　友一郎</t>
  </si>
  <si>
    <t>4～14</t>
    <phoneticPr fontId="29"/>
  </si>
  <si>
    <t>OFA 第 57 回大分県U-12サッカー大会　兼　KYFA 九州U-12サッカー大会大分県大会</t>
    <rPh sb="4" eb="5">
      <t>ダイ</t>
    </rPh>
    <rPh sb="9" eb="10">
      <t>カイ</t>
    </rPh>
    <rPh sb="10" eb="13">
      <t>オオイタケン</t>
    </rPh>
    <rPh sb="21" eb="23">
      <t>タイカイ</t>
    </rPh>
    <rPh sb="24" eb="25">
      <t>ケン</t>
    </rPh>
    <rPh sb="31" eb="33">
      <t>キュウシュウ</t>
    </rPh>
    <rPh sb="41" eb="43">
      <t>タイカイ</t>
    </rPh>
    <rPh sb="43" eb="46">
      <t>オオイタケン</t>
    </rPh>
    <rPh sb="46" eb="48">
      <t>タイカイ</t>
    </rPh>
    <phoneticPr fontId="29"/>
  </si>
  <si>
    <t>１．日時　　2026年1月18日(日) 午後6時00分（18:00）～</t>
    <rPh sb="2" eb="4">
      <t>ニチジ</t>
    </rPh>
    <rPh sb="10" eb="11">
      <t>ネン</t>
    </rPh>
    <rPh sb="12" eb="13">
      <t>ガツ</t>
    </rPh>
    <rPh sb="15" eb="16">
      <t>ニチ</t>
    </rPh>
    <rPh sb="17" eb="18">
      <t>ニチ</t>
    </rPh>
    <rPh sb="20" eb="22">
      <t>ゴゴ</t>
    </rPh>
    <rPh sb="23" eb="24">
      <t>ジ</t>
    </rPh>
    <rPh sb="26" eb="27">
      <t>フン</t>
    </rPh>
    <phoneticPr fontId="29"/>
  </si>
  <si>
    <t>日田・玖珠</t>
  </si>
  <si>
    <t>玖珠町総合運動公園</t>
  </si>
  <si>
    <t>玖珠町大字山田90番地</t>
  </si>
  <si>
    <t>実相寺サッカー競技場(人工芝)</t>
  </si>
  <si>
    <t>別府市大字鶴見3705番地</t>
  </si>
  <si>
    <r>
      <rPr>
        <b/>
        <sz val="10"/>
        <color rgb="FFFF0000"/>
        <rFont val="Meiryo UI"/>
        <family val="3"/>
        <charset val="128"/>
      </rPr>
      <t xml:space="preserve">吉四六ランドレックス多目的広場
</t>
    </r>
    <r>
      <rPr>
        <sz val="10"/>
        <color theme="1"/>
        <rFont val="Meiryo UI"/>
        <family val="3"/>
        <charset val="128"/>
      </rPr>
      <t>(吉四六ランド陸上競技場)</t>
    </r>
    <phoneticPr fontId="110"/>
  </si>
  <si>
    <t>臼杵市野津町大字原326番地</t>
  </si>
  <si>
    <t>2026年(令和8年)</t>
    <phoneticPr fontId="110"/>
  </si>
  <si>
    <t>　　OFA 第 57 回大分県少年サッカー大会　兼
KYFA 九州U-12サッカー大会大分県大会</t>
    <phoneticPr fontId="29"/>
  </si>
  <si>
    <t>2025年度　4種委員会目標</t>
    <rPh sb="4" eb="6">
      <t>ネンド</t>
    </rPh>
    <phoneticPr fontId="110"/>
  </si>
  <si>
    <t>宇佐高田</t>
  </si>
  <si>
    <t>速杵国東</t>
  </si>
  <si>
    <t>日田・玖珠</t>
    <phoneticPr fontId="29"/>
  </si>
  <si>
    <t>別府</t>
  </si>
  <si>
    <t>佐伯</t>
  </si>
  <si>
    <t>佐伯</t>
    <phoneticPr fontId="29"/>
  </si>
  <si>
    <t>臼杵・津久見</t>
  </si>
  <si>
    <t>豊肥</t>
  </si>
  <si>
    <t>中津</t>
  </si>
  <si>
    <t>速杵国東</t>
    <rPh sb="0" eb="4">
      <t>ソッキクニサキ</t>
    </rPh>
    <phoneticPr fontId="29"/>
  </si>
  <si>
    <t>2025年度　優秀選手名簿</t>
    <rPh sb="4" eb="6">
      <t>ネンド</t>
    </rPh>
    <rPh sb="7" eb="9">
      <t>ユウシュウ</t>
    </rPh>
    <rPh sb="9" eb="11">
      <t>センシュ</t>
    </rPh>
    <rPh sb="11" eb="13">
      <t>メイボ</t>
    </rPh>
    <phoneticPr fontId="29"/>
  </si>
  <si>
    <t>（一社）大分県サッカー協会　第4種委員会</t>
    <rPh sb="1" eb="2">
      <t>１</t>
    </rPh>
    <rPh sb="2" eb="3">
      <t>シャ</t>
    </rPh>
    <rPh sb="4" eb="7">
      <t>オオイタケン</t>
    </rPh>
    <rPh sb="11" eb="13">
      <t>キョウカイ</t>
    </rPh>
    <rPh sb="14" eb="15">
      <t>ダイ</t>
    </rPh>
    <rPh sb="16" eb="17">
      <t>シュ</t>
    </rPh>
    <rPh sb="17" eb="20">
      <t>イインカイ</t>
    </rPh>
    <phoneticPr fontId="29"/>
  </si>
  <si>
    <t>　　①第4種委員長あいさつ</t>
    <rPh sb="3" eb="4">
      <t>ダイ</t>
    </rPh>
    <rPh sb="5" eb="6">
      <t>シュ</t>
    </rPh>
    <rPh sb="6" eb="9">
      <t>イインチョウ</t>
    </rPh>
    <phoneticPr fontId="29"/>
  </si>
  <si>
    <t>OFA 第 57 回大分県少年サッカー大会
　兼　KYFA 九州U-12サッカー大会大分県大会</t>
    <rPh sb="4" eb="5">
      <t>ダイ</t>
    </rPh>
    <rPh sb="9" eb="10">
      <t>カイ</t>
    </rPh>
    <rPh sb="10" eb="13">
      <t>オオイタケン</t>
    </rPh>
    <rPh sb="13" eb="15">
      <t>ショウネン</t>
    </rPh>
    <rPh sb="19" eb="21">
      <t>タイカイ</t>
    </rPh>
    <rPh sb="23" eb="24">
      <t>ケン</t>
    </rPh>
    <rPh sb="30" eb="32">
      <t>キュウシュウ</t>
    </rPh>
    <rPh sb="40" eb="42">
      <t>タイカイ</t>
    </rPh>
    <rPh sb="42" eb="45">
      <t>オオイタケン</t>
    </rPh>
    <rPh sb="45" eb="47">
      <t>タイカイ</t>
    </rPh>
    <phoneticPr fontId="29"/>
  </si>
  <si>
    <t>優勝・準優勝・第３位チーム・優秀選手の表彰をします。</t>
    <rPh sb="7" eb="8">
      <t>ダイ</t>
    </rPh>
    <phoneticPr fontId="72"/>
  </si>
  <si>
    <t>佐伯①</t>
    <rPh sb="0" eb="2">
      <t>サイキ</t>
    </rPh>
    <phoneticPr fontId="29"/>
  </si>
  <si>
    <t>佐伯②</t>
    <rPh sb="0" eb="2">
      <t>サイキ</t>
    </rPh>
    <phoneticPr fontId="29"/>
  </si>
  <si>
    <t>1,2</t>
    <phoneticPr fontId="29"/>
  </si>
  <si>
    <t>日田・玖珠③</t>
    <rPh sb="0" eb="2">
      <t>ヒタ</t>
    </rPh>
    <rPh sb="3" eb="5">
      <t>クス</t>
    </rPh>
    <phoneticPr fontId="29"/>
  </si>
  <si>
    <t>宇佐高田③</t>
    <rPh sb="0" eb="2">
      <t>ウサ</t>
    </rPh>
    <rPh sb="2" eb="4">
      <t>タカタ</t>
    </rPh>
    <phoneticPr fontId="29"/>
  </si>
  <si>
    <t>を</t>
    <phoneticPr fontId="29"/>
  </si>
  <si>
    <t>4ブロックで分ける</t>
    <phoneticPr fontId="29"/>
  </si>
  <si>
    <t>20,21,22</t>
    <phoneticPr fontId="29"/>
  </si>
  <si>
    <t>大分④～⑰</t>
    <rPh sb="0" eb="2">
      <t>オオイタ</t>
    </rPh>
    <phoneticPr fontId="29"/>
  </si>
  <si>
    <t>23～36</t>
    <phoneticPr fontId="29"/>
  </si>
  <si>
    <t>大分①②③　カティオーラU12/ドリームキッズ/リノス</t>
    <rPh sb="0" eb="2">
      <t>オオイタ</t>
    </rPh>
    <phoneticPr fontId="29"/>
  </si>
  <si>
    <t>阿部 結太朗</t>
  </si>
  <si>
    <t>二ノ宮 颯太</t>
  </si>
  <si>
    <t>小野 豹雅</t>
  </si>
  <si>
    <t>上野 蒼祐</t>
  </si>
  <si>
    <t>菅 泰輔</t>
  </si>
  <si>
    <t>末永 葵空</t>
  </si>
  <si>
    <t>吉田 晴馬</t>
  </si>
  <si>
    <t>喜多 陽喜</t>
  </si>
  <si>
    <t>田邉 結大</t>
  </si>
  <si>
    <t>藤内 心勇</t>
  </si>
  <si>
    <t>木元 星杏</t>
  </si>
  <si>
    <t>首藤 真乃愛</t>
  </si>
  <si>
    <t>松岡 陽奈</t>
  </si>
  <si>
    <t>えとう　しん</t>
  </si>
  <si>
    <t>おの　ひろや</t>
  </si>
  <si>
    <t>よしたけ　こうみ</t>
  </si>
  <si>
    <t>選手登録番号</t>
  </si>
  <si>
    <t>ＪＦＡＩＤ</t>
  </si>
  <si>
    <t>2025登録状態</t>
  </si>
  <si>
    <t>選手＿フリガナ</t>
  </si>
  <si>
    <t>選手＿氏名</t>
  </si>
  <si>
    <t>生年月日</t>
  </si>
  <si>
    <t>種別</t>
  </si>
  <si>
    <t>種別区分</t>
  </si>
  <si>
    <t>チーム登録番号</t>
  </si>
  <si>
    <t>チーム名＿漢字</t>
  </si>
  <si>
    <t>登録済</t>
  </si>
  <si>
    <t>仲野　稜矢</t>
  </si>
  <si>
    <t>第4種</t>
  </si>
  <si>
    <t>------------</t>
  </si>
  <si>
    <t>脇口　遥</t>
  </si>
  <si>
    <t>後藤　聖弥</t>
  </si>
  <si>
    <t>松高　昊飛</t>
  </si>
  <si>
    <t>松成　愛海</t>
  </si>
  <si>
    <t>矢岡　優弦</t>
  </si>
  <si>
    <t>古田　櫂生</t>
  </si>
  <si>
    <t>藤原　颯太</t>
  </si>
  <si>
    <t>谷口　心春</t>
  </si>
  <si>
    <t>其田　幸介</t>
  </si>
  <si>
    <t>JFA246825502334</t>
  </si>
  <si>
    <t>伊藤　蒼志</t>
  </si>
  <si>
    <t>ｆｏｏｔｓｔｅｐ　ｓｏｃｃｅｒ　ａｃａｄｅｍｙ　Ｕ－１２</t>
  </si>
  <si>
    <t>豊田　真梛</t>
  </si>
  <si>
    <t>JFA231793932304</t>
  </si>
  <si>
    <t>三宅　晴也</t>
  </si>
  <si>
    <t>竹野　航輔</t>
  </si>
  <si>
    <t>中野　悠人</t>
  </si>
  <si>
    <t>JFA231188893089</t>
  </si>
  <si>
    <t>國師　佑晟</t>
  </si>
  <si>
    <t>西田　龍ノ介</t>
  </si>
  <si>
    <t>濵島　佑斗</t>
  </si>
  <si>
    <t>JFA234860323185</t>
  </si>
  <si>
    <t>木元　悠惺</t>
  </si>
  <si>
    <t>JFA236729949079</t>
  </si>
  <si>
    <t>橋山　駿</t>
  </si>
  <si>
    <t>JFA246224677530</t>
  </si>
  <si>
    <t>JFA252511520301</t>
  </si>
  <si>
    <t>菊池　皇冴</t>
  </si>
  <si>
    <t>薬師寺　晴斗</t>
  </si>
  <si>
    <t>JFA245299078490</t>
  </si>
  <si>
    <t>小林　亘</t>
  </si>
  <si>
    <t>佐藤　晴太</t>
  </si>
  <si>
    <t>スマイス　セレソン　スポーツクラブ</t>
  </si>
  <si>
    <t>JFA246543278310</t>
  </si>
  <si>
    <t>古川　泰地</t>
  </si>
  <si>
    <t>竹山　旺佑</t>
  </si>
  <si>
    <t>鶴　優翔</t>
  </si>
  <si>
    <t>立川　心葉</t>
  </si>
  <si>
    <t>JFA245659642091</t>
  </si>
  <si>
    <t>東　千隼</t>
  </si>
  <si>
    <t>JFA248530442834</t>
  </si>
  <si>
    <t>綿内　陽翔</t>
  </si>
  <si>
    <t>平塚　琉輝</t>
  </si>
  <si>
    <t>JFA258758127542</t>
  </si>
  <si>
    <t>抹消済</t>
  </si>
  <si>
    <t>甲斐　洸志</t>
  </si>
  <si>
    <t>甲斐　颯志</t>
  </si>
  <si>
    <t>原　秀太</t>
  </si>
  <si>
    <t>羽田野　琉衣</t>
  </si>
  <si>
    <t>河野　蓮生</t>
  </si>
  <si>
    <t>三宮　碧之助</t>
  </si>
  <si>
    <t>山口　遥大</t>
  </si>
  <si>
    <t>足立　晴</t>
  </si>
  <si>
    <t>日出　瑠稀</t>
  </si>
  <si>
    <t>秦　竹宏</t>
  </si>
  <si>
    <t>小島　夢生</t>
  </si>
  <si>
    <t>JFA246012185624</t>
  </si>
  <si>
    <t>八並　心愛</t>
  </si>
  <si>
    <t>JFA246125453161</t>
  </si>
  <si>
    <t>中村　明日奏</t>
  </si>
  <si>
    <t>椛田　羚王</t>
  </si>
  <si>
    <t>浦本　悠人</t>
  </si>
  <si>
    <t>JFA256941792688</t>
  </si>
  <si>
    <t>岩崎　一翔</t>
  </si>
  <si>
    <t>JFA231356770569</t>
  </si>
  <si>
    <t>福永　善志郎</t>
  </si>
  <si>
    <t>佐藤　波瑠</t>
  </si>
  <si>
    <t>JFA243411796868</t>
  </si>
  <si>
    <t>相良　碧月</t>
  </si>
  <si>
    <t>JFA248979456563</t>
  </si>
  <si>
    <t>衛藤　こはな</t>
  </si>
  <si>
    <t>JFA232926429130</t>
  </si>
  <si>
    <t>首藤　湊</t>
  </si>
  <si>
    <t>山本　歩</t>
  </si>
  <si>
    <t>武石　騎竜</t>
  </si>
  <si>
    <t>鶴田　絋大</t>
  </si>
  <si>
    <t>稲生　龍馬</t>
  </si>
  <si>
    <t>齋藤　旭</t>
  </si>
  <si>
    <t>ＯＢＳスポーツアカデミー</t>
  </si>
  <si>
    <t>恵藤　太陽</t>
  </si>
  <si>
    <t>中畑　翔哉</t>
  </si>
  <si>
    <t>JFA238417111332</t>
  </si>
  <si>
    <t>狭間　奏太朗</t>
  </si>
  <si>
    <t>JFA250124043601</t>
  </si>
  <si>
    <t>山下　陽平</t>
  </si>
  <si>
    <t>JFA242247134158</t>
  </si>
  <si>
    <t>JFA246815030835</t>
  </si>
  <si>
    <t>牧　奏汰</t>
  </si>
  <si>
    <t>松木　大晟</t>
  </si>
  <si>
    <t>後藤　海璃</t>
  </si>
  <si>
    <t>郷原　秀馬</t>
  </si>
  <si>
    <t>阿部　双葉</t>
  </si>
  <si>
    <t>JFA256370335840</t>
  </si>
  <si>
    <t>三浦　想真</t>
  </si>
  <si>
    <t>嶋　欧介</t>
  </si>
  <si>
    <t>JFA259258550875</t>
  </si>
  <si>
    <t>嶌田　祐汰朗</t>
  </si>
  <si>
    <t>溝邉　輝真</t>
  </si>
  <si>
    <t>濱口　倖志郎</t>
  </si>
  <si>
    <t>久保田　陽翔</t>
  </si>
  <si>
    <t>河津　凰希</t>
  </si>
  <si>
    <t>藤目　海斗</t>
  </si>
  <si>
    <t>首藤　敬人</t>
  </si>
  <si>
    <t>廣瀬　爽志</t>
  </si>
  <si>
    <t>小森　清太郎</t>
  </si>
  <si>
    <t>五島　朔</t>
  </si>
  <si>
    <t>加藤　航世</t>
  </si>
  <si>
    <t>JFA250506681973</t>
  </si>
  <si>
    <t>江藤　友優</t>
  </si>
  <si>
    <t>JFA244447000133</t>
  </si>
  <si>
    <t>JFA244645144884</t>
  </si>
  <si>
    <t>瀬口　林昌</t>
  </si>
  <si>
    <t>林　凛空</t>
  </si>
  <si>
    <t>JFA231167473496</t>
  </si>
  <si>
    <t>林　蒼太</t>
  </si>
  <si>
    <t>柴田　悠生</t>
  </si>
  <si>
    <t>廣瀬　玲志</t>
  </si>
  <si>
    <t>徳浦　和之</t>
  </si>
  <si>
    <t>篠田　真叶</t>
  </si>
  <si>
    <t>JFA244747476258</t>
  </si>
  <si>
    <t>松岡　紘太</t>
  </si>
  <si>
    <t>中山　翔元</t>
  </si>
  <si>
    <t>季　佳霖</t>
  </si>
  <si>
    <t>JFA248102248943</t>
  </si>
  <si>
    <t>後藤　悠大</t>
  </si>
  <si>
    <t>美濃　佑斗</t>
  </si>
  <si>
    <t>矢野　彰吾</t>
  </si>
  <si>
    <t>吉兼　禅</t>
  </si>
  <si>
    <t>JFA232547078509</t>
  </si>
  <si>
    <t>藤田　結斗</t>
  </si>
  <si>
    <t>柳井　ひなた</t>
  </si>
  <si>
    <t>JFA256606037884</t>
  </si>
  <si>
    <t>髙宮　凌駕</t>
  </si>
  <si>
    <t>岩﨑　愛斗</t>
  </si>
  <si>
    <t>田中　孔明</t>
  </si>
  <si>
    <t>高橋　勇翔</t>
  </si>
  <si>
    <t>長野　晴仁</t>
  </si>
  <si>
    <t>JFA245561748053</t>
  </si>
  <si>
    <t>日野　夢乃</t>
  </si>
  <si>
    <t>和田　考史</t>
  </si>
  <si>
    <t>岩尾　和豊</t>
  </si>
  <si>
    <t>得丸　大翔</t>
  </si>
  <si>
    <t>石橋　直樹</t>
  </si>
  <si>
    <t>JFA248957411077</t>
  </si>
  <si>
    <t>前田　蓮斗</t>
  </si>
  <si>
    <t>JFA233502020888</t>
  </si>
  <si>
    <t>石田　健</t>
  </si>
  <si>
    <t>JFA243736140785</t>
  </si>
  <si>
    <t>髙橋　一希</t>
  </si>
  <si>
    <t>後藤　樹</t>
  </si>
  <si>
    <t>朝光　陽愛</t>
  </si>
  <si>
    <t>水永　陽花翔</t>
  </si>
  <si>
    <t>廣田　琉衣</t>
  </si>
  <si>
    <t>JFA245787829035</t>
  </si>
  <si>
    <t>林　巧太</t>
  </si>
  <si>
    <t>神田　煌汰朗</t>
  </si>
  <si>
    <t>仲村　優成</t>
  </si>
  <si>
    <t>生野　悠河</t>
  </si>
  <si>
    <t>JFA235147914576</t>
  </si>
  <si>
    <t>JFA242575044079</t>
  </si>
  <si>
    <t>岩﨑　劉成</t>
  </si>
  <si>
    <t>丸谷　琉斗</t>
  </si>
  <si>
    <t>石井　大則</t>
  </si>
  <si>
    <t>油布　瑛斗</t>
  </si>
  <si>
    <t>長本　奈々花</t>
  </si>
  <si>
    <t>矢野　明里</t>
  </si>
  <si>
    <t>JFA248594437363</t>
  </si>
  <si>
    <t>中畑　太我</t>
  </si>
  <si>
    <t>鍋島　湊都</t>
  </si>
  <si>
    <t>安東　拓人</t>
  </si>
  <si>
    <t>JFA230449364156</t>
  </si>
  <si>
    <t>生駒　幸大</t>
  </si>
  <si>
    <t>JFA252841252372</t>
  </si>
  <si>
    <t>中野　春仁</t>
  </si>
  <si>
    <t>JFA255859166724</t>
  </si>
  <si>
    <t>中野　夏仁</t>
  </si>
  <si>
    <t>岩本　壮輔</t>
  </si>
  <si>
    <t>JFA258432866380</t>
  </si>
  <si>
    <t>沓掛　陽真</t>
  </si>
  <si>
    <t>龍淵　篤人</t>
  </si>
  <si>
    <t>白石　祐羅</t>
  </si>
  <si>
    <t>JFA251787854707</t>
  </si>
  <si>
    <t>後藤　瑛琉馬</t>
  </si>
  <si>
    <t>JFA244089725852</t>
  </si>
  <si>
    <t>篠原　実朝</t>
  </si>
  <si>
    <t>首藤　瑛大</t>
  </si>
  <si>
    <t>佐藤　結音</t>
  </si>
  <si>
    <t>JFA247471648726</t>
  </si>
  <si>
    <t>長野　由承</t>
  </si>
  <si>
    <t>中野　一惺</t>
  </si>
  <si>
    <t>阿部　湊真</t>
  </si>
  <si>
    <t>光永　栄翔</t>
  </si>
  <si>
    <t>JFA232379857751</t>
  </si>
  <si>
    <t>藤澤　栞太</t>
  </si>
  <si>
    <t>小野　蒼馬</t>
  </si>
  <si>
    <t>小野　敬士朗</t>
  </si>
  <si>
    <t>長谷部　譲斗</t>
  </si>
  <si>
    <t>JFA243435168719</t>
  </si>
  <si>
    <t>JFA244475937622</t>
  </si>
  <si>
    <t>上田　風利</t>
  </si>
  <si>
    <t>城東サッカースポーツ少年団</t>
  </si>
  <si>
    <t>菱川　駿翔</t>
  </si>
  <si>
    <t>佐藤　陽太</t>
  </si>
  <si>
    <t>JFA257154970039</t>
  </si>
  <si>
    <t>髙橋　怜央</t>
  </si>
  <si>
    <t>椙山　瑛斗</t>
  </si>
  <si>
    <t>JFA258441297824</t>
  </si>
  <si>
    <t>黒川　舜梁</t>
  </si>
  <si>
    <t>JFA235019634020</t>
  </si>
  <si>
    <t>園田　愛喜</t>
  </si>
  <si>
    <t>西枝　菜奈美</t>
  </si>
  <si>
    <t>岩村　周真</t>
  </si>
  <si>
    <t>JFA243785644287</t>
  </si>
  <si>
    <t>森　貫太朗</t>
  </si>
  <si>
    <t>JFA231116172886</t>
  </si>
  <si>
    <t>本田　稀有</t>
  </si>
  <si>
    <t>JFA244650623996</t>
  </si>
  <si>
    <t>野上　航太</t>
  </si>
  <si>
    <t>東大分サッカースポーツ少年団</t>
  </si>
  <si>
    <t>山本　蓮</t>
  </si>
  <si>
    <t>池田　成那</t>
  </si>
  <si>
    <t>常広　桃未</t>
  </si>
  <si>
    <t>JFA250110018179</t>
  </si>
  <si>
    <t>椎原　隆太</t>
  </si>
  <si>
    <t>石田　結晟</t>
  </si>
  <si>
    <t>土矢　一道</t>
  </si>
  <si>
    <t>戸田　向日葵</t>
  </si>
  <si>
    <t>吉田　聖哉</t>
  </si>
  <si>
    <t>高尾　旭</t>
  </si>
  <si>
    <t>JFA256602176048</t>
  </si>
  <si>
    <t>吉田　愛咲</t>
  </si>
  <si>
    <t>末長　凌</t>
  </si>
  <si>
    <t>JFA248166091575</t>
  </si>
  <si>
    <t>吉原　誠吾</t>
  </si>
  <si>
    <t>坂口　翔望</t>
  </si>
  <si>
    <t>JFA256967522680</t>
  </si>
  <si>
    <t>JFA236757168033</t>
  </si>
  <si>
    <t>岩本　恵治</t>
  </si>
  <si>
    <t>JFA249472287109</t>
  </si>
  <si>
    <t>岩永　和依</t>
  </si>
  <si>
    <t>JFA243820362160</t>
  </si>
  <si>
    <t>首藤　琥珀</t>
  </si>
  <si>
    <t>藤野　吏琥</t>
  </si>
  <si>
    <t>JFA243813657257</t>
  </si>
  <si>
    <t>佐藤　陽奈太</t>
  </si>
  <si>
    <t>羽田野　夏希</t>
  </si>
  <si>
    <t>高野　新大</t>
  </si>
  <si>
    <t>井上　朔斗</t>
  </si>
  <si>
    <t>JFA239610101683</t>
  </si>
  <si>
    <t>JFA258630165459</t>
  </si>
  <si>
    <t>若林　湊太</t>
  </si>
  <si>
    <t>JFA231705975685</t>
  </si>
  <si>
    <t>小原　絆</t>
  </si>
  <si>
    <t>後藤　晴登</t>
  </si>
  <si>
    <t>JFA256140619358</t>
  </si>
  <si>
    <t>小畑　颯汰</t>
  </si>
  <si>
    <t>御手洗　天翔</t>
  </si>
  <si>
    <t>三浦　篤人</t>
  </si>
  <si>
    <t>JFA237387895769</t>
  </si>
  <si>
    <t>秋月　快斗</t>
  </si>
  <si>
    <t>亀川　晴空</t>
  </si>
  <si>
    <t>藤井　律希</t>
  </si>
  <si>
    <t>八汐　有起</t>
  </si>
  <si>
    <t>村上　颯真</t>
  </si>
  <si>
    <t>阿部　勇</t>
  </si>
  <si>
    <t>村松　玲央</t>
  </si>
  <si>
    <t>江隈　輝空</t>
  </si>
  <si>
    <t>JFA249832006909</t>
  </si>
  <si>
    <t>JFA244021674870</t>
  </si>
  <si>
    <t>櫻井　謙心</t>
  </si>
  <si>
    <t>JFA257353414283</t>
  </si>
  <si>
    <t>古本　蓮</t>
  </si>
  <si>
    <t>JFA240794633007</t>
  </si>
  <si>
    <t>幸　怜美奈</t>
  </si>
  <si>
    <t>関藤　一夏</t>
  </si>
  <si>
    <t>宮崎　潤</t>
  </si>
  <si>
    <t>乙津　雅人</t>
  </si>
  <si>
    <t>佐藤　彩花</t>
  </si>
  <si>
    <t>JFA241282094023</t>
  </si>
  <si>
    <t>宇留嶋　陸</t>
  </si>
  <si>
    <t>河野　海誓</t>
  </si>
  <si>
    <t>JFA259614493670</t>
  </si>
  <si>
    <t>衞藤　心</t>
  </si>
  <si>
    <t>投野　壱真</t>
  </si>
  <si>
    <t>野林　洸太</t>
  </si>
  <si>
    <t>石川　夏希</t>
  </si>
  <si>
    <t>衞藤　海仁</t>
  </si>
  <si>
    <t>池岡　駿将</t>
  </si>
  <si>
    <t>内田　朱馬</t>
  </si>
  <si>
    <t>松永　珠羽</t>
  </si>
  <si>
    <t>松永　陽羽</t>
  </si>
  <si>
    <t>山崎　耀一郎</t>
  </si>
  <si>
    <t>JFA231787097567</t>
  </si>
  <si>
    <t>吉水　康介</t>
  </si>
  <si>
    <t>山﨑　嘉武慰</t>
  </si>
  <si>
    <t>河口　優月</t>
  </si>
  <si>
    <t>水谷　聡佑</t>
  </si>
  <si>
    <t>友清　諒真</t>
  </si>
  <si>
    <t>出口　夏</t>
  </si>
  <si>
    <t>安東　海翔</t>
  </si>
  <si>
    <t>宮本　璃子</t>
  </si>
  <si>
    <t>JFA244146915627</t>
  </si>
  <si>
    <t>鮫島　諒成</t>
  </si>
  <si>
    <t>鶴崎ＳＳＳ</t>
  </si>
  <si>
    <t>JFA249041477804</t>
  </si>
  <si>
    <t>小原　璃子</t>
  </si>
  <si>
    <t>宮脇　琴心</t>
  </si>
  <si>
    <t>立花　歩己</t>
  </si>
  <si>
    <t>神河　晴希</t>
  </si>
  <si>
    <t>新名　健一朗</t>
  </si>
  <si>
    <t>JFA243125152490</t>
  </si>
  <si>
    <t>山口　市路</t>
  </si>
  <si>
    <t>JFA256114023689</t>
  </si>
  <si>
    <t>麻生　泰志</t>
  </si>
  <si>
    <t>JFA240943347551</t>
  </si>
  <si>
    <t>阿部　颯斗</t>
  </si>
  <si>
    <t>池田　旭</t>
  </si>
  <si>
    <t>JFA245326856813</t>
  </si>
  <si>
    <t>梶原　蒼太</t>
  </si>
  <si>
    <t>小野　蒼友</t>
  </si>
  <si>
    <t>平松　蓮祐</t>
  </si>
  <si>
    <t>松尾　一輝</t>
  </si>
  <si>
    <t>廣瀬　大海</t>
  </si>
  <si>
    <t>安田　光佑</t>
  </si>
  <si>
    <t>後藤　凛空</t>
  </si>
  <si>
    <t>麻生　奏多</t>
  </si>
  <si>
    <t>松尾　一兄</t>
  </si>
  <si>
    <t>原田　莉子</t>
  </si>
  <si>
    <t>吉田　壮真</t>
  </si>
  <si>
    <t>福島　怜果</t>
  </si>
  <si>
    <t>JFA246206572366</t>
  </si>
  <si>
    <t>畑瀬　翔央</t>
  </si>
  <si>
    <t>山中　翔蒼</t>
  </si>
  <si>
    <t>JFA251854449763</t>
  </si>
  <si>
    <t>志村　碧</t>
  </si>
  <si>
    <t>JFA245995248594</t>
  </si>
  <si>
    <t>司城　蒼汰</t>
  </si>
  <si>
    <t>JFA244906632597</t>
  </si>
  <si>
    <t>後藤　玖瑠</t>
  </si>
  <si>
    <t>JFA243470619449</t>
  </si>
  <si>
    <t>星田　徹次朗</t>
  </si>
  <si>
    <t>加藤　壮</t>
  </si>
  <si>
    <t>矢野　翔介</t>
  </si>
  <si>
    <t>西峰　穂</t>
  </si>
  <si>
    <t>JFA243864894342</t>
  </si>
  <si>
    <t>簑原　忠彦</t>
  </si>
  <si>
    <t>竹本　唯希</t>
  </si>
  <si>
    <t>池田　心結</t>
  </si>
  <si>
    <t>JFA246929397020</t>
  </si>
  <si>
    <t>川畑　岳</t>
  </si>
  <si>
    <t>佐藤　鉄平</t>
  </si>
  <si>
    <t>松川　叶翔</t>
  </si>
  <si>
    <t>JFA240321209042</t>
  </si>
  <si>
    <t>衛藤　充希</t>
  </si>
  <si>
    <t>JFA243938421704</t>
  </si>
  <si>
    <t>穴井　裕大</t>
  </si>
  <si>
    <t>中井　康惺</t>
  </si>
  <si>
    <t>JFA230517462697</t>
  </si>
  <si>
    <t>JFA242462977904</t>
  </si>
  <si>
    <t>大谷　佳輝</t>
  </si>
  <si>
    <t>小田　晃佑</t>
  </si>
  <si>
    <t>佐藤　新汰</t>
  </si>
  <si>
    <t>木下　遥斗</t>
  </si>
  <si>
    <t>日隈　晴斗</t>
  </si>
  <si>
    <t>伊藤　煌月</t>
  </si>
  <si>
    <t>JFA237056009756</t>
  </si>
  <si>
    <t>川野　慧悟</t>
  </si>
  <si>
    <t>宮本　來真</t>
  </si>
  <si>
    <t>徳部　智仁</t>
  </si>
  <si>
    <t>江原　陸</t>
  </si>
  <si>
    <t>JFA251384385186</t>
  </si>
  <si>
    <t>平川　巧</t>
  </si>
  <si>
    <t>佐藤　陽彩</t>
  </si>
  <si>
    <t>加茂　翔汰</t>
  </si>
  <si>
    <t>一法師　青希</t>
  </si>
  <si>
    <t>大平　紅華</t>
  </si>
  <si>
    <t>山本　陽太</t>
  </si>
  <si>
    <t>JFA257874693025</t>
  </si>
  <si>
    <t>溜池　直</t>
  </si>
  <si>
    <t>JFA251796684536</t>
  </si>
  <si>
    <t>東川　結人</t>
  </si>
  <si>
    <t>安部　凛汰郎</t>
  </si>
  <si>
    <t>尾川　倖大</t>
  </si>
  <si>
    <t>浅利　綴美</t>
  </si>
  <si>
    <t>首藤　大哉</t>
  </si>
  <si>
    <t>上杉　樹希</t>
  </si>
  <si>
    <t>曽我　想汰</t>
  </si>
  <si>
    <t>内田　篤斗</t>
  </si>
  <si>
    <t>JFA240663687134</t>
  </si>
  <si>
    <t>田中　陽</t>
  </si>
  <si>
    <t>JFA240916217372</t>
  </si>
  <si>
    <t>高橋　蓮介</t>
  </si>
  <si>
    <t>山崎　碧</t>
  </si>
  <si>
    <t>岩下　碧生</t>
  </si>
  <si>
    <t>JFA237148920962</t>
  </si>
  <si>
    <t>JFA246501736354</t>
  </si>
  <si>
    <t>矢野　悠希</t>
  </si>
  <si>
    <t>北迫　武琉</t>
  </si>
  <si>
    <t>元川　隼翔</t>
  </si>
  <si>
    <t>JFA231239844254</t>
  </si>
  <si>
    <t>大久保　柊</t>
  </si>
  <si>
    <t>JFA249222049097</t>
  </si>
  <si>
    <t>姫野　雅楽</t>
  </si>
  <si>
    <t>田口　琉翔</t>
  </si>
  <si>
    <t>古野　優汰</t>
  </si>
  <si>
    <t>北里　大地</t>
  </si>
  <si>
    <t>有馬　慧人</t>
  </si>
  <si>
    <t>師岡　麻陽</t>
  </si>
  <si>
    <t>橋本　岳人</t>
  </si>
  <si>
    <t>原野　航涼</t>
  </si>
  <si>
    <t>JFA256810179968</t>
  </si>
  <si>
    <t>鉄本　宗音</t>
  </si>
  <si>
    <t>JFA235799014365</t>
  </si>
  <si>
    <t>JFA251051349645</t>
  </si>
  <si>
    <t>JFA245112954592</t>
  </si>
  <si>
    <t>JFA234481423412</t>
  </si>
  <si>
    <t>安達　真生弥</t>
  </si>
  <si>
    <t>石井　晴大</t>
  </si>
  <si>
    <t>池田　怜叶</t>
  </si>
  <si>
    <t>五十川　杏奈</t>
  </si>
  <si>
    <t>有馬　由彩</t>
  </si>
  <si>
    <t>工藤　遙真</t>
  </si>
  <si>
    <t>JFA232378909496</t>
  </si>
  <si>
    <t>JFA248769945249</t>
  </si>
  <si>
    <t>公原　義翔</t>
  </si>
  <si>
    <t>野上　登生</t>
  </si>
  <si>
    <t>河津　彪都</t>
  </si>
  <si>
    <t>JFA259283217926</t>
  </si>
  <si>
    <t>中島　斗理</t>
  </si>
  <si>
    <t>JFA244327571564</t>
  </si>
  <si>
    <t>山田　啓翔</t>
  </si>
  <si>
    <t>JFA241569479734</t>
  </si>
  <si>
    <t>JFA238023909647</t>
  </si>
  <si>
    <t>増田　光記</t>
  </si>
  <si>
    <t>JFA234988049058</t>
  </si>
  <si>
    <t>乙女　心結</t>
  </si>
  <si>
    <t>神崎　兜心</t>
  </si>
  <si>
    <t>JFA250770023277</t>
  </si>
  <si>
    <t>岡本　友哉</t>
  </si>
  <si>
    <t>JFA248930967113</t>
  </si>
  <si>
    <t>加藤　雄貴</t>
  </si>
  <si>
    <t>柳田　京ノ輔</t>
  </si>
  <si>
    <t>JFA234864820349</t>
  </si>
  <si>
    <t>桐川　陽向</t>
  </si>
  <si>
    <t>池永　紬人</t>
  </si>
  <si>
    <t>佐藤　優斗</t>
  </si>
  <si>
    <t>JFA247346532644</t>
  </si>
  <si>
    <t>川端　健心</t>
  </si>
  <si>
    <t>平川　瞬</t>
  </si>
  <si>
    <t>奥永　琉生</t>
  </si>
  <si>
    <t>JFA232015989861</t>
  </si>
  <si>
    <t>佐藤　康生</t>
  </si>
  <si>
    <t>藤川　碧斗</t>
  </si>
  <si>
    <t>光延　丈士</t>
  </si>
  <si>
    <t>元木　裕翔</t>
  </si>
  <si>
    <t>JFA245652259512</t>
  </si>
  <si>
    <t>板井　颯太</t>
  </si>
  <si>
    <t>片山　陽向</t>
  </si>
  <si>
    <t>山田　慎之介</t>
  </si>
  <si>
    <t>JFA255613608249</t>
  </si>
  <si>
    <t>神田　想太</t>
  </si>
  <si>
    <t>実崎　優太郎</t>
  </si>
  <si>
    <t>清田　圭一朗</t>
  </si>
  <si>
    <t>JFA248979015575</t>
  </si>
  <si>
    <t>濱小路　蒼真</t>
  </si>
  <si>
    <t>廣田　瑛人</t>
  </si>
  <si>
    <t>木許　莉玖</t>
  </si>
  <si>
    <t>JFA258958422721</t>
  </si>
  <si>
    <t>岸和田　凱叶</t>
  </si>
  <si>
    <t>首藤　由成</t>
  </si>
  <si>
    <t>JFA245314079852</t>
  </si>
  <si>
    <t>JFA246525201210</t>
  </si>
  <si>
    <t>二宮　浩志</t>
  </si>
  <si>
    <t>郡田　幹也</t>
  </si>
  <si>
    <t>武生　翔空</t>
  </si>
  <si>
    <t>伊藤　諒</t>
  </si>
  <si>
    <t>小野　昂季</t>
  </si>
  <si>
    <t>JFA230315437408</t>
  </si>
  <si>
    <t>矢野　聖真</t>
  </si>
  <si>
    <t>JFA248865447261</t>
  </si>
  <si>
    <t>深田　樹生</t>
  </si>
  <si>
    <t>後藤　直元</t>
  </si>
  <si>
    <t>JFA240502916345</t>
  </si>
  <si>
    <t>矢野　愛奈</t>
  </si>
  <si>
    <t>魚返　柊伍</t>
  </si>
  <si>
    <t>JFA240852934509</t>
  </si>
  <si>
    <t>山田　凌馳</t>
  </si>
  <si>
    <t>JFA240606827095</t>
  </si>
  <si>
    <t>JFA245171438087</t>
  </si>
  <si>
    <t>丸山　綾仁</t>
  </si>
  <si>
    <t>井上　滉</t>
  </si>
  <si>
    <t>髙倉　彰人</t>
  </si>
  <si>
    <t>JFA245377709604</t>
  </si>
  <si>
    <t>工藤　琴奏</t>
  </si>
  <si>
    <t>JFA237691313615</t>
  </si>
  <si>
    <t>伊東　快成</t>
  </si>
  <si>
    <t>手嶋　哲義</t>
  </si>
  <si>
    <t>JFA246162994146</t>
  </si>
  <si>
    <t>岡田　孝太</t>
  </si>
  <si>
    <t>樗木　丈琉</t>
  </si>
  <si>
    <t>冨本　悠生</t>
  </si>
  <si>
    <t>眞嶋　皇我</t>
  </si>
  <si>
    <t>山崎　響志郎</t>
  </si>
  <si>
    <t>川野　葵翔</t>
  </si>
  <si>
    <t>渡邉　亮司</t>
  </si>
  <si>
    <t>安部　航輔</t>
  </si>
  <si>
    <t>藤本　友翔</t>
  </si>
  <si>
    <t>大山　諒治</t>
  </si>
  <si>
    <t>佐藤　友柊</t>
  </si>
  <si>
    <t>菊池　雄翔</t>
  </si>
  <si>
    <t>JFA247049620560</t>
  </si>
  <si>
    <t>JFA246714737584</t>
  </si>
  <si>
    <t>中村　慶仁</t>
  </si>
  <si>
    <t>JFA233045787897</t>
  </si>
  <si>
    <t>猪山　愛彩</t>
  </si>
  <si>
    <t>船島　謙真</t>
  </si>
  <si>
    <t>木村　琉偉</t>
  </si>
  <si>
    <t>JFA234738680206</t>
  </si>
  <si>
    <t>今永　心華</t>
  </si>
  <si>
    <t>JFA247797751517</t>
  </si>
  <si>
    <t>亀田　陽人</t>
  </si>
  <si>
    <t>石崎　萌花</t>
  </si>
  <si>
    <t>JFA248566515636</t>
  </si>
  <si>
    <t>田村　謙悟</t>
  </si>
  <si>
    <t>渡辺　ひらり</t>
  </si>
  <si>
    <t>JFA254333944541</t>
  </si>
  <si>
    <t>小野　大雅</t>
  </si>
  <si>
    <t>JFA246829432641</t>
  </si>
  <si>
    <t>生野　裕大</t>
  </si>
  <si>
    <t>小迫　賢昊</t>
  </si>
  <si>
    <t>沼口　直生</t>
  </si>
  <si>
    <t>小林　晃輔</t>
  </si>
  <si>
    <t>吉海　いろ</t>
  </si>
  <si>
    <t>谷口　叶真</t>
  </si>
  <si>
    <t>JFA232361990715</t>
  </si>
  <si>
    <t>福田　麗菜</t>
  </si>
  <si>
    <t>吉弘　侑史</t>
  </si>
  <si>
    <t>宮野　嘉人</t>
  </si>
  <si>
    <t>JFA246848616924</t>
  </si>
  <si>
    <t>石田　稜斗</t>
  </si>
  <si>
    <t>木下　陽生</t>
  </si>
  <si>
    <t>松本　來優</t>
  </si>
  <si>
    <t>大塚　悠貴</t>
  </si>
  <si>
    <t>JFA237101411431</t>
  </si>
  <si>
    <t>後藤　悠晴</t>
  </si>
  <si>
    <t>JFA257145137995</t>
  </si>
  <si>
    <t>田村　優依</t>
  </si>
  <si>
    <t>JFA236153987345</t>
  </si>
  <si>
    <t>大西　暁士</t>
  </si>
  <si>
    <t>JFA240702573916</t>
  </si>
  <si>
    <t>加藤　葉</t>
  </si>
  <si>
    <t>鶴田　丈翔</t>
  </si>
  <si>
    <t>JFA248193074726</t>
  </si>
  <si>
    <t>和田　明稀斗</t>
  </si>
  <si>
    <t>中野　百貴</t>
  </si>
  <si>
    <t>丸山　陸</t>
  </si>
  <si>
    <t>井又　匠</t>
  </si>
  <si>
    <t>明石　諒</t>
  </si>
  <si>
    <t>高倉　圭惟</t>
  </si>
  <si>
    <t>渋田　雅琥</t>
  </si>
  <si>
    <t>溝口　橙真</t>
  </si>
  <si>
    <t>JFA245454511988</t>
  </si>
  <si>
    <t>中元　友喜</t>
  </si>
  <si>
    <t>朝吹　陸</t>
  </si>
  <si>
    <t>JFA240001346226</t>
  </si>
  <si>
    <t>佐藤　優庵</t>
  </si>
  <si>
    <t>JFA233446334522</t>
  </si>
  <si>
    <t>加藤　碧</t>
  </si>
  <si>
    <t>JFA238634607702</t>
  </si>
  <si>
    <t>佐藤　瑛人</t>
  </si>
  <si>
    <t>甲斐　凰聖</t>
  </si>
  <si>
    <t>JFA258386994089</t>
  </si>
  <si>
    <t>小川　蓮斗</t>
  </si>
  <si>
    <t>JFA246883586099</t>
  </si>
  <si>
    <t>松木　滉成</t>
  </si>
  <si>
    <t>川野　謙弥</t>
  </si>
  <si>
    <t>小林　春登</t>
  </si>
  <si>
    <t>山村　太我</t>
  </si>
  <si>
    <t>恒成　悠</t>
  </si>
  <si>
    <t>増原　陽菜太</t>
  </si>
  <si>
    <t>JFA248513261110</t>
  </si>
  <si>
    <t>岩田　将輝</t>
  </si>
  <si>
    <t>櫻木　禄</t>
  </si>
  <si>
    <t>田中　燈</t>
  </si>
  <si>
    <t>御手洗　結心</t>
  </si>
  <si>
    <t>JFA247807071252</t>
  </si>
  <si>
    <t>JFA241262532248</t>
  </si>
  <si>
    <t>村松　瑛太</t>
  </si>
  <si>
    <t>JFA246487397684</t>
  </si>
  <si>
    <t>JFA245737588214</t>
  </si>
  <si>
    <t>甲斐　虹翔</t>
  </si>
  <si>
    <t>JFA248514997748</t>
  </si>
  <si>
    <t>小原　桔平</t>
  </si>
  <si>
    <t>福沢　楓</t>
  </si>
  <si>
    <t>清松　出</t>
  </si>
  <si>
    <t>JFA257270444547</t>
  </si>
  <si>
    <t>河野　世凪</t>
  </si>
  <si>
    <t>菅田　凌平</t>
  </si>
  <si>
    <t>JFA242103314110</t>
  </si>
  <si>
    <t>田原　朔空</t>
  </si>
  <si>
    <t>兒玉　琉依</t>
  </si>
  <si>
    <t>小野　湊翔</t>
  </si>
  <si>
    <t>平井　伸樹</t>
  </si>
  <si>
    <t>牧　幸永</t>
  </si>
  <si>
    <t>JFA244204220085</t>
  </si>
  <si>
    <t>川野　希愛</t>
  </si>
  <si>
    <t>佐古　百汰</t>
  </si>
  <si>
    <t>矢田　岳功</t>
  </si>
  <si>
    <t>川野　蒼達</t>
  </si>
  <si>
    <t>JFA246398599637</t>
  </si>
  <si>
    <t>藤石　隼輔</t>
  </si>
  <si>
    <t>園田　愛梨</t>
  </si>
  <si>
    <t>JFA253742731993</t>
  </si>
  <si>
    <t>相良　琉希翔</t>
  </si>
  <si>
    <t>首藤　朝陽</t>
  </si>
  <si>
    <t>藤田　詠人</t>
  </si>
  <si>
    <t>本田　侑</t>
  </si>
  <si>
    <t>和田　心月</t>
  </si>
  <si>
    <t>葛城　大翔</t>
  </si>
  <si>
    <t>松木　莉織</t>
  </si>
  <si>
    <t>JFA241869564915</t>
  </si>
  <si>
    <t>佐藤　快吏</t>
  </si>
  <si>
    <t>川村　悠李</t>
  </si>
  <si>
    <t>JFA241038833625</t>
  </si>
  <si>
    <t>桑原　颯志</t>
  </si>
  <si>
    <t>衞藤　巧</t>
  </si>
  <si>
    <t>師藤　史弥</t>
  </si>
  <si>
    <t>JFA230270510640</t>
  </si>
  <si>
    <t>糸永　貫太</t>
  </si>
  <si>
    <t>徳光　慶汰</t>
  </si>
  <si>
    <t>高倉　湊太</t>
  </si>
  <si>
    <t>黎　智軒</t>
  </si>
  <si>
    <t>本多　耕麓</t>
  </si>
  <si>
    <t>三浦　陽介</t>
  </si>
  <si>
    <t>後藤　喜一</t>
  </si>
  <si>
    <t>大石　拓実</t>
  </si>
  <si>
    <t>後藤　凛太郎</t>
  </si>
  <si>
    <t>JFA240755722894</t>
  </si>
  <si>
    <t>野尻　陽</t>
  </si>
  <si>
    <t>岡村　湧久</t>
  </si>
  <si>
    <t>古澤　健人</t>
  </si>
  <si>
    <t>塩月　琉皇</t>
  </si>
  <si>
    <t>渡部　翔馬</t>
  </si>
  <si>
    <t>JFA249187573252</t>
  </si>
  <si>
    <t>脇坂　天音</t>
  </si>
  <si>
    <t>大賀　朝日</t>
  </si>
  <si>
    <t>原田　浄生</t>
  </si>
  <si>
    <t>藤川　恵介</t>
  </si>
  <si>
    <t>井上　志温</t>
  </si>
  <si>
    <t>井上　和志</t>
  </si>
  <si>
    <t>西　貴一郎</t>
  </si>
  <si>
    <t>釜元　想太</t>
  </si>
  <si>
    <t>江口　彪人</t>
  </si>
  <si>
    <t>八幡サッカースポーツ少年団</t>
  </si>
  <si>
    <t>JFA229230853152</t>
  </si>
  <si>
    <t>古川　道晴</t>
  </si>
  <si>
    <t>JFA230836084479</t>
  </si>
  <si>
    <t>児島　啓仁</t>
  </si>
  <si>
    <t>岩矢　悠叶</t>
  </si>
  <si>
    <t>富久　翔馬</t>
  </si>
  <si>
    <t>JFA241664318903</t>
  </si>
  <si>
    <t>梶原　暁登</t>
  </si>
  <si>
    <t>JFA247080012247</t>
  </si>
  <si>
    <t>豊田　瑛士</t>
  </si>
  <si>
    <t>JFA240286525645</t>
  </si>
  <si>
    <t>二宮　優</t>
  </si>
  <si>
    <t>JFA246535917742</t>
  </si>
  <si>
    <t>小野　彩心</t>
  </si>
  <si>
    <t>JFA249324736435</t>
  </si>
  <si>
    <t>小野　虹心</t>
  </si>
  <si>
    <t>JFA245530186826</t>
  </si>
  <si>
    <t>高田　遥仁</t>
  </si>
  <si>
    <t>JFA255487746390</t>
  </si>
  <si>
    <t>JFA240895809764</t>
  </si>
  <si>
    <t>秦　悠人</t>
  </si>
  <si>
    <t>黒川　遥真</t>
  </si>
  <si>
    <t>JFA245460274499</t>
  </si>
  <si>
    <t>林　紗希</t>
  </si>
  <si>
    <t>トーマス　グレゴリー海</t>
  </si>
  <si>
    <t>JFA255384947173</t>
  </si>
  <si>
    <t>荒巻　瑛士</t>
  </si>
  <si>
    <t>JFA247291296642</t>
  </si>
  <si>
    <t>秋吉　琉衣</t>
  </si>
  <si>
    <t>山口　慶斗</t>
  </si>
  <si>
    <t>平井　陽菜</t>
  </si>
  <si>
    <t>宇佐　香里奈</t>
  </si>
  <si>
    <t>JFA234456830442</t>
  </si>
  <si>
    <t>大久保　翔生</t>
  </si>
  <si>
    <t>JFA247217707572</t>
  </si>
  <si>
    <t>三代　奏夢</t>
  </si>
  <si>
    <t>今川　正清</t>
  </si>
  <si>
    <t>梁田　和正</t>
  </si>
  <si>
    <t>北山　綺琉</t>
  </si>
  <si>
    <t>藤川　大和</t>
  </si>
  <si>
    <t>河津　莉愛奈</t>
  </si>
  <si>
    <t>井上　朔太郎</t>
  </si>
  <si>
    <t>難波　貴幸</t>
  </si>
  <si>
    <t>池田　理巧</t>
  </si>
  <si>
    <t>JFA248396634074</t>
  </si>
  <si>
    <t>三房　真麻</t>
  </si>
  <si>
    <t>秋山　大将</t>
  </si>
  <si>
    <t>JFA249112730654</t>
  </si>
  <si>
    <t>小笠原　豪</t>
  </si>
  <si>
    <t>竹本　龍空飛</t>
  </si>
  <si>
    <t>JFA254578817155</t>
  </si>
  <si>
    <t>三村　隼典</t>
  </si>
  <si>
    <t>諸富　蓮成</t>
  </si>
  <si>
    <t>中島　秀斗</t>
  </si>
  <si>
    <t>JFA232333976121</t>
  </si>
  <si>
    <t>手島　壮佑</t>
  </si>
  <si>
    <t>JFA240608965194</t>
  </si>
  <si>
    <t>安井　陸人</t>
  </si>
  <si>
    <t>千葉　颯華</t>
  </si>
  <si>
    <t>選手登録区分</t>
  </si>
  <si>
    <t>国籍区分</t>
  </si>
  <si>
    <t>国籍</t>
  </si>
  <si>
    <t>期限付移籍期間From</t>
  </si>
  <si>
    <t>期限付移籍期間To</t>
  </si>
  <si>
    <t>期限付移籍元＿所属協会</t>
  </si>
  <si>
    <t>期限付移籍元＿種別</t>
  </si>
  <si>
    <t xml:space="preserve">期限付移籍元＿種別区分 </t>
  </si>
  <si>
    <t>期限付移籍元＿チーム登録番号</t>
  </si>
  <si>
    <t xml:space="preserve">期限付移籍元＿チーム名＿漢字 </t>
  </si>
  <si>
    <t>前所属＿所属協会</t>
  </si>
  <si>
    <t>前所属＿種別</t>
  </si>
  <si>
    <t>前所属＿種別区分</t>
  </si>
  <si>
    <t>前所属＿チーム登録番号</t>
  </si>
  <si>
    <t>前所属＿チーム名＿漢字</t>
  </si>
  <si>
    <t>前々所属＿所属協会</t>
  </si>
  <si>
    <t>前々所属＿種別</t>
  </si>
  <si>
    <t>前々所属＿種別区分</t>
  </si>
  <si>
    <t>前々所属＿チーム登録番号</t>
  </si>
  <si>
    <t>前々所属＿チーム名＿漢字</t>
  </si>
  <si>
    <t>申請確認日</t>
  </si>
  <si>
    <t>登録承認日</t>
  </si>
  <si>
    <t>変更承認日</t>
  </si>
  <si>
    <t>アマチュア</t>
  </si>
  <si>
    <t>日本籍</t>
  </si>
  <si>
    <t>日本</t>
  </si>
  <si>
    <t>藤井　柚希</t>
  </si>
  <si>
    <t>河野　凪砂</t>
  </si>
  <si>
    <t>JFA233776103429</t>
  </si>
  <si>
    <t>JFA254669465403</t>
  </si>
  <si>
    <t>三城　碧葉</t>
  </si>
  <si>
    <t>小宮　陽翔</t>
  </si>
  <si>
    <t>JFA238663649018</t>
  </si>
  <si>
    <t>JFA244312926060</t>
  </si>
  <si>
    <t>西村　陸翔</t>
  </si>
  <si>
    <t>JFA243557968176</t>
  </si>
  <si>
    <t>JFA242878978351</t>
  </si>
  <si>
    <t>手嶋　心音</t>
  </si>
  <si>
    <t>ＦＣうきはジュニオール</t>
  </si>
  <si>
    <t>御幡　悠希</t>
  </si>
  <si>
    <t>JFA238509906116</t>
  </si>
  <si>
    <t>釜堀　廉士</t>
  </si>
  <si>
    <t>JFA242327687069</t>
  </si>
  <si>
    <t>野田　宗嗣</t>
  </si>
  <si>
    <t>JFA244281621639</t>
  </si>
  <si>
    <t>JFA247063901978</t>
  </si>
  <si>
    <t>JFA245079294673</t>
  </si>
  <si>
    <t>JFA248213108492</t>
  </si>
  <si>
    <t>長野　聖生</t>
  </si>
  <si>
    <t>JFA250241347833</t>
  </si>
  <si>
    <t>JFA254481425583</t>
  </si>
  <si>
    <t>JFA253412746844</t>
  </si>
  <si>
    <t>崎村　祐正</t>
  </si>
  <si>
    <t>JFA241502780940</t>
  </si>
  <si>
    <t>桑原　結香</t>
  </si>
  <si>
    <t>JFA232912784022</t>
  </si>
  <si>
    <t>下高　慧士</t>
  </si>
  <si>
    <t>JFA245779613503</t>
  </si>
  <si>
    <t>JFA247261044925</t>
  </si>
  <si>
    <t>竹永　絆人</t>
  </si>
  <si>
    <t>JFA241986636148</t>
  </si>
  <si>
    <t>姫野　綾華</t>
  </si>
  <si>
    <t>JFA243619384300</t>
  </si>
  <si>
    <t>JFA248651981908</t>
  </si>
  <si>
    <t>JFA225365430107</t>
  </si>
  <si>
    <t>渡邉　凌央</t>
  </si>
  <si>
    <t>JFA238949845946</t>
  </si>
  <si>
    <t>今村　心</t>
  </si>
  <si>
    <t>JFA246624157848</t>
  </si>
  <si>
    <t>JFA251872167839</t>
  </si>
  <si>
    <t>JFA240080537940</t>
  </si>
  <si>
    <t>JFA247352342496</t>
  </si>
  <si>
    <t>うきはジュニオール</t>
  </si>
  <si>
    <t>JFA250472169906</t>
  </si>
  <si>
    <t>JFA250082243680</t>
  </si>
  <si>
    <t>JFA240147446674</t>
  </si>
  <si>
    <t>橋本　凌芽</t>
  </si>
  <si>
    <t>JFA240179531704</t>
  </si>
  <si>
    <t>JFA239676129355</t>
  </si>
  <si>
    <t>酒盛　睦皐己</t>
  </si>
  <si>
    <t>秦　涼太</t>
  </si>
  <si>
    <t>JFA246101491569</t>
  </si>
  <si>
    <t>長岡　煌真</t>
  </si>
  <si>
    <t>衞藤　航平</t>
  </si>
  <si>
    <t>JFA239011166836</t>
  </si>
  <si>
    <t>阿部　結太朗</t>
  </si>
  <si>
    <t>JFA242489331984</t>
  </si>
  <si>
    <t>武原　侑真</t>
  </si>
  <si>
    <t>JFA255830693977</t>
  </si>
  <si>
    <t>JFA243984882006</t>
  </si>
  <si>
    <t>末廣　史菜</t>
  </si>
  <si>
    <t>大霜　汰月</t>
  </si>
  <si>
    <t>JFA246076200473</t>
  </si>
  <si>
    <t>JFA245396396778</t>
  </si>
  <si>
    <t>幸　彩加</t>
  </si>
  <si>
    <t>JFA246322582091</t>
  </si>
  <si>
    <t>JFA247927565390</t>
  </si>
  <si>
    <t>志賀　奏音</t>
  </si>
  <si>
    <t>JFA242923159717</t>
  </si>
  <si>
    <t>相良　誠遥</t>
  </si>
  <si>
    <t>渡部　翔瑠</t>
  </si>
  <si>
    <t>JFA244190570492</t>
  </si>
  <si>
    <t>JFA238931131388</t>
  </si>
  <si>
    <t>熊本県</t>
  </si>
  <si>
    <t>嘉島セレシアＦＣ</t>
  </si>
  <si>
    <t>JFA249014475702</t>
  </si>
  <si>
    <t>冨永　嵐</t>
  </si>
  <si>
    <t>徳丸　拓磨</t>
  </si>
  <si>
    <t>JFA254394404579</t>
  </si>
  <si>
    <t>秋元　陽太</t>
  </si>
  <si>
    <t>JFA243897691323</t>
  </si>
  <si>
    <t>JFA231411225640</t>
  </si>
  <si>
    <t>JFA249205062930</t>
  </si>
  <si>
    <t>森　清一郎</t>
  </si>
  <si>
    <t>JFA235038369321</t>
  </si>
  <si>
    <t>JFA255664699238</t>
  </si>
  <si>
    <t>久枝　隼人</t>
  </si>
  <si>
    <t>JFA248022385819</t>
  </si>
  <si>
    <t>JFA236514538364</t>
  </si>
  <si>
    <t>JFA242208106323</t>
  </si>
  <si>
    <t>JFA233019588736</t>
  </si>
  <si>
    <t>JFA255351382215</t>
  </si>
  <si>
    <t>JFA246119092782</t>
  </si>
  <si>
    <t>JFA245265556472</t>
  </si>
  <si>
    <t>JFA237758303679</t>
  </si>
  <si>
    <t>設楽　有哩</t>
  </si>
  <si>
    <t>JFA245524355230</t>
  </si>
  <si>
    <t>JFA241526780610</t>
  </si>
  <si>
    <t>JFA241891507427</t>
  </si>
  <si>
    <t>山本　湊翔</t>
  </si>
  <si>
    <t>JFA233049960419</t>
  </si>
  <si>
    <t>JFA241042674347</t>
  </si>
  <si>
    <t>中臣　颯真</t>
  </si>
  <si>
    <t>山﨑　湊太</t>
  </si>
  <si>
    <t>手嶋　菜々美</t>
  </si>
  <si>
    <t>JFA231340699300</t>
  </si>
  <si>
    <t>JFA244687727332</t>
  </si>
  <si>
    <t>JFA242342923449</t>
  </si>
  <si>
    <t>中山　蓮斗</t>
  </si>
  <si>
    <t>長崎県</t>
  </si>
  <si>
    <t>厳原ワイルドキャッツフットボールクラブ</t>
  </si>
  <si>
    <t>永竿　碧大</t>
  </si>
  <si>
    <t>JFA243855211587</t>
  </si>
  <si>
    <t>河野　陽空</t>
  </si>
  <si>
    <t>後藤　司</t>
  </si>
  <si>
    <t>大北　恵</t>
  </si>
  <si>
    <t>JFA239737529463</t>
  </si>
  <si>
    <t>JFA235354383674</t>
  </si>
  <si>
    <t>JFA253693959421</t>
  </si>
  <si>
    <t>城本　憂臥</t>
  </si>
  <si>
    <t>JFA236794526543</t>
  </si>
  <si>
    <t>相馬　結晟</t>
  </si>
  <si>
    <t>JFA255498180881</t>
  </si>
  <si>
    <t>JFA240424550062</t>
  </si>
  <si>
    <t>JFA231894478512</t>
  </si>
  <si>
    <t>松本　悠吏</t>
  </si>
  <si>
    <t>細木　大聖</t>
  </si>
  <si>
    <t>JFA246318718547</t>
  </si>
  <si>
    <t>JFA243976519981</t>
  </si>
  <si>
    <t>JFA249274740278</t>
  </si>
  <si>
    <t>JFA243902845383</t>
  </si>
  <si>
    <t>佐藤　悠翔</t>
  </si>
  <si>
    <t>JFA245637939540</t>
  </si>
  <si>
    <t>JFA248984540818</t>
  </si>
  <si>
    <t>平野　結愛</t>
  </si>
  <si>
    <t>JFA240358897583</t>
  </si>
  <si>
    <t>藤野　悠馬</t>
  </si>
  <si>
    <t>JFA230856161074</t>
  </si>
  <si>
    <t>今石　琥牙</t>
  </si>
  <si>
    <t>豊川サッカークラブ</t>
  </si>
  <si>
    <t>旙山　優夏</t>
  </si>
  <si>
    <t>JFA256807084999</t>
  </si>
  <si>
    <t>横尾　陸人</t>
  </si>
  <si>
    <t>石井　伶</t>
  </si>
  <si>
    <t>岩下　悠輝</t>
  </si>
  <si>
    <t>JFA242856002586</t>
  </si>
  <si>
    <t>阿部　太陽</t>
  </si>
  <si>
    <t>豊田　浬</t>
  </si>
  <si>
    <t>渡部　雅連</t>
  </si>
  <si>
    <t>JFA243971320584</t>
  </si>
  <si>
    <t>法川　光輝</t>
  </si>
  <si>
    <t>JFA244418923994</t>
  </si>
  <si>
    <t>法川　成輝</t>
  </si>
  <si>
    <t>釘丸　結翔</t>
  </si>
  <si>
    <t>JFA240573964713</t>
  </si>
  <si>
    <t>近藤　陽平</t>
  </si>
  <si>
    <t>JFA259801625624</t>
  </si>
  <si>
    <t>藤内　心勇</t>
  </si>
  <si>
    <t>寺田　竹志</t>
  </si>
  <si>
    <t>JFA233252936658</t>
  </si>
  <si>
    <t>首藤　源司</t>
  </si>
  <si>
    <t>江口　幸徠磨</t>
  </si>
  <si>
    <t>JFA247127458935</t>
  </si>
  <si>
    <t>黒木　仁輔</t>
  </si>
  <si>
    <t>JFA232091070756</t>
  </si>
  <si>
    <t>JFA258393212334</t>
  </si>
  <si>
    <t>JFA234308280053</t>
  </si>
  <si>
    <t>JFA248289318212</t>
  </si>
  <si>
    <t>野中　愛莉</t>
  </si>
  <si>
    <t>JFA259578104724</t>
  </si>
  <si>
    <t>JFA256576422653</t>
  </si>
  <si>
    <t>高松　瑛兜</t>
  </si>
  <si>
    <t>JFA245886137278</t>
  </si>
  <si>
    <t>幸　皇士朗</t>
  </si>
  <si>
    <t>ａｎｉｍｏｓｅｌｅｃｔ　ｆｏｏｔｂａｌｌ　ｃｌｕｂ　Ｕ－１２</t>
  </si>
  <si>
    <t>JFA245593925579</t>
  </si>
  <si>
    <t>JFA246211383572</t>
  </si>
  <si>
    <t>JFA245204750885</t>
  </si>
  <si>
    <t>岩屋　虹希</t>
  </si>
  <si>
    <t>JFA248283652038</t>
  </si>
  <si>
    <t>富田　海音</t>
  </si>
  <si>
    <t>JFA246331618794</t>
  </si>
  <si>
    <t>JFA245663291165</t>
  </si>
  <si>
    <t>JFA241563930901</t>
  </si>
  <si>
    <t>萱島　陽斗</t>
  </si>
  <si>
    <t>JFA239362065471</t>
  </si>
  <si>
    <t>JFA259723057872</t>
  </si>
  <si>
    <t>金高　光輝</t>
  </si>
  <si>
    <t>井上　椋太</t>
  </si>
  <si>
    <t>池宮　新</t>
  </si>
  <si>
    <t>北海道</t>
  </si>
  <si>
    <t>Ｆｏｏｔｂａｌｌ　Ｃｌｕｂ　Ｂｅｌｌａｔｏｒ</t>
  </si>
  <si>
    <t>JFA232919905122</t>
  </si>
  <si>
    <t>JFA249325070974</t>
  </si>
  <si>
    <t>JFA242008902678</t>
  </si>
  <si>
    <t>JFA256769520187</t>
  </si>
  <si>
    <t>山﨑　旦</t>
  </si>
  <si>
    <t>JFA242535357619</t>
  </si>
  <si>
    <t>森　悠太</t>
  </si>
  <si>
    <t>中井Ｆサッカー少年団</t>
  </si>
  <si>
    <t>JFA247203241546</t>
  </si>
  <si>
    <t>JFA240899855510</t>
  </si>
  <si>
    <t>JFA246247457565</t>
  </si>
  <si>
    <t>JFA243966311835</t>
  </si>
  <si>
    <t>新納　琉偉</t>
  </si>
  <si>
    <t>JFA236236669223</t>
  </si>
  <si>
    <t>JFA216465949252</t>
  </si>
  <si>
    <t>熊谷　琉星</t>
  </si>
  <si>
    <t>JFA244235723584</t>
  </si>
  <si>
    <t>JFA255993403078</t>
  </si>
  <si>
    <t>谷川　海音</t>
  </si>
  <si>
    <t>JFA241025584838</t>
  </si>
  <si>
    <t>JFA252108286022</t>
  </si>
  <si>
    <t>JFA242662925000</t>
  </si>
  <si>
    <t>JFA247626872523</t>
  </si>
  <si>
    <t>後藤　翔琉</t>
  </si>
  <si>
    <t>JFA248002121028</t>
  </si>
  <si>
    <t>JFA255659087663</t>
  </si>
  <si>
    <t>辛島　ほなみ</t>
  </si>
  <si>
    <t>JFA240059131414</t>
  </si>
  <si>
    <t>JFA249461096210</t>
  </si>
  <si>
    <t>JFA235025275422</t>
  </si>
  <si>
    <t>JFA243845140643</t>
  </si>
  <si>
    <t>JFA241574872093</t>
  </si>
  <si>
    <t>咸宜日隈ｓｃ</t>
  </si>
  <si>
    <t>JFA252738654736</t>
  </si>
  <si>
    <t>JFA253322403623</t>
  </si>
  <si>
    <t>橋本　大璃</t>
  </si>
  <si>
    <t>矢野　雅宗</t>
  </si>
  <si>
    <t>波津久　悠真</t>
  </si>
  <si>
    <t>JFA245152237528</t>
  </si>
  <si>
    <t>JFA246042595614</t>
  </si>
  <si>
    <t>甲斐　大翔</t>
  </si>
  <si>
    <t>JFA239169208832</t>
  </si>
  <si>
    <t>JFA247503169828</t>
  </si>
  <si>
    <t>JFA256307146770</t>
  </si>
  <si>
    <t>山本　悠雅</t>
  </si>
  <si>
    <t>JFA252356165105</t>
  </si>
  <si>
    <t>JFA222235948849</t>
  </si>
  <si>
    <t>冨田　優紀人</t>
  </si>
  <si>
    <t>中野　凱斗</t>
  </si>
  <si>
    <t>山下　紗希</t>
  </si>
  <si>
    <t>襖田　瑛人</t>
  </si>
  <si>
    <t>荏隈サッカースポーツ少年団</t>
  </si>
  <si>
    <t>JFA247971044267</t>
  </si>
  <si>
    <t>JFA243856066895</t>
  </si>
  <si>
    <t>JFA235137121410</t>
  </si>
  <si>
    <t>佐藤　祐真</t>
  </si>
  <si>
    <t>JFA236370445407</t>
  </si>
  <si>
    <t>JFA235033939441</t>
  </si>
  <si>
    <t>JFA231576074267</t>
  </si>
  <si>
    <t>清末　拓暉</t>
  </si>
  <si>
    <t>JFA255461910338</t>
  </si>
  <si>
    <t>髙野　瑛規</t>
  </si>
  <si>
    <t>JFA248144168447</t>
  </si>
  <si>
    <t>JFA239078955963</t>
  </si>
  <si>
    <t>JFA233982401784</t>
  </si>
  <si>
    <t>JFA235242137728</t>
  </si>
  <si>
    <t>JFA237554427993</t>
  </si>
  <si>
    <t>古田　豹</t>
  </si>
  <si>
    <t>乙津　聡介</t>
  </si>
  <si>
    <t>佐伯　遙琉</t>
  </si>
  <si>
    <t>JFA255352758882</t>
  </si>
  <si>
    <t>JFA253967534046</t>
  </si>
  <si>
    <t>後藤　薫</t>
  </si>
  <si>
    <t>野田　豊太郎</t>
  </si>
  <si>
    <t>植木　聡介</t>
  </si>
  <si>
    <t>JFA248224979018</t>
  </si>
  <si>
    <t>JFA243512392125</t>
  </si>
  <si>
    <t>荒川　煌大</t>
  </si>
  <si>
    <t>松崎　克牙</t>
  </si>
  <si>
    <t>JFA248267493128</t>
  </si>
  <si>
    <t>小出　海翔</t>
  </si>
  <si>
    <t>JFA249415759170</t>
  </si>
  <si>
    <t>永尾　瀬凪</t>
  </si>
  <si>
    <t>JFA257062166638</t>
  </si>
  <si>
    <t>JFA248634334555</t>
  </si>
  <si>
    <t>定行　郁李</t>
  </si>
  <si>
    <t>JFA245951116542</t>
  </si>
  <si>
    <t>永尾　凜世</t>
  </si>
  <si>
    <t>東　Ｆ．Ｃ．</t>
  </si>
  <si>
    <t>石橋　悠</t>
  </si>
  <si>
    <t>竪山　こころ</t>
  </si>
  <si>
    <t>中津ＦＣ　ＰＯＭＡＴＯ　Ｕ－１２</t>
  </si>
  <si>
    <t>江島　健太</t>
  </si>
  <si>
    <t>佐藤　桜雅</t>
  </si>
  <si>
    <t>JFA247539528360</t>
  </si>
  <si>
    <t>前方　禮</t>
  </si>
  <si>
    <t>JFA234294670448</t>
  </si>
  <si>
    <t>JFA245163185705</t>
  </si>
  <si>
    <t>JFA232222710813</t>
  </si>
  <si>
    <t>JFA244558066520</t>
  </si>
  <si>
    <t>JFA258506006103</t>
  </si>
  <si>
    <t>JFA244814353424</t>
  </si>
  <si>
    <t>仲山　暖人</t>
  </si>
  <si>
    <t>清水　絆</t>
  </si>
  <si>
    <t>JFA257865008665</t>
  </si>
  <si>
    <t>JFA246442283219</t>
  </si>
  <si>
    <t>JFA240651969019</t>
  </si>
  <si>
    <t>藤原　奏音</t>
  </si>
  <si>
    <t>JFA252604429208</t>
  </si>
  <si>
    <t>赤瀬　翔舞</t>
  </si>
  <si>
    <t>JFA259255264899</t>
  </si>
  <si>
    <t>穴井　太陽</t>
  </si>
  <si>
    <t>JFA245935092115</t>
  </si>
  <si>
    <t>松尾　凌佑</t>
  </si>
  <si>
    <t>岡田　悠助</t>
  </si>
  <si>
    <t>JFA245775187416</t>
  </si>
  <si>
    <t>後藤　将太</t>
  </si>
  <si>
    <t>JFA243655810541</t>
  </si>
  <si>
    <t>JFA258703820365</t>
  </si>
  <si>
    <t>河邉　冬伍</t>
  </si>
  <si>
    <t>西本　凰太</t>
  </si>
  <si>
    <t>JFA240949087034</t>
  </si>
  <si>
    <t>鉄崎　有真</t>
  </si>
  <si>
    <t>JFA240461135975</t>
  </si>
  <si>
    <t>工藤　柊朔</t>
  </si>
  <si>
    <t>JFA255024903727</t>
  </si>
  <si>
    <t>JFA247176566669</t>
  </si>
  <si>
    <t>茨城県</t>
  </si>
  <si>
    <t>三笠小サッカースポーツ少年団</t>
  </si>
  <si>
    <t>JFA241082995119</t>
  </si>
  <si>
    <t>山中　龍士</t>
  </si>
  <si>
    <t>JFA248437902070</t>
  </si>
  <si>
    <t>森山　咲人</t>
  </si>
  <si>
    <t>JFA232780332061</t>
  </si>
  <si>
    <t>JFA242550399295</t>
  </si>
  <si>
    <t>後藤　叶翔</t>
  </si>
  <si>
    <t>JFA242398920767</t>
  </si>
  <si>
    <t>田﨑　礼翔</t>
  </si>
  <si>
    <t>JFA244286180921</t>
  </si>
  <si>
    <t>山川　愛貴</t>
  </si>
  <si>
    <t>JFA257457634566</t>
  </si>
  <si>
    <t>原　魁理</t>
  </si>
  <si>
    <t>足立　智治</t>
  </si>
  <si>
    <t>JFA246833221959</t>
  </si>
  <si>
    <t>釜元　琥輝</t>
  </si>
  <si>
    <t>バッサーレ阿蘇</t>
  </si>
  <si>
    <t>水野　旭飛</t>
  </si>
  <si>
    <t>豊州ユナイテッドＦＣ</t>
  </si>
  <si>
    <t>JFA234305771712</t>
  </si>
  <si>
    <t>古賀　郁哉</t>
  </si>
  <si>
    <t>JFA244823090943</t>
  </si>
  <si>
    <t>JFA252688501238</t>
  </si>
  <si>
    <t>きつきＦＣ</t>
  </si>
  <si>
    <t>JFA243566389366</t>
  </si>
  <si>
    <t>JFA251101791417</t>
  </si>
  <si>
    <t>JFA243375057991</t>
  </si>
  <si>
    <t>三代　鈴太郎</t>
  </si>
  <si>
    <t>JFA241588024037</t>
  </si>
  <si>
    <t>村上　亜留斗</t>
  </si>
  <si>
    <t>財前　綾斗</t>
  </si>
  <si>
    <t>JFA230562305210</t>
  </si>
  <si>
    <t>JFA253240508366</t>
  </si>
  <si>
    <t>岡崎　心洸</t>
  </si>
  <si>
    <t>瓜生　悠之助</t>
  </si>
  <si>
    <t>JFA240924275148</t>
  </si>
  <si>
    <t>吉田　明日夢</t>
  </si>
  <si>
    <t>敷戸サッカースポーツ少年団</t>
  </si>
  <si>
    <t>麻生　瑛心</t>
  </si>
  <si>
    <t>JFA249414337042</t>
  </si>
  <si>
    <t>JFA241787400302</t>
  </si>
  <si>
    <t>JFA246772249114</t>
  </si>
  <si>
    <t>JFA256856345548</t>
  </si>
  <si>
    <t>江藤　優成</t>
  </si>
  <si>
    <t>JFA248325602596</t>
  </si>
  <si>
    <t>JFA235944980301</t>
  </si>
  <si>
    <t>JFA246420989268</t>
  </si>
  <si>
    <t>JFA245024277635</t>
  </si>
  <si>
    <t>JFA233104655757</t>
  </si>
  <si>
    <t>渡邉　結斗</t>
  </si>
  <si>
    <t>JFA230641493581</t>
  </si>
  <si>
    <t>JFA243295816783</t>
  </si>
  <si>
    <t>JFA241873895204</t>
  </si>
  <si>
    <t>江藤　浩介</t>
  </si>
  <si>
    <t>JFA257767328468</t>
  </si>
  <si>
    <t>赤星　龍樹</t>
  </si>
  <si>
    <t>JFA249573019631</t>
  </si>
  <si>
    <t>後藤　拓翔</t>
  </si>
  <si>
    <t>瀧石　広翔</t>
  </si>
  <si>
    <t>JFA244630691184</t>
  </si>
  <si>
    <t>JFA240516427723</t>
  </si>
  <si>
    <t>JFA244053200818</t>
  </si>
  <si>
    <t>鴛野サッカースポーツ少年団</t>
  </si>
  <si>
    <t>JFA248143009894</t>
  </si>
  <si>
    <t>JFA256030059190</t>
  </si>
  <si>
    <t>JFA247507280509</t>
  </si>
  <si>
    <t>西　凌生</t>
  </si>
  <si>
    <t>油山カメリアＦＣ　Ｕ－１２</t>
  </si>
  <si>
    <t>JFA246167429895</t>
  </si>
  <si>
    <t>河津　琉生</t>
  </si>
  <si>
    <t>JFA259166065974</t>
  </si>
  <si>
    <t>JFA242275706157</t>
  </si>
  <si>
    <t>加藤　美和</t>
  </si>
  <si>
    <t>寺田　悠也</t>
  </si>
  <si>
    <t>藤澤　優翔</t>
  </si>
  <si>
    <t>JFA249446816253</t>
  </si>
  <si>
    <t>JFA241633731598</t>
  </si>
  <si>
    <t>JFA234964460103</t>
  </si>
  <si>
    <t>JFA240507272820</t>
  </si>
  <si>
    <t>中元　大輝</t>
  </si>
  <si>
    <t>田中　蓮音</t>
  </si>
  <si>
    <t>兵庫県</t>
  </si>
  <si>
    <t>太陽南塚ＦＣ　ＳＯＬＴＥＲＲＡ</t>
  </si>
  <si>
    <t>三崎　登太</t>
  </si>
  <si>
    <t>山口　絵愛</t>
  </si>
  <si>
    <t>宮永　和歩</t>
  </si>
  <si>
    <t>佐藤　ニコルジョイ</t>
  </si>
  <si>
    <t>JFA248904200751</t>
  </si>
  <si>
    <t>小畑　陽愛</t>
  </si>
  <si>
    <t>JFA249549786893</t>
  </si>
  <si>
    <t>宮本　弦</t>
  </si>
  <si>
    <t>JFA252847627578</t>
  </si>
  <si>
    <t>久我　琉人</t>
  </si>
  <si>
    <t>JFA236833243089</t>
  </si>
  <si>
    <t>JFA244461747505</t>
  </si>
  <si>
    <t>JFA230800482627</t>
  </si>
  <si>
    <t>JFA255683954446</t>
  </si>
  <si>
    <t>JFA244409738042</t>
  </si>
  <si>
    <t>岩本　一希</t>
  </si>
  <si>
    <t>JFA237129260898</t>
  </si>
  <si>
    <t>JFA257324739491</t>
  </si>
  <si>
    <t>岩城　旭飛</t>
  </si>
  <si>
    <t>梅村　花鈴</t>
  </si>
  <si>
    <t>JFA252961543638</t>
  </si>
  <si>
    <t>JFA238795399056</t>
  </si>
  <si>
    <t>JFA236990102210</t>
  </si>
  <si>
    <t>渡抜　颯馬</t>
  </si>
  <si>
    <t>二宮　裕輝</t>
  </si>
  <si>
    <t>川邉　優里菜</t>
  </si>
  <si>
    <t>JFA244981973305</t>
  </si>
  <si>
    <t>JFA247754070826</t>
  </si>
  <si>
    <t>JFA243468865963</t>
  </si>
  <si>
    <t>高尾　一颯</t>
  </si>
  <si>
    <t>JFA242808359899</t>
  </si>
  <si>
    <t>鹿嶋　大成</t>
  </si>
  <si>
    <t>向畑　俊輔</t>
  </si>
  <si>
    <t>岩波　克己</t>
  </si>
  <si>
    <t>山口県</t>
  </si>
  <si>
    <t>新川サッカースポーツ少年団</t>
  </si>
  <si>
    <t>山﨑　琴音</t>
  </si>
  <si>
    <t>吉川　禄</t>
  </si>
  <si>
    <t>栗原　律</t>
  </si>
  <si>
    <t>佐藤　彩斗</t>
  </si>
  <si>
    <t>鹿児島県</t>
  </si>
  <si>
    <t>明和サッカースポーツ少年団</t>
  </si>
  <si>
    <t>周防灘フットボールクラブ</t>
  </si>
  <si>
    <t>石井ジュニアサッカークラブ</t>
  </si>
  <si>
    <t>宮崎県</t>
  </si>
  <si>
    <t>ＮＰＯ法人Ｇａｎａｒ</t>
  </si>
  <si>
    <t>ＴＯＭＡＴＯ　ＳＰＯＲＴＳ　ＣＬＵＢ</t>
  </si>
  <si>
    <t>浦山　紡</t>
  </si>
  <si>
    <t>玉城　旭</t>
  </si>
  <si>
    <t>佐藤　颯飛</t>
  </si>
  <si>
    <t>安枝　咲季</t>
  </si>
  <si>
    <t>冨賀見　陸</t>
  </si>
  <si>
    <t>松原　拓翔</t>
  </si>
  <si>
    <t>新家　颯太</t>
  </si>
  <si>
    <t>南　桜介</t>
  </si>
  <si>
    <t>JFA268037142055</t>
  </si>
  <si>
    <t>吉田　優弥</t>
  </si>
  <si>
    <t>大森　瑛斗</t>
  </si>
  <si>
    <t>安部　遥</t>
  </si>
  <si>
    <t>西野　州春</t>
  </si>
  <si>
    <t>中山　朔太郎</t>
  </si>
  <si>
    <t>江藤　幸大</t>
  </si>
  <si>
    <t>宮本　大夢</t>
  </si>
  <si>
    <t>甲斐　湊人</t>
  </si>
  <si>
    <t>岩屋　颯馬</t>
  </si>
  <si>
    <t>山﨑　縁</t>
  </si>
  <si>
    <t>井上　志保</t>
  </si>
  <si>
    <t>畑　颯汰</t>
  </si>
  <si>
    <t>吉岡　伊織</t>
  </si>
  <si>
    <t>藤野　樹</t>
  </si>
  <si>
    <t>首藤　淳志</t>
  </si>
  <si>
    <t>小林　玄宜</t>
  </si>
  <si>
    <t>平川　司紗</t>
  </si>
  <si>
    <t>長野　琉夢愛</t>
  </si>
  <si>
    <t>水呉　結人</t>
  </si>
  <si>
    <t>JFA252687091950</t>
  </si>
  <si>
    <t>東　蒼音</t>
  </si>
  <si>
    <t>JFA232008594716</t>
  </si>
  <si>
    <t>児玉　健眞</t>
  </si>
  <si>
    <t>日名子　結咲</t>
  </si>
  <si>
    <t>柾木　晴</t>
  </si>
  <si>
    <t>JFA255200082351</t>
  </si>
  <si>
    <t>安部　慶祐</t>
  </si>
  <si>
    <t>小山　岳</t>
  </si>
  <si>
    <t>JFA243501238842</t>
  </si>
  <si>
    <t>小野　結翔</t>
  </si>
  <si>
    <t>菅野　陽真</t>
  </si>
  <si>
    <t>増野　朝飛</t>
  </si>
  <si>
    <t>衞藤　優太</t>
  </si>
  <si>
    <t>橋本　龍空</t>
  </si>
  <si>
    <t>首藤　蓮</t>
  </si>
  <si>
    <t>JFA243051425329</t>
  </si>
  <si>
    <t>岡　航基</t>
  </si>
  <si>
    <t>保月　春太郎</t>
  </si>
  <si>
    <t>園田　晴翔</t>
  </si>
  <si>
    <t>田口　颯泰</t>
  </si>
  <si>
    <t>古庄　佑成</t>
  </si>
  <si>
    <t>三浦　岳也</t>
  </si>
  <si>
    <t>吉本　幸司</t>
  </si>
  <si>
    <t>古川　千晴</t>
  </si>
  <si>
    <t>永冨　太頼</t>
  </si>
  <si>
    <t>高橋　萌々香</t>
  </si>
  <si>
    <t>安部　颯真</t>
  </si>
  <si>
    <t>江田　悠翔</t>
  </si>
  <si>
    <t>JFA244292373123</t>
  </si>
  <si>
    <t>児玉　篤己</t>
  </si>
  <si>
    <t>相澤　一稀</t>
  </si>
  <si>
    <t>小野　永翔</t>
  </si>
  <si>
    <t>甲斐　文陽</t>
  </si>
  <si>
    <t>高橋　華梨</t>
  </si>
  <si>
    <t>小野　楽音</t>
  </si>
  <si>
    <t>南　蒼太</t>
  </si>
  <si>
    <t>小久井　健</t>
  </si>
  <si>
    <t>JFA258004117678</t>
  </si>
  <si>
    <t>若杉　瑛心</t>
  </si>
  <si>
    <t>渡邊　祐土</t>
  </si>
  <si>
    <t>関　将弘</t>
  </si>
  <si>
    <t>JFA255064725547</t>
  </si>
  <si>
    <t>加藤　羽琉</t>
  </si>
  <si>
    <t>JFA242617141701</t>
  </si>
  <si>
    <t>JFA242303017387</t>
  </si>
  <si>
    <t>JFA242778817949</t>
  </si>
  <si>
    <t>小嶋　澪</t>
  </si>
  <si>
    <t>石川　楓斗</t>
  </si>
  <si>
    <t>後藤　夢輝空</t>
  </si>
  <si>
    <t>岡見　卓飛</t>
  </si>
  <si>
    <t>瀧本　秀矢</t>
  </si>
  <si>
    <t>JFA240266523820</t>
  </si>
  <si>
    <t>五十川　葵海</t>
  </si>
  <si>
    <t>伊藤　流生</t>
  </si>
  <si>
    <t>植山　胡桃</t>
  </si>
  <si>
    <t>髙木　蓮夢</t>
  </si>
  <si>
    <t>JFA250995699801</t>
  </si>
  <si>
    <t>渡辺　星弥</t>
  </si>
  <si>
    <t>景山　翔央</t>
  </si>
  <si>
    <t>金　志雨</t>
  </si>
  <si>
    <t>戸高　朝日</t>
  </si>
  <si>
    <t>JFA241276317622</t>
  </si>
  <si>
    <t>山﨑　絢仁</t>
  </si>
  <si>
    <t>清水　優璃</t>
  </si>
  <si>
    <t>JFA246818490177</t>
  </si>
  <si>
    <t>池部　宏太</t>
  </si>
  <si>
    <t>桐村　一輝</t>
  </si>
  <si>
    <t>大西　陽向</t>
  </si>
  <si>
    <t>吉田　伊吹</t>
  </si>
  <si>
    <t>野中　大雅</t>
  </si>
  <si>
    <t>五島　陸</t>
  </si>
  <si>
    <t>矢幡　翔</t>
  </si>
  <si>
    <t>JFA257048069006</t>
  </si>
  <si>
    <t>水江　友寿</t>
  </si>
  <si>
    <t>長野　想</t>
  </si>
  <si>
    <t>片山　瑛太</t>
  </si>
  <si>
    <t>園田　昊良</t>
  </si>
  <si>
    <t>園田　葵央</t>
  </si>
  <si>
    <t>浅野　直雅</t>
  </si>
  <si>
    <t>渡邉　弥市朗</t>
  </si>
  <si>
    <t>神　藍斗</t>
  </si>
  <si>
    <t>岩男　丞真</t>
  </si>
  <si>
    <t>姫野　平祐</t>
  </si>
  <si>
    <t>山村　英斗</t>
  </si>
  <si>
    <t>日名子　蒼大</t>
  </si>
  <si>
    <t>田村　蒼允</t>
  </si>
  <si>
    <t>JFA246810735225</t>
  </si>
  <si>
    <t>後藤　湊友</t>
  </si>
  <si>
    <t>伊藤　吏玖</t>
  </si>
  <si>
    <t>前川　朝陽</t>
  </si>
  <si>
    <t>JFA241681747407</t>
  </si>
  <si>
    <t>髙橋　秀豪</t>
  </si>
  <si>
    <t>森永　瑛太</t>
  </si>
  <si>
    <t>宇土　宗之</t>
  </si>
  <si>
    <t>西田　光汰</t>
  </si>
  <si>
    <t>JFA249896012076</t>
  </si>
  <si>
    <t>宮川　佑</t>
  </si>
  <si>
    <t>松本　瑛斗</t>
  </si>
  <si>
    <t>JFA249564694857</t>
  </si>
  <si>
    <t>梅木　惟友</t>
  </si>
  <si>
    <t>水江　颯佑</t>
  </si>
  <si>
    <t>吉満　晃</t>
  </si>
  <si>
    <t>曽我　兜雅</t>
  </si>
  <si>
    <t>高倉　豪人</t>
  </si>
  <si>
    <t>片田　聖琉</t>
  </si>
  <si>
    <t>阿部　悠大</t>
  </si>
  <si>
    <t>日野　蓮斗</t>
  </si>
  <si>
    <t>松本　由騎</t>
  </si>
  <si>
    <t>JFA246963837083</t>
  </si>
  <si>
    <t>宮﨑　恒誠</t>
  </si>
  <si>
    <t>髙橋　大翔</t>
  </si>
  <si>
    <t>JFA257115355130</t>
  </si>
  <si>
    <t>福田　義朗</t>
  </si>
  <si>
    <t>JFA242960054819</t>
  </si>
  <si>
    <t>今村　花</t>
  </si>
  <si>
    <t>平井　湊都</t>
  </si>
  <si>
    <t>JFA231248831683</t>
  </si>
  <si>
    <t>川野　天翔</t>
  </si>
  <si>
    <t>吉賀　太皇</t>
  </si>
  <si>
    <t>浦田　透吾</t>
  </si>
  <si>
    <t>甲斐　貴宏</t>
  </si>
  <si>
    <t>佐藤　悠真</t>
  </si>
  <si>
    <t>尾形　陽斗</t>
  </si>
  <si>
    <t>藤丸　諒豪</t>
  </si>
  <si>
    <t>伊藤　蔵之丞</t>
  </si>
  <si>
    <t>森元　樹希</t>
  </si>
  <si>
    <t>秋月　芽生</t>
  </si>
  <si>
    <t>女子一般</t>
  </si>
  <si>
    <t>三好　司</t>
  </si>
  <si>
    <t>JFA252271632626</t>
  </si>
  <si>
    <t>岡本　朔音</t>
  </si>
  <si>
    <t>JFA251818651220</t>
  </si>
  <si>
    <t>JFA242696546949</t>
  </si>
  <si>
    <t>吉光　蒼太</t>
  </si>
  <si>
    <t>佐藤　楓太</t>
  </si>
  <si>
    <t>繁田　晴仁</t>
  </si>
  <si>
    <t>得丸　海周</t>
  </si>
  <si>
    <t>藤川　雄吏</t>
  </si>
  <si>
    <t>重石　悠斗</t>
  </si>
  <si>
    <t>ＳＨＲＥＳＴＨＡ　ＣＡＲＳＨＩＶ</t>
  </si>
  <si>
    <t>外国籍※</t>
  </si>
  <si>
    <t>ネパール</t>
  </si>
  <si>
    <t>JFA240799122384</t>
  </si>
  <si>
    <t>山田　瑛斗</t>
  </si>
  <si>
    <t>佐藤　煌隼</t>
  </si>
  <si>
    <t>稗田　璃空斗</t>
  </si>
  <si>
    <t>池田　琉斗</t>
  </si>
  <si>
    <t>猪又　那央</t>
  </si>
  <si>
    <t>JFA250682918215</t>
  </si>
  <si>
    <t>平野　星愛</t>
  </si>
  <si>
    <t>相良　瑞樹</t>
  </si>
  <si>
    <t>山田　将弓</t>
  </si>
  <si>
    <t>尾渡　結斗</t>
  </si>
  <si>
    <t>坂本　誉</t>
  </si>
  <si>
    <t>岩田　奏多</t>
  </si>
  <si>
    <t>岩本　湧希</t>
  </si>
  <si>
    <t>JFA249141308465</t>
  </si>
  <si>
    <t>河野　悠希</t>
  </si>
  <si>
    <t>JFA238447461435</t>
  </si>
  <si>
    <t>藤原　悠乃</t>
  </si>
  <si>
    <t>小関　蒼真</t>
  </si>
  <si>
    <t>井上　伍貴</t>
  </si>
  <si>
    <t>赤嶺　芽咲</t>
  </si>
  <si>
    <t>JFA249399475913</t>
  </si>
  <si>
    <t>森田　淳司</t>
  </si>
  <si>
    <t>山本　康太</t>
  </si>
  <si>
    <t>JFA241815683106</t>
  </si>
  <si>
    <t>設楽　世凪</t>
  </si>
  <si>
    <t>金崎　優真</t>
  </si>
  <si>
    <t>金﨑　優真</t>
  </si>
  <si>
    <t>JFA245408939252</t>
  </si>
  <si>
    <t>丸尾　蓮</t>
  </si>
  <si>
    <t>大石　海斗</t>
  </si>
  <si>
    <t>JFA240055637126</t>
  </si>
  <si>
    <t>山田　雅翔</t>
  </si>
  <si>
    <t>磯谷　太誠</t>
  </si>
  <si>
    <t>上田　湊真</t>
  </si>
  <si>
    <t>JFA252102185106</t>
  </si>
  <si>
    <t>江上　葵偉</t>
  </si>
  <si>
    <t>JFA249310733179</t>
  </si>
  <si>
    <t>量山　照慶</t>
  </si>
  <si>
    <t>本田　悠</t>
  </si>
  <si>
    <t>今仁　勇陽</t>
  </si>
  <si>
    <t>中原　啓之祐</t>
  </si>
  <si>
    <t>藤井　大夢</t>
  </si>
  <si>
    <t>菅　晴翔</t>
  </si>
  <si>
    <t>池田　新</t>
  </si>
  <si>
    <t>JFA243570917027</t>
  </si>
  <si>
    <t>津田　蒼空</t>
  </si>
  <si>
    <t>染矢　悠慎</t>
  </si>
  <si>
    <t>武原　七海</t>
  </si>
  <si>
    <t>岩渕　舜</t>
  </si>
  <si>
    <t>衞藤　千弦</t>
  </si>
  <si>
    <t>指原　唯翔</t>
  </si>
  <si>
    <t>JFA255305311389</t>
  </si>
  <si>
    <t>玉田　一惺</t>
  </si>
  <si>
    <t>那賀　奏音</t>
  </si>
  <si>
    <t>平山　陽輝</t>
  </si>
  <si>
    <t>菊池　謙佑</t>
  </si>
  <si>
    <t>岩崎　桃李</t>
  </si>
  <si>
    <t>林　咲斗</t>
  </si>
  <si>
    <t>井上　仁翔</t>
  </si>
  <si>
    <t>中野　瑛斗</t>
  </si>
  <si>
    <t>三宅　亜蓮</t>
  </si>
  <si>
    <t>永田　隆人</t>
  </si>
  <si>
    <t>藤原　陽大</t>
  </si>
  <si>
    <t>安東　郁登</t>
  </si>
  <si>
    <t>関　徳人</t>
  </si>
  <si>
    <t>杉田　愛奏</t>
  </si>
  <si>
    <t>JFA241480558656</t>
  </si>
  <si>
    <t>椎山　陽仁</t>
  </si>
  <si>
    <t>高橋　瑛人</t>
  </si>
  <si>
    <t>首藤　悠利</t>
  </si>
  <si>
    <t>JFA241941009216</t>
  </si>
  <si>
    <t>古庄　理人</t>
  </si>
  <si>
    <t>時枝　優有</t>
  </si>
  <si>
    <t>小林　奏斗</t>
  </si>
  <si>
    <t>高橋　瑛斗</t>
  </si>
  <si>
    <t>荻野　太陽</t>
  </si>
  <si>
    <t>伊藤　愛勇</t>
  </si>
  <si>
    <t>山本　蒼士</t>
  </si>
  <si>
    <t>恵良　勇仁</t>
  </si>
  <si>
    <t>大江　杏莉</t>
  </si>
  <si>
    <t>森　愛心</t>
  </si>
  <si>
    <t>大津　李皇</t>
  </si>
  <si>
    <t>赤峰　達之助</t>
  </si>
  <si>
    <t>平松　朝燈</t>
  </si>
  <si>
    <t>廣瀬　遥翔</t>
  </si>
  <si>
    <t>JFA242272917571</t>
  </si>
  <si>
    <t>前田　空翔</t>
  </si>
  <si>
    <t>小幡　巧</t>
  </si>
  <si>
    <t>児玉　夏花</t>
  </si>
  <si>
    <t>富山　葵斗</t>
  </si>
  <si>
    <t>坂本　新</t>
  </si>
  <si>
    <t>末松　叶多</t>
  </si>
  <si>
    <t>JFA256515522586</t>
  </si>
  <si>
    <t>樋口　泰雅</t>
  </si>
  <si>
    <t>秋月　創太</t>
  </si>
  <si>
    <t>廣田　渓志</t>
  </si>
  <si>
    <t>戸坂　昊汰</t>
  </si>
  <si>
    <t>小野　諒樹</t>
  </si>
  <si>
    <t>原田　幸征</t>
  </si>
  <si>
    <t>徳永　晴輝</t>
  </si>
  <si>
    <t>山本　晄士</t>
  </si>
  <si>
    <t>尾下　颯</t>
  </si>
  <si>
    <t>大田　樹希</t>
  </si>
  <si>
    <t>河野　結月</t>
  </si>
  <si>
    <t>鶴原　京祐</t>
  </si>
  <si>
    <t>麻生　悠太</t>
  </si>
  <si>
    <t>大矢　晴翔</t>
  </si>
  <si>
    <t>後藤　楓空</t>
  </si>
  <si>
    <t>利根　光樹</t>
  </si>
  <si>
    <t>首藤　光成</t>
  </si>
  <si>
    <t>上村　祐大</t>
  </si>
  <si>
    <t>JFA258081446130</t>
  </si>
  <si>
    <t>白石　悠介</t>
  </si>
  <si>
    <t>牧　莉愛</t>
  </si>
  <si>
    <t>帆足　旭陽</t>
  </si>
  <si>
    <t>姫野　瑠郁</t>
  </si>
  <si>
    <t>JFA251171515170</t>
  </si>
  <si>
    <t>諸冨　巧真</t>
  </si>
  <si>
    <t>小代　壱</t>
  </si>
  <si>
    <t>畑中　暖空</t>
  </si>
  <si>
    <t>JFA256300863129</t>
  </si>
  <si>
    <t>都留　湊</t>
  </si>
  <si>
    <t>JFA253943538871</t>
  </si>
  <si>
    <t>中島　咲太</t>
  </si>
  <si>
    <t>中上　晴貴</t>
  </si>
  <si>
    <t>麻生　倫太</t>
  </si>
  <si>
    <t>矢野　悠</t>
  </si>
  <si>
    <t>廣崎　葵一</t>
  </si>
  <si>
    <t>小川　桔平</t>
  </si>
  <si>
    <t>JFA233692788319</t>
  </si>
  <si>
    <t>利光　主理</t>
  </si>
  <si>
    <t>市原　優來</t>
  </si>
  <si>
    <t>JFA256747832494</t>
  </si>
  <si>
    <t>西本　悠真</t>
  </si>
  <si>
    <t>櫻木　一登</t>
  </si>
  <si>
    <t>矢野　碧人</t>
  </si>
  <si>
    <t>吉光　志</t>
  </si>
  <si>
    <t>塩月　風花</t>
  </si>
  <si>
    <t>JFA245255248187</t>
  </si>
  <si>
    <t>小野　晃大</t>
  </si>
  <si>
    <t>中島　快</t>
  </si>
  <si>
    <t>甲斐　常睦</t>
  </si>
  <si>
    <t>佐藤　颯太</t>
  </si>
  <si>
    <t>JFA255296237099</t>
  </si>
  <si>
    <t>岩田　逞生</t>
  </si>
  <si>
    <t>JFA257328705362</t>
  </si>
  <si>
    <t>北村　奏太</t>
  </si>
  <si>
    <t>川野　陽登</t>
  </si>
  <si>
    <t>石原　春馬</t>
  </si>
  <si>
    <t>大津　結人</t>
  </si>
  <si>
    <t>山崎　悠斗</t>
  </si>
  <si>
    <t>阿部　光希</t>
  </si>
  <si>
    <t>寺嶋　瑛大</t>
  </si>
  <si>
    <t>片桐　貴葉</t>
  </si>
  <si>
    <t>立川　湊華</t>
  </si>
  <si>
    <t>首藤　隆成</t>
  </si>
  <si>
    <t>千原　拓武</t>
  </si>
  <si>
    <t>佐藤　創太</t>
  </si>
  <si>
    <t>福永　奏大郎</t>
  </si>
  <si>
    <t>石川　朝陽</t>
  </si>
  <si>
    <t>野田　一登</t>
  </si>
  <si>
    <t>佐藤　太亮</t>
  </si>
  <si>
    <t>河野　琉唯</t>
  </si>
  <si>
    <t>三代　陽</t>
  </si>
  <si>
    <t>平原　圭晋</t>
  </si>
  <si>
    <t>日野　航太</t>
  </si>
  <si>
    <t>射場　瑛太</t>
  </si>
  <si>
    <t>高野　誠啓</t>
  </si>
  <si>
    <t>下郡　圭眞</t>
  </si>
  <si>
    <t>河野　和真</t>
  </si>
  <si>
    <t>後藤　雅貴</t>
  </si>
  <si>
    <t>高峯　茜太郎</t>
  </si>
  <si>
    <t>辻　亜衣來</t>
  </si>
  <si>
    <t>佐藤　叶夢</t>
  </si>
  <si>
    <t>副島　悠生</t>
  </si>
  <si>
    <t>陣矢　碧人</t>
  </si>
  <si>
    <t>永野　想真</t>
  </si>
  <si>
    <t>中島　飛優</t>
  </si>
  <si>
    <t>熊本　凛道</t>
  </si>
  <si>
    <t>JFA236618363443</t>
  </si>
  <si>
    <t>藤原　百花</t>
  </si>
  <si>
    <t>小川　湊斗</t>
  </si>
  <si>
    <t>竹中　翔琉</t>
  </si>
  <si>
    <t>堀尾　壮汰</t>
  </si>
  <si>
    <t>宮元　悠吏</t>
  </si>
  <si>
    <t>安長　優斗</t>
  </si>
  <si>
    <t>宮川　煌</t>
  </si>
  <si>
    <t>高野　力人</t>
  </si>
  <si>
    <t>江田　侑輝</t>
  </si>
  <si>
    <t>長田　想大</t>
  </si>
  <si>
    <t>河野　流王斗</t>
  </si>
  <si>
    <t>吉海　桐蒼</t>
  </si>
  <si>
    <t>JFA243824414959</t>
  </si>
  <si>
    <t>武石　倫太朗</t>
  </si>
  <si>
    <t>成瀬　一之輔</t>
  </si>
  <si>
    <t>JFA259666006782</t>
  </si>
  <si>
    <t>久枝　明花</t>
  </si>
  <si>
    <t>宮﨑　晃誠</t>
  </si>
  <si>
    <t>竹尾　岳</t>
  </si>
  <si>
    <t>後藤　雅</t>
  </si>
  <si>
    <t>飯村　琉凱</t>
  </si>
  <si>
    <t>光永　翔蘭</t>
  </si>
  <si>
    <t>荻野　奏</t>
  </si>
  <si>
    <t>敷嶋　心歌</t>
  </si>
  <si>
    <t>高羽　梨壱</t>
  </si>
  <si>
    <t>宮谷　稜平</t>
  </si>
  <si>
    <t>甲斐　友也</t>
  </si>
  <si>
    <t>伊東　良真</t>
  </si>
  <si>
    <t>梶原　遥真</t>
  </si>
  <si>
    <t>工藤　仁</t>
  </si>
  <si>
    <t>工藤　蓮</t>
  </si>
  <si>
    <t>JFA252592806413</t>
  </si>
  <si>
    <t>姫野　滉己</t>
  </si>
  <si>
    <t>姫野　雅功</t>
  </si>
  <si>
    <t>武口　隼人</t>
  </si>
  <si>
    <t>中村　栞</t>
  </si>
  <si>
    <t>川野　郁人</t>
  </si>
  <si>
    <t>江尻　大和</t>
  </si>
  <si>
    <t>松本　章汰</t>
  </si>
  <si>
    <t>藤田　夢翔</t>
  </si>
  <si>
    <t>市場　稜久</t>
  </si>
  <si>
    <t>中矢　悠雅</t>
  </si>
  <si>
    <t>JFA251414683549</t>
  </si>
  <si>
    <t>安部　拓真</t>
  </si>
  <si>
    <t>原　希和</t>
  </si>
  <si>
    <t>内丸　卿次朗</t>
  </si>
  <si>
    <t>東　琉依斗</t>
  </si>
  <si>
    <t>中野　颯大</t>
  </si>
  <si>
    <t>泊　心碧</t>
  </si>
  <si>
    <t>首藤　旺介</t>
  </si>
  <si>
    <t>JFA244436368680</t>
  </si>
  <si>
    <t>内藤　千瑛</t>
  </si>
  <si>
    <t>JFA232142273071</t>
  </si>
  <si>
    <t>岩崎　楓真</t>
  </si>
  <si>
    <t>鶴原　智太</t>
  </si>
  <si>
    <t>JFA234912638982</t>
  </si>
  <si>
    <t>行平　開惺</t>
  </si>
  <si>
    <t>中野　晄輔</t>
  </si>
  <si>
    <t>JFA242909506058</t>
  </si>
  <si>
    <t>繁富　櫻介</t>
  </si>
  <si>
    <t>吉武　柊翔</t>
  </si>
  <si>
    <t>武吉　華叶</t>
  </si>
  <si>
    <t>佐藤　竜輝</t>
  </si>
  <si>
    <t>吉良　侑都</t>
  </si>
  <si>
    <t>末松　爽</t>
  </si>
  <si>
    <t>首藤　青澄</t>
  </si>
  <si>
    <t>植山　颯太</t>
  </si>
  <si>
    <t>浅田　瑛翔</t>
  </si>
  <si>
    <t>兵頭　茉子</t>
  </si>
  <si>
    <t>杉田　禅桜</t>
  </si>
  <si>
    <t>大久保　柊李</t>
  </si>
  <si>
    <t>佐藤　一颯</t>
  </si>
  <si>
    <t>JFA232412782332</t>
  </si>
  <si>
    <t>江川　翔太</t>
  </si>
  <si>
    <t>立川　琉唯</t>
  </si>
  <si>
    <t>冨山　瑛斗</t>
  </si>
  <si>
    <t>JFA249349573490</t>
  </si>
  <si>
    <t>藤井　心翔</t>
  </si>
  <si>
    <t>小代　健城</t>
  </si>
  <si>
    <t>上村　勇誠</t>
  </si>
  <si>
    <t>高橋　由</t>
  </si>
  <si>
    <t>河津　颯真</t>
  </si>
  <si>
    <t>行武　光海</t>
  </si>
  <si>
    <t>中島　羽紅</t>
  </si>
  <si>
    <t>山中　梨叶</t>
  </si>
  <si>
    <t>JFA251019893136</t>
  </si>
  <si>
    <t>遠山　直人</t>
  </si>
  <si>
    <t>江戸　暁十</t>
  </si>
  <si>
    <t>渡邉　昂</t>
  </si>
  <si>
    <t>JFA253711313437</t>
  </si>
  <si>
    <t>JFA243002818100</t>
  </si>
  <si>
    <t>冨永　颯</t>
  </si>
  <si>
    <t>佐藤　由涼</t>
  </si>
  <si>
    <t>齊藤　諒太朗</t>
  </si>
  <si>
    <t>西　竜輝</t>
  </si>
  <si>
    <t>秋吉　朔太朗</t>
  </si>
  <si>
    <t>JFA248670807742</t>
  </si>
  <si>
    <t>中川　湊太</t>
  </si>
  <si>
    <t>羽田野　楓</t>
  </si>
  <si>
    <t>前山　稜希</t>
  </si>
  <si>
    <t>堀　平頼</t>
  </si>
  <si>
    <t>清水　笙仁郎</t>
  </si>
  <si>
    <t>JFA240259008984</t>
  </si>
  <si>
    <t>石田　旺大</t>
  </si>
  <si>
    <t>小野　碧巴</t>
  </si>
  <si>
    <t>椎原　遥珂</t>
  </si>
  <si>
    <t>森田　愛我</t>
  </si>
  <si>
    <t>久持　海</t>
  </si>
  <si>
    <t>JFA233500963929</t>
  </si>
  <si>
    <t>山口　凌空</t>
  </si>
  <si>
    <t>小笠原　大和</t>
  </si>
  <si>
    <t>宇都宮　達彦</t>
  </si>
  <si>
    <t>中島　隆貴</t>
  </si>
  <si>
    <t>JFA244612474876</t>
  </si>
  <si>
    <t>宇都宮　瑛翔</t>
  </si>
  <si>
    <t>麻生　尊悠</t>
  </si>
  <si>
    <t>矢野　陸翔</t>
  </si>
  <si>
    <t>藤塚　由登</t>
  </si>
  <si>
    <t>JFA233652148409</t>
  </si>
  <si>
    <t>藤田　圭亮</t>
  </si>
  <si>
    <t>安部　智敦</t>
  </si>
  <si>
    <t>津田　陽茉里</t>
  </si>
  <si>
    <t>大久保　響仁</t>
  </si>
  <si>
    <t>竹ノ下　湊都</t>
  </si>
  <si>
    <t>JFA244347874818</t>
  </si>
  <si>
    <t>川上　結聖</t>
  </si>
  <si>
    <t>手嶋　聡太</t>
  </si>
  <si>
    <t>安部　碧一</t>
  </si>
  <si>
    <t>松木　悠真</t>
  </si>
  <si>
    <t>冨田　理央</t>
  </si>
  <si>
    <t>中野　瑛護</t>
  </si>
  <si>
    <t>奥嶋　柊介</t>
  </si>
  <si>
    <t>宮本　直弥</t>
  </si>
  <si>
    <t>JFA249891719593</t>
  </si>
  <si>
    <t>農上　怜寿</t>
  </si>
  <si>
    <t>牧野　正周</t>
  </si>
  <si>
    <t>江藤　銀志</t>
  </si>
  <si>
    <t>諸富　雄大</t>
  </si>
  <si>
    <t>宮脇　雅大</t>
  </si>
  <si>
    <t>羽田　飛希八</t>
  </si>
  <si>
    <t>筒井　瑛翔</t>
  </si>
  <si>
    <t>新宮　翼</t>
  </si>
  <si>
    <t>橋本　准矢</t>
  </si>
  <si>
    <t>岡田　康汰</t>
  </si>
  <si>
    <t>宮﨑　結斗</t>
  </si>
  <si>
    <t>栗原　悠希</t>
  </si>
  <si>
    <t>樋口　継</t>
  </si>
  <si>
    <t>吉竹　詠太郎</t>
  </si>
  <si>
    <t>松本　結心</t>
  </si>
  <si>
    <t>川瀬　楓</t>
  </si>
  <si>
    <t>小嶋　稜太</t>
  </si>
  <si>
    <t>吉川　凌翔</t>
  </si>
  <si>
    <t>下山　光馬</t>
  </si>
  <si>
    <t>柳井　祐人</t>
  </si>
  <si>
    <t>萱嶋　新大</t>
  </si>
  <si>
    <t>河野　裕斗</t>
  </si>
  <si>
    <t>JFA251139052946</t>
  </si>
  <si>
    <t>安達　瑛大</t>
  </si>
  <si>
    <t>幸　碧唯</t>
  </si>
  <si>
    <t>江藤　祥生</t>
  </si>
  <si>
    <t>矢幡　春葵</t>
  </si>
  <si>
    <t>JFA235363407745</t>
  </si>
  <si>
    <t>三浦　泰星</t>
  </si>
  <si>
    <t>田邉　一</t>
  </si>
  <si>
    <t>冨田　翔磨</t>
  </si>
  <si>
    <t>白川　葵</t>
  </si>
  <si>
    <t>岩田　晟太郎</t>
  </si>
  <si>
    <t>JFA236411375099</t>
  </si>
  <si>
    <t>新名　朝陽</t>
  </si>
  <si>
    <t>上野　新太</t>
  </si>
  <si>
    <t>後藤　咲人</t>
  </si>
  <si>
    <t>佐藤　青芭</t>
  </si>
  <si>
    <t>首藤　由尚</t>
  </si>
  <si>
    <t>若林　櫂世</t>
  </si>
  <si>
    <t>高橋　晃海</t>
  </si>
  <si>
    <t>永松　晴康</t>
  </si>
  <si>
    <t>田口　蒔人</t>
  </si>
  <si>
    <t>川口　大知</t>
  </si>
  <si>
    <t>甲斐　葵花</t>
  </si>
  <si>
    <t>三枝　柚月</t>
  </si>
  <si>
    <t>繁田　莉斗</t>
  </si>
  <si>
    <t>甲斐　麗奈</t>
  </si>
  <si>
    <t>花木　元大</t>
  </si>
  <si>
    <t>石田　康泰</t>
  </si>
  <si>
    <t>長尾　颯悟</t>
  </si>
  <si>
    <t>松下　航晴</t>
  </si>
  <si>
    <t>羽田野　壮</t>
  </si>
  <si>
    <t>渡邉　想良</t>
  </si>
  <si>
    <t>杉﨑　琉晟</t>
  </si>
  <si>
    <t>宮園　旺助</t>
  </si>
  <si>
    <t>島田　岳來</t>
  </si>
  <si>
    <t>五嶋　璃月</t>
  </si>
  <si>
    <t>近廣　大希</t>
  </si>
  <si>
    <t>中谷　愛杜</t>
  </si>
  <si>
    <t>安部　諒人</t>
  </si>
  <si>
    <t>阿部　日比人</t>
  </si>
  <si>
    <t>JFA244991456310</t>
  </si>
  <si>
    <t>笠村　知輝</t>
  </si>
  <si>
    <t>坂本　奨真</t>
  </si>
  <si>
    <t>堀　慶成</t>
  </si>
  <si>
    <t>園田　啓翔</t>
  </si>
  <si>
    <t>JFA243639525438</t>
  </si>
  <si>
    <t>阿部　知良</t>
  </si>
  <si>
    <t>戸部　葵</t>
  </si>
  <si>
    <t>髙倉　桜之介</t>
  </si>
  <si>
    <t>大江　奈々心</t>
  </si>
  <si>
    <t>酒井　柊瑛</t>
  </si>
  <si>
    <t>漆間　柊空</t>
  </si>
  <si>
    <t>山本　湊</t>
  </si>
  <si>
    <t>大久保　響</t>
  </si>
  <si>
    <t>菊池　晨冴</t>
  </si>
  <si>
    <t>山村　秋仁</t>
  </si>
  <si>
    <t>中島　大緒</t>
  </si>
  <si>
    <t>杉山　琉伊</t>
  </si>
  <si>
    <t>野田　泰次郎</t>
  </si>
  <si>
    <t>JFA243763290178</t>
  </si>
  <si>
    <t>西野　太脩</t>
  </si>
  <si>
    <t>猪原　アレン</t>
  </si>
  <si>
    <t>西村　涼玖</t>
  </si>
  <si>
    <t>団塚　航</t>
  </si>
  <si>
    <t>中村　聡一郎</t>
  </si>
  <si>
    <t>工藤　天翔</t>
  </si>
  <si>
    <t>安谷屋　柊</t>
  </si>
  <si>
    <t>穴井　煌敏</t>
  </si>
  <si>
    <t>JFA243833788604</t>
  </si>
  <si>
    <t>林　力翔</t>
  </si>
  <si>
    <t>金古　剛汰</t>
  </si>
  <si>
    <t>JFA242800942144</t>
  </si>
  <si>
    <t>糟谷　倫太朗</t>
  </si>
  <si>
    <t>林　航希</t>
  </si>
  <si>
    <t>安部　太晴</t>
  </si>
  <si>
    <t>JFA252885145587</t>
  </si>
  <si>
    <t>中村　壮汰</t>
  </si>
  <si>
    <t>常広　果成</t>
  </si>
  <si>
    <t>後藤　祐太郎</t>
  </si>
  <si>
    <t>馬越　航</t>
  </si>
  <si>
    <t>JFA236766637878</t>
  </si>
  <si>
    <t>金井　啓輔</t>
  </si>
  <si>
    <t>大塚　杏</t>
  </si>
  <si>
    <t>牧　奏斗</t>
  </si>
  <si>
    <t>田中　悠仁</t>
  </si>
  <si>
    <t>野上　幹太</t>
  </si>
  <si>
    <t>伊藤　叶夢</t>
  </si>
  <si>
    <t>広瀬　蒼空</t>
  </si>
  <si>
    <t>宇都宮　成陽</t>
  </si>
  <si>
    <t>小野　湧仁</t>
  </si>
  <si>
    <t>工藤　大芽</t>
  </si>
  <si>
    <t>松岡　幸汰</t>
  </si>
  <si>
    <t>飯倉　隆登</t>
  </si>
  <si>
    <t>JFA241478354034</t>
  </si>
  <si>
    <t>松原　明希</t>
  </si>
  <si>
    <t>足立　京士朗</t>
  </si>
  <si>
    <t>谷口　陸斗</t>
  </si>
  <si>
    <t>佐藤　風斗</t>
  </si>
  <si>
    <t>近藤　杏醐</t>
  </si>
  <si>
    <t>奥本　健心</t>
  </si>
  <si>
    <t>荒田　悠太</t>
  </si>
  <si>
    <t>林　海翔</t>
  </si>
  <si>
    <t>堀　裕翔</t>
  </si>
  <si>
    <t>小野　日菜</t>
  </si>
  <si>
    <t>小野　由芽</t>
  </si>
  <si>
    <t>渋田　煌生</t>
  </si>
  <si>
    <t>松田　源</t>
  </si>
  <si>
    <t>永瀬　晴悠</t>
  </si>
  <si>
    <t>麻生　志穏</t>
  </si>
  <si>
    <t>野尻　陸治</t>
  </si>
  <si>
    <t>中野　紘志</t>
  </si>
  <si>
    <t>和田　晴太</t>
  </si>
  <si>
    <t>稲葉　一眞</t>
  </si>
  <si>
    <t>江藤　大翔</t>
  </si>
  <si>
    <t>河村　玲緒</t>
  </si>
  <si>
    <t>久保　陽仁</t>
  </si>
  <si>
    <t>高司　尚樹</t>
  </si>
  <si>
    <t>岩尾　莉玖</t>
  </si>
  <si>
    <t>首藤　拓哉</t>
  </si>
  <si>
    <t>宮崎　恒大</t>
  </si>
  <si>
    <t>JFA256666826326</t>
  </si>
  <si>
    <t>浜田　春馬</t>
  </si>
  <si>
    <t>阿部　圭吾</t>
  </si>
  <si>
    <t>JFA256822409078</t>
  </si>
  <si>
    <t>桒原　日々人</t>
  </si>
  <si>
    <t>青木　寧々</t>
  </si>
  <si>
    <t>志賀　陽斗</t>
  </si>
  <si>
    <t>山下　旦陽</t>
  </si>
  <si>
    <t>中村　総志</t>
  </si>
  <si>
    <t>武田　樹</t>
  </si>
  <si>
    <t>石田　旺奨</t>
  </si>
  <si>
    <t>小川　吉平</t>
  </si>
  <si>
    <t>高崎　隼一</t>
  </si>
  <si>
    <t>JFA246255631620</t>
  </si>
  <si>
    <t>梅木　翔陽</t>
  </si>
  <si>
    <t>小林　甲季</t>
  </si>
  <si>
    <t>植木　大翔</t>
  </si>
  <si>
    <t>小野　美心望</t>
  </si>
  <si>
    <t>JFA259574427710</t>
  </si>
  <si>
    <t>大原　櫻士</t>
  </si>
  <si>
    <t>後藤　優輝弥</t>
  </si>
  <si>
    <t>阿南　春歩</t>
  </si>
  <si>
    <t>福田　帝心</t>
  </si>
  <si>
    <t>佐々木　遥隆</t>
  </si>
  <si>
    <t>渡邉　璃瑚</t>
  </si>
  <si>
    <t>麻生　晃汰</t>
  </si>
  <si>
    <t>村中　陽翔</t>
  </si>
  <si>
    <t>JFA246633355922</t>
  </si>
  <si>
    <t>坂田　柚葉</t>
  </si>
  <si>
    <t>井口　晴葵</t>
  </si>
  <si>
    <t>鈴木　湊翔</t>
  </si>
  <si>
    <t>毛利　颯太</t>
  </si>
  <si>
    <t>肌野　一輝</t>
  </si>
  <si>
    <t>渡邊　優陽</t>
  </si>
  <si>
    <t>建　秀橙</t>
  </si>
  <si>
    <t>河野　福太</t>
  </si>
  <si>
    <t>中西　泳大朗</t>
  </si>
  <si>
    <t>郷司　承太郎</t>
  </si>
  <si>
    <t>JFA241955710550</t>
  </si>
  <si>
    <t>綾部　凛空</t>
  </si>
  <si>
    <t>高倉　善翔</t>
  </si>
  <si>
    <t>福満　悠真</t>
  </si>
  <si>
    <t>東藤　修志</t>
  </si>
  <si>
    <t>安部　凌平</t>
  </si>
  <si>
    <t>JFA254169675845</t>
  </si>
  <si>
    <t>高橋　京志</t>
  </si>
  <si>
    <t>市原　怜雄</t>
  </si>
  <si>
    <t>相部　湊斗</t>
  </si>
  <si>
    <t>高波　龍太郎</t>
  </si>
  <si>
    <t>橋井　昊</t>
  </si>
  <si>
    <t>中尾　陽太</t>
  </si>
  <si>
    <t>上田　陽斗</t>
  </si>
  <si>
    <t>高橋　一心</t>
  </si>
  <si>
    <t>後藤　蒼人</t>
  </si>
  <si>
    <t>長谷部　凌平</t>
  </si>
  <si>
    <t>西本　隼太</t>
  </si>
  <si>
    <t>鞭馬　湊太</t>
  </si>
  <si>
    <t>後藤　春陽</t>
  </si>
  <si>
    <t>JFA238818311273</t>
  </si>
  <si>
    <t>首藤　渉</t>
  </si>
  <si>
    <t>廣瀬　紬</t>
  </si>
  <si>
    <t>堂上　月</t>
  </si>
  <si>
    <t>佐藤　海颯</t>
  </si>
  <si>
    <t>小幡　栄人</t>
  </si>
  <si>
    <t>廣畑　一樹</t>
  </si>
  <si>
    <t>嶋村　叶翔</t>
  </si>
  <si>
    <t>礒辺　悠</t>
  </si>
  <si>
    <t>岡　碧緯</t>
  </si>
  <si>
    <t>岩男　直輝</t>
  </si>
  <si>
    <t>藤原　蒼</t>
  </si>
  <si>
    <t>JFA249002284491</t>
  </si>
  <si>
    <t>八並　琥珀</t>
  </si>
  <si>
    <t>押田　昴葵</t>
  </si>
  <si>
    <t>岡﨑　煌心</t>
  </si>
  <si>
    <t>鹿嶋　縫</t>
  </si>
  <si>
    <t>川井　陽向</t>
  </si>
  <si>
    <t>小島　悠貴</t>
  </si>
  <si>
    <t>友松　瞬</t>
  </si>
  <si>
    <t>合使　憲人</t>
  </si>
  <si>
    <t>須賀　凌太</t>
  </si>
  <si>
    <t>髙松　弦ノ介</t>
  </si>
  <si>
    <t>山崎　颯大</t>
  </si>
  <si>
    <t>渡邉　愛莉香</t>
  </si>
  <si>
    <t>黒田　大陽</t>
  </si>
  <si>
    <t>小野　健</t>
  </si>
  <si>
    <t>坂井　皇翔</t>
  </si>
  <si>
    <t>赤嶺　翔</t>
  </si>
  <si>
    <t>古庄　日向</t>
  </si>
  <si>
    <t>五十川　櫻</t>
  </si>
  <si>
    <t>伊藤　祐麻</t>
  </si>
  <si>
    <t>川底　怜生</t>
  </si>
  <si>
    <t>安部　優之介</t>
  </si>
  <si>
    <t>森口　海惟</t>
  </si>
  <si>
    <t>倉増　篤輝</t>
  </si>
  <si>
    <t>稲月　晴大</t>
  </si>
  <si>
    <t>上田　大馳</t>
  </si>
  <si>
    <t>小門　蒼空</t>
  </si>
  <si>
    <t>今德　碧</t>
  </si>
  <si>
    <t>嶌田　陸汰郎</t>
  </si>
  <si>
    <t>伊藤　聖真</t>
  </si>
  <si>
    <t>井上　虹</t>
  </si>
  <si>
    <t>齋藤　晄</t>
  </si>
  <si>
    <t>生駒　大輝</t>
  </si>
  <si>
    <t>小嶋　颯介</t>
  </si>
  <si>
    <t>宇都宮　望愛</t>
  </si>
  <si>
    <t>牧　昂汰</t>
  </si>
  <si>
    <t>油布　隆之介</t>
  </si>
  <si>
    <t>王　俊喆</t>
  </si>
  <si>
    <t>水流　夏葵</t>
  </si>
  <si>
    <t>三笘　福門</t>
  </si>
  <si>
    <t>JFA257389578058</t>
  </si>
  <si>
    <t>篠田　淳斗</t>
  </si>
  <si>
    <t>前田　武生</t>
  </si>
  <si>
    <t>松原　大也</t>
  </si>
  <si>
    <t>JFA232696475927</t>
  </si>
  <si>
    <t>後藤　千尋</t>
  </si>
  <si>
    <t>宮脇　作来</t>
  </si>
  <si>
    <t>安東　結士</t>
  </si>
  <si>
    <t>後藤　僚</t>
  </si>
  <si>
    <t>JFA250162454520</t>
  </si>
  <si>
    <t>北宅　湊</t>
  </si>
  <si>
    <t>姫野　凌來</t>
  </si>
  <si>
    <t>桒野　旭陽</t>
  </si>
  <si>
    <t>伊藤　左門</t>
  </si>
  <si>
    <t>佐藤　遼生</t>
  </si>
  <si>
    <t>山際　天晴</t>
  </si>
  <si>
    <t>渡邊　誠</t>
  </si>
  <si>
    <t>中原　善</t>
  </si>
  <si>
    <t>桑野　葉那</t>
  </si>
  <si>
    <t>丸谷　龍生</t>
  </si>
  <si>
    <t>佐藤　心乃助</t>
  </si>
  <si>
    <t>JFA242243160339</t>
  </si>
  <si>
    <t>高藤　羽瑠</t>
  </si>
  <si>
    <t>林田　大和</t>
  </si>
  <si>
    <t>七蔵司　翼</t>
  </si>
  <si>
    <t>円本　莉乃彩</t>
  </si>
  <si>
    <t>竹本　凌太朗</t>
  </si>
  <si>
    <t>徳永　煌聖</t>
  </si>
  <si>
    <t>穴井　莉心</t>
  </si>
  <si>
    <t>竹野　泰生</t>
  </si>
  <si>
    <t>藤原　王翔</t>
  </si>
  <si>
    <t>広崎　蒼汰</t>
  </si>
  <si>
    <t>幡東　燈也</t>
  </si>
  <si>
    <t>川﨑　凜士</t>
  </si>
  <si>
    <t>鈴木　影丈</t>
  </si>
  <si>
    <t>菊池　康太郎</t>
  </si>
  <si>
    <t>田口　葵翔</t>
  </si>
  <si>
    <t>南　柚希</t>
  </si>
  <si>
    <t>吉田　史玖</t>
  </si>
  <si>
    <t>野村　匠叶</t>
  </si>
  <si>
    <t>瀧口　丈二郎</t>
  </si>
  <si>
    <t>香川　悠真</t>
  </si>
  <si>
    <t>麻生　陽斗</t>
  </si>
  <si>
    <t>坂口　俊斗</t>
  </si>
  <si>
    <t>熊井　琉人</t>
  </si>
  <si>
    <t>羽立　昴</t>
  </si>
  <si>
    <t>山﨑　将志</t>
  </si>
  <si>
    <t>JFA237248856945</t>
  </si>
  <si>
    <t>和田　大輝</t>
  </si>
  <si>
    <t>柳井　悠人</t>
  </si>
  <si>
    <t>後藤　七海</t>
  </si>
  <si>
    <t>JFA247502215376</t>
  </si>
  <si>
    <t>三浦　弓和</t>
  </si>
  <si>
    <t>山﨑　空愛</t>
  </si>
  <si>
    <t>嶌田　優煌</t>
  </si>
  <si>
    <t>JFA254491270511</t>
  </si>
  <si>
    <t>末廣　楓翔</t>
  </si>
  <si>
    <t>山﨑　龍慈</t>
  </si>
  <si>
    <t>泉　環那</t>
  </si>
  <si>
    <t>佐藤　航琉</t>
  </si>
  <si>
    <t>井崎　煌大</t>
  </si>
  <si>
    <t>小野　蘭</t>
  </si>
  <si>
    <t>岡田　莉央</t>
  </si>
  <si>
    <t>森山　ケイト</t>
  </si>
  <si>
    <t>板井　和奏</t>
  </si>
  <si>
    <t>上別府　舜</t>
  </si>
  <si>
    <t>渡邉　紹眞</t>
  </si>
  <si>
    <t>西方　洸太</t>
  </si>
  <si>
    <t>藤原　青空</t>
  </si>
  <si>
    <t>財前　壮良</t>
  </si>
  <si>
    <t>山本　結心</t>
  </si>
  <si>
    <t>日野　天馬</t>
  </si>
  <si>
    <t>石田　大陽</t>
  </si>
  <si>
    <t>村松　煌太</t>
  </si>
  <si>
    <t>岩本　恵輔</t>
  </si>
  <si>
    <t>伊東　大翔</t>
  </si>
  <si>
    <t>JFA257545617375</t>
  </si>
  <si>
    <t>河野　咲哉</t>
  </si>
  <si>
    <t>平原　琴乃</t>
  </si>
  <si>
    <t>友枝　樹</t>
  </si>
  <si>
    <t>JFA252676462199</t>
  </si>
  <si>
    <t>岡松　來空</t>
  </si>
  <si>
    <t>甲斐　輝誠</t>
  </si>
  <si>
    <t>田畑　颯大</t>
  </si>
  <si>
    <t>魚返　珠稀</t>
  </si>
  <si>
    <t>首藤　士喜</t>
  </si>
  <si>
    <t>小河　昊平</t>
  </si>
  <si>
    <t>隈田原　翔太</t>
  </si>
  <si>
    <t>JFA252998958533</t>
  </si>
  <si>
    <t>野中　怜央</t>
  </si>
  <si>
    <t>藤戸　大地</t>
  </si>
  <si>
    <t>日野　天晴</t>
  </si>
  <si>
    <t>JFA251814338448</t>
  </si>
  <si>
    <t>岡本　秀哉</t>
  </si>
  <si>
    <t>加來　充稀</t>
  </si>
  <si>
    <t>佐藤　叶和</t>
  </si>
  <si>
    <t>岡部　睦</t>
  </si>
  <si>
    <t>乙津　優</t>
  </si>
  <si>
    <t>江口　聡真</t>
  </si>
  <si>
    <t>小西　琉世</t>
  </si>
  <si>
    <t>JFA236294565626</t>
  </si>
  <si>
    <t>梶原　准煌</t>
  </si>
  <si>
    <t>財津　紀寛</t>
  </si>
  <si>
    <t>瀬口　隼太</t>
  </si>
  <si>
    <t>清家　航</t>
  </si>
  <si>
    <t>染矢　清志</t>
  </si>
  <si>
    <t>佐藤　涼凪</t>
  </si>
  <si>
    <t>竹村　基</t>
  </si>
  <si>
    <t>下畑　晴陽</t>
  </si>
  <si>
    <t>松田　陽向</t>
  </si>
  <si>
    <t>加藤　大志</t>
  </si>
  <si>
    <t>清原　響希</t>
  </si>
  <si>
    <t>北川　優心</t>
  </si>
  <si>
    <t>甲斐　?介</t>
  </si>
  <si>
    <t>清原　逸貴</t>
  </si>
  <si>
    <t>佐藤　朝陽</t>
  </si>
  <si>
    <t>小原　瑠夏</t>
  </si>
  <si>
    <t>古山　慎也</t>
  </si>
  <si>
    <t>林　彪生</t>
  </si>
  <si>
    <t>後藤　陽葵</t>
  </si>
  <si>
    <t>JFA243315218135</t>
  </si>
  <si>
    <t>中原　樹生</t>
  </si>
  <si>
    <t>清水　奏良</t>
  </si>
  <si>
    <t>塩月　獅皇</t>
  </si>
  <si>
    <t>JFA239604098204</t>
  </si>
  <si>
    <t>森﨑　陽月</t>
  </si>
  <si>
    <t>JFA244658920883</t>
  </si>
  <si>
    <t>房前　心陽</t>
  </si>
  <si>
    <t>牧　晃雅</t>
  </si>
  <si>
    <t>山口　瑚希々</t>
  </si>
  <si>
    <t>都留　悠聖</t>
  </si>
  <si>
    <t>JFA252977479127</t>
  </si>
  <si>
    <t>森　怜央</t>
  </si>
  <si>
    <t>水谷　修大</t>
  </si>
  <si>
    <t>桝田　颯人</t>
  </si>
  <si>
    <t>前山　旬</t>
  </si>
  <si>
    <t>JFA242833071746</t>
  </si>
  <si>
    <t>安達　仁絆</t>
  </si>
  <si>
    <t>平山　悠</t>
  </si>
  <si>
    <t>河野　蘭生</t>
  </si>
  <si>
    <t>江藤　綾人</t>
  </si>
  <si>
    <t>河野　晃誠</t>
  </si>
  <si>
    <t>山本　啓太</t>
  </si>
  <si>
    <t>和合　悠志</t>
  </si>
  <si>
    <t>JFA256816352682</t>
  </si>
  <si>
    <t>柳井　湊音</t>
  </si>
  <si>
    <t>小野　日奈翔</t>
  </si>
  <si>
    <t>秦　凪杜</t>
  </si>
  <si>
    <t>財津　匠</t>
  </si>
  <si>
    <t>大野　光槻</t>
  </si>
  <si>
    <t>原山　佳士</t>
  </si>
  <si>
    <t>藤原　日葵</t>
  </si>
  <si>
    <t>JFA257094628919</t>
  </si>
  <si>
    <t>汐月　杏果莉</t>
  </si>
  <si>
    <t>久保田　凛</t>
  </si>
  <si>
    <t>JFA240996023690</t>
  </si>
  <si>
    <t>竹中　大樹</t>
  </si>
  <si>
    <t>JFA254190962269</t>
  </si>
  <si>
    <t>田代　基</t>
  </si>
  <si>
    <t>中川　大聖</t>
  </si>
  <si>
    <t>本多　朔</t>
  </si>
  <si>
    <t>田中　結翔</t>
  </si>
  <si>
    <t>工藤　煌志</t>
  </si>
  <si>
    <t>下瀬　和慶</t>
  </si>
  <si>
    <t>後藤　大琥</t>
  </si>
  <si>
    <t>椛田　創介</t>
  </si>
  <si>
    <t>有吉　蒼汰</t>
  </si>
  <si>
    <t>桝　祐</t>
  </si>
  <si>
    <t>西　壮輔</t>
  </si>
  <si>
    <t>長尾　美涼</t>
  </si>
  <si>
    <t>秋吉　碧晴</t>
  </si>
  <si>
    <t>魚返　桂佑</t>
  </si>
  <si>
    <t>川野　寧々</t>
  </si>
  <si>
    <t>野田　煌嵐</t>
  </si>
  <si>
    <t>JFA257882664616</t>
  </si>
  <si>
    <t>松田　湊大</t>
  </si>
  <si>
    <t>坂本　大維志</t>
  </si>
  <si>
    <t>平島　遥翔</t>
  </si>
  <si>
    <t>森　奏太</t>
  </si>
  <si>
    <t>東　朔也</t>
  </si>
  <si>
    <t>JFA246441064573</t>
  </si>
  <si>
    <t>木下　遥樹</t>
  </si>
  <si>
    <t>大谷　湊人</t>
  </si>
  <si>
    <t>栗原　煌</t>
  </si>
  <si>
    <t>山下　諒真</t>
  </si>
  <si>
    <t>菊池　應介</t>
  </si>
  <si>
    <t>JFA240676435016</t>
  </si>
  <si>
    <t>渡邊　朝比</t>
  </si>
  <si>
    <t>梅木　浩瀬</t>
  </si>
  <si>
    <t>上田　寿</t>
  </si>
  <si>
    <t>JFA257809786755</t>
  </si>
  <si>
    <t>安部　優佑</t>
  </si>
  <si>
    <t>花北　陽向</t>
  </si>
  <si>
    <t>荒川　夢叶</t>
  </si>
  <si>
    <t>高尾　怜史</t>
  </si>
  <si>
    <t>清原　結人</t>
  </si>
  <si>
    <t>JFA249602235251</t>
  </si>
  <si>
    <t>利光　惇</t>
  </si>
  <si>
    <t>山本　丈瑠</t>
  </si>
  <si>
    <t>JFA251581527281</t>
  </si>
  <si>
    <t>高橋　宣佑</t>
  </si>
  <si>
    <t>田嶋　奏明</t>
  </si>
  <si>
    <t>岡崎　清正</t>
  </si>
  <si>
    <t>椎原　果穂</t>
  </si>
  <si>
    <t>山本　新大</t>
  </si>
  <si>
    <t>勝尾　優真</t>
  </si>
  <si>
    <t>古賀　充稀</t>
  </si>
  <si>
    <t>福田　勇陽</t>
  </si>
  <si>
    <t>工藤　芽依</t>
  </si>
  <si>
    <t>野地　天馬</t>
  </si>
  <si>
    <t>和田　英大</t>
  </si>
  <si>
    <t>岩男　樹愛</t>
  </si>
  <si>
    <t>渡邉　柚衣</t>
  </si>
  <si>
    <t>旗手　貴一</t>
  </si>
  <si>
    <t>佐藤　薫奈子</t>
  </si>
  <si>
    <t>杉田　夢逢</t>
  </si>
  <si>
    <t>穴見　健一</t>
  </si>
  <si>
    <t>安藤　佑</t>
  </si>
  <si>
    <t>松高　旭輝</t>
  </si>
  <si>
    <t>JFA244860821546</t>
  </si>
  <si>
    <t>木本　十凰</t>
  </si>
  <si>
    <t>井又　唯月</t>
  </si>
  <si>
    <t>木本　瑛太</t>
  </si>
  <si>
    <t>荘野　奏斗</t>
  </si>
  <si>
    <t>佐藤　佑</t>
  </si>
  <si>
    <t>JFA256860925837</t>
  </si>
  <si>
    <t>小田　健人</t>
  </si>
  <si>
    <t>相良　勇人</t>
  </si>
  <si>
    <t>須藤　愛斗</t>
  </si>
  <si>
    <t>JFA251485995027</t>
  </si>
  <si>
    <t>松原　朔登</t>
  </si>
  <si>
    <t>高崎　絃</t>
  </si>
  <si>
    <t>吉満　千翔</t>
  </si>
  <si>
    <t>西本　尚生</t>
  </si>
  <si>
    <t>鎌倉　理</t>
  </si>
  <si>
    <t>姫野　修太</t>
  </si>
  <si>
    <t>森田　凌久</t>
  </si>
  <si>
    <t>JFA249311294662</t>
  </si>
  <si>
    <t>矢野　央一郎</t>
  </si>
  <si>
    <t>権藤　晴</t>
  </si>
  <si>
    <t>秦　照柚樹</t>
  </si>
  <si>
    <t>JFA257195081111</t>
  </si>
  <si>
    <t>坂本　芽挑</t>
  </si>
  <si>
    <t>村田　叶多</t>
  </si>
  <si>
    <t>末廣　一翔</t>
  </si>
  <si>
    <t>旙山　紀杏</t>
  </si>
  <si>
    <t>新家　大翔</t>
  </si>
  <si>
    <t>鉄本　恵祐</t>
  </si>
  <si>
    <t>岡本　太郎</t>
  </si>
  <si>
    <t>JFA239724995822</t>
  </si>
  <si>
    <t>糸永　美桜</t>
  </si>
  <si>
    <t>市川　凛太朗</t>
  </si>
  <si>
    <t>大久保　辰紀</t>
  </si>
  <si>
    <t>上野　優志</t>
  </si>
  <si>
    <t>JFA251260515300</t>
  </si>
  <si>
    <t>生野　絢大</t>
  </si>
  <si>
    <t>赤星　柊斗</t>
  </si>
  <si>
    <t>JFA254027327021</t>
  </si>
  <si>
    <t>高森　瑛誠</t>
  </si>
  <si>
    <t>JFA241106709929</t>
  </si>
  <si>
    <t>工藤　朝陽</t>
  </si>
  <si>
    <t>土井　へい吾</t>
  </si>
  <si>
    <t>真藤　煌</t>
  </si>
  <si>
    <t>矢田　蓮</t>
  </si>
  <si>
    <t>幸　龍司</t>
  </si>
  <si>
    <t>田中　翔馬</t>
  </si>
  <si>
    <t>進司　時翔</t>
  </si>
  <si>
    <t>新納　りり葉</t>
  </si>
  <si>
    <t>工藤　舜大</t>
  </si>
  <si>
    <t>清家　渉詩</t>
  </si>
  <si>
    <t>脇口　宏貴</t>
  </si>
  <si>
    <t>薬師寺　王輝</t>
  </si>
  <si>
    <t>峯　陽向</t>
  </si>
  <si>
    <t>後藤　咲哉</t>
  </si>
  <si>
    <t>橋本　結ニ郎</t>
  </si>
  <si>
    <t>中島　宏之介</t>
  </si>
  <si>
    <t>田村　龍聖</t>
  </si>
  <si>
    <t>堀川　碧星</t>
  </si>
  <si>
    <t>相良　翔亜</t>
  </si>
  <si>
    <t>加藤　丞</t>
  </si>
  <si>
    <t>長野　友哉</t>
  </si>
  <si>
    <t>熊埜御堂　蓮翔</t>
  </si>
  <si>
    <t>JFA243035217358</t>
  </si>
  <si>
    <t>古本　紗優</t>
  </si>
  <si>
    <t>南　彩花</t>
  </si>
  <si>
    <t>中村　壱太</t>
  </si>
  <si>
    <t>古澤　篤人</t>
  </si>
  <si>
    <t>中川　蒼心</t>
  </si>
  <si>
    <t>兒玉　章汰</t>
  </si>
  <si>
    <t>工藤　宏太</t>
  </si>
  <si>
    <t>山﨑　結陽</t>
  </si>
  <si>
    <t>額賀　侑晟</t>
  </si>
  <si>
    <t>JFA234453328976</t>
  </si>
  <si>
    <t>秦　弥南翔</t>
  </si>
  <si>
    <t>大石　和実</t>
  </si>
  <si>
    <t>山﨑　大也</t>
  </si>
  <si>
    <t>菅田　碧生</t>
  </si>
  <si>
    <t>御手洗　辰臣</t>
  </si>
  <si>
    <t>椛田　琉稀</t>
  </si>
  <si>
    <t>JFA238964170662</t>
  </si>
  <si>
    <t>棚村　勇瑠</t>
  </si>
  <si>
    <t>佐藤　旭</t>
  </si>
  <si>
    <t>渡邉　凪</t>
  </si>
  <si>
    <t>浅田　海翔</t>
  </si>
  <si>
    <t>矢野　翔真</t>
  </si>
  <si>
    <t>山下　遥羽</t>
  </si>
  <si>
    <t>柏木　隆之介</t>
  </si>
  <si>
    <t>柏木　康之介</t>
  </si>
  <si>
    <t>岩田　侑</t>
  </si>
  <si>
    <t>中尾　光汰</t>
  </si>
  <si>
    <t>上村　航平</t>
  </si>
  <si>
    <t>横田　龍佑</t>
  </si>
  <si>
    <t>西田　櫂斗</t>
  </si>
  <si>
    <t>寺尾　蒼太</t>
  </si>
  <si>
    <t>吉良　新</t>
  </si>
  <si>
    <t>高倉　慧人</t>
  </si>
  <si>
    <t>清水　柊優</t>
  </si>
  <si>
    <t>中野　由理</t>
  </si>
  <si>
    <t>内田　琉斗</t>
  </si>
  <si>
    <t>田口　拓実</t>
  </si>
  <si>
    <t>JFA251549537825</t>
  </si>
  <si>
    <t>首藤　凛</t>
  </si>
  <si>
    <t>宮嵜　泰一</t>
  </si>
  <si>
    <t>廣瀬　士朔</t>
  </si>
  <si>
    <t>JFA245478396932</t>
  </si>
  <si>
    <t>宮田　桧李</t>
  </si>
  <si>
    <t>本間　蒼斗</t>
  </si>
  <si>
    <t>黒木　翔太</t>
  </si>
  <si>
    <t>賀来　葵</t>
  </si>
  <si>
    <t>赤尾　叶愛</t>
  </si>
  <si>
    <t>JFA255534526545</t>
  </si>
  <si>
    <t>小野　悠響</t>
  </si>
  <si>
    <t>西　柊真</t>
  </si>
  <si>
    <t>村上　白夜</t>
  </si>
  <si>
    <t>JFA248419054796</t>
  </si>
  <si>
    <t>中堀　瑛心</t>
  </si>
  <si>
    <t>穴井　旺希</t>
  </si>
  <si>
    <t>若林　竜空</t>
  </si>
  <si>
    <t>大塚　健斗</t>
  </si>
  <si>
    <t>吉田　倖大</t>
  </si>
  <si>
    <t>野村　湊大</t>
  </si>
  <si>
    <t>宇野　結翔</t>
  </si>
  <si>
    <t>木本　貴晴</t>
  </si>
  <si>
    <t>JFA254299512287</t>
  </si>
  <si>
    <t>板清　朝陽</t>
  </si>
  <si>
    <t>野林　奏太</t>
  </si>
  <si>
    <t>矢野　朝陽</t>
  </si>
  <si>
    <t>田嶋　翼</t>
  </si>
  <si>
    <t>松本　庵里</t>
  </si>
  <si>
    <t>河野　創</t>
  </si>
  <si>
    <t>笹原　銀二</t>
  </si>
  <si>
    <t>廣木　晴一</t>
  </si>
  <si>
    <t>阿部　壮佑</t>
  </si>
  <si>
    <t>藤井　凰翔</t>
  </si>
  <si>
    <t>木崎　大晴</t>
  </si>
  <si>
    <t>山田　智也</t>
  </si>
  <si>
    <t>宮本　隼多</t>
  </si>
  <si>
    <t>松尾　唯真</t>
  </si>
  <si>
    <t>森﨑　一瑳</t>
  </si>
  <si>
    <t>野口　虎太郎</t>
  </si>
  <si>
    <t>長岡　蒼大</t>
  </si>
  <si>
    <t>西　絆臣</t>
  </si>
  <si>
    <t>幸　愛莉</t>
  </si>
  <si>
    <t>小野　紡誼</t>
  </si>
  <si>
    <t>有吉　一翔</t>
  </si>
  <si>
    <t>JFA238603390606</t>
  </si>
  <si>
    <t>池邉　宗真</t>
  </si>
  <si>
    <t>石川　空</t>
  </si>
  <si>
    <t>渡部　日奈太</t>
  </si>
  <si>
    <t>此本　早希</t>
  </si>
  <si>
    <t>JFA249165226866</t>
  </si>
  <si>
    <t>古藤　勇守</t>
  </si>
  <si>
    <t>中尾　充希</t>
  </si>
  <si>
    <t>阿南　颯真</t>
  </si>
  <si>
    <t>植村　凪</t>
  </si>
  <si>
    <t>JFA231978444424</t>
  </si>
  <si>
    <t>岩本　信志</t>
  </si>
  <si>
    <t>松本　一誠</t>
  </si>
  <si>
    <t>JFA253639438037</t>
  </si>
  <si>
    <t>安井　匠</t>
  </si>
  <si>
    <t>近藤　旭</t>
  </si>
  <si>
    <t>山上　諒大</t>
  </si>
  <si>
    <t>藤田　千翔</t>
  </si>
  <si>
    <t>廣瀬　晴翔</t>
  </si>
  <si>
    <t>田口　縁</t>
  </si>
  <si>
    <t>JFA239251576070</t>
  </si>
  <si>
    <t>橋本　尚弥</t>
  </si>
  <si>
    <t>渡邉　悠陽</t>
  </si>
  <si>
    <t>伊藤　明耀</t>
  </si>
  <si>
    <t>菅野　桜</t>
  </si>
  <si>
    <t>石崎　徹真</t>
  </si>
  <si>
    <t>JFA258034363705</t>
  </si>
  <si>
    <t>河端　莉斗</t>
  </si>
  <si>
    <t>中嶋　柊二</t>
  </si>
  <si>
    <t>塩山　航</t>
  </si>
  <si>
    <t>小山　紘蔵</t>
  </si>
  <si>
    <t>塩田　礼</t>
  </si>
  <si>
    <t>宿利　海斗</t>
  </si>
  <si>
    <t>JFA251612923349</t>
  </si>
  <si>
    <t>平野　希愛</t>
  </si>
  <si>
    <t>高嶋　空青</t>
  </si>
  <si>
    <t>小原　仁</t>
  </si>
  <si>
    <t>池邉　元気</t>
  </si>
  <si>
    <t>富久　琉斗</t>
  </si>
  <si>
    <t>小林　亮太</t>
  </si>
  <si>
    <t>竹尾　大和</t>
  </si>
  <si>
    <t>中野　倖成</t>
  </si>
  <si>
    <t>貞包　奏翔</t>
  </si>
  <si>
    <t>安部　匠真</t>
  </si>
  <si>
    <t>小林　泰宜</t>
  </si>
  <si>
    <t>JFA254606594455</t>
  </si>
  <si>
    <t>長尾　虎太朗</t>
  </si>
  <si>
    <t>JFA258036247224</t>
  </si>
  <si>
    <t>新名　渚</t>
  </si>
  <si>
    <t>JFA237392245379</t>
  </si>
  <si>
    <t>小畠　わたる</t>
  </si>
  <si>
    <t>二村　虎汰朗</t>
  </si>
  <si>
    <t>瀬口　天士郎</t>
  </si>
  <si>
    <t>城間　結翔</t>
  </si>
  <si>
    <t>山口　颯斗</t>
  </si>
  <si>
    <t>JFA248265116204</t>
  </si>
  <si>
    <t>麻生　麓玖</t>
  </si>
  <si>
    <t>古寺　永弥</t>
  </si>
  <si>
    <t>和合　嬉汰</t>
  </si>
  <si>
    <t>JFA259271403142</t>
  </si>
  <si>
    <t>礒崎　絢士</t>
  </si>
  <si>
    <t>飛騨　琉信</t>
  </si>
  <si>
    <t>長田　陽</t>
  </si>
  <si>
    <t>長谷部　蒼羽</t>
  </si>
  <si>
    <t>大本　玲生</t>
  </si>
  <si>
    <t>JFA255775509832</t>
  </si>
  <si>
    <t>坂本　丞汰朗</t>
  </si>
  <si>
    <t>JFA248119906737</t>
  </si>
  <si>
    <t>川口　雅空</t>
  </si>
  <si>
    <t>河野　陽彩</t>
  </si>
  <si>
    <t>牧　愛日向</t>
  </si>
  <si>
    <t>山崎　瞳璃</t>
  </si>
  <si>
    <t>中尾　仁春</t>
  </si>
  <si>
    <t>手島　陸</t>
  </si>
  <si>
    <t>幸　悠斗</t>
  </si>
  <si>
    <t>大野　海晟</t>
  </si>
  <si>
    <t>河邉　雄晟</t>
  </si>
  <si>
    <t>JFA255399268235</t>
  </si>
  <si>
    <t>木津　文翔</t>
  </si>
  <si>
    <t>豊田　桂絆</t>
  </si>
  <si>
    <t>田村　暖</t>
  </si>
  <si>
    <t>飯村　颯斗</t>
  </si>
  <si>
    <t>長野　奏汰</t>
  </si>
  <si>
    <t>関谷　斗吾</t>
  </si>
  <si>
    <t>鶴谷　春介</t>
  </si>
  <si>
    <t>工藤　伊織</t>
  </si>
  <si>
    <t>笹原　悠星</t>
  </si>
  <si>
    <t>阿部　駿介</t>
  </si>
  <si>
    <t>長門　朝陽</t>
  </si>
  <si>
    <t>長野　丞</t>
  </si>
  <si>
    <t>生地　琥太郎</t>
  </si>
  <si>
    <t>伊東　杏</t>
  </si>
  <si>
    <t>冬野　零弥</t>
  </si>
  <si>
    <t>恒賀　豪希</t>
  </si>
  <si>
    <t>川村　悠真</t>
  </si>
  <si>
    <t>長岡　綾人</t>
  </si>
  <si>
    <t>JFA248077805923</t>
  </si>
  <si>
    <t>中根　亜嵐</t>
  </si>
  <si>
    <t>JFA249001665687</t>
  </si>
  <si>
    <t>阿部　心咲</t>
  </si>
  <si>
    <t>須川　青空</t>
  </si>
  <si>
    <t>香川　陽向</t>
  </si>
  <si>
    <t>森脇　快晴</t>
  </si>
  <si>
    <t>吉谷　碧人</t>
  </si>
  <si>
    <t>西　奏亮</t>
  </si>
  <si>
    <t>日野　瑠真</t>
  </si>
  <si>
    <t>関　湊人</t>
  </si>
  <si>
    <t>佐藤　久斗</t>
  </si>
  <si>
    <t>鍋島　理玖</t>
  </si>
  <si>
    <t>木本　航瑠</t>
  </si>
  <si>
    <t>加来　慶一</t>
  </si>
  <si>
    <t>小代　有</t>
  </si>
  <si>
    <t>高尾　一瑛</t>
  </si>
  <si>
    <t>宮本　蒼央</t>
  </si>
  <si>
    <t>手島　匠之亮</t>
  </si>
  <si>
    <t>JFA243758624133</t>
  </si>
  <si>
    <t>児玉　蒼羽</t>
  </si>
  <si>
    <t>黒田　千尋</t>
  </si>
  <si>
    <t>矢野　新大</t>
  </si>
  <si>
    <t>亀井　光真</t>
  </si>
  <si>
    <t>田中　秀斗</t>
  </si>
  <si>
    <t>黒田　龍之介</t>
  </si>
  <si>
    <t>梶原　渚</t>
  </si>
  <si>
    <t>前田　澄晴</t>
  </si>
  <si>
    <t>和田　英威汰</t>
  </si>
  <si>
    <t>赤星　蒼樹</t>
  </si>
  <si>
    <t>古田　伊織</t>
  </si>
  <si>
    <t>岡見　嘉飛</t>
  </si>
  <si>
    <t>相良　健愼</t>
  </si>
  <si>
    <t>中野　七斗</t>
  </si>
  <si>
    <t>本城　慶真</t>
  </si>
  <si>
    <t>大江　湊翔</t>
  </si>
  <si>
    <t>藤原　和花</t>
  </si>
  <si>
    <t>北川　喜一</t>
  </si>
  <si>
    <t>橋本　海生</t>
  </si>
  <si>
    <t>JFA255009727679</t>
  </si>
  <si>
    <t>青野　雅弘</t>
  </si>
  <si>
    <t>JFA255878844388</t>
  </si>
  <si>
    <t>葛城　凪</t>
  </si>
  <si>
    <t>廣瀬　琥太朗</t>
  </si>
  <si>
    <t>栗林　寿一</t>
  </si>
  <si>
    <t>奥　咲斗</t>
  </si>
  <si>
    <t>堀田　一心</t>
  </si>
  <si>
    <t>豊島　隼人</t>
  </si>
  <si>
    <t>岡本　陽太</t>
  </si>
  <si>
    <t>白石　大翔</t>
  </si>
  <si>
    <t>角田　葉汰</t>
  </si>
  <si>
    <t>廣岡　柚希</t>
  </si>
  <si>
    <t>吉田　夏蓮</t>
  </si>
  <si>
    <t>吉田　柊夏</t>
  </si>
  <si>
    <t>荻野　結翔</t>
  </si>
  <si>
    <t>浅利　与公</t>
  </si>
  <si>
    <t>JFA250556968898</t>
  </si>
  <si>
    <t>佐々木　葵志</t>
  </si>
  <si>
    <t>野間　旺太郎</t>
  </si>
  <si>
    <t>JFA251311237537</t>
  </si>
  <si>
    <t>中川路　颯</t>
  </si>
  <si>
    <t>矢持　礼央</t>
  </si>
  <si>
    <t>梅尾　奏太</t>
  </si>
  <si>
    <t>荒巻　碧祢</t>
  </si>
  <si>
    <t>角田　夏希</t>
  </si>
  <si>
    <t>藤本　恵之介</t>
  </si>
  <si>
    <t>岩男　希心</t>
  </si>
  <si>
    <t>牧　有寿</t>
  </si>
  <si>
    <t>潮満　琥太朗</t>
  </si>
  <si>
    <t>松下　直人</t>
  </si>
  <si>
    <t>山田　蓮太</t>
  </si>
  <si>
    <t>上田　蒼大</t>
  </si>
  <si>
    <t>矢野　斗敬</t>
  </si>
  <si>
    <t>明石　琉生</t>
  </si>
  <si>
    <t>三代　岳</t>
  </si>
  <si>
    <t>梶原　大聖</t>
  </si>
  <si>
    <t>芝関　零心</t>
  </si>
  <si>
    <t>JFA240921295093</t>
  </si>
  <si>
    <t>清水　星那</t>
  </si>
  <si>
    <t>兎田　凛翔</t>
  </si>
  <si>
    <t>角藤　奏來</t>
  </si>
  <si>
    <t>藤井　十愛</t>
  </si>
  <si>
    <t>小野　柊弥</t>
  </si>
  <si>
    <t>梅村　旬</t>
  </si>
  <si>
    <t>林　奏樹</t>
  </si>
  <si>
    <t>財前　凪</t>
  </si>
  <si>
    <t>江口　暁人</t>
  </si>
  <si>
    <t>中山　來生斗</t>
  </si>
  <si>
    <t>髙橋　慶次</t>
  </si>
  <si>
    <t>藤塚　伶望</t>
  </si>
  <si>
    <t>百武　和真</t>
  </si>
  <si>
    <t>矢野　響人</t>
  </si>
  <si>
    <t>上田　悠葵</t>
  </si>
  <si>
    <t>吉岡　せいら</t>
  </si>
  <si>
    <t>足立　伊織</t>
  </si>
  <si>
    <t>奥永　煌生</t>
  </si>
  <si>
    <t>小野　蒼翔</t>
  </si>
  <si>
    <t>狭場　新</t>
  </si>
  <si>
    <t>JFA256398886053</t>
  </si>
  <si>
    <t>加来　慧汰</t>
  </si>
  <si>
    <t>小野　快浬</t>
  </si>
  <si>
    <t>高橋　旺士朗</t>
  </si>
  <si>
    <t>石橋　和樹</t>
  </si>
  <si>
    <t>三ヶ尻　夢姫</t>
  </si>
  <si>
    <t>後藤　叶向</t>
  </si>
  <si>
    <t>田中　心海</t>
  </si>
  <si>
    <t>岩　純太郎</t>
  </si>
  <si>
    <t>重石　華帆</t>
  </si>
  <si>
    <t>小野　燦士郎</t>
  </si>
  <si>
    <t>岩尾　侑</t>
  </si>
  <si>
    <t>後藤　結人</t>
  </si>
  <si>
    <t>佐藤　玲太</t>
  </si>
  <si>
    <t>利根　実波</t>
  </si>
  <si>
    <t>JFA258512253753</t>
  </si>
  <si>
    <t>鮫島　継実</t>
  </si>
  <si>
    <t>大倉　叶多</t>
  </si>
  <si>
    <t>中島　梨寧</t>
  </si>
  <si>
    <t>髙嶋　創</t>
  </si>
  <si>
    <t>柴田　修維</t>
  </si>
  <si>
    <t>熊井　悠人</t>
  </si>
  <si>
    <t>魚返　隼翔</t>
  </si>
  <si>
    <t>溝辺　十葉</t>
  </si>
  <si>
    <t>秋吉　大翔</t>
  </si>
  <si>
    <t>小手川　多旺</t>
  </si>
  <si>
    <t>福満　優仁</t>
  </si>
  <si>
    <t>水江　泰佑</t>
  </si>
  <si>
    <t>向　利來</t>
  </si>
  <si>
    <t>武原　琴音</t>
  </si>
  <si>
    <t>漆間　蒼志</t>
  </si>
  <si>
    <t>高田　海聖</t>
  </si>
  <si>
    <t>大塚　新</t>
  </si>
  <si>
    <t>JFA259797373935</t>
  </si>
  <si>
    <t>赤木　奏太</t>
  </si>
  <si>
    <t>指原　圭佑</t>
  </si>
  <si>
    <t>桒原　旬生</t>
  </si>
  <si>
    <t>河野　輝一</t>
  </si>
  <si>
    <t>後藤　宏海</t>
  </si>
  <si>
    <t>池内　成</t>
  </si>
  <si>
    <t>山口　朔也</t>
  </si>
  <si>
    <t>糸長　怜香</t>
  </si>
  <si>
    <t>坂口　悠大</t>
  </si>
  <si>
    <t>宇都宮　陽向</t>
  </si>
  <si>
    <t>田中　竜臣</t>
  </si>
  <si>
    <t>大川　笑佳</t>
  </si>
  <si>
    <t>村上　奏太</t>
  </si>
  <si>
    <t>安部　篤人</t>
  </si>
  <si>
    <t>川底　悠生</t>
  </si>
  <si>
    <t>河野　壮真</t>
  </si>
  <si>
    <t>石見　幸瞳</t>
  </si>
  <si>
    <t>坂本　燈也</t>
  </si>
  <si>
    <t>中原　由愛</t>
  </si>
  <si>
    <t>山内　綺貴</t>
  </si>
  <si>
    <t>三浦　彰太</t>
  </si>
  <si>
    <t>川野　圭太</t>
  </si>
  <si>
    <t>山際　遼真</t>
  </si>
  <si>
    <t>佐藤　若芭</t>
  </si>
  <si>
    <t>谷山　隼人</t>
  </si>
  <si>
    <t>井上　奏音</t>
  </si>
  <si>
    <t>宇土　鈴菜</t>
  </si>
  <si>
    <t>浅井　奏一郎</t>
  </si>
  <si>
    <t>小林　陽希</t>
  </si>
  <si>
    <t>佐藤　凛乃助</t>
  </si>
  <si>
    <t>園田　海心</t>
  </si>
  <si>
    <t>野村　佑隼</t>
  </si>
  <si>
    <t>佐藤　利樹</t>
  </si>
  <si>
    <t>有吉　隼汰</t>
  </si>
  <si>
    <t>姫島　心翔</t>
  </si>
  <si>
    <t>樋口　大晟</t>
  </si>
  <si>
    <t>田畑　瑛太</t>
  </si>
  <si>
    <t>高藤　壱瑳</t>
  </si>
  <si>
    <t>黒木　綾人</t>
  </si>
  <si>
    <t>尾﨑　翔</t>
  </si>
  <si>
    <t>岩田　賢生</t>
  </si>
  <si>
    <t>遠山　蒼真</t>
  </si>
  <si>
    <t>梶原　うた</t>
  </si>
  <si>
    <t>安東　良士</t>
  </si>
  <si>
    <t>秋山　湊真</t>
  </si>
  <si>
    <t>佐藤　悠橙</t>
  </si>
  <si>
    <t>日髙　成</t>
  </si>
  <si>
    <t>三浦　知紘</t>
  </si>
  <si>
    <t>秋山　大隼</t>
  </si>
  <si>
    <t>JFA250242630812</t>
  </si>
  <si>
    <t>大西　丞</t>
  </si>
  <si>
    <t>なし</t>
  </si>
  <si>
    <t>吉田　脩斗</t>
  </si>
  <si>
    <t>須川　海陸</t>
  </si>
  <si>
    <t>上別府　諒</t>
  </si>
  <si>
    <t>江川　雄星</t>
  </si>
  <si>
    <t>津田　旺佐</t>
  </si>
  <si>
    <t>立川　佑陽</t>
  </si>
  <si>
    <t>後藤　駿太郎</t>
  </si>
  <si>
    <t>寺嶋　大智</t>
  </si>
  <si>
    <t>八木　蒼介</t>
  </si>
  <si>
    <t>岩城　悠人</t>
  </si>
  <si>
    <t>郡田　照也</t>
  </si>
  <si>
    <t>浅利　千紘</t>
  </si>
  <si>
    <t>新名　貫太</t>
  </si>
  <si>
    <t>衞藤　健太</t>
  </si>
  <si>
    <t>川野　華子</t>
  </si>
  <si>
    <t>三宅　忍己</t>
  </si>
  <si>
    <t>森　隼人</t>
  </si>
  <si>
    <t>合谷　佑月</t>
  </si>
  <si>
    <t>長田　薫</t>
  </si>
  <si>
    <t>久知良　悠斗</t>
  </si>
  <si>
    <t>後藤　和翔</t>
  </si>
  <si>
    <t>木田　涼介</t>
  </si>
  <si>
    <t>長友　桔平</t>
  </si>
  <si>
    <t>高橋　龍ノ介</t>
  </si>
  <si>
    <t>門口　真大</t>
  </si>
  <si>
    <t>堀場　碧唯</t>
  </si>
  <si>
    <t>久壽米木　慶咲</t>
  </si>
  <si>
    <t>羽立　正登</t>
  </si>
  <si>
    <t>中條　瑛太</t>
  </si>
  <si>
    <t>羽田野　凌功</t>
  </si>
  <si>
    <t>武吉　鈴叶</t>
  </si>
  <si>
    <t>武吉　蘭叶</t>
  </si>
  <si>
    <t>峯　陽翔</t>
  </si>
  <si>
    <t>丸田　琉生</t>
  </si>
  <si>
    <t>潮満　龍之介</t>
  </si>
  <si>
    <t>牧　大和</t>
  </si>
  <si>
    <t>冨田　寿音</t>
  </si>
  <si>
    <t>白江　珠宇</t>
  </si>
  <si>
    <t>高村　吏津</t>
  </si>
  <si>
    <t>小林　弘人</t>
  </si>
  <si>
    <t>山﨑　湊斗</t>
  </si>
  <si>
    <t>JFA252983917699</t>
  </si>
  <si>
    <t>葛城　櫻</t>
  </si>
  <si>
    <t>古間地　麗輝</t>
  </si>
  <si>
    <t>瀧口　徠凱</t>
  </si>
  <si>
    <t>瀧口　颯凱</t>
  </si>
  <si>
    <t>大西　晴琉</t>
  </si>
  <si>
    <t>木許　真冴人</t>
  </si>
  <si>
    <t>山田　大翔</t>
  </si>
  <si>
    <t>平野　麦</t>
  </si>
  <si>
    <t>髙嶋　結</t>
  </si>
  <si>
    <t>安部　遼祐</t>
  </si>
  <si>
    <t>小野　紘弥</t>
    <phoneticPr fontId="29"/>
  </si>
  <si>
    <t>R010453684</t>
  </si>
  <si>
    <t>野村　樹生</t>
  </si>
  <si>
    <t>大阪府</t>
  </si>
  <si>
    <t>R010331001</t>
  </si>
  <si>
    <t>来海　孝幸</t>
  </si>
  <si>
    <t>R010286144</t>
  </si>
  <si>
    <t>阿部　悠聖</t>
  </si>
  <si>
    <t>R010870312</t>
  </si>
  <si>
    <t>安部　涼介</t>
  </si>
  <si>
    <t>R010882638</t>
  </si>
  <si>
    <t>江藤　直希</t>
  </si>
  <si>
    <t>R010882639</t>
  </si>
  <si>
    <t>江原　陽南</t>
  </si>
  <si>
    <t>R010870310</t>
  </si>
  <si>
    <t>大原　颯斗</t>
  </si>
  <si>
    <t>R010955848</t>
  </si>
  <si>
    <t>R010890158</t>
  </si>
  <si>
    <t>R010870308</t>
  </si>
  <si>
    <t>小林　周平</t>
  </si>
  <si>
    <t>R010909141</t>
  </si>
  <si>
    <t>R010909138</t>
  </si>
  <si>
    <t>R010921697</t>
  </si>
  <si>
    <t>R010820484</t>
  </si>
  <si>
    <t>中村　舜</t>
  </si>
  <si>
    <t>狹間　照央</t>
  </si>
  <si>
    <t>R010737414</t>
  </si>
  <si>
    <t>羽田野　宥瑛</t>
  </si>
  <si>
    <t>R010879983</t>
  </si>
  <si>
    <t>原田　柊</t>
  </si>
  <si>
    <t>R010870311</t>
  </si>
  <si>
    <t>藤原　大和</t>
  </si>
  <si>
    <t>R010870309</t>
  </si>
  <si>
    <t>松本　晃太朗</t>
  </si>
  <si>
    <t>R010914548</t>
  </si>
  <si>
    <t>宮原　資</t>
  </si>
  <si>
    <t>R010728248</t>
  </si>
  <si>
    <t>宮本　明日佳</t>
  </si>
  <si>
    <t>R010960966</t>
  </si>
  <si>
    <t>相澤　空鷹</t>
  </si>
  <si>
    <t>R010909625</t>
  </si>
  <si>
    <t>アイモト　ジョウジ</t>
  </si>
  <si>
    <t>R010896976</t>
  </si>
  <si>
    <t>赤星　宗明</t>
  </si>
  <si>
    <t>R010961718</t>
  </si>
  <si>
    <t>赤嶺　佑磨</t>
  </si>
  <si>
    <t>R010944957</t>
  </si>
  <si>
    <t>秋月　航太朗</t>
  </si>
  <si>
    <t>R010941692</t>
  </si>
  <si>
    <t>穐吉　胤杜</t>
  </si>
  <si>
    <t>R010871734</t>
  </si>
  <si>
    <t>芥川　勇翔</t>
  </si>
  <si>
    <t>R010871707</t>
  </si>
  <si>
    <t>浅井　仁成</t>
  </si>
  <si>
    <t>R010956651</t>
  </si>
  <si>
    <t>R010871728</t>
  </si>
  <si>
    <t>麻生　健心</t>
  </si>
  <si>
    <t>R010931583</t>
  </si>
  <si>
    <t>麻生　結実</t>
  </si>
  <si>
    <t>R010955154</t>
  </si>
  <si>
    <t>R010956663</t>
  </si>
  <si>
    <t>安達　陸人</t>
  </si>
  <si>
    <t>R010871716</t>
  </si>
  <si>
    <t>阿南　幸助</t>
  </si>
  <si>
    <t>R010882626</t>
  </si>
  <si>
    <t>阿南　公基</t>
  </si>
  <si>
    <t>R010888230</t>
  </si>
  <si>
    <t>阿南　幸翔</t>
  </si>
  <si>
    <t>R010944938</t>
  </si>
  <si>
    <t>R010909174</t>
  </si>
  <si>
    <t>R010871706</t>
  </si>
  <si>
    <t>安部　叶音</t>
  </si>
  <si>
    <t>R010931578</t>
  </si>
  <si>
    <t>安部　栞奈</t>
  </si>
  <si>
    <t>R010961228</t>
  </si>
  <si>
    <t>阿部　拳大</t>
  </si>
  <si>
    <t>R010960972</t>
  </si>
  <si>
    <t>R010896990</t>
  </si>
  <si>
    <t>R010896992</t>
  </si>
  <si>
    <t>阿部　那紀</t>
  </si>
  <si>
    <t>R010667036</t>
  </si>
  <si>
    <t>阿部　心結</t>
  </si>
  <si>
    <t>R010955152</t>
  </si>
  <si>
    <t>R010961474</t>
  </si>
  <si>
    <t>R010960946</t>
  </si>
  <si>
    <t>R010960115</t>
  </si>
  <si>
    <t>荒木　絆花</t>
  </si>
  <si>
    <t>R010960122</t>
  </si>
  <si>
    <t>安藤　暖実華</t>
  </si>
  <si>
    <t>R010896995</t>
  </si>
  <si>
    <t>安東　壮大</t>
  </si>
  <si>
    <t>R010909150</t>
  </si>
  <si>
    <t>飯村　雄大</t>
  </si>
  <si>
    <t>R010882634</t>
  </si>
  <si>
    <t>伊賀上　陸</t>
  </si>
  <si>
    <t>R010896972</t>
  </si>
  <si>
    <t>池井　庵</t>
  </si>
  <si>
    <t>R010879994</t>
  </si>
  <si>
    <t>池内　琢哉</t>
  </si>
  <si>
    <t>R010871718</t>
  </si>
  <si>
    <t>池田　龍之介</t>
  </si>
  <si>
    <t>R010871724</t>
  </si>
  <si>
    <t>池永　煌一朗</t>
  </si>
  <si>
    <t>R010960985</t>
  </si>
  <si>
    <t>R010909136</t>
  </si>
  <si>
    <t>伊崎　亮</t>
  </si>
  <si>
    <t>R010909173</t>
  </si>
  <si>
    <t>R010946788</t>
  </si>
  <si>
    <t>R010960949</t>
  </si>
  <si>
    <t>R010960979</t>
  </si>
  <si>
    <t>R010882630</t>
  </si>
  <si>
    <t>板井　尋斗</t>
  </si>
  <si>
    <t>R010956650</t>
  </si>
  <si>
    <t>R010879989</t>
  </si>
  <si>
    <t>板谷　直紀</t>
  </si>
  <si>
    <t>R010941686</t>
  </si>
  <si>
    <t>一木　海来</t>
  </si>
  <si>
    <t>R010931581</t>
  </si>
  <si>
    <t>R010960926</t>
  </si>
  <si>
    <t>R010961243</t>
  </si>
  <si>
    <t>R010955149</t>
  </si>
  <si>
    <t>R010896988</t>
  </si>
  <si>
    <t>伊藤　竜希</t>
  </si>
  <si>
    <t>R010960930</t>
  </si>
  <si>
    <t>R010944959</t>
  </si>
  <si>
    <t>伊藤　博法</t>
  </si>
  <si>
    <t>R010944949</t>
  </si>
  <si>
    <t>伊藤　匡人</t>
  </si>
  <si>
    <t>R010931573</t>
  </si>
  <si>
    <t>伊藤　瑞</t>
  </si>
  <si>
    <t>R010951697</t>
  </si>
  <si>
    <t>R010946790</t>
  </si>
  <si>
    <t>稲吉　優造</t>
  </si>
  <si>
    <t>R010946786</t>
  </si>
  <si>
    <t>R010950720</t>
  </si>
  <si>
    <t>R010941684</t>
  </si>
  <si>
    <t>井上　翔伍</t>
  </si>
  <si>
    <t>R010909153</t>
  </si>
  <si>
    <t>井上　裕史</t>
  </si>
  <si>
    <t>R010877121</t>
  </si>
  <si>
    <t>井上　皓登</t>
  </si>
  <si>
    <t>R010871720</t>
  </si>
  <si>
    <t>猪原　秀哉</t>
  </si>
  <si>
    <t>R010944940</t>
  </si>
  <si>
    <t>R010960965</t>
  </si>
  <si>
    <t>今川　凜香</t>
  </si>
  <si>
    <t>R010956625</t>
  </si>
  <si>
    <t>R010909611</t>
  </si>
  <si>
    <t>R010960943</t>
  </si>
  <si>
    <t>R010960947</t>
  </si>
  <si>
    <t>R010956654</t>
  </si>
  <si>
    <t>R010950718</t>
  </si>
  <si>
    <t>祝園　武</t>
  </si>
  <si>
    <t>R010961247</t>
  </si>
  <si>
    <t>R010961467</t>
  </si>
  <si>
    <t>R010961468</t>
  </si>
  <si>
    <t>R010879998</t>
  </si>
  <si>
    <t>岩下　春樹</t>
  </si>
  <si>
    <t>R010882645</t>
  </si>
  <si>
    <t>岩田　信佑</t>
  </si>
  <si>
    <t>R010950724</t>
  </si>
  <si>
    <t>R010871730</t>
  </si>
  <si>
    <t>岩永　燈和</t>
  </si>
  <si>
    <t>R010914549</t>
  </si>
  <si>
    <t>岩永　亮</t>
  </si>
  <si>
    <t>R010909162</t>
  </si>
  <si>
    <t>岩本　ハルキ</t>
  </si>
  <si>
    <t>R010871722</t>
  </si>
  <si>
    <t>植木　杏亮</t>
  </si>
  <si>
    <t>R010956661</t>
  </si>
  <si>
    <t>R010956645</t>
  </si>
  <si>
    <t>R010955852</t>
  </si>
  <si>
    <t>R010952028</t>
  </si>
  <si>
    <t>R010960938</t>
  </si>
  <si>
    <t>R010882664</t>
  </si>
  <si>
    <t>植山　勝貴</t>
  </si>
  <si>
    <t>R010944939</t>
  </si>
  <si>
    <t>R010909621</t>
  </si>
  <si>
    <t>R010879999</t>
  </si>
  <si>
    <t>梅村　匠人</t>
  </si>
  <si>
    <t>R010896985</t>
  </si>
  <si>
    <t>梅本　琉成</t>
  </si>
  <si>
    <t>R010956643</t>
  </si>
  <si>
    <t>R010960970</t>
  </si>
  <si>
    <t>R010960937</t>
  </si>
  <si>
    <t>衞藤　光佑</t>
  </si>
  <si>
    <t>R010871712</t>
  </si>
  <si>
    <t>衛藤　昇</t>
  </si>
  <si>
    <t>R010957692</t>
  </si>
  <si>
    <t>R010951698</t>
  </si>
  <si>
    <t>R010955858</t>
  </si>
  <si>
    <t>R010961594</t>
  </si>
  <si>
    <t>江里口　楓</t>
  </si>
  <si>
    <t>R010961595</t>
  </si>
  <si>
    <t>江里口　薫</t>
  </si>
  <si>
    <t>R010896965</t>
  </si>
  <si>
    <t>大石　悠真</t>
  </si>
  <si>
    <t>R010960991</t>
  </si>
  <si>
    <t>R010960116</t>
  </si>
  <si>
    <t>R010931582</t>
  </si>
  <si>
    <t>大迫　弥桜</t>
  </si>
  <si>
    <t>R010941683</t>
  </si>
  <si>
    <t>大下　遙斗</t>
  </si>
  <si>
    <t>R010956655</t>
  </si>
  <si>
    <t>R010956634</t>
  </si>
  <si>
    <t>R010951692</t>
  </si>
  <si>
    <t>大新田　大輝</t>
  </si>
  <si>
    <t>R010957011</t>
  </si>
  <si>
    <t>R010957698</t>
  </si>
  <si>
    <t>大友　尋平</t>
  </si>
  <si>
    <t>R010957016</t>
  </si>
  <si>
    <t>大野　弥生</t>
  </si>
  <si>
    <t>R010960987</t>
  </si>
  <si>
    <t>R010896999</t>
  </si>
  <si>
    <t>岡田　瑛斗</t>
  </si>
  <si>
    <t>R010956647</t>
  </si>
  <si>
    <t>R010870852</t>
  </si>
  <si>
    <t>岡部　龍大</t>
  </si>
  <si>
    <t>R010960976</t>
  </si>
  <si>
    <t>R010956646</t>
  </si>
  <si>
    <t>R010944944</t>
  </si>
  <si>
    <t>R010909620</t>
  </si>
  <si>
    <t>R010960933</t>
  </si>
  <si>
    <t>R010896993</t>
  </si>
  <si>
    <t>奥田　優志</t>
  </si>
  <si>
    <t>R010950729</t>
  </si>
  <si>
    <t>奥村　篤希</t>
  </si>
  <si>
    <t>R010941675</t>
  </si>
  <si>
    <t>R010960126</t>
  </si>
  <si>
    <t>奥村　澪</t>
  </si>
  <si>
    <t>R010961232</t>
  </si>
  <si>
    <t>R010960988</t>
  </si>
  <si>
    <t>R010960942</t>
  </si>
  <si>
    <t>R010961471</t>
  </si>
  <si>
    <t>R010801402</t>
  </si>
  <si>
    <t>鬼木　優妃</t>
  </si>
  <si>
    <t>R010945334</t>
  </si>
  <si>
    <t>小野　咲空斗</t>
  </si>
  <si>
    <t>R010955158</t>
  </si>
  <si>
    <t>小野　航大朗</t>
  </si>
  <si>
    <t>R010956624</t>
  </si>
  <si>
    <t>R010909145</t>
  </si>
  <si>
    <t>R010956642</t>
  </si>
  <si>
    <t>R010961723</t>
  </si>
  <si>
    <t>R010961238</t>
  </si>
  <si>
    <t>R010931574</t>
  </si>
  <si>
    <t>小野　蓮華</t>
  </si>
  <si>
    <t>R010877122</t>
  </si>
  <si>
    <t>小野沢　颯人</t>
  </si>
  <si>
    <t>R010895954</t>
  </si>
  <si>
    <t>小原　優斗</t>
  </si>
  <si>
    <t>R010941679</t>
  </si>
  <si>
    <t>R010871708</t>
  </si>
  <si>
    <t>小幡　玲治</t>
  </si>
  <si>
    <t>R010957020</t>
  </si>
  <si>
    <t>R010941687</t>
  </si>
  <si>
    <t>表　智輝</t>
  </si>
  <si>
    <t>R010961726</t>
  </si>
  <si>
    <t>R010882661</t>
  </si>
  <si>
    <t>甲斐　陽翔</t>
  </si>
  <si>
    <t>R010957697</t>
  </si>
  <si>
    <t>R010960929</t>
  </si>
  <si>
    <t>R010957686</t>
  </si>
  <si>
    <t>R010882632</t>
  </si>
  <si>
    <t>賀来　雄二</t>
  </si>
  <si>
    <t>R010957022</t>
  </si>
  <si>
    <t>R010870859</t>
  </si>
  <si>
    <t>笠原　惇希</t>
  </si>
  <si>
    <t>R010944947</t>
  </si>
  <si>
    <t>R010956662</t>
  </si>
  <si>
    <t>R010955856</t>
  </si>
  <si>
    <t>R010882647</t>
  </si>
  <si>
    <t>片山　晴斗</t>
  </si>
  <si>
    <t>R010882637</t>
  </si>
  <si>
    <t>勝見　悠樹</t>
  </si>
  <si>
    <t>R010909144</t>
  </si>
  <si>
    <t>R010955855</t>
  </si>
  <si>
    <t>R010960969</t>
  </si>
  <si>
    <t>R010957682</t>
  </si>
  <si>
    <t>R010897000</t>
  </si>
  <si>
    <t>嘉茂　奏太</t>
  </si>
  <si>
    <t>R010871709</t>
  </si>
  <si>
    <t>萓嶋　颯太</t>
  </si>
  <si>
    <t>R010961236</t>
  </si>
  <si>
    <t>R010882653</t>
  </si>
  <si>
    <t>仮屋　月雲</t>
  </si>
  <si>
    <t>R010870848</t>
  </si>
  <si>
    <t>仮屋園　和空</t>
  </si>
  <si>
    <t>R010944953</t>
  </si>
  <si>
    <t>R010951696</t>
  </si>
  <si>
    <t>R010877119</t>
  </si>
  <si>
    <t>川﨑　寛介</t>
  </si>
  <si>
    <t>R010944952</t>
  </si>
  <si>
    <t>R010882641</t>
  </si>
  <si>
    <t>河津　隼也</t>
  </si>
  <si>
    <t>R010956628</t>
  </si>
  <si>
    <t>川野　孝太郎</t>
  </si>
  <si>
    <t>R010961245</t>
  </si>
  <si>
    <t>R010882642</t>
  </si>
  <si>
    <t>川野　駿</t>
  </si>
  <si>
    <t>R010871732</t>
  </si>
  <si>
    <t>河野　蒼空</t>
  </si>
  <si>
    <t>R010882631</t>
  </si>
  <si>
    <t>河野　祐大</t>
  </si>
  <si>
    <t>R010941690</t>
  </si>
  <si>
    <t>河野　雄太</t>
  </si>
  <si>
    <t>R010909627</t>
  </si>
  <si>
    <t>R010956664</t>
  </si>
  <si>
    <t>川村　圭</t>
  </si>
  <si>
    <t>R010960119</t>
  </si>
  <si>
    <t>神﨑　来実</t>
  </si>
  <si>
    <t>R010960977</t>
  </si>
  <si>
    <t>R010896986</t>
  </si>
  <si>
    <t>神田　創成</t>
  </si>
  <si>
    <t>R010961717</t>
  </si>
  <si>
    <t>R010909615</t>
  </si>
  <si>
    <t>R010955146</t>
  </si>
  <si>
    <t>R010877120</t>
  </si>
  <si>
    <t>北林　凛成</t>
  </si>
  <si>
    <t>R010955162</t>
  </si>
  <si>
    <t>R010950712</t>
  </si>
  <si>
    <t>城戸　奏夢</t>
  </si>
  <si>
    <t>R010956644</t>
  </si>
  <si>
    <t>R010944943</t>
  </si>
  <si>
    <t>R010957695</t>
  </si>
  <si>
    <t>木下　雅喜</t>
  </si>
  <si>
    <t>R010956621</t>
  </si>
  <si>
    <t>木下　琉星</t>
  </si>
  <si>
    <t>R010950726</t>
  </si>
  <si>
    <t>R010882659</t>
  </si>
  <si>
    <t>岐部　陸翔</t>
  </si>
  <si>
    <t>R010896977</t>
  </si>
  <si>
    <t>木本　蒼翔</t>
  </si>
  <si>
    <t>R010871725</t>
  </si>
  <si>
    <t>木元　駿</t>
  </si>
  <si>
    <t>R010955148</t>
  </si>
  <si>
    <t>R010957677</t>
  </si>
  <si>
    <t>休坂　昂志郎</t>
  </si>
  <si>
    <t>R010882657</t>
  </si>
  <si>
    <t>清田　晴太郎</t>
  </si>
  <si>
    <t>R010957027</t>
  </si>
  <si>
    <t>R010871713</t>
  </si>
  <si>
    <t>清藤　槙斗</t>
  </si>
  <si>
    <t>R010961469</t>
  </si>
  <si>
    <t>R010961466</t>
  </si>
  <si>
    <t>R010877116</t>
  </si>
  <si>
    <t>工藤　豪汰</t>
  </si>
  <si>
    <t>R010946794</t>
  </si>
  <si>
    <t>工藤　俊希</t>
  </si>
  <si>
    <t>R010957021</t>
  </si>
  <si>
    <t>R010951690</t>
  </si>
  <si>
    <t>久保　翔平</t>
  </si>
  <si>
    <t>R010909170</t>
  </si>
  <si>
    <t>久保　琢弥</t>
  </si>
  <si>
    <t>R010960124</t>
  </si>
  <si>
    <t>久保河内　海晴</t>
  </si>
  <si>
    <t>R010896959</t>
  </si>
  <si>
    <t>熊谷　昂暉</t>
  </si>
  <si>
    <t>R010950730</t>
  </si>
  <si>
    <t>熊谷　優志</t>
  </si>
  <si>
    <t>R010956640</t>
  </si>
  <si>
    <t>R010879986</t>
  </si>
  <si>
    <t>倉原　一輝</t>
  </si>
  <si>
    <t>R010909613</t>
  </si>
  <si>
    <t>R010956630</t>
  </si>
  <si>
    <t>R010945333</t>
  </si>
  <si>
    <t>黒川　蓮</t>
  </si>
  <si>
    <t>R010896996</t>
  </si>
  <si>
    <t>黒木　秀彰</t>
  </si>
  <si>
    <t>R010960935</t>
  </si>
  <si>
    <t>R010870857</t>
  </si>
  <si>
    <t>桒野　董士</t>
  </si>
  <si>
    <t>R010950722</t>
  </si>
  <si>
    <t>R010957684</t>
  </si>
  <si>
    <t>R010931575</t>
  </si>
  <si>
    <t>R010879984</t>
  </si>
  <si>
    <t>神毛　幾也</t>
  </si>
  <si>
    <t>R010941681</t>
  </si>
  <si>
    <t>R010955141</t>
  </si>
  <si>
    <t>R010960950</t>
  </si>
  <si>
    <t>R010877113</t>
  </si>
  <si>
    <t>河野　優斗</t>
  </si>
  <si>
    <t>R010955147</t>
  </si>
  <si>
    <t>R010944945</t>
  </si>
  <si>
    <t>古賀　丈太郎</t>
  </si>
  <si>
    <t>R010909146</t>
  </si>
  <si>
    <t>小嶋　蓮</t>
  </si>
  <si>
    <t>R010944950</t>
  </si>
  <si>
    <t>R010961233</t>
  </si>
  <si>
    <t>小菅　隼汰</t>
  </si>
  <si>
    <t>R010960951</t>
  </si>
  <si>
    <t>R010909140</t>
  </si>
  <si>
    <t>R010871703</t>
  </si>
  <si>
    <t>児玉　留己也</t>
  </si>
  <si>
    <t>R010909151</t>
  </si>
  <si>
    <t>R010946780</t>
  </si>
  <si>
    <t>R010957688</t>
  </si>
  <si>
    <t>小宮路　凜和</t>
  </si>
  <si>
    <t>R010871726</t>
  </si>
  <si>
    <t>古屋　直己</t>
  </si>
  <si>
    <t>R010871711</t>
  </si>
  <si>
    <t>小山　千慧</t>
  </si>
  <si>
    <t>R010879992</t>
  </si>
  <si>
    <t>小山　洋一郎</t>
  </si>
  <si>
    <t>R010914550</t>
  </si>
  <si>
    <t>近藤　拓磨</t>
  </si>
  <si>
    <t>R010941691</t>
  </si>
  <si>
    <t>近藤　汰哉</t>
  </si>
  <si>
    <t>R010909612</t>
  </si>
  <si>
    <t>後藤　碧希</t>
  </si>
  <si>
    <t>R010955851</t>
  </si>
  <si>
    <t>R010951700</t>
  </si>
  <si>
    <t>R010896994</t>
  </si>
  <si>
    <t>後藤　笙</t>
  </si>
  <si>
    <t>R010957017</t>
  </si>
  <si>
    <t>R010909147</t>
  </si>
  <si>
    <t>R010946793</t>
  </si>
  <si>
    <t>後藤　洋徳</t>
  </si>
  <si>
    <t>R010957685</t>
  </si>
  <si>
    <t>後藤　真琴</t>
  </si>
  <si>
    <t>R010888233</t>
  </si>
  <si>
    <t>後藤　大和</t>
  </si>
  <si>
    <t>R010960982</t>
  </si>
  <si>
    <t>R010931580</t>
  </si>
  <si>
    <t>堺　彩実</t>
  </si>
  <si>
    <t>R010960117</t>
  </si>
  <si>
    <t>堺　爽空</t>
  </si>
  <si>
    <t>R010951694</t>
  </si>
  <si>
    <t>R010960123</t>
  </si>
  <si>
    <t>堺　愛美</t>
  </si>
  <si>
    <t>R010950716</t>
  </si>
  <si>
    <t>酒井　優空</t>
  </si>
  <si>
    <t>R010871714</t>
  </si>
  <si>
    <t>坂本　海晟</t>
  </si>
  <si>
    <t>R010945337</t>
  </si>
  <si>
    <t>坂本　空禅空禅</t>
  </si>
  <si>
    <t>R010961237</t>
  </si>
  <si>
    <t>R010944958</t>
  </si>
  <si>
    <t>佐々木　怜音</t>
  </si>
  <si>
    <t>R010960962</t>
  </si>
  <si>
    <t>R010960953</t>
  </si>
  <si>
    <t>R010955140</t>
  </si>
  <si>
    <t>R010956657</t>
  </si>
  <si>
    <t>R010877114</t>
  </si>
  <si>
    <t>佐藤　大地</t>
  </si>
  <si>
    <t>R010961235</t>
  </si>
  <si>
    <t>R010888231</t>
  </si>
  <si>
    <t>佐藤　亨</t>
  </si>
  <si>
    <t>R010960960</t>
  </si>
  <si>
    <t>R010955144</t>
  </si>
  <si>
    <t>R010879990</t>
  </si>
  <si>
    <t>佐藤　勝</t>
  </si>
  <si>
    <t>R010882665</t>
  </si>
  <si>
    <t>佐藤　愛大</t>
  </si>
  <si>
    <t>R010960934</t>
  </si>
  <si>
    <t>R010931577</t>
  </si>
  <si>
    <t>佐藤　礼佳</t>
  </si>
  <si>
    <t>R010870856</t>
  </si>
  <si>
    <t>R010871704</t>
  </si>
  <si>
    <t>佐藤　龍輝</t>
  </si>
  <si>
    <t>R010946796</t>
  </si>
  <si>
    <t>佐藤　僚介</t>
  </si>
  <si>
    <t>R010882629</t>
  </si>
  <si>
    <t>佐奈　拓実</t>
  </si>
  <si>
    <t>R010882627</t>
  </si>
  <si>
    <t>澤井　優翔</t>
  </si>
  <si>
    <t>R010956635</t>
  </si>
  <si>
    <t>R010961246</t>
  </si>
  <si>
    <t>R010931584</t>
  </si>
  <si>
    <t>R010960955</t>
  </si>
  <si>
    <t>R010955161</t>
  </si>
  <si>
    <t>R010960952</t>
  </si>
  <si>
    <t>R010879995</t>
  </si>
  <si>
    <t>椎原　丈人</t>
  </si>
  <si>
    <t>R010896989</t>
  </si>
  <si>
    <t>志賀　杏陸</t>
  </si>
  <si>
    <t>R010956653</t>
  </si>
  <si>
    <t>R010960986</t>
  </si>
  <si>
    <t>R010882656</t>
  </si>
  <si>
    <t>重増　奏汰</t>
  </si>
  <si>
    <t>R010931585</t>
  </si>
  <si>
    <t>篠原　美咲</t>
  </si>
  <si>
    <t>R010880000</t>
  </si>
  <si>
    <t>柴田　拓巳</t>
  </si>
  <si>
    <t>R010941678</t>
  </si>
  <si>
    <t>R010914554</t>
  </si>
  <si>
    <t>柴田　宗俊</t>
  </si>
  <si>
    <t>R010957690</t>
  </si>
  <si>
    <t>清水　健志</t>
  </si>
  <si>
    <t>R010870854</t>
  </si>
  <si>
    <t>清水　琉季士</t>
  </si>
  <si>
    <t>R010871717</t>
  </si>
  <si>
    <t>志村　聖</t>
  </si>
  <si>
    <t>R010960978</t>
  </si>
  <si>
    <t>R010896961</t>
  </si>
  <si>
    <t>R010909624</t>
  </si>
  <si>
    <t>R010956652</t>
  </si>
  <si>
    <t>R010961470</t>
  </si>
  <si>
    <t>R010960980</t>
  </si>
  <si>
    <t>R010960928</t>
  </si>
  <si>
    <t>R010914559</t>
  </si>
  <si>
    <t>生野　咲</t>
  </si>
  <si>
    <t>R010944946</t>
  </si>
  <si>
    <t>R010888232</t>
  </si>
  <si>
    <t>白石　悠馬</t>
  </si>
  <si>
    <t>R010944956</t>
  </si>
  <si>
    <t>R010961203</t>
  </si>
  <si>
    <t>R010961204</t>
  </si>
  <si>
    <t>R010946791</t>
  </si>
  <si>
    <t>陣矢　竜一</t>
  </si>
  <si>
    <t>R010956629</t>
  </si>
  <si>
    <t>R010909614</t>
  </si>
  <si>
    <t>R010941677</t>
  </si>
  <si>
    <t>R010871727</t>
  </si>
  <si>
    <t>菅　健琉</t>
  </si>
  <si>
    <t>R010954219</t>
  </si>
  <si>
    <t>菅野　泰雅</t>
  </si>
  <si>
    <t>R010954220</t>
  </si>
  <si>
    <t>R010960974</t>
  </si>
  <si>
    <t>R010960959</t>
  </si>
  <si>
    <t>鈴木　遙真</t>
  </si>
  <si>
    <t>R010955145</t>
  </si>
  <si>
    <t>R010957693</t>
  </si>
  <si>
    <t>R010882648</t>
  </si>
  <si>
    <t>角　英樹</t>
  </si>
  <si>
    <t>R010909152</t>
  </si>
  <si>
    <t>清家　拓海</t>
  </si>
  <si>
    <t>R010941685</t>
  </si>
  <si>
    <t>関　大夢</t>
  </si>
  <si>
    <t>R010931571</t>
  </si>
  <si>
    <t>瀬下　遼子</t>
  </si>
  <si>
    <t>R010956622</t>
  </si>
  <si>
    <t>R010954218</t>
  </si>
  <si>
    <t>R010941680</t>
  </si>
  <si>
    <t>R010896982</t>
  </si>
  <si>
    <t>園田　凰介</t>
  </si>
  <si>
    <t>R010956626</t>
  </si>
  <si>
    <t>R010914557</t>
  </si>
  <si>
    <t>高尾　孝幸</t>
  </si>
  <si>
    <t>R010944942</t>
  </si>
  <si>
    <t>R010957012</t>
  </si>
  <si>
    <t>高倉　怜臣</t>
  </si>
  <si>
    <t>R010896966</t>
  </si>
  <si>
    <t>高瀬　一光</t>
  </si>
  <si>
    <t>R010950728</t>
  </si>
  <si>
    <t>高野　龍汰</t>
  </si>
  <si>
    <t>R010882662</t>
  </si>
  <si>
    <t>髙橋　海翔</t>
  </si>
  <si>
    <t>R010950723</t>
  </si>
  <si>
    <t>髙橋　楓汰</t>
  </si>
  <si>
    <t>R010882643</t>
  </si>
  <si>
    <t>髙橋　宥成</t>
  </si>
  <si>
    <t>R010909616</t>
  </si>
  <si>
    <t>R010896974</t>
  </si>
  <si>
    <t>髙嶺　史哉</t>
  </si>
  <si>
    <t>R010914551</t>
  </si>
  <si>
    <t>高山　重徳</t>
  </si>
  <si>
    <t>R010956633</t>
  </si>
  <si>
    <t>R010870845</t>
  </si>
  <si>
    <t>武田　隼</t>
  </si>
  <si>
    <t>R010960941</t>
  </si>
  <si>
    <t>R010950713</t>
  </si>
  <si>
    <t>R010879993</t>
  </si>
  <si>
    <t>田崎　大翔</t>
  </si>
  <si>
    <t>R010961719</t>
  </si>
  <si>
    <t>R010909139</t>
  </si>
  <si>
    <t>R010957696</t>
  </si>
  <si>
    <t>田代　敏尋</t>
  </si>
  <si>
    <t>R010945331</t>
  </si>
  <si>
    <t>立花　彪琉</t>
  </si>
  <si>
    <t>R010870862</t>
  </si>
  <si>
    <t>立脇　蓮惟</t>
  </si>
  <si>
    <t>R010960948</t>
  </si>
  <si>
    <t>R010960936</t>
  </si>
  <si>
    <t>R010914553</t>
  </si>
  <si>
    <t>田中　徹</t>
  </si>
  <si>
    <t>R010957679</t>
  </si>
  <si>
    <t>田中　裕也</t>
  </si>
  <si>
    <t>R010909619</t>
  </si>
  <si>
    <t>田中　頼愛</t>
  </si>
  <si>
    <t>R010961716</t>
  </si>
  <si>
    <t>田中　力生</t>
  </si>
  <si>
    <t>R010945330</t>
  </si>
  <si>
    <t>田中　琉偉</t>
  </si>
  <si>
    <t>R010896975</t>
  </si>
  <si>
    <t>谷　倫太朗</t>
  </si>
  <si>
    <t>R010956623</t>
  </si>
  <si>
    <t>R010909142</t>
  </si>
  <si>
    <t>谷口　達</t>
  </si>
  <si>
    <t>R010954217</t>
  </si>
  <si>
    <t>谷口　斗悠</t>
  </si>
  <si>
    <t>R010957687</t>
  </si>
  <si>
    <t>田畑　和樹</t>
  </si>
  <si>
    <t>R010941689</t>
  </si>
  <si>
    <t>田村　崇人</t>
  </si>
  <si>
    <t>R010957029</t>
  </si>
  <si>
    <t>R010896973</t>
  </si>
  <si>
    <t>大工園　一心</t>
  </si>
  <si>
    <t>R010957007</t>
  </si>
  <si>
    <t>R010957691</t>
  </si>
  <si>
    <t>R010955153</t>
  </si>
  <si>
    <t>R010879991</t>
  </si>
  <si>
    <t>塚元　啓介</t>
  </si>
  <si>
    <t>R010957010</t>
  </si>
  <si>
    <t>R010957024</t>
  </si>
  <si>
    <t>恒成　仁翔</t>
  </si>
  <si>
    <t>R010896958</t>
  </si>
  <si>
    <t>角田　幸志狼</t>
  </si>
  <si>
    <t>R010956636</t>
  </si>
  <si>
    <t>R010960954</t>
  </si>
  <si>
    <t>R010882628</t>
  </si>
  <si>
    <t>手塚　昌希</t>
  </si>
  <si>
    <t>R010946784</t>
  </si>
  <si>
    <t>R010954221</t>
  </si>
  <si>
    <t>R010960927</t>
  </si>
  <si>
    <t>R010950715</t>
  </si>
  <si>
    <t>R010957699</t>
  </si>
  <si>
    <t>利光　賢心</t>
  </si>
  <si>
    <t>R010909623</t>
  </si>
  <si>
    <t>R010961160</t>
  </si>
  <si>
    <t>R010957025</t>
  </si>
  <si>
    <t>富永　駿</t>
  </si>
  <si>
    <t>R010960120</t>
  </si>
  <si>
    <t>R010957026</t>
  </si>
  <si>
    <t>豊岡　拓輝</t>
  </si>
  <si>
    <t>R010882654</t>
  </si>
  <si>
    <t>豊島　主晃</t>
  </si>
  <si>
    <t>R010896967</t>
  </si>
  <si>
    <t>取井　優斗</t>
  </si>
  <si>
    <t>R010955159</t>
  </si>
  <si>
    <t>R010914556</t>
  </si>
  <si>
    <t>中川路　功多</t>
  </si>
  <si>
    <t>R010870847</t>
  </si>
  <si>
    <t>中川　遼希</t>
  </si>
  <si>
    <t>R010909628</t>
  </si>
  <si>
    <t>R010925948</t>
  </si>
  <si>
    <t>中島　健</t>
  </si>
  <si>
    <t>R010488310</t>
  </si>
  <si>
    <t>中野　咲</t>
  </si>
  <si>
    <t>R010870853</t>
  </si>
  <si>
    <t>中野　真葵</t>
  </si>
  <si>
    <t>R010879988</t>
  </si>
  <si>
    <t>中野　雄太</t>
  </si>
  <si>
    <t>R010955854</t>
  </si>
  <si>
    <t>R010961230</t>
  </si>
  <si>
    <t>R010879987</t>
  </si>
  <si>
    <t>仲摩　和希</t>
  </si>
  <si>
    <t>R010882655</t>
  </si>
  <si>
    <t>中磨　龍信</t>
  </si>
  <si>
    <t>R010941688</t>
  </si>
  <si>
    <t>中溝　椋</t>
  </si>
  <si>
    <t>R010956667</t>
  </si>
  <si>
    <t>R010882658</t>
  </si>
  <si>
    <t>中村　出海</t>
  </si>
  <si>
    <t>R010951691</t>
  </si>
  <si>
    <t>R010957009</t>
  </si>
  <si>
    <t>R010909154</t>
  </si>
  <si>
    <t>R010960125</t>
  </si>
  <si>
    <t>中山　もこ</t>
  </si>
  <si>
    <t>R010950731</t>
  </si>
  <si>
    <t>R010955160</t>
  </si>
  <si>
    <t>R010961241</t>
  </si>
  <si>
    <t>R010955139</t>
  </si>
  <si>
    <t>永田　凱聖</t>
  </si>
  <si>
    <t>R010941676</t>
  </si>
  <si>
    <t>長田　遥蒼</t>
  </si>
  <si>
    <t>R010909158</t>
  </si>
  <si>
    <t>永田　泰啓</t>
  </si>
  <si>
    <t>R010882640</t>
  </si>
  <si>
    <t>長友　英洋</t>
  </si>
  <si>
    <t>R010941682</t>
  </si>
  <si>
    <t>長野　瑛心</t>
  </si>
  <si>
    <t>R010909157</t>
  </si>
  <si>
    <t>永野　拓実</t>
  </si>
  <si>
    <t>R010957681</t>
  </si>
  <si>
    <t>R010957683</t>
  </si>
  <si>
    <t>R010871719</t>
  </si>
  <si>
    <t>夏井　陸</t>
  </si>
  <si>
    <t>R010956656</t>
  </si>
  <si>
    <t>R010961724</t>
  </si>
  <si>
    <t>R010957689</t>
  </si>
  <si>
    <t>新納　和華</t>
  </si>
  <si>
    <t>R010961244</t>
  </si>
  <si>
    <t>R010896998</t>
  </si>
  <si>
    <t>西内　宥成</t>
  </si>
  <si>
    <t>R010882625</t>
  </si>
  <si>
    <t>西尾　圭翔</t>
  </si>
  <si>
    <t>R010957014</t>
  </si>
  <si>
    <t>西川　岳来</t>
  </si>
  <si>
    <t>R010960990</t>
  </si>
  <si>
    <t>R010870850</t>
  </si>
  <si>
    <t>西林　貴臣</t>
  </si>
  <si>
    <t>R010909149</t>
  </si>
  <si>
    <t>西村　颯音</t>
  </si>
  <si>
    <t>R010961231</t>
  </si>
  <si>
    <t>R010870858</t>
  </si>
  <si>
    <t>西村　藤吾</t>
  </si>
  <si>
    <t>R010960940</t>
  </si>
  <si>
    <t>西本　圭悟</t>
  </si>
  <si>
    <t>R010931576</t>
  </si>
  <si>
    <t>R010914560</t>
  </si>
  <si>
    <t>丹生　良三</t>
  </si>
  <si>
    <t>R010871723</t>
  </si>
  <si>
    <t>大戸　隆成</t>
  </si>
  <si>
    <t>R010880001</t>
  </si>
  <si>
    <t>農上　裕士</t>
  </si>
  <si>
    <t>R010960984</t>
  </si>
  <si>
    <t>R010955156</t>
  </si>
  <si>
    <t>R010896964</t>
  </si>
  <si>
    <t>橋本　朝陽</t>
  </si>
  <si>
    <t>R010957018</t>
  </si>
  <si>
    <t>R010909610</t>
  </si>
  <si>
    <t>R010909626</t>
  </si>
  <si>
    <t>R010956638</t>
  </si>
  <si>
    <t>R010961721</t>
  </si>
  <si>
    <t>羽田野　蒼太</t>
  </si>
  <si>
    <t>R010961714</t>
  </si>
  <si>
    <t>R010909155</t>
  </si>
  <si>
    <t>R010957678</t>
  </si>
  <si>
    <t>浜崎　颯太</t>
  </si>
  <si>
    <t>R010779360</t>
  </si>
  <si>
    <t>浜田　亮</t>
  </si>
  <si>
    <t>R010957694</t>
  </si>
  <si>
    <t>R010882666</t>
  </si>
  <si>
    <t>濱弓場　真斗生</t>
  </si>
  <si>
    <t>R010896987</t>
  </si>
  <si>
    <t>早木　弘翔</t>
  </si>
  <si>
    <t>R010956659</t>
  </si>
  <si>
    <t>R010882646</t>
  </si>
  <si>
    <t>林　宏紀</t>
  </si>
  <si>
    <t>R010870860</t>
  </si>
  <si>
    <t>原　直人</t>
  </si>
  <si>
    <t>R010961229</t>
  </si>
  <si>
    <t>R010896962</t>
  </si>
  <si>
    <t>飯田　夏葵</t>
  </si>
  <si>
    <t>R010896970</t>
  </si>
  <si>
    <t>判野　憲史</t>
  </si>
  <si>
    <t>R010909618</t>
  </si>
  <si>
    <t>R010950727</t>
  </si>
  <si>
    <t>東　奏太</t>
  </si>
  <si>
    <t>R010814451</t>
  </si>
  <si>
    <t>東迫　伸紀</t>
  </si>
  <si>
    <t>R010931579</t>
  </si>
  <si>
    <t>R010944954</t>
  </si>
  <si>
    <t>R010944955</t>
  </si>
  <si>
    <t>R010888234</t>
  </si>
  <si>
    <t>久野　風貴</t>
  </si>
  <si>
    <t>R010960967</t>
  </si>
  <si>
    <t>R010944941</t>
  </si>
  <si>
    <t>日野　快玲</t>
  </si>
  <si>
    <t>R010955850</t>
  </si>
  <si>
    <t>R010960992</t>
  </si>
  <si>
    <t>R010882644</t>
  </si>
  <si>
    <t>姫野　烈也</t>
  </si>
  <si>
    <t>R010960931</t>
  </si>
  <si>
    <t>R010960932</t>
  </si>
  <si>
    <t>R010957028</t>
  </si>
  <si>
    <t>R010914555</t>
  </si>
  <si>
    <t>平川　竜也</t>
  </si>
  <si>
    <t>R010960968</t>
  </si>
  <si>
    <t>R010882635</t>
  </si>
  <si>
    <t>平野　嵩晴</t>
  </si>
  <si>
    <t>R010960971</t>
  </si>
  <si>
    <t>R010897002</t>
  </si>
  <si>
    <t>平松　孝汰朗</t>
  </si>
  <si>
    <t>R010950717</t>
  </si>
  <si>
    <t>R010909159</t>
  </si>
  <si>
    <t>R010896979</t>
  </si>
  <si>
    <t>廣瀬　拓也</t>
  </si>
  <si>
    <t>R010909143</t>
  </si>
  <si>
    <t>廣瀬　瑠晟</t>
  </si>
  <si>
    <t>R010956641</t>
  </si>
  <si>
    <t>R010960956</t>
  </si>
  <si>
    <t>R010909168</t>
  </si>
  <si>
    <t>R010960944</t>
  </si>
  <si>
    <t>R010909164</t>
  </si>
  <si>
    <t>福澤　潤</t>
  </si>
  <si>
    <t>R010882651</t>
  </si>
  <si>
    <t>福嶋　海人</t>
  </si>
  <si>
    <t>R010879996</t>
  </si>
  <si>
    <t>福田　太郎</t>
  </si>
  <si>
    <t>R010870849</t>
  </si>
  <si>
    <t>福田　龍駕</t>
  </si>
  <si>
    <t>R010914552</t>
  </si>
  <si>
    <t>福永　有基</t>
  </si>
  <si>
    <t>R010960973</t>
  </si>
  <si>
    <t>R010946782</t>
  </si>
  <si>
    <t>藤田　翔平</t>
  </si>
  <si>
    <t>R010909161</t>
  </si>
  <si>
    <t>藤塚　大翔</t>
  </si>
  <si>
    <t>R010950721</t>
  </si>
  <si>
    <t>R010961240</t>
  </si>
  <si>
    <t>R010961722</t>
  </si>
  <si>
    <t>二村　亮雅</t>
  </si>
  <si>
    <t>R010960961</t>
  </si>
  <si>
    <t>古荘　羽矢斗</t>
  </si>
  <si>
    <t>R010946789</t>
  </si>
  <si>
    <t>古曾尾　勇武</t>
  </si>
  <si>
    <t>R010871705</t>
  </si>
  <si>
    <t>古間地　櫻咲</t>
  </si>
  <si>
    <t>R010955157</t>
  </si>
  <si>
    <t>R010957019</t>
  </si>
  <si>
    <t>R010961472</t>
  </si>
  <si>
    <t>R010961239</t>
  </si>
  <si>
    <t>R010870855</t>
  </si>
  <si>
    <t>堀部　翔太</t>
  </si>
  <si>
    <t>R010951693</t>
  </si>
  <si>
    <t>R010941693</t>
  </si>
  <si>
    <t>前園　康晴</t>
  </si>
  <si>
    <t>R010950719</t>
  </si>
  <si>
    <t>前田　拓人</t>
  </si>
  <si>
    <t>R010909172</t>
  </si>
  <si>
    <t>前田　響</t>
  </si>
  <si>
    <t>R010909171</t>
  </si>
  <si>
    <t>前田　優作</t>
  </si>
  <si>
    <t>R010896997</t>
  </si>
  <si>
    <t>前田　莉輝</t>
  </si>
  <si>
    <t>R010956639</t>
  </si>
  <si>
    <t>R010909176</t>
  </si>
  <si>
    <t>牧　優太</t>
  </si>
  <si>
    <t>R010960989</t>
  </si>
  <si>
    <t>R010946783</t>
  </si>
  <si>
    <t>政岡　怜真</t>
  </si>
  <si>
    <t>R010951699</t>
  </si>
  <si>
    <t>R010871710</t>
  </si>
  <si>
    <t>松岡　瑞季</t>
  </si>
  <si>
    <t>R010944948</t>
  </si>
  <si>
    <t>R010955143</t>
  </si>
  <si>
    <t>松﨑　叶大</t>
  </si>
  <si>
    <t>R010956666</t>
  </si>
  <si>
    <t>R010896968</t>
  </si>
  <si>
    <t>松下　颯汰</t>
  </si>
  <si>
    <t>R010909177</t>
  </si>
  <si>
    <t>松田　篤諮</t>
  </si>
  <si>
    <t>松田　達幸</t>
  </si>
  <si>
    <t>R010946781</t>
  </si>
  <si>
    <t>松田　翔空</t>
  </si>
  <si>
    <t>R010960114</t>
  </si>
  <si>
    <t>松田　優理愛</t>
  </si>
  <si>
    <t>R010945329</t>
  </si>
  <si>
    <t>松永　龍弥</t>
  </si>
  <si>
    <t>R010882633</t>
  </si>
  <si>
    <t>松丸　真大</t>
  </si>
  <si>
    <t>R010882663</t>
  </si>
  <si>
    <t>松本　絢斗</t>
  </si>
  <si>
    <t>R010946792</t>
  </si>
  <si>
    <t>松本　拳</t>
  </si>
  <si>
    <t>R010946787</t>
  </si>
  <si>
    <t>松本　昂士</t>
  </si>
  <si>
    <t>R010882623</t>
  </si>
  <si>
    <t>松本　昂明</t>
  </si>
  <si>
    <t>R010896980</t>
  </si>
  <si>
    <t>丸井　大樹</t>
  </si>
  <si>
    <t>R010956632</t>
  </si>
  <si>
    <t>R010955155</t>
  </si>
  <si>
    <t>R010955142</t>
  </si>
  <si>
    <t>R010909148</t>
  </si>
  <si>
    <t>R010960983</t>
  </si>
  <si>
    <t>R010871721</t>
  </si>
  <si>
    <t>三崎　陸翔</t>
  </si>
  <si>
    <t>R010955849</t>
  </si>
  <si>
    <t>R010956658</t>
  </si>
  <si>
    <t>R010896969</t>
  </si>
  <si>
    <t>三辻　康太</t>
  </si>
  <si>
    <t>R010896978</t>
  </si>
  <si>
    <t>南　拓海</t>
  </si>
  <si>
    <t>R010871729</t>
  </si>
  <si>
    <t>南　祐輔</t>
  </si>
  <si>
    <t>R010909167</t>
  </si>
  <si>
    <t>R010957023</t>
  </si>
  <si>
    <t>R010961473</t>
  </si>
  <si>
    <t>R010882650</t>
  </si>
  <si>
    <t>宮野　元樹</t>
  </si>
  <si>
    <t>R010909137</t>
  </si>
  <si>
    <t>宮原　雄一</t>
  </si>
  <si>
    <t>R010945332</t>
  </si>
  <si>
    <t>宮原　亮翔</t>
  </si>
  <si>
    <t>R010960975</t>
  </si>
  <si>
    <t>R010871731</t>
  </si>
  <si>
    <t>宮本　歩真</t>
  </si>
  <si>
    <t>R010956627</t>
  </si>
  <si>
    <t>宮脇　大</t>
  </si>
  <si>
    <t>R010960121</t>
  </si>
  <si>
    <t>三好　千結</t>
  </si>
  <si>
    <t>R010870844</t>
  </si>
  <si>
    <t>村尾　龍矢</t>
  </si>
  <si>
    <t>R010909165</t>
  </si>
  <si>
    <t>R010956665</t>
  </si>
  <si>
    <t>R010955150</t>
  </si>
  <si>
    <t>R010909622</t>
  </si>
  <si>
    <t>R010896984</t>
  </si>
  <si>
    <t>本白水　崇伸</t>
  </si>
  <si>
    <t>R010909166</t>
  </si>
  <si>
    <t>R010955857</t>
  </si>
  <si>
    <t>R010870851</t>
  </si>
  <si>
    <t>森　陸翔</t>
  </si>
  <si>
    <t>R010961161</t>
  </si>
  <si>
    <t>R010882624</t>
  </si>
  <si>
    <t>森田　恭介</t>
  </si>
  <si>
    <t>R010961715</t>
  </si>
  <si>
    <t>R010888229</t>
  </si>
  <si>
    <t>森山　龍騎</t>
  </si>
  <si>
    <t>R010909156</t>
  </si>
  <si>
    <t>森山　大翔</t>
  </si>
  <si>
    <t>R010888227</t>
  </si>
  <si>
    <t>森山　悠太</t>
  </si>
  <si>
    <t>R010961720</t>
  </si>
  <si>
    <t>R010957008</t>
  </si>
  <si>
    <t>R010960958</t>
  </si>
  <si>
    <t>R010956660</t>
  </si>
  <si>
    <t>藥師寺　優磨</t>
  </si>
  <si>
    <t>R010945336</t>
  </si>
  <si>
    <t>安長　彪</t>
  </si>
  <si>
    <t>R010877112</t>
  </si>
  <si>
    <t>安波　進之介</t>
  </si>
  <si>
    <t>R010950714</t>
  </si>
  <si>
    <t>八ツ繁　銀仁</t>
  </si>
  <si>
    <t>R010957015</t>
  </si>
  <si>
    <t>矢野　駿介</t>
  </si>
  <si>
    <t>R010896971</t>
  </si>
  <si>
    <t>矢野　裕也</t>
  </si>
  <si>
    <t>R010879985</t>
  </si>
  <si>
    <t>矢野　龍聖</t>
  </si>
  <si>
    <t>R010956631</t>
  </si>
  <si>
    <t>R010960939</t>
  </si>
  <si>
    <t>R010955853</t>
  </si>
  <si>
    <t>R010871715</t>
  </si>
  <si>
    <t>山﨑　耕大</t>
  </si>
  <si>
    <t>R010960981</t>
  </si>
  <si>
    <t>山﨑　柊太</t>
  </si>
  <si>
    <t>R010945335</t>
  </si>
  <si>
    <t>山嵜　騎士</t>
  </si>
  <si>
    <t>R010896963</t>
  </si>
  <si>
    <t>山﨑　芽來</t>
  </si>
  <si>
    <t>R010960963</t>
  </si>
  <si>
    <t>山崎　蒼一郎</t>
  </si>
  <si>
    <t>R010961227</t>
  </si>
  <si>
    <t>R010956648</t>
  </si>
  <si>
    <t>R010961242</t>
  </si>
  <si>
    <t>山田　奏斗</t>
  </si>
  <si>
    <t>R010946795</t>
  </si>
  <si>
    <t>山田　蒼太</t>
  </si>
  <si>
    <t>R010957680</t>
  </si>
  <si>
    <t>R010950725</t>
  </si>
  <si>
    <t>R010946785</t>
  </si>
  <si>
    <t>R010909163</t>
  </si>
  <si>
    <t>山本　真央</t>
  </si>
  <si>
    <t>R010944951</t>
  </si>
  <si>
    <t>R010960945</t>
  </si>
  <si>
    <t>R010956649</t>
  </si>
  <si>
    <t>R010897001</t>
  </si>
  <si>
    <t>湯地　紀稀</t>
  </si>
  <si>
    <t>R010896981</t>
  </si>
  <si>
    <t>弓場　真太朗</t>
  </si>
  <si>
    <t>R010870861</t>
  </si>
  <si>
    <t>弓場　昴</t>
  </si>
  <si>
    <t>R010956637</t>
  </si>
  <si>
    <t>R010871733</t>
  </si>
  <si>
    <t>横尾　優空</t>
  </si>
  <si>
    <t>R010909169</t>
  </si>
  <si>
    <t>吉賀　陽真</t>
  </si>
  <si>
    <t>R010909617</t>
  </si>
  <si>
    <t>吉崎　斗立</t>
  </si>
  <si>
    <t>R010879997</t>
  </si>
  <si>
    <t>吉武　諒</t>
  </si>
  <si>
    <t>R010882652</t>
  </si>
  <si>
    <t>吉武　真叶</t>
  </si>
  <si>
    <t>R010870846</t>
  </si>
  <si>
    <t>吉武　龍玄</t>
  </si>
  <si>
    <t>R010877115</t>
  </si>
  <si>
    <t>R010960118</t>
  </si>
  <si>
    <t>R010955151</t>
  </si>
  <si>
    <t>R010944960</t>
  </si>
  <si>
    <t>R010888228</t>
  </si>
  <si>
    <t>ロサ　ガルシア　アデイルトン</t>
  </si>
  <si>
    <t>R010896960</t>
  </si>
  <si>
    <t>輪島　馴也</t>
  </si>
  <si>
    <t>R010931572</t>
  </si>
  <si>
    <t>渡邊　恵美子</t>
  </si>
  <si>
    <t>R010896991</t>
  </si>
  <si>
    <t>渡邉　岳</t>
  </si>
  <si>
    <t>R010909175</t>
  </si>
  <si>
    <t>R010960964</t>
  </si>
  <si>
    <t>R010882660</t>
  </si>
  <si>
    <t>R010909160</t>
  </si>
  <si>
    <t>渡辺　哲哉</t>
  </si>
  <si>
    <t>R010957013</t>
  </si>
  <si>
    <t>渡邉　俊典</t>
  </si>
  <si>
    <t>R010877118</t>
  </si>
  <si>
    <t>渡辺　智久</t>
  </si>
  <si>
    <t>R010961725</t>
  </si>
  <si>
    <t>R010914558</t>
  </si>
  <si>
    <t>渡邊　充</t>
  </si>
  <si>
    <t>R010960957</t>
  </si>
  <si>
    <t>渡邊　來生</t>
  </si>
  <si>
    <t>R010877117</t>
  </si>
  <si>
    <t>和田　一真</t>
  </si>
  <si>
    <t>R010882649</t>
  </si>
  <si>
    <t>和田　拓也</t>
  </si>
  <si>
    <t>R010961234</t>
  </si>
  <si>
    <t>R010951695</t>
  </si>
  <si>
    <t>和田　向日葵</t>
  </si>
  <si>
    <t>R010882636</t>
  </si>
  <si>
    <t>和田　史也</t>
  </si>
  <si>
    <t>R010896983</t>
  </si>
  <si>
    <t>和田　瑶佑</t>
  </si>
  <si>
    <t>登録状況（20260110）</t>
    <rPh sb="0" eb="4">
      <t>トウロクジョウキョウ</t>
    </rPh>
    <phoneticPr fontId="29"/>
  </si>
  <si>
    <t>あおの　りょうせい</t>
  </si>
  <si>
    <t>やまさき　そら</t>
  </si>
  <si>
    <t>青野　良誠</t>
    <phoneticPr fontId="29"/>
  </si>
  <si>
    <t>山崎　翔</t>
    <phoneticPr fontId="29"/>
  </si>
  <si>
    <t>ゆきなが　りお</t>
  </si>
  <si>
    <t>幸長　梨央</t>
    <phoneticPr fontId="29"/>
  </si>
  <si>
    <t>あおやま　たくま</t>
  </si>
  <si>
    <t>なかしま　たいすけ</t>
  </si>
  <si>
    <t>なかはら　いちか</t>
  </si>
  <si>
    <t>うえの　あんり</t>
  </si>
  <si>
    <t>いとう　たける</t>
  </si>
  <si>
    <t>やまだ　かりん</t>
  </si>
  <si>
    <t>うと　あおば</t>
  </si>
  <si>
    <t>おきもと　しょうご</t>
  </si>
  <si>
    <t>いわお　なずな</t>
  </si>
  <si>
    <t>もり　こうたろう</t>
  </si>
  <si>
    <t>つちや　すみれ</t>
  </si>
  <si>
    <t>せいけ　せら</t>
  </si>
  <si>
    <t>なかしま　かなた</t>
  </si>
  <si>
    <t>たけしま　るい</t>
  </si>
  <si>
    <t>たかはし　ななこ</t>
  </si>
  <si>
    <t>選手＿フリガナ</t>
    <phoneticPr fontId="110" type="Hiragana"/>
  </si>
  <si>
    <t>オオツカ　コウタ</t>
    <phoneticPr fontId="110" type="Hiragana"/>
  </si>
  <si>
    <t>フジイ　ユズキ</t>
    <phoneticPr fontId="110" type="Hiragana"/>
  </si>
  <si>
    <t>コウノ　ナギサ</t>
    <phoneticPr fontId="110" type="Hiragana"/>
  </si>
  <si>
    <t>サトウ　ユウセイ</t>
    <phoneticPr fontId="110" type="Hiragana"/>
  </si>
  <si>
    <t>アマザキ　ケイタロウ</t>
    <phoneticPr fontId="110" type="Hiragana"/>
  </si>
  <si>
    <t>アベ　ケンシロウ</t>
    <phoneticPr fontId="110" type="Hiragana"/>
  </si>
  <si>
    <t>アナミ　ヤマト</t>
    <phoneticPr fontId="110" type="Hiragana"/>
  </si>
  <si>
    <t>キタ　ハルキ</t>
    <phoneticPr fontId="110" type="Hiragana"/>
  </si>
  <si>
    <t>ハラ　ソウヤ</t>
    <phoneticPr fontId="110" type="Hiragana"/>
  </si>
  <si>
    <t>オオイ　ヒロト</t>
    <phoneticPr fontId="110" type="Hiragana"/>
  </si>
  <si>
    <t>ミシロ　アオバ</t>
    <phoneticPr fontId="110" type="Hiragana"/>
  </si>
  <si>
    <t>コミヤ　ヒナト</t>
    <phoneticPr fontId="110" type="Hiragana"/>
  </si>
  <si>
    <t>モリ　ヒロアキ</t>
    <phoneticPr fontId="110" type="Hiragana"/>
  </si>
  <si>
    <t>アンベ　シン</t>
    <phoneticPr fontId="110" type="Hiragana"/>
  </si>
  <si>
    <t>ワダ　ユイト</t>
    <phoneticPr fontId="110" type="Hiragana"/>
  </si>
  <si>
    <t>ゴトウ　ミツオミ</t>
    <phoneticPr fontId="110" type="Hiragana"/>
  </si>
  <si>
    <t>クドウ　ソウマ</t>
    <phoneticPr fontId="110" type="Hiragana"/>
  </si>
  <si>
    <t>イトウ　サクマ</t>
    <phoneticPr fontId="110" type="Hiragana"/>
  </si>
  <si>
    <t>ニシムラ　リクト</t>
    <phoneticPr fontId="110" type="Hiragana"/>
  </si>
  <si>
    <t>タカダ　マナト</t>
    <phoneticPr fontId="110" type="Hiragana"/>
  </si>
  <si>
    <t>ゴトウ　ソラ</t>
    <phoneticPr fontId="110" type="Hiragana"/>
  </si>
  <si>
    <t>テラジ　キョウタロウ</t>
    <phoneticPr fontId="110" type="Hiragana"/>
  </si>
  <si>
    <t>テシマ　ココネ</t>
    <phoneticPr fontId="110" type="Hiragana"/>
  </si>
  <si>
    <t>ミハタ　ユウキ</t>
    <phoneticPr fontId="110" type="Hiragana"/>
  </si>
  <si>
    <t>カマホリ　レント</t>
    <phoneticPr fontId="110" type="Hiragana"/>
  </si>
  <si>
    <t>タカハシ　オウスケ</t>
    <phoneticPr fontId="110" type="Hiragana"/>
  </si>
  <si>
    <t>ミウラ　オウスケ</t>
    <phoneticPr fontId="110" type="Hiragana"/>
  </si>
  <si>
    <t>カワタ　アツム</t>
    <phoneticPr fontId="110" type="Hiragana"/>
  </si>
  <si>
    <t>マツモト　アオト</t>
    <phoneticPr fontId="110" type="Hiragana"/>
  </si>
  <si>
    <t>アンドウ　ナリト</t>
    <phoneticPr fontId="110" type="Hiragana"/>
  </si>
  <si>
    <t>ノダ　ソウシ</t>
    <phoneticPr fontId="110" type="Hiragana"/>
  </si>
  <si>
    <t>マツモト　ライト</t>
    <phoneticPr fontId="110" type="Hiragana"/>
  </si>
  <si>
    <t>フジワラ　ソウタ</t>
    <phoneticPr fontId="110" type="Hiragana"/>
  </si>
  <si>
    <t>カワグチ　ワク</t>
    <phoneticPr fontId="110" type="Hiragana"/>
  </si>
  <si>
    <t>ワタナベ　ハク</t>
    <phoneticPr fontId="110" type="Hiragana"/>
  </si>
  <si>
    <t>リョウカイ　キラ</t>
    <phoneticPr fontId="110" type="Hiragana"/>
  </si>
  <si>
    <t>サカモト　ジンノスケ</t>
    <phoneticPr fontId="110" type="Hiragana"/>
  </si>
  <si>
    <t>ナガノ　サトル</t>
    <phoneticPr fontId="110" type="Hiragana"/>
  </si>
  <si>
    <t>シュトウ　ソラト</t>
    <phoneticPr fontId="110" type="Hiragana"/>
  </si>
  <si>
    <t>アベ　サキ</t>
    <phoneticPr fontId="110" type="Hiragana"/>
  </si>
  <si>
    <t>シオツキ　ハルト</t>
    <phoneticPr fontId="110" type="Hiragana"/>
  </si>
  <si>
    <t>アカギ　カイト</t>
    <phoneticPr fontId="110" type="Hiragana"/>
  </si>
  <si>
    <t>タツシマ　ハルト</t>
    <phoneticPr fontId="110" type="Hiragana"/>
  </si>
  <si>
    <t>ダイリキ　ハヤト</t>
    <phoneticPr fontId="110" type="Hiragana"/>
  </si>
  <si>
    <t>エド　シュンタ</t>
    <phoneticPr fontId="110" type="Hiragana"/>
  </si>
  <si>
    <t>シマダ　ユイト</t>
    <phoneticPr fontId="110" type="Hiragana"/>
  </si>
  <si>
    <t>ヨシダ　ユキヒサ</t>
    <phoneticPr fontId="110" type="Hiragana"/>
  </si>
  <si>
    <t>ハタベ　アン</t>
    <phoneticPr fontId="110" type="Hiragana"/>
  </si>
  <si>
    <t>アンドウ　マナト</t>
    <phoneticPr fontId="110" type="Hiragana"/>
  </si>
  <si>
    <t>サキムラ　ユウセイ</t>
    <phoneticPr fontId="110" type="Hiragana"/>
  </si>
  <si>
    <t>ナカシマ　カナタ</t>
    <phoneticPr fontId="110" type="Hiragana"/>
  </si>
  <si>
    <t>クワバラ　ユイカ</t>
    <phoneticPr fontId="110" type="Hiragana"/>
  </si>
  <si>
    <t>ワタナベ　ソウスケ</t>
    <phoneticPr fontId="110" type="Hiragana"/>
  </si>
  <si>
    <t>タカクラ　リュウショウ</t>
    <phoneticPr fontId="110" type="Hiragana"/>
  </si>
  <si>
    <t>オノ　ヒョウガ</t>
    <phoneticPr fontId="110" type="Hiragana"/>
  </si>
  <si>
    <t>オオイシ　コウタ</t>
    <phoneticPr fontId="110" type="Hiragana"/>
  </si>
  <si>
    <t>モリ　タケル</t>
    <phoneticPr fontId="110" type="Hiragana"/>
  </si>
  <si>
    <t>シモタカ　ケイト</t>
    <phoneticPr fontId="110" type="Hiragana"/>
  </si>
  <si>
    <t>シイバ　ルキ</t>
    <phoneticPr fontId="110" type="Hiragana"/>
  </si>
  <si>
    <t>マツオ　レイショウ</t>
    <phoneticPr fontId="110" type="Hiragana"/>
  </si>
  <si>
    <t>タケナガ　ハント</t>
    <phoneticPr fontId="110" type="Hiragana"/>
  </si>
  <si>
    <t>ヒメノ　アヤカ</t>
    <phoneticPr fontId="110" type="Hiragana"/>
  </si>
  <si>
    <t>ミウラ　ハヤト</t>
    <phoneticPr fontId="110" type="Hiragana"/>
  </si>
  <si>
    <t>ニシダ　コタロウ</t>
    <phoneticPr fontId="110" type="Hiragana"/>
  </si>
  <si>
    <t>シュトウ　マノア</t>
    <phoneticPr fontId="110" type="Hiragana"/>
  </si>
  <si>
    <t>ノノシタ　カイセイ</t>
    <phoneticPr fontId="110" type="Hiragana"/>
  </si>
  <si>
    <t>ヒガシ　サダオミ</t>
    <phoneticPr fontId="110" type="Hiragana"/>
  </si>
  <si>
    <t>ワタナベ　リョウ</t>
    <phoneticPr fontId="110" type="Hiragana"/>
  </si>
  <si>
    <t>ツルタ　タケル</t>
    <phoneticPr fontId="110" type="Hiragana"/>
  </si>
  <si>
    <t>ミウラ　オウマ</t>
    <phoneticPr fontId="110" type="Hiragana"/>
  </si>
  <si>
    <t>ダテ　エリカ</t>
    <phoneticPr fontId="110" type="Hiragana"/>
  </si>
  <si>
    <t>イマムラ　ココロ</t>
    <phoneticPr fontId="110" type="Hiragana"/>
  </si>
  <si>
    <t>オグラ　ルキ</t>
    <phoneticPr fontId="110" type="Hiragana"/>
  </si>
  <si>
    <t>シマダ　ハルタ</t>
    <phoneticPr fontId="110" type="Hiragana"/>
  </si>
  <si>
    <t>イマニシ　カナト</t>
    <phoneticPr fontId="110" type="Hiragana"/>
  </si>
  <si>
    <t>ヤマサキ　トオ</t>
    <phoneticPr fontId="110" type="Hiragana"/>
  </si>
  <si>
    <t>イノウエ　タイラ</t>
    <phoneticPr fontId="110" type="Hiragana"/>
  </si>
  <si>
    <t>カワノ　チサキ</t>
    <phoneticPr fontId="110" type="Hiragana"/>
  </si>
  <si>
    <t>イ　ナルキ</t>
    <phoneticPr fontId="110" type="Hiragana"/>
  </si>
  <si>
    <t>サトウ　ギン</t>
    <phoneticPr fontId="110" type="Hiragana"/>
  </si>
  <si>
    <t>ミゾグチ　カオ</t>
    <phoneticPr fontId="110" type="Hiragana"/>
  </si>
  <si>
    <t>カンダ　アユム</t>
    <phoneticPr fontId="110" type="Hiragana"/>
  </si>
  <si>
    <t>ウエダ　ユウセイ</t>
    <phoneticPr fontId="110" type="Hiragana"/>
  </si>
  <si>
    <t>マツイ　キョウタ</t>
    <phoneticPr fontId="110" type="Hiragana"/>
  </si>
  <si>
    <t>ハシモト　リョウガ</t>
    <phoneticPr fontId="110" type="Hiragana"/>
  </si>
  <si>
    <t>ミゾベ　アヤカ</t>
    <phoneticPr fontId="110" type="Hiragana"/>
  </si>
  <si>
    <t>スギ　タク</t>
    <phoneticPr fontId="110" type="Hiragana"/>
  </si>
  <si>
    <t>タハラ　ソウゴ</t>
    <phoneticPr fontId="110" type="Hiragana"/>
  </si>
  <si>
    <t>イトウ　リュウア</t>
    <phoneticPr fontId="110" type="Hiragana"/>
  </si>
  <si>
    <t>サクライ　カケル</t>
    <phoneticPr fontId="110" type="Hiragana"/>
  </si>
  <si>
    <t>イワタ　ユウセイ</t>
    <phoneticPr fontId="110" type="Hiragana"/>
  </si>
  <si>
    <t>イノモト　コウ</t>
    <phoneticPr fontId="110" type="Hiragana"/>
  </si>
  <si>
    <t>イノモト　ルウ</t>
    <phoneticPr fontId="110" type="Hiragana"/>
  </si>
  <si>
    <t>フジイ　ユメト</t>
    <phoneticPr fontId="110" type="Hiragana"/>
  </si>
  <si>
    <t>カワセ　ハルト</t>
    <phoneticPr fontId="110" type="Hiragana"/>
  </si>
  <si>
    <t>タカイ　トア</t>
    <phoneticPr fontId="110" type="Hiragana"/>
  </si>
  <si>
    <t>サカモリ　ムサシ</t>
    <phoneticPr fontId="110" type="Hiragana"/>
  </si>
  <si>
    <t>シン　リョウタ</t>
    <phoneticPr fontId="110" type="Hiragana"/>
  </si>
  <si>
    <t>ナガオカ　コウマ</t>
    <phoneticPr fontId="110" type="Hiragana"/>
  </si>
  <si>
    <t>サカタ　リュウト</t>
    <phoneticPr fontId="110" type="Hiragana"/>
  </si>
  <si>
    <t>ヨシカイ　レノ</t>
    <phoneticPr fontId="110" type="Hiragana"/>
  </si>
  <si>
    <t>エトウ　コウヘイ</t>
    <phoneticPr fontId="110" type="Hiragana"/>
  </si>
  <si>
    <t>イワタ　ソウスケ</t>
    <phoneticPr fontId="110" type="Hiragana"/>
  </si>
  <si>
    <t>アベ　ユイタロウ</t>
    <phoneticPr fontId="110" type="Hiragana"/>
  </si>
  <si>
    <t>ノナカ　トア</t>
    <phoneticPr fontId="110" type="Hiragana"/>
  </si>
  <si>
    <t>シモムラ　タクマ</t>
    <phoneticPr fontId="110" type="Hiragana"/>
  </si>
  <si>
    <t>タケハラ　ユウマ</t>
    <phoneticPr fontId="110" type="Hiragana"/>
  </si>
  <si>
    <t>ヤマサキ　ハヤト</t>
    <phoneticPr fontId="110" type="Hiragana"/>
  </si>
  <si>
    <t>アダチ　イブキ</t>
    <phoneticPr fontId="110" type="Hiragana"/>
  </si>
  <si>
    <t>スエヒロ　アヤナ</t>
    <phoneticPr fontId="110" type="Hiragana"/>
  </si>
  <si>
    <t>オオシモ　タツキ</t>
    <phoneticPr fontId="110" type="Hiragana"/>
  </si>
  <si>
    <t>フカタ　ハント</t>
    <phoneticPr fontId="110" type="Hiragana"/>
  </si>
  <si>
    <t>ユキ　アヤカ</t>
    <phoneticPr fontId="110" type="Hiragana"/>
  </si>
  <si>
    <t>ヨツジ　コウキ</t>
    <phoneticPr fontId="110" type="Hiragana"/>
  </si>
  <si>
    <t>アンベ　ナオ</t>
    <phoneticPr fontId="110" type="Hiragana"/>
  </si>
  <si>
    <t>タカミネ　サクタロウ</t>
    <phoneticPr fontId="110" type="Hiragana"/>
  </si>
  <si>
    <t>イナヅミ　ヒロト</t>
    <phoneticPr fontId="110" type="Hiragana"/>
  </si>
  <si>
    <t>シガ　カナト</t>
    <phoneticPr fontId="110" type="Hiragana"/>
  </si>
  <si>
    <t>サガラ　セイヨウ</t>
    <phoneticPr fontId="110" type="Hiragana"/>
  </si>
  <si>
    <t>イノクチ　ソウシ</t>
    <phoneticPr fontId="110" type="Hiragana"/>
  </si>
  <si>
    <t>ハセガワ　レント</t>
    <phoneticPr fontId="110" type="Hiragana"/>
  </si>
  <si>
    <t>ワタナベ　カケル</t>
    <phoneticPr fontId="110" type="Hiragana"/>
  </si>
  <si>
    <t>イケベ　アユム</t>
    <phoneticPr fontId="110" type="Hiragana"/>
  </si>
  <si>
    <t>タカハシ　オウタロウ</t>
    <phoneticPr fontId="110" type="Hiragana"/>
  </si>
  <si>
    <t>マナベ　コウシ</t>
    <phoneticPr fontId="110" type="Hiragana"/>
  </si>
  <si>
    <t>マエカワ　コハル</t>
    <phoneticPr fontId="110" type="Hiragana"/>
  </si>
  <si>
    <t>トミナガ　ラン</t>
    <phoneticPr fontId="110" type="Hiragana"/>
  </si>
  <si>
    <t>アラタ　ハル</t>
    <phoneticPr fontId="110" type="Hiragana"/>
  </si>
  <si>
    <t>トクマル　タクマ</t>
    <phoneticPr fontId="110" type="Hiragana"/>
  </si>
  <si>
    <t>アキモト　ヨウタ</t>
    <phoneticPr fontId="110" type="Hiragana"/>
  </si>
  <si>
    <t>モリシタ　アオト</t>
    <phoneticPr fontId="110" type="Hiragana"/>
  </si>
  <si>
    <t>トシミツ　リョウガ</t>
    <phoneticPr fontId="110" type="Hiragana"/>
  </si>
  <si>
    <t>ナカヅル　タクマ</t>
    <phoneticPr fontId="110" type="Hiragana"/>
  </si>
  <si>
    <t>ヤノ　ユウゴ</t>
    <phoneticPr fontId="110" type="Hiragana"/>
  </si>
  <si>
    <t>モリ　セイイチロウ</t>
    <phoneticPr fontId="110" type="Hiragana"/>
  </si>
  <si>
    <t>ユキヒラ　ケンセイ</t>
    <phoneticPr fontId="110" type="Hiragana"/>
  </si>
  <si>
    <t>ヒサエダ　ハヤト</t>
    <phoneticPr fontId="110" type="Hiragana"/>
  </si>
  <si>
    <t>アダチ　ケイヤ</t>
    <phoneticPr fontId="110" type="Hiragana"/>
  </si>
  <si>
    <t>ヤノ　タクミ</t>
    <phoneticPr fontId="110" type="Hiragana"/>
  </si>
  <si>
    <t>コイシ　レン</t>
    <phoneticPr fontId="110" type="Hiragana"/>
  </si>
  <si>
    <t>キモト　セアン</t>
    <phoneticPr fontId="110" type="Hiragana"/>
  </si>
  <si>
    <t>ノザキ　ユウト</t>
    <phoneticPr fontId="110" type="Hiragana"/>
  </si>
  <si>
    <t>カン　タイスケ</t>
    <phoneticPr fontId="110" type="Hiragana"/>
  </si>
  <si>
    <t>ヒラカワ　リク</t>
    <phoneticPr fontId="110" type="Hiragana"/>
  </si>
  <si>
    <t>ヨダ　ユウダイ</t>
    <phoneticPr fontId="110" type="Hiragana"/>
  </si>
  <si>
    <t>アカミネ　ソウマ</t>
    <phoneticPr fontId="110" type="Hiragana"/>
  </si>
  <si>
    <t>ナカムラ　ヒロト</t>
    <phoneticPr fontId="110" type="Hiragana"/>
  </si>
  <si>
    <t>シダラ　ユウリ</t>
    <phoneticPr fontId="110" type="Hiragana"/>
  </si>
  <si>
    <t>カイ　サクト</t>
    <phoneticPr fontId="110" type="Hiragana"/>
  </si>
  <si>
    <t>エンモト　オウセ</t>
    <phoneticPr fontId="110" type="Hiragana"/>
  </si>
  <si>
    <t>サトウ　ソウマ</t>
    <phoneticPr fontId="110" type="Hiragana"/>
  </si>
  <si>
    <t>ミヤワキ　タカヒロ</t>
    <phoneticPr fontId="110" type="Hiragana"/>
  </si>
  <si>
    <t>ヨコヤマ　レイシ</t>
    <phoneticPr fontId="110" type="Hiragana"/>
  </si>
  <si>
    <t>ハマグチ　ヒナタ</t>
    <phoneticPr fontId="110" type="Hiragana"/>
  </si>
  <si>
    <t>イチハラ　ルイ</t>
    <phoneticPr fontId="110" type="Hiragana"/>
  </si>
  <si>
    <t>ヨシダ　ハルマ</t>
    <phoneticPr fontId="110" type="Hiragana"/>
  </si>
  <si>
    <t>ヤマモト　ミナト</t>
    <phoneticPr fontId="110" type="Hiragana"/>
  </si>
  <si>
    <t>ハガ　リョウタロウ</t>
    <phoneticPr fontId="110" type="Hiragana"/>
  </si>
  <si>
    <t>イトウ　タケル</t>
    <phoneticPr fontId="110" type="Hiragana"/>
  </si>
  <si>
    <t>ミムラ　ナオフミ</t>
    <phoneticPr fontId="110" type="Hiragana"/>
  </si>
  <si>
    <t>ナカトミ　ソウマ</t>
    <phoneticPr fontId="110" type="Hiragana"/>
  </si>
  <si>
    <t>シオツキ　ソウ</t>
    <phoneticPr fontId="110" type="Hiragana"/>
  </si>
  <si>
    <t>フカタ　リツ</t>
    <phoneticPr fontId="110" type="Hiragana"/>
  </si>
  <si>
    <t>ヤマサキ　ソウタ</t>
    <phoneticPr fontId="110" type="Hiragana"/>
  </si>
  <si>
    <t>テシマ　ナナミ</t>
    <phoneticPr fontId="110" type="Hiragana"/>
  </si>
  <si>
    <t>イノウエ　ハルト</t>
    <phoneticPr fontId="110" type="Hiragana"/>
  </si>
  <si>
    <t>ヤマモト　シュン</t>
    <phoneticPr fontId="110" type="Hiragana"/>
  </si>
  <si>
    <t>ヨシモト　ケンタ</t>
    <phoneticPr fontId="110" type="Hiragana"/>
  </si>
  <si>
    <t>ホンダ　タイセイ</t>
    <phoneticPr fontId="110" type="Hiragana"/>
  </si>
  <si>
    <t>ヨシダ　ユキヒト</t>
    <phoneticPr fontId="110" type="Hiragana"/>
  </si>
  <si>
    <t>サカグチ　ユウシン</t>
    <phoneticPr fontId="110" type="Hiragana"/>
  </si>
  <si>
    <t>ナカヤマ　レント</t>
    <phoneticPr fontId="110" type="Hiragana"/>
  </si>
  <si>
    <t>ウラ　ジュンタ</t>
    <phoneticPr fontId="110" type="Hiragana"/>
  </si>
  <si>
    <t>ナガサオ　アイト</t>
    <phoneticPr fontId="110" type="Hiragana"/>
  </si>
  <si>
    <t>イワタ　ヒカル</t>
    <phoneticPr fontId="110" type="Hiragana"/>
  </si>
  <si>
    <t>モリ　コウタロウ</t>
    <phoneticPr fontId="110" type="Hiragana"/>
  </si>
  <si>
    <t>タケシマ　ルイ</t>
    <phoneticPr fontId="110" type="Hiragana"/>
  </si>
  <si>
    <t>カワノ　ハルク</t>
    <phoneticPr fontId="110" type="Hiragana"/>
  </si>
  <si>
    <t>ナカムラ　シンカ</t>
    <phoneticPr fontId="110" type="Hiragana"/>
  </si>
  <si>
    <t>ゴトウ　ツカサ</t>
    <phoneticPr fontId="110" type="Hiragana"/>
  </si>
  <si>
    <t>ミヤシタ　ハルマ</t>
    <phoneticPr fontId="110" type="Hiragana"/>
  </si>
  <si>
    <t>オオキタ　メグミ</t>
    <phoneticPr fontId="110" type="Hiragana"/>
  </si>
  <si>
    <t>サトウ　カイト</t>
    <phoneticPr fontId="110" type="Hiragana"/>
  </si>
  <si>
    <t>モリタ　ノブヒデ</t>
    <phoneticPr fontId="110" type="Hiragana"/>
  </si>
  <si>
    <t>ナカムラ　イッシン</t>
    <phoneticPr fontId="110" type="Hiragana"/>
  </si>
  <si>
    <t>ヤマサキ　リョウタロウ</t>
    <phoneticPr fontId="110" type="Hiragana"/>
  </si>
  <si>
    <t>フチノ　ソウスケ</t>
    <phoneticPr fontId="110" type="Hiragana"/>
  </si>
  <si>
    <t>ナリシゲ　セイナ</t>
    <phoneticPr fontId="110" type="Hiragana"/>
  </si>
  <si>
    <t>タカハシ　ナナコ</t>
    <phoneticPr fontId="110" type="Hiragana"/>
  </si>
  <si>
    <t>ヤマモト　ユウゴ</t>
    <phoneticPr fontId="110" type="Hiragana"/>
  </si>
  <si>
    <t>シロモト　ユウガ</t>
    <phoneticPr fontId="110" type="Hiragana"/>
  </si>
  <si>
    <t>サトウ　テンセイ</t>
    <phoneticPr fontId="110" type="Hiragana"/>
  </si>
  <si>
    <t>ソウマ　ユウセイ</t>
    <phoneticPr fontId="110" type="Hiragana"/>
  </si>
  <si>
    <t>クロダ　ヒュウガ</t>
    <phoneticPr fontId="110" type="Hiragana"/>
  </si>
  <si>
    <t>サトウ　イチト</t>
    <phoneticPr fontId="110" type="Hiragana"/>
  </si>
  <si>
    <t>ウエハラ　コウゼン</t>
    <phoneticPr fontId="110" type="Hiragana"/>
  </si>
  <si>
    <t>ナカゾノ　ユウゴ</t>
    <phoneticPr fontId="110" type="Hiragana"/>
  </si>
  <si>
    <t>サカガワ　タク</t>
    <phoneticPr fontId="110" type="Hiragana"/>
  </si>
  <si>
    <t>ナカマ　ハルト</t>
    <phoneticPr fontId="110" type="Hiragana"/>
  </si>
  <si>
    <t>ミサワ　ソラ</t>
    <phoneticPr fontId="110" type="Hiragana"/>
  </si>
  <si>
    <t>フカミ　クウヤ</t>
    <phoneticPr fontId="110" type="Hiragana"/>
  </si>
  <si>
    <t>カリュウ　ケンタ</t>
    <phoneticPr fontId="110" type="Hiragana"/>
  </si>
  <si>
    <t>マツモト　ユウリ</t>
    <phoneticPr fontId="110" type="Hiragana"/>
  </si>
  <si>
    <t>ナカノ　レア</t>
    <phoneticPr fontId="110" type="Hiragana"/>
  </si>
  <si>
    <t>ホソギ　タイセイ</t>
    <phoneticPr fontId="110" type="Hiragana"/>
  </si>
  <si>
    <t>マツオカ　ヒナ</t>
    <phoneticPr fontId="110" type="Hiragana"/>
  </si>
  <si>
    <t>ジツモト　ケイト</t>
    <phoneticPr fontId="110" type="Hiragana"/>
  </si>
  <si>
    <t>ヒロマツ　ヨウジロウ</t>
    <phoneticPr fontId="110" type="Hiragana"/>
  </si>
  <si>
    <t>アソウ　マサト</t>
    <phoneticPr fontId="110" type="Hiragana"/>
  </si>
  <si>
    <t>イワサキ　ショウタ</t>
    <phoneticPr fontId="110" type="Hiragana"/>
  </si>
  <si>
    <t>リョウザン　ヨシムネ</t>
    <phoneticPr fontId="110" type="Hiragana"/>
  </si>
  <si>
    <t>オオゾノ　トモキ</t>
    <phoneticPr fontId="110" type="Hiragana"/>
  </si>
  <si>
    <t>カンザキ　ハルキ</t>
    <phoneticPr fontId="110" type="Hiragana"/>
  </si>
  <si>
    <t>ウト　アオバ</t>
    <phoneticPr fontId="110" type="Hiragana"/>
  </si>
  <si>
    <t>キクチ　カナタ</t>
    <phoneticPr fontId="110" type="Hiragana"/>
  </si>
  <si>
    <t>サダ　ユウシン</t>
    <phoneticPr fontId="110" type="Hiragana"/>
  </si>
  <si>
    <t>ヒロハタ　ネネ</t>
    <phoneticPr fontId="110" type="Hiragana"/>
  </si>
  <si>
    <t>サトウ　ハルマ</t>
    <phoneticPr fontId="110" type="Hiragana"/>
  </si>
  <si>
    <t>イマニ　モモナ</t>
    <phoneticPr fontId="110" type="Hiragana"/>
  </si>
  <si>
    <t>ヨシウラ　シュンスケ</t>
    <phoneticPr fontId="110" type="Hiragana"/>
  </si>
  <si>
    <t>ヒラノ　ユリア</t>
    <phoneticPr fontId="110" type="Hiragana"/>
  </si>
  <si>
    <t>ヤマモト　ナオト</t>
    <phoneticPr fontId="110" type="Hiragana"/>
  </si>
  <si>
    <t>オギノ　コウタ</t>
    <phoneticPr fontId="110" type="Hiragana"/>
  </si>
  <si>
    <t>ヤマダ　ヨウシン</t>
    <phoneticPr fontId="110" type="Hiragana"/>
  </si>
  <si>
    <t>フジノ　ユウマ</t>
    <phoneticPr fontId="110" type="Hiragana"/>
  </si>
  <si>
    <t>ハンジョウ　リト</t>
    <phoneticPr fontId="110" type="Hiragana"/>
  </si>
  <si>
    <t>ミマタ　テル</t>
    <phoneticPr fontId="110" type="Hiragana"/>
  </si>
  <si>
    <t>タカマツ　コウスケ</t>
    <phoneticPr fontId="110" type="Hiragana"/>
  </si>
  <si>
    <t>キクチ　ナナミ</t>
    <phoneticPr fontId="110" type="Hiragana"/>
  </si>
  <si>
    <t>イマイシ　コウガ</t>
    <phoneticPr fontId="110" type="Hiragana"/>
  </si>
  <si>
    <t>ウチマル　シュンタロウ</t>
    <phoneticPr fontId="110" type="Hiragana"/>
  </si>
  <si>
    <t>ソノダ　トア</t>
    <phoneticPr fontId="110" type="Hiragana"/>
  </si>
  <si>
    <t>アンドウ　ヒロト</t>
    <phoneticPr fontId="110" type="Hiragana"/>
  </si>
  <si>
    <t>ハタヤマ　ユウカ</t>
    <phoneticPr fontId="110" type="Hiragana"/>
  </si>
  <si>
    <t>ヨコオ　リクト</t>
    <phoneticPr fontId="110" type="Hiragana"/>
  </si>
  <si>
    <t>イシイ　レイ</t>
    <phoneticPr fontId="110" type="Hiragana"/>
  </si>
  <si>
    <t>イワシタ　ユウキ</t>
    <phoneticPr fontId="110" type="Hiragana"/>
  </si>
  <si>
    <t>アベ　タイヨウ</t>
    <phoneticPr fontId="110" type="Hiragana"/>
  </si>
  <si>
    <t>マツシタ　アラタ</t>
    <phoneticPr fontId="110" type="Hiragana"/>
  </si>
  <si>
    <t>サクライ　ジン</t>
    <phoneticPr fontId="110" type="Hiragana"/>
  </si>
  <si>
    <t>ソノダ　ミナト</t>
    <phoneticPr fontId="110" type="Hiragana"/>
  </si>
  <si>
    <t>ナカハラ　イチカ</t>
    <phoneticPr fontId="110" type="Hiragana"/>
  </si>
  <si>
    <t>イタイ　ツキノ</t>
    <phoneticPr fontId="110" type="Hiragana"/>
  </si>
  <si>
    <t>トヨダ　カイリ</t>
    <phoneticPr fontId="110" type="Hiragana"/>
  </si>
  <si>
    <t>ワタベ　アレン</t>
    <phoneticPr fontId="110" type="Hiragana"/>
  </si>
  <si>
    <t>ノリカワ　コウキ</t>
    <phoneticPr fontId="110" type="Hiragana"/>
  </si>
  <si>
    <t>ノリカワ　ナルキ</t>
    <phoneticPr fontId="110" type="Hiragana"/>
  </si>
  <si>
    <t>クギマル　ユイト</t>
    <phoneticPr fontId="110" type="Hiragana"/>
  </si>
  <si>
    <t>セキ　ソウシ</t>
    <phoneticPr fontId="110" type="Hiragana"/>
  </si>
  <si>
    <t>ヒヨシ　シオン</t>
    <phoneticPr fontId="110" type="Hiragana"/>
  </si>
  <si>
    <t>コンドウ　ヨウヘイ</t>
    <phoneticPr fontId="110" type="Hiragana"/>
  </si>
  <si>
    <t>ナカノ　リョウヤ</t>
    <phoneticPr fontId="110" type="Hiragana"/>
  </si>
  <si>
    <t>モトヨシ　ユウタ</t>
    <phoneticPr fontId="110" type="Hiragana"/>
  </si>
  <si>
    <t>フジモト　タイキ</t>
    <phoneticPr fontId="110" type="Hiragana"/>
  </si>
  <si>
    <t>トウナイ　シュウ</t>
    <phoneticPr fontId="110" type="Hiragana"/>
  </si>
  <si>
    <t>テラダ　タケシ</t>
    <phoneticPr fontId="110" type="Hiragana"/>
  </si>
  <si>
    <t>タナナリ　アオイ</t>
    <phoneticPr fontId="110" type="Hiragana"/>
  </si>
  <si>
    <t>アラカネ　コウヤ</t>
    <phoneticPr fontId="110" type="Hiragana"/>
  </si>
  <si>
    <t>ワダ　ソウキ</t>
    <phoneticPr fontId="110" type="Hiragana"/>
  </si>
  <si>
    <t>シュトウ　ゲンジ</t>
    <phoneticPr fontId="110" type="Hiragana"/>
  </si>
  <si>
    <t>エグチ　サクマ</t>
    <phoneticPr fontId="110" type="Hiragana"/>
  </si>
  <si>
    <t>アナイ　キナリ</t>
    <phoneticPr fontId="110" type="Hiragana"/>
  </si>
  <si>
    <t>イケベ　コウガ</t>
    <phoneticPr fontId="110" type="Hiragana"/>
  </si>
  <si>
    <t>クロキ　ジンスケ</t>
    <phoneticPr fontId="110" type="Hiragana"/>
  </si>
  <si>
    <t>ハシザコ　タイガ</t>
    <phoneticPr fontId="110" type="Hiragana"/>
  </si>
  <si>
    <t>タチバナ　タク</t>
    <phoneticPr fontId="110" type="Hiragana"/>
  </si>
  <si>
    <t>サトミ　ユウタ</t>
    <phoneticPr fontId="110" type="Hiragana"/>
  </si>
  <si>
    <t>ナカミチ　ユウガ</t>
    <phoneticPr fontId="110" type="Hiragana"/>
  </si>
  <si>
    <t>ノナカ　アイリ</t>
    <phoneticPr fontId="110" type="Hiragana"/>
  </si>
  <si>
    <t>カジハラ　ソウタ</t>
    <phoneticPr fontId="110" type="Hiragana"/>
  </si>
  <si>
    <t>ヤマモト　キョウジロウ</t>
    <phoneticPr fontId="110" type="Hiragana"/>
  </si>
  <si>
    <t>ヒサトミ　カリン</t>
    <phoneticPr fontId="110" type="Hiragana"/>
  </si>
  <si>
    <t>タカマツ　エイト</t>
    <phoneticPr fontId="110" type="Hiragana"/>
  </si>
  <si>
    <t>ユキ　オウシロウ</t>
    <phoneticPr fontId="110" type="Hiragana"/>
  </si>
  <si>
    <t>コヤセ　ユウ</t>
    <phoneticPr fontId="110" type="Hiragana"/>
  </si>
  <si>
    <t>トモマツ　リク</t>
    <phoneticPr fontId="110" type="Hiragana"/>
  </si>
  <si>
    <t>ヤマムラ　ナツキ</t>
    <phoneticPr fontId="110" type="Hiragana"/>
  </si>
  <si>
    <t>イワヤ　コウキ</t>
    <phoneticPr fontId="110" type="Hiragana"/>
  </si>
  <si>
    <t>タニガワ　ユウタ</t>
    <phoneticPr fontId="110" type="Hiragana"/>
  </si>
  <si>
    <t>コヤマ　ハヅキ</t>
    <phoneticPr fontId="110" type="Hiragana"/>
  </si>
  <si>
    <t>サカイ　シュウト</t>
    <phoneticPr fontId="110" type="Hiragana"/>
  </si>
  <si>
    <t>トミタ　カイト</t>
    <phoneticPr fontId="110" type="Hiragana"/>
  </si>
  <si>
    <t>クロダ　リク</t>
    <phoneticPr fontId="110" type="Hiragana"/>
  </si>
  <si>
    <t>サイトウ　タケル</t>
    <phoneticPr fontId="110" type="Hiragana"/>
  </si>
  <si>
    <t>キヅキ　シュウト</t>
    <phoneticPr fontId="110" type="Hiragana"/>
  </si>
  <si>
    <t>タカクラ　ケイゴ</t>
    <phoneticPr fontId="110" type="Hiragana"/>
  </si>
  <si>
    <t>イシグロ　ダイチ</t>
    <phoneticPr fontId="110" type="Hiragana"/>
  </si>
  <si>
    <t>ソメヤ　レオ</t>
    <phoneticPr fontId="110" type="Hiragana"/>
  </si>
  <si>
    <t>サイトウ　レンタロウ</t>
    <phoneticPr fontId="110" type="Hiragana"/>
  </si>
  <si>
    <t>コン　オウスケ</t>
    <phoneticPr fontId="110" type="Hiragana"/>
  </si>
  <si>
    <t>カヤシマ　ハルト</t>
    <phoneticPr fontId="110" type="Hiragana"/>
  </si>
  <si>
    <t>タカハシ　エイト</t>
    <phoneticPr fontId="110" type="Hiragana"/>
  </si>
  <si>
    <t>ナカシマ　タイスケ</t>
    <phoneticPr fontId="110" type="Hiragana"/>
  </si>
  <si>
    <t>ヤマダ　カリン</t>
    <phoneticPr fontId="110" type="Hiragana"/>
  </si>
  <si>
    <t>カネタカ　コウキ</t>
    <phoneticPr fontId="110" type="Hiragana"/>
  </si>
  <si>
    <t>イノウエ　リョウタ</t>
    <phoneticPr fontId="110" type="Hiragana"/>
  </si>
  <si>
    <t>ヒロセ　ケンシ</t>
    <phoneticPr fontId="110" type="Hiragana"/>
  </si>
  <si>
    <t>イケミヤ　アラタ</t>
    <phoneticPr fontId="110" type="Hiragana"/>
  </si>
  <si>
    <t>ゴトウ　マナト</t>
    <phoneticPr fontId="110" type="Hiragana"/>
  </si>
  <si>
    <t>ノジ　ハヅキ</t>
    <phoneticPr fontId="110" type="Hiragana"/>
  </si>
  <si>
    <t>オノ　オウシロウ</t>
    <phoneticPr fontId="110" type="Hiragana"/>
  </si>
  <si>
    <t>ニノミヤ　ワタル</t>
    <phoneticPr fontId="110" type="Hiragana"/>
  </si>
  <si>
    <t>コトウ　シオン</t>
    <phoneticPr fontId="110" type="Hiragana"/>
  </si>
  <si>
    <t>エトウ　ツバサ</t>
    <phoneticPr fontId="110" type="Hiragana"/>
  </si>
  <si>
    <t>シガ　ヒロミ</t>
    <phoneticPr fontId="110" type="Hiragana"/>
  </si>
  <si>
    <t>ヤマサキ　タン</t>
    <phoneticPr fontId="110" type="Hiragana"/>
  </si>
  <si>
    <t>モリ　ユウタ</t>
    <phoneticPr fontId="110" type="Hiragana"/>
  </si>
  <si>
    <t>フジワラ　コウキ</t>
    <phoneticPr fontId="110" type="Hiragana"/>
  </si>
  <si>
    <t>テラカワ　タイト</t>
    <phoneticPr fontId="110" type="Hiragana"/>
  </si>
  <si>
    <t>ワダ　ムネハル</t>
    <phoneticPr fontId="110" type="Hiragana"/>
  </si>
  <si>
    <t>ハマサキ　タスク</t>
    <phoneticPr fontId="110" type="Hiragana"/>
  </si>
  <si>
    <t>フルマジ　ユウア</t>
    <phoneticPr fontId="110" type="Hiragana"/>
  </si>
  <si>
    <t>ワカバヤシ　コウメイ</t>
    <phoneticPr fontId="110" type="Hiragana"/>
  </si>
  <si>
    <t>ナカヤマ　カケル</t>
    <phoneticPr fontId="110" type="Hiragana"/>
  </si>
  <si>
    <t>マツモト　ソウスケ</t>
    <phoneticPr fontId="110" type="Hiragana"/>
  </si>
  <si>
    <t>ニイノ　レイ</t>
    <phoneticPr fontId="110" type="Hiragana"/>
  </si>
  <si>
    <t>ワタナベ　コウタ</t>
    <phoneticPr fontId="110" type="Hiragana"/>
  </si>
  <si>
    <t>ヨシノウチ　アユマ</t>
    <phoneticPr fontId="110" type="Hiragana"/>
  </si>
  <si>
    <t>クマガイ　ルイト</t>
    <phoneticPr fontId="110" type="Hiragana"/>
  </si>
  <si>
    <t>スエナガ　アオト</t>
    <phoneticPr fontId="110" type="Hiragana"/>
  </si>
  <si>
    <t>アキヨシ　カンタ</t>
    <phoneticPr fontId="110" type="Hiragana"/>
  </si>
  <si>
    <t>ツチヤ　スミレ</t>
    <phoneticPr fontId="110" type="Hiragana"/>
  </si>
  <si>
    <t>タテ　ライト</t>
    <phoneticPr fontId="110" type="Hiragana"/>
  </si>
  <si>
    <t>タニガワ　カイ</t>
    <phoneticPr fontId="110" type="Hiragana"/>
  </si>
  <si>
    <t>カトウ　ショウヤ</t>
    <phoneticPr fontId="110" type="Hiragana"/>
  </si>
  <si>
    <t>アオヤマ　タクマ</t>
    <phoneticPr fontId="110" type="Hiragana"/>
  </si>
  <si>
    <t>ダン　アオイ</t>
    <phoneticPr fontId="110" type="Hiragana"/>
  </si>
  <si>
    <t>キクカワ　ヒカル</t>
    <phoneticPr fontId="110" type="Hiragana"/>
  </si>
  <si>
    <t>ユス　リョウタ</t>
    <phoneticPr fontId="110" type="Hiragana"/>
  </si>
  <si>
    <t>ゴトウ　カイリ</t>
    <phoneticPr fontId="110" type="Hiragana"/>
  </si>
  <si>
    <t>カメイ　アカリ</t>
    <phoneticPr fontId="110" type="Hiragana"/>
  </si>
  <si>
    <t>マルタ　ケイヤ</t>
    <phoneticPr fontId="110" type="Hiragana"/>
  </si>
  <si>
    <t>ナラハシ　コハネ</t>
    <phoneticPr fontId="110" type="Hiragana"/>
  </si>
  <si>
    <t>カラシマ　ホナミ</t>
    <phoneticPr fontId="110" type="Hiragana"/>
  </si>
  <si>
    <t>イシカケ　マサキ</t>
    <phoneticPr fontId="110" type="Hiragana"/>
  </si>
  <si>
    <t>ハダノ　ショウキ</t>
    <phoneticPr fontId="110" type="Hiragana"/>
  </si>
  <si>
    <t>ハナキタ　アサヒ</t>
    <phoneticPr fontId="110" type="Hiragana"/>
  </si>
  <si>
    <t>アンドウ　ジンリ</t>
    <phoneticPr fontId="110" type="Hiragana"/>
  </si>
  <si>
    <t>ウエノ　ソウスケ</t>
    <phoneticPr fontId="110" type="Hiragana"/>
  </si>
  <si>
    <t>コマツ　ナオキ</t>
    <phoneticPr fontId="110" type="Hiragana"/>
  </si>
  <si>
    <t>カイ　コウガ</t>
    <phoneticPr fontId="110" type="Hiragana"/>
  </si>
  <si>
    <t>サワイ　ツカサ</t>
    <phoneticPr fontId="110" type="Hiragana"/>
  </si>
  <si>
    <t>ザイツ　コウキ</t>
    <phoneticPr fontId="110" type="Hiragana"/>
  </si>
  <si>
    <t>エトウ　シン</t>
    <phoneticPr fontId="110" type="Hiragana"/>
  </si>
  <si>
    <t>ヤイシ　コウセイ</t>
    <phoneticPr fontId="110" type="Hiragana"/>
  </si>
  <si>
    <t>タカノ　ミズキ</t>
    <phoneticPr fontId="110" type="Hiragana"/>
  </si>
  <si>
    <t>チハラ　レンゴ</t>
    <phoneticPr fontId="110" type="Hiragana"/>
  </si>
  <si>
    <t>ヤマダ　セナ</t>
    <phoneticPr fontId="110" type="Hiragana"/>
  </si>
  <si>
    <t>シュトウ　エイタ</t>
    <phoneticPr fontId="110" type="Hiragana"/>
  </si>
  <si>
    <t>ナカシマ　リュウシン</t>
    <phoneticPr fontId="110" type="Hiragana"/>
  </si>
  <si>
    <t>シマダ　オウタ</t>
    <phoneticPr fontId="110" type="Hiragana"/>
  </si>
  <si>
    <t>ゴトウ　リュウセイ</t>
    <phoneticPr fontId="110" type="Hiragana"/>
  </si>
  <si>
    <t>ユゲ　ソウマ</t>
    <phoneticPr fontId="110" type="Hiragana"/>
  </si>
  <si>
    <t>ハシモト　タイリ</t>
    <phoneticPr fontId="110" type="Hiragana"/>
  </si>
  <si>
    <t>ヤノ　マサムネ</t>
    <phoneticPr fontId="110" type="Hiragana"/>
  </si>
  <si>
    <t>ハヅク　ユウマ</t>
    <phoneticPr fontId="110" type="Hiragana"/>
  </si>
  <si>
    <t>ヨシタケ　トウキ</t>
    <phoneticPr fontId="110" type="Hiragana"/>
  </si>
  <si>
    <t>カワノ　セイタ</t>
    <phoneticPr fontId="110" type="Hiragana"/>
  </si>
  <si>
    <t>カイ　ヤマト</t>
    <phoneticPr fontId="110" type="Hiragana"/>
  </si>
  <si>
    <t>オカヤマ　ギンジ</t>
    <phoneticPr fontId="110" type="Hiragana"/>
  </si>
  <si>
    <t>イトウ　ミユ</t>
    <phoneticPr fontId="110" type="Hiragana"/>
  </si>
  <si>
    <t>コダイラ　セア</t>
    <phoneticPr fontId="110" type="Hiragana"/>
  </si>
  <si>
    <t>フジモト　ハヤト</t>
    <phoneticPr fontId="110" type="Hiragana"/>
  </si>
  <si>
    <t>ゴトウ　エイト</t>
    <phoneticPr fontId="110" type="Hiragana"/>
  </si>
  <si>
    <t>アダチ　タクミ</t>
    <phoneticPr fontId="110" type="Hiragana"/>
  </si>
  <si>
    <t>ヒロタ　ルイ</t>
    <phoneticPr fontId="110" type="Hiragana"/>
  </si>
  <si>
    <t>スナミ　マサト</t>
    <phoneticPr fontId="110" type="Hiragana"/>
  </si>
  <si>
    <t>ヤマサキ　ソラ</t>
    <phoneticPr fontId="110" type="Hiragana"/>
  </si>
  <si>
    <t>ヤマモト　ユウガ</t>
    <phoneticPr fontId="110" type="Hiragana"/>
  </si>
  <si>
    <t>アダチ　マサト</t>
    <phoneticPr fontId="110" type="Hiragana"/>
  </si>
  <si>
    <t>ヨシタケ　コウミ</t>
    <phoneticPr fontId="110" type="Hiragana"/>
  </si>
  <si>
    <t>タナカ　ユウゴ</t>
    <phoneticPr fontId="110" type="Hiragana"/>
  </si>
  <si>
    <t>オガタ　ユウト</t>
    <phoneticPr fontId="110" type="Hiragana"/>
  </si>
  <si>
    <t>トミタ　ユキト</t>
    <phoneticPr fontId="110" type="Hiragana"/>
  </si>
  <si>
    <t>ナカノ　カイト</t>
    <phoneticPr fontId="110" type="Hiragana"/>
  </si>
  <si>
    <t>ヤマシタ　サキ</t>
    <phoneticPr fontId="110" type="Hiragana"/>
  </si>
  <si>
    <t>フスマダ　エイト</t>
    <phoneticPr fontId="110" type="Hiragana"/>
  </si>
  <si>
    <t>コムラ　ハル</t>
    <phoneticPr fontId="110" type="Hiragana"/>
  </si>
  <si>
    <t>クワハラ　ショウタ</t>
    <phoneticPr fontId="110" type="Hiragana"/>
  </si>
  <si>
    <t>タカナミ　リョウマ</t>
    <phoneticPr fontId="110" type="Hiragana"/>
  </si>
  <si>
    <t>コウノ　ヒロキ</t>
    <phoneticPr fontId="110" type="Hiragana"/>
  </si>
  <si>
    <t>オノ　マサキ</t>
    <phoneticPr fontId="110" type="Hiragana"/>
  </si>
  <si>
    <t>アオノ　リョウセイ</t>
    <phoneticPr fontId="110" type="Hiragana"/>
  </si>
  <si>
    <t>ハシモト　ユウキ</t>
    <phoneticPr fontId="110" type="Hiragana"/>
  </si>
  <si>
    <t>ウエノ　アンリ</t>
    <phoneticPr fontId="110" type="Hiragana"/>
  </si>
  <si>
    <t>サトウ　ユウマ</t>
    <phoneticPr fontId="110" type="Hiragana"/>
  </si>
  <si>
    <t>イヌヅカ　テッショウ</t>
    <phoneticPr fontId="110" type="Hiragana"/>
  </si>
  <si>
    <t>アナン　ケイタ</t>
    <phoneticPr fontId="110" type="Hiragana"/>
  </si>
  <si>
    <t>ワタナベ　カズシ</t>
    <phoneticPr fontId="110" type="Hiragana"/>
  </si>
  <si>
    <t>ヤマモト　ヤスヒト</t>
    <phoneticPr fontId="110" type="Hiragana"/>
  </si>
  <si>
    <t>ウエノ　ライト</t>
    <phoneticPr fontId="110" type="Hiragana"/>
  </si>
  <si>
    <t>サトウ　ユウト</t>
    <phoneticPr fontId="110" type="Hiragana"/>
  </si>
  <si>
    <t>サトウ　ケイ</t>
    <phoneticPr fontId="110" type="Hiragana"/>
  </si>
  <si>
    <t>ニノミヤ　ソウタ</t>
    <phoneticPr fontId="110" type="Hiragana"/>
  </si>
  <si>
    <t>シバタ　ハクスケ</t>
    <phoneticPr fontId="110" type="Hiragana"/>
  </si>
  <si>
    <t>キヨスエ　ヒロキ</t>
    <phoneticPr fontId="110" type="Hiragana"/>
  </si>
  <si>
    <t>タカノ　エイキ</t>
    <phoneticPr fontId="110" type="Hiragana"/>
  </si>
  <si>
    <t>キラ　リンタロウ</t>
    <phoneticPr fontId="110" type="Hiragana"/>
  </si>
  <si>
    <t>シミズ　ゲンタロウ</t>
    <phoneticPr fontId="110" type="Hiragana"/>
  </si>
  <si>
    <t>イガウエ　チハヤ</t>
    <phoneticPr fontId="110" type="Hiragana"/>
  </si>
  <si>
    <t>カイ　イッペイ</t>
    <phoneticPr fontId="110" type="Hiragana"/>
  </si>
  <si>
    <t>ハシモト　タクヤ</t>
    <phoneticPr fontId="110" type="Hiragana"/>
  </si>
  <si>
    <t>ゴトウ　イクト</t>
    <phoneticPr fontId="110" type="Hiragana"/>
  </si>
  <si>
    <t>ゴトウ　タイガ</t>
    <phoneticPr fontId="110" type="Hiragana"/>
  </si>
  <si>
    <t>ミヤタ　シュント</t>
    <phoneticPr fontId="110" type="Hiragana"/>
  </si>
  <si>
    <t>シマダ　ヒロト</t>
    <phoneticPr fontId="110" type="Hiragana"/>
  </si>
  <si>
    <t>フルタ　ヒョウ</t>
    <phoneticPr fontId="110" type="Hiragana"/>
  </si>
  <si>
    <t>オトヅ　ソウスケ</t>
    <phoneticPr fontId="110" type="Hiragana"/>
  </si>
  <si>
    <t>サイキ　ハル</t>
    <phoneticPr fontId="110" type="Hiragana"/>
  </si>
  <si>
    <t>オオクボ　コウキ</t>
    <phoneticPr fontId="110" type="Hiragana"/>
  </si>
  <si>
    <t>ミヤザキ　タイジュ</t>
    <phoneticPr fontId="110" type="Hiragana"/>
  </si>
  <si>
    <t>ユキナガ　リオ</t>
    <phoneticPr fontId="110" type="Hiragana"/>
  </si>
  <si>
    <t>ミヤグチ　ユウト</t>
    <phoneticPr fontId="110" type="Hiragana"/>
  </si>
  <si>
    <t>ゴトウ　カオル</t>
    <phoneticPr fontId="110" type="Hiragana"/>
  </si>
  <si>
    <t>タケダ　アユム</t>
    <phoneticPr fontId="110" type="Hiragana"/>
  </si>
  <si>
    <t>ノダ　トヨタロウ</t>
    <phoneticPr fontId="110" type="Hiragana"/>
  </si>
  <si>
    <t>ノジリ　アオバ</t>
    <phoneticPr fontId="110" type="Hiragana"/>
  </si>
  <si>
    <t>ウエキ　ソウスケ</t>
    <phoneticPr fontId="110" type="Hiragana"/>
  </si>
  <si>
    <t>オノ　ヒロヤ</t>
    <phoneticPr fontId="110" type="Hiragana"/>
  </si>
  <si>
    <t>シモセ　コハク</t>
    <phoneticPr fontId="110" type="Hiragana"/>
  </si>
  <si>
    <t>カワカミ　シンペイ</t>
    <phoneticPr fontId="110" type="Hiragana"/>
  </si>
  <si>
    <t>アラカワ　コウタ</t>
    <phoneticPr fontId="110" type="Hiragana"/>
  </si>
  <si>
    <t>マツザキ　カツキ</t>
    <phoneticPr fontId="110" type="Hiragana"/>
  </si>
  <si>
    <t>ヨシダ　ケイゴ</t>
    <phoneticPr fontId="110" type="Hiragana"/>
  </si>
  <si>
    <t>ヤマサキ　リドウ</t>
    <phoneticPr fontId="110" type="Hiragana"/>
  </si>
  <si>
    <t>クシマ　ツバキ</t>
    <phoneticPr fontId="110" type="Hiragana"/>
  </si>
  <si>
    <t>ヒロサキ　イッシン</t>
    <phoneticPr fontId="110" type="Hiragana"/>
  </si>
  <si>
    <t>アラカネ　ソウシ</t>
    <phoneticPr fontId="110" type="Hiragana"/>
  </si>
  <si>
    <t>コイデ　カイト</t>
    <phoneticPr fontId="110" type="Hiragana"/>
  </si>
  <si>
    <t>スズキ　トウガ</t>
    <phoneticPr fontId="110" type="Hiragana"/>
  </si>
  <si>
    <t>ワカヤマ　シュン</t>
    <phoneticPr fontId="110" type="Hiragana"/>
  </si>
  <si>
    <t>エトウ　フウマ</t>
    <phoneticPr fontId="110" type="Hiragana"/>
  </si>
  <si>
    <t>ナガオ　セナ</t>
    <phoneticPr fontId="110" type="Hiragana"/>
  </si>
  <si>
    <t>ミヤワキ　キリン</t>
    <phoneticPr fontId="110" type="Hiragana"/>
  </si>
  <si>
    <t>サダユキ　イクリ</t>
    <phoneticPr fontId="110" type="Hiragana"/>
  </si>
  <si>
    <t>カワヅ　アヤタ</t>
    <phoneticPr fontId="110" type="Hiragana"/>
  </si>
  <si>
    <t>ヤマモト　ユウマ</t>
    <phoneticPr fontId="110" type="Hiragana"/>
  </si>
  <si>
    <t>ナガオ　リンジェ</t>
    <phoneticPr fontId="110" type="Hiragana"/>
  </si>
  <si>
    <t>カイ　イツキ</t>
    <phoneticPr fontId="110" type="Hiragana"/>
  </si>
  <si>
    <t>イシバシ　ユウ</t>
    <phoneticPr fontId="110" type="Hiragana"/>
  </si>
  <si>
    <t>タカハシ　ソウシロウ</t>
    <phoneticPr fontId="110" type="Hiragana"/>
  </si>
  <si>
    <t>タテヤマ　ココロ</t>
    <phoneticPr fontId="110" type="Hiragana"/>
  </si>
  <si>
    <t>エシマ　ケンタ</t>
    <phoneticPr fontId="110" type="Hiragana"/>
  </si>
  <si>
    <t>イケダ　アツキ</t>
    <phoneticPr fontId="110" type="Hiragana"/>
  </si>
  <si>
    <t>サトウ　オウガ</t>
    <phoneticPr fontId="110" type="Hiragana"/>
  </si>
  <si>
    <t>マエカタ　レイ</t>
    <phoneticPr fontId="110" type="Hiragana"/>
  </si>
  <si>
    <t>シュトウ　オリト</t>
    <phoneticPr fontId="110" type="Hiragana"/>
  </si>
  <si>
    <t>エイモリ　コタロウ</t>
    <phoneticPr fontId="110" type="Hiragana"/>
  </si>
  <si>
    <t>コレナガ　ケイタ</t>
    <phoneticPr fontId="110" type="Hiragana"/>
  </si>
  <si>
    <t>マスムラ　オウタ</t>
    <phoneticPr fontId="110" type="Hiragana"/>
  </si>
  <si>
    <t>コヤ　ソウマ</t>
    <phoneticPr fontId="110" type="Hiragana"/>
  </si>
  <si>
    <t>カモダ　コウマ</t>
    <phoneticPr fontId="110" type="Hiragana"/>
  </si>
  <si>
    <t>ニシ　コタロウ</t>
    <phoneticPr fontId="110" type="Hiragana"/>
  </si>
  <si>
    <t>イワナガ　タイセイ</t>
    <phoneticPr fontId="110" type="Hiragana"/>
  </si>
  <si>
    <t>ヤマサキ　アオマ</t>
    <phoneticPr fontId="110" type="Hiragana"/>
  </si>
  <si>
    <t>ヤマサキ　ソウマ</t>
    <phoneticPr fontId="110" type="Hiragana"/>
  </si>
  <si>
    <t>ヤマモト　アオイ</t>
    <phoneticPr fontId="110" type="Hiragana"/>
  </si>
  <si>
    <t>コダマ　ナギ</t>
    <phoneticPr fontId="110" type="Hiragana"/>
  </si>
  <si>
    <t>アラマキ　オウガ</t>
    <phoneticPr fontId="110" type="Hiragana"/>
  </si>
  <si>
    <t>クギミヤ　アサキ</t>
    <phoneticPr fontId="110" type="Hiragana"/>
  </si>
  <si>
    <t>ナカヤマ　ハルト</t>
    <phoneticPr fontId="110" type="Hiragana"/>
  </si>
  <si>
    <t>シミズ　キズナ</t>
    <phoneticPr fontId="110" type="Hiragana"/>
  </si>
  <si>
    <t>セイケ　セラ</t>
    <phoneticPr fontId="110" type="Hiragana"/>
  </si>
  <si>
    <t>カンザキ　ユイ</t>
    <phoneticPr fontId="110" type="Hiragana"/>
  </si>
  <si>
    <t>サカモト　ハナ</t>
    <phoneticPr fontId="110" type="Hiragana"/>
  </si>
  <si>
    <t>ミタライ　ツバサ</t>
    <phoneticPr fontId="110" type="Hiragana"/>
  </si>
  <si>
    <t>タカツキ　カイシン</t>
    <phoneticPr fontId="110" type="Hiragana"/>
  </si>
  <si>
    <t>ハタケヤマ　ハル</t>
    <phoneticPr fontId="110" type="Hiragana"/>
  </si>
  <si>
    <t>アソン　ハル</t>
    <phoneticPr fontId="110" type="Hiragana"/>
  </si>
  <si>
    <t>フジワラ　カナデ</t>
    <phoneticPr fontId="110" type="Hiragana"/>
  </si>
  <si>
    <t>ゴトウ　ユウマ</t>
    <phoneticPr fontId="110" type="Hiragana"/>
  </si>
  <si>
    <t>ホンダ　レイ</t>
    <phoneticPr fontId="110" type="Hiragana"/>
  </si>
  <si>
    <t>アカセ　ショウマ</t>
    <phoneticPr fontId="110" type="Hiragana"/>
  </si>
  <si>
    <t>タナカ　シュンヤ</t>
    <phoneticPr fontId="110" type="Hiragana"/>
  </si>
  <si>
    <t>コンドウ　フウマ</t>
    <phoneticPr fontId="110" type="Hiragana"/>
  </si>
  <si>
    <t>アナイ　タイヨウ</t>
    <phoneticPr fontId="110" type="Hiragana"/>
  </si>
  <si>
    <t>オノ　レッカ</t>
    <phoneticPr fontId="110" type="Hiragana"/>
  </si>
  <si>
    <t>マツオ　リョウスケ</t>
    <phoneticPr fontId="110" type="Hiragana"/>
  </si>
  <si>
    <t>テシマ　ユアト</t>
    <phoneticPr fontId="110" type="Hiragana"/>
  </si>
  <si>
    <t>ヤマダ　チナミ</t>
    <phoneticPr fontId="110" type="Hiragana"/>
  </si>
  <si>
    <t>オカダ　ユウスケ</t>
    <phoneticPr fontId="110" type="Hiragana"/>
  </si>
  <si>
    <t>タナベ　ダイヤ</t>
    <phoneticPr fontId="110" type="Hiragana"/>
  </si>
  <si>
    <t>ヒサモチ　レン</t>
    <phoneticPr fontId="110" type="Hiragana"/>
  </si>
  <si>
    <t>キラ　タイキ</t>
    <phoneticPr fontId="110" type="Hiragana"/>
  </si>
  <si>
    <t>シュトウ　ケンシン</t>
    <phoneticPr fontId="110" type="Hiragana"/>
  </si>
  <si>
    <t>ハタガミ　ミナト</t>
    <phoneticPr fontId="110" type="Hiragana"/>
  </si>
  <si>
    <t>オオゼキ　ナオハル</t>
    <phoneticPr fontId="110" type="Hiragana"/>
  </si>
  <si>
    <t>ヒガシ　ダイヤ</t>
    <phoneticPr fontId="110" type="Hiragana"/>
  </si>
  <si>
    <t>サイトウ　ヒロト</t>
    <phoneticPr fontId="110" type="Hiragana"/>
  </si>
  <si>
    <t>ウエキ　フウキ</t>
    <phoneticPr fontId="110" type="Hiragana"/>
  </si>
  <si>
    <t>ハシモト　ヒロト</t>
    <phoneticPr fontId="110" type="Hiragana"/>
  </si>
  <si>
    <t>イノウエ　アツシ</t>
    <phoneticPr fontId="110" type="Hiragana"/>
  </si>
  <si>
    <t>ゴトウ　ショウタ</t>
    <phoneticPr fontId="110" type="Hiragana"/>
  </si>
  <si>
    <t>ナガサワ　トモキ</t>
    <phoneticPr fontId="110" type="Hiragana"/>
  </si>
  <si>
    <t>アベ　イツキ</t>
    <phoneticPr fontId="110" type="Hiragana"/>
  </si>
  <si>
    <t>オオタ　ジュノ</t>
    <phoneticPr fontId="110" type="Hiragana"/>
  </si>
  <si>
    <t>サカモト　シュウヤ</t>
    <phoneticPr fontId="110" type="Hiragana"/>
  </si>
  <si>
    <t>ゴトウ　アヤト</t>
    <phoneticPr fontId="110" type="Hiragana"/>
  </si>
  <si>
    <t>カワベ　トウゴ</t>
    <phoneticPr fontId="110" type="Hiragana"/>
  </si>
  <si>
    <t>ワタナベ　ダイゴ</t>
    <phoneticPr fontId="110" type="Hiragana"/>
  </si>
  <si>
    <t>ニシモト　オウタ</t>
    <phoneticPr fontId="110" type="Hiragana"/>
  </si>
  <si>
    <t>テツサキ　ユウマ</t>
    <phoneticPr fontId="110" type="Hiragana"/>
  </si>
  <si>
    <t>タケノウチ　ソウマ</t>
    <phoneticPr fontId="110" type="Hiragana"/>
  </si>
  <si>
    <t>クドウ　シュウサク</t>
    <phoneticPr fontId="110" type="Hiragana"/>
  </si>
  <si>
    <t>オカモト　フウキ</t>
    <phoneticPr fontId="110" type="Hiragana"/>
  </si>
  <si>
    <t>タケウチ　ジュンノスケ</t>
    <phoneticPr fontId="110" type="Hiragana"/>
  </si>
  <si>
    <t>カワバタ　リム</t>
    <phoneticPr fontId="110" type="Hiragana"/>
  </si>
  <si>
    <t>ツチヤ　イッシン</t>
    <phoneticPr fontId="110" type="Hiragana"/>
  </si>
  <si>
    <t>ナカニシ　マナト</t>
    <phoneticPr fontId="110" type="Hiragana"/>
  </si>
  <si>
    <t>マシコ　ワタル</t>
    <phoneticPr fontId="110" type="Hiragana"/>
  </si>
  <si>
    <t>ヤマナカ　タツジ</t>
    <phoneticPr fontId="110" type="Hiragana"/>
  </si>
  <si>
    <t>ヤノ　セイシロウ</t>
    <phoneticPr fontId="110" type="Hiragana"/>
  </si>
  <si>
    <t>モリヤマ　サクト</t>
    <phoneticPr fontId="110" type="Hiragana"/>
  </si>
  <si>
    <t>タツカワ　ユナ</t>
    <phoneticPr fontId="110" type="Hiragana"/>
  </si>
  <si>
    <t>イシイ　トモヤ</t>
    <phoneticPr fontId="110" type="Hiragana"/>
  </si>
  <si>
    <t>サトウ　ジョウジ</t>
    <phoneticPr fontId="110" type="Hiragana"/>
  </si>
  <si>
    <t>ヨシダ　カズト</t>
    <phoneticPr fontId="110" type="Hiragana"/>
  </si>
  <si>
    <t>タグチ　サク</t>
    <phoneticPr fontId="110" type="Hiragana"/>
  </si>
  <si>
    <t>アサウミ　ショウ</t>
    <phoneticPr fontId="110" type="Hiragana"/>
  </si>
  <si>
    <t>ゴトウ　カナト</t>
    <phoneticPr fontId="110" type="Hiragana"/>
  </si>
  <si>
    <t>カンザキ　カイト</t>
    <phoneticPr fontId="110" type="Hiragana"/>
  </si>
  <si>
    <t>ブニョウ　レント</t>
    <phoneticPr fontId="110" type="Hiragana"/>
  </si>
  <si>
    <t>タカハシ　アイト</t>
    <phoneticPr fontId="110" type="Hiragana"/>
  </si>
  <si>
    <t>タサキ　ライト</t>
    <phoneticPr fontId="110" type="Hiragana"/>
  </si>
  <si>
    <t>オノ　モモカ</t>
    <phoneticPr fontId="110" type="Hiragana"/>
  </si>
  <si>
    <t>ヤマダ　ダイキ</t>
    <phoneticPr fontId="110" type="Hiragana"/>
  </si>
  <si>
    <t>オガワ　ソウスケ</t>
    <phoneticPr fontId="110" type="Hiragana"/>
  </si>
  <si>
    <t>ヤスノ　ナオト</t>
    <phoneticPr fontId="110" type="Hiragana"/>
  </si>
  <si>
    <t>タムラ　タカユキ</t>
    <phoneticPr fontId="110" type="Hiragana"/>
  </si>
  <si>
    <t>ヤマカワ　アイキ</t>
    <phoneticPr fontId="110" type="Hiragana"/>
  </si>
  <si>
    <t>ハラダ　トオリ</t>
    <phoneticPr fontId="110" type="Hiragana"/>
  </si>
  <si>
    <t>イナヅキ　イオリ</t>
    <phoneticPr fontId="110" type="Hiragana"/>
  </si>
  <si>
    <t>フナツ　コウヤ</t>
    <phoneticPr fontId="110" type="Hiragana"/>
  </si>
  <si>
    <t>ワカスギ　カナト</t>
    <phoneticPr fontId="110" type="Hiragana"/>
  </si>
  <si>
    <t>ヒョウドウ　コタロウ</t>
    <phoneticPr fontId="110" type="Hiragana"/>
  </si>
  <si>
    <t>ハラ　カイリ</t>
    <phoneticPr fontId="110" type="Hiragana"/>
  </si>
  <si>
    <t>トミク　シュウスケ</t>
    <phoneticPr fontId="110" type="Hiragana"/>
  </si>
  <si>
    <t>クサノ　コウタ</t>
    <phoneticPr fontId="110" type="Hiragana"/>
  </si>
  <si>
    <t>アダチ　トシハル</t>
    <phoneticPr fontId="110" type="Hiragana"/>
  </si>
  <si>
    <t>イソダ　コウキ</t>
    <phoneticPr fontId="110" type="Hiragana"/>
  </si>
  <si>
    <t>カマモト　コウキ</t>
    <phoneticPr fontId="110" type="Hiragana"/>
  </si>
  <si>
    <t>サトウ　ジンヤ</t>
    <phoneticPr fontId="110" type="Hiragana"/>
  </si>
  <si>
    <t>カワノ　リョウスケ</t>
    <phoneticPr fontId="110" type="Hiragana"/>
  </si>
  <si>
    <t>トーマス　ヘイデン</t>
    <phoneticPr fontId="110" type="Hiragana"/>
  </si>
  <si>
    <t>オキモト　ショウゴ</t>
    <phoneticPr fontId="110" type="Hiragana"/>
  </si>
  <si>
    <t>ミズノ　アサヒ</t>
    <phoneticPr fontId="110" type="Hiragana"/>
  </si>
  <si>
    <t>キヨハラ　ムツキ</t>
    <phoneticPr fontId="110" type="Hiragana"/>
  </si>
  <si>
    <t>ナガマツ　トモヤス</t>
    <phoneticPr fontId="110" type="Hiragana"/>
  </si>
  <si>
    <t>コガ　フミヤ</t>
    <phoneticPr fontId="110" type="Hiragana"/>
  </si>
  <si>
    <t>ハラ　アサヒ</t>
    <phoneticPr fontId="110" type="Hiragana"/>
  </si>
  <si>
    <t>ナカマ　シノ</t>
    <phoneticPr fontId="110" type="Hiragana"/>
  </si>
  <si>
    <t>イナガキ　イツキ</t>
    <phoneticPr fontId="110" type="Hiragana"/>
  </si>
  <si>
    <t>モトキ　レンヤ</t>
    <phoneticPr fontId="110" type="Hiragana"/>
  </si>
  <si>
    <t>トクマル　ショア</t>
    <phoneticPr fontId="110" type="Hiragana"/>
  </si>
  <si>
    <t>オオノ　コウダイ</t>
    <phoneticPr fontId="110" type="Hiragana"/>
  </si>
  <si>
    <t>カワノ　トウマ</t>
    <phoneticPr fontId="110" type="Hiragana"/>
  </si>
  <si>
    <t>ニシムラ　オウ</t>
    <phoneticPr fontId="110" type="Hiragana"/>
  </si>
  <si>
    <t>アベ　トウマ</t>
    <phoneticPr fontId="110" type="Hiragana"/>
  </si>
  <si>
    <t>トヨナガ　ユウト</t>
    <phoneticPr fontId="110" type="Hiragana"/>
  </si>
  <si>
    <t>ミシロ　リンタロウ</t>
    <phoneticPr fontId="110" type="Hiragana"/>
  </si>
  <si>
    <t>オガワ　エイジ</t>
    <phoneticPr fontId="110" type="Hiragana"/>
  </si>
  <si>
    <t>アキヨシ　ユイナ</t>
    <phoneticPr fontId="110" type="Hiragana"/>
  </si>
  <si>
    <t>カワイ　カンタ</t>
    <phoneticPr fontId="110" type="Hiragana"/>
  </si>
  <si>
    <t>カク　タイガ</t>
    <phoneticPr fontId="110" type="Hiragana"/>
  </si>
  <si>
    <t>ムラカミ　アルト</t>
    <phoneticPr fontId="110" type="Hiragana"/>
  </si>
  <si>
    <t>カヤタ　レオ</t>
    <phoneticPr fontId="110" type="Hiragana"/>
  </si>
  <si>
    <t>ザイゼン　アヤト</t>
    <phoneticPr fontId="110" type="Hiragana"/>
  </si>
  <si>
    <t>オオクボ　ハヤト</t>
    <phoneticPr fontId="110" type="Hiragana"/>
  </si>
  <si>
    <t>オカザキ　ミヒロ</t>
    <phoneticPr fontId="110" type="Hiragana"/>
  </si>
  <si>
    <t>オオニシ　ソラ</t>
    <phoneticPr fontId="110" type="Hiragana"/>
  </si>
  <si>
    <t>タケモト　タイガ</t>
    <phoneticPr fontId="110" type="Hiragana"/>
  </si>
  <si>
    <t>ワダ　アヤト</t>
    <phoneticPr fontId="110" type="Hiragana"/>
  </si>
  <si>
    <t>オカ　ミナト</t>
    <phoneticPr fontId="110" type="Hiragana"/>
  </si>
  <si>
    <t>ウリュウ　ユウノスケ</t>
    <phoneticPr fontId="110" type="Hiragana"/>
  </si>
  <si>
    <t>サンノミヤ　サクタロウ</t>
    <phoneticPr fontId="110" type="Hiragana"/>
  </si>
  <si>
    <t>ヨシダ　アスム</t>
    <phoneticPr fontId="110" type="Hiragana"/>
  </si>
  <si>
    <t>アソウ　エイシン</t>
    <phoneticPr fontId="110" type="Hiragana"/>
  </si>
  <si>
    <t>ソノダ　カイラ</t>
    <phoneticPr fontId="110" type="Hiragana"/>
  </si>
  <si>
    <t>ミウラ　コウガ</t>
    <phoneticPr fontId="110" type="Hiragana"/>
  </si>
  <si>
    <t>アキヨシ　ユウシン</t>
    <phoneticPr fontId="110" type="Hiragana"/>
  </si>
  <si>
    <t>ヒノ　アオト</t>
    <phoneticPr fontId="110" type="Hiragana"/>
  </si>
  <si>
    <t>アイヅ　カナミ</t>
    <phoneticPr fontId="110" type="Hiragana"/>
  </si>
  <si>
    <t>イチマンダ　レン</t>
    <phoneticPr fontId="110" type="Hiragana"/>
  </si>
  <si>
    <t>ナガノ　オウラ</t>
    <phoneticPr fontId="110" type="Hiragana"/>
  </si>
  <si>
    <t>カワタニ　ジン</t>
    <phoneticPr fontId="110" type="Hiragana"/>
  </si>
  <si>
    <t>オグモ　アキラ</t>
    <phoneticPr fontId="110" type="Hiragana"/>
  </si>
  <si>
    <t>エトウ　ユウセイ</t>
    <phoneticPr fontId="110" type="Hiragana"/>
  </si>
  <si>
    <t>ゴウバラ　シュウマ</t>
    <phoneticPr fontId="110" type="Hiragana"/>
  </si>
  <si>
    <t>オオノ　タクト</t>
    <phoneticPr fontId="110" type="Hiragana"/>
  </si>
  <si>
    <t>ホリウチ　コウシ</t>
    <phoneticPr fontId="110" type="Hiragana"/>
  </si>
  <si>
    <t>ゴトウ　イロハ</t>
    <phoneticPr fontId="110" type="Hiragana"/>
  </si>
  <si>
    <t>クロキ　ジョウスケ</t>
    <phoneticPr fontId="110" type="Hiragana"/>
  </si>
  <si>
    <t>サトウ　ミナト</t>
    <phoneticPr fontId="110" type="Hiragana"/>
  </si>
  <si>
    <t>ワタナベ　ユウト</t>
    <phoneticPr fontId="110" type="Hiragana"/>
  </si>
  <si>
    <t>ヤノ　トウマ</t>
    <phoneticPr fontId="110" type="Hiragana"/>
  </si>
  <si>
    <t>ミナミ　カズキ</t>
    <phoneticPr fontId="110" type="Hiragana"/>
  </si>
  <si>
    <t>イノグチ　ハルキ</t>
    <phoneticPr fontId="110" type="Hiragana"/>
  </si>
  <si>
    <t>ナガオ　リント</t>
    <phoneticPr fontId="110" type="Hiragana"/>
  </si>
  <si>
    <t>エンドウ　マサキ</t>
    <phoneticPr fontId="110" type="Hiragana"/>
  </si>
  <si>
    <t>エトウ　コウスケ</t>
    <phoneticPr fontId="110" type="Hiragana"/>
  </si>
  <si>
    <t>ウメキ　アンジュ</t>
    <phoneticPr fontId="110" type="Hiragana"/>
  </si>
  <si>
    <t>タカハシ　ユウタロウ</t>
    <phoneticPr fontId="110" type="Hiragana"/>
  </si>
  <si>
    <t>アカボシ　リュウキ</t>
    <phoneticPr fontId="110" type="Hiragana"/>
  </si>
  <si>
    <t>ゴトウ　タクト</t>
    <phoneticPr fontId="110" type="Hiragana"/>
  </si>
  <si>
    <t>タキイシ　ヒロト</t>
    <phoneticPr fontId="110" type="Hiragana"/>
  </si>
  <si>
    <t>ムラヤマ　コトネ</t>
    <phoneticPr fontId="110" type="Hiragana"/>
  </si>
  <si>
    <t>アキヨシ　タイヨウ</t>
    <phoneticPr fontId="110" type="Hiragana"/>
  </si>
  <si>
    <t>マツダ　ユウ</t>
    <phoneticPr fontId="110" type="Hiragana"/>
  </si>
  <si>
    <t>ハラダ　カリン</t>
    <phoneticPr fontId="110" type="Hiragana"/>
  </si>
  <si>
    <t>オカベ　セラ</t>
    <phoneticPr fontId="110" type="Hiragana"/>
  </si>
  <si>
    <t>フクダ　ショウ</t>
    <phoneticPr fontId="110" type="Hiragana"/>
  </si>
  <si>
    <t>ムラカミ　コウセイ</t>
    <phoneticPr fontId="110" type="Hiragana"/>
  </si>
  <si>
    <t>スド　ヒロト</t>
    <phoneticPr fontId="110" type="Hiragana"/>
  </si>
  <si>
    <t>イノウエ　キシン</t>
    <phoneticPr fontId="110" type="Hiragana"/>
  </si>
  <si>
    <t>ヒラカワ　ソウジロウ</t>
    <phoneticPr fontId="110" type="Hiragana"/>
  </si>
  <si>
    <t>ニシ　リョウセイ</t>
    <phoneticPr fontId="110" type="Hiragana"/>
  </si>
  <si>
    <t>ツジ　ハル</t>
    <phoneticPr fontId="110" type="Hiragana"/>
  </si>
  <si>
    <t>アンドウ　ユウイチロウ</t>
    <phoneticPr fontId="110" type="Hiragana"/>
  </si>
  <si>
    <t>ニシカワ　コウタ</t>
    <phoneticPr fontId="110" type="Hiragana"/>
  </si>
  <si>
    <t>マツオ　ショウト</t>
    <phoneticPr fontId="110" type="Hiragana"/>
  </si>
  <si>
    <t>カワヅ　ルイ</t>
    <phoneticPr fontId="110" type="Hiragana"/>
  </si>
  <si>
    <t>オノ　イチカ</t>
    <phoneticPr fontId="110" type="Hiragana"/>
  </si>
  <si>
    <t>ニブヤ　タイキ</t>
    <phoneticPr fontId="110" type="Hiragana"/>
  </si>
  <si>
    <t>カトウ　ミワ</t>
    <phoneticPr fontId="110" type="Hiragana"/>
  </si>
  <si>
    <t>テラダ　シュンヤ</t>
    <phoneticPr fontId="110" type="Hiragana"/>
  </si>
  <si>
    <t>テラダ　ユウヤ</t>
    <phoneticPr fontId="110" type="Hiragana"/>
  </si>
  <si>
    <t>モリタ　サク</t>
    <phoneticPr fontId="110" type="Hiragana"/>
  </si>
  <si>
    <t>サダ　リョウスケ</t>
    <phoneticPr fontId="110" type="Hiragana"/>
  </si>
  <si>
    <t>フジサワ　ユウト</t>
    <phoneticPr fontId="110" type="Hiragana"/>
  </si>
  <si>
    <t>イワオ　アヤカ</t>
    <phoneticPr fontId="110" type="Hiragana"/>
  </si>
  <si>
    <t>ヨシダ　ケイジ</t>
    <phoneticPr fontId="110" type="Hiragana"/>
  </si>
  <si>
    <t>オカハラ　ミヅキ</t>
    <phoneticPr fontId="110" type="Hiragana"/>
  </si>
  <si>
    <t>マツモト　コウタ</t>
    <phoneticPr fontId="110" type="Hiragana"/>
  </si>
  <si>
    <t>ワタナベ　リクト</t>
    <phoneticPr fontId="110" type="Hiragana"/>
  </si>
  <si>
    <t>モリモト　ユウト</t>
    <phoneticPr fontId="110" type="Hiragana"/>
  </si>
  <si>
    <t>オノ　ミナト</t>
    <phoneticPr fontId="110" type="Hiragana"/>
  </si>
  <si>
    <t>ウシノ　エイタ</t>
    <phoneticPr fontId="110" type="Hiragana"/>
  </si>
  <si>
    <t>クドウ　ハルト</t>
    <phoneticPr fontId="110" type="Hiragana"/>
  </si>
  <si>
    <t>ミトマ　ユウカ</t>
    <phoneticPr fontId="110" type="Hiragana"/>
  </si>
  <si>
    <t>ヒラタ　カケル</t>
    <phoneticPr fontId="110" type="Hiragana"/>
  </si>
  <si>
    <t>ナカモト　ダイキ</t>
    <phoneticPr fontId="110" type="Hiragana"/>
  </si>
  <si>
    <t>ヤノ　ハルヒ</t>
    <phoneticPr fontId="110" type="Hiragana"/>
  </si>
  <si>
    <t>タナカ　レオ</t>
    <phoneticPr fontId="110" type="Hiragana"/>
  </si>
  <si>
    <t>ワタナベ　ヒナタ</t>
    <phoneticPr fontId="110" type="Hiragana"/>
  </si>
  <si>
    <t>ヒノ　ソウタ</t>
    <phoneticPr fontId="110" type="Hiragana"/>
  </si>
  <si>
    <t>マツダ　ミズキ</t>
    <phoneticPr fontId="110" type="Hiragana"/>
  </si>
  <si>
    <t>サイライジ　アユム</t>
    <phoneticPr fontId="110" type="Hiragana"/>
  </si>
  <si>
    <t>ミサキ　トウタ</t>
    <phoneticPr fontId="110" type="Hiragana"/>
  </si>
  <si>
    <t>ヤマグチ　エマ</t>
    <phoneticPr fontId="110" type="Hiragana"/>
  </si>
  <si>
    <t>ハラ　ヤマト</t>
    <phoneticPr fontId="110" type="Hiragana"/>
  </si>
  <si>
    <t>ムラカミ　タスク</t>
    <phoneticPr fontId="110" type="Hiragana"/>
  </si>
  <si>
    <t>ツネナリ　ダイチ</t>
    <phoneticPr fontId="110" type="Hiragana"/>
  </si>
  <si>
    <t>タナカ　ユウト</t>
    <phoneticPr fontId="110" type="Hiragana"/>
  </si>
  <si>
    <t>エトウ　シュンスケ</t>
    <phoneticPr fontId="110" type="Hiragana"/>
  </si>
  <si>
    <t>イワオ　ナズナ</t>
    <phoneticPr fontId="110" type="Hiragana"/>
  </si>
  <si>
    <t>ミヤナガ　ノア</t>
    <phoneticPr fontId="110" type="Hiragana"/>
  </si>
  <si>
    <t>サトウ　ニコルジョイ</t>
    <phoneticPr fontId="110" type="Hiragana"/>
  </si>
  <si>
    <t>モトナガ　タクト</t>
    <phoneticPr fontId="110" type="Hiragana"/>
  </si>
  <si>
    <t>アイザワ　タクミ</t>
    <phoneticPr fontId="110" type="Hiragana"/>
  </si>
  <si>
    <t>クシマ　アキト</t>
    <phoneticPr fontId="110" type="Hiragana"/>
  </si>
  <si>
    <t>イノウエ　タイチ</t>
    <phoneticPr fontId="110" type="Hiragana"/>
  </si>
  <si>
    <t>アナン　ソウマ</t>
    <phoneticPr fontId="110" type="Hiragana"/>
  </si>
  <si>
    <t>キラ　ハルト</t>
    <phoneticPr fontId="110" type="Hiragana"/>
  </si>
  <si>
    <t>オバタ　ヒヨリ</t>
    <phoneticPr fontId="110" type="Hiragana"/>
  </si>
  <si>
    <t>ミヤモト　ゲン</t>
    <phoneticPr fontId="110" type="Hiragana"/>
  </si>
  <si>
    <t>タロウラ　ゲント</t>
    <phoneticPr fontId="110" type="Hiragana"/>
  </si>
  <si>
    <t>ソエダ　ハルキ</t>
    <phoneticPr fontId="110" type="Hiragana"/>
  </si>
  <si>
    <t>クガ　リュウト</t>
    <phoneticPr fontId="110" type="Hiragana"/>
  </si>
  <si>
    <t>マゴタ　タクト</t>
    <phoneticPr fontId="110" type="Hiragana"/>
  </si>
  <si>
    <t>イノウエ　セイト</t>
    <phoneticPr fontId="110" type="Hiragana"/>
  </si>
  <si>
    <t>ワタナベ　ユウア</t>
    <phoneticPr fontId="110" type="Hiragana"/>
  </si>
  <si>
    <t>サカモト　マナト</t>
    <phoneticPr fontId="110" type="Hiragana"/>
  </si>
  <si>
    <t>ヤノ　ハル</t>
    <phoneticPr fontId="110" type="Hiragana"/>
  </si>
  <si>
    <t>カトウ　シュウ</t>
    <phoneticPr fontId="110" type="Hiragana"/>
  </si>
  <si>
    <t>ヨシタニ　カイト</t>
    <phoneticPr fontId="110" type="Hiragana"/>
  </si>
  <si>
    <t>ハラダ　コウヤ</t>
    <phoneticPr fontId="110" type="Hiragana"/>
  </si>
  <si>
    <t>ワタナベ　マサムネ</t>
    <phoneticPr fontId="110" type="Hiragana"/>
  </si>
  <si>
    <t>ハマオカ　セイヤ</t>
    <phoneticPr fontId="110" type="Hiragana"/>
  </si>
  <si>
    <t>ハタナカ　リト</t>
    <phoneticPr fontId="110" type="Hiragana"/>
  </si>
  <si>
    <t>イワモト　イツキ</t>
    <phoneticPr fontId="110" type="Hiragana"/>
  </si>
  <si>
    <t>ババ　エイタ</t>
    <phoneticPr fontId="110" type="Hiragana"/>
  </si>
  <si>
    <t>ババ　ソウタ</t>
    <phoneticPr fontId="110" type="Hiragana"/>
  </si>
  <si>
    <t>ホリベ　コハル</t>
    <phoneticPr fontId="110" type="Hiragana"/>
  </si>
  <si>
    <t>イワキ　アサヒ</t>
    <phoneticPr fontId="110" type="Hiragana"/>
  </si>
  <si>
    <t>コガ　ハルヤ</t>
    <phoneticPr fontId="110" type="Hiragana"/>
  </si>
  <si>
    <t>ウメムラ　カリン</t>
    <phoneticPr fontId="110" type="Hiragana"/>
  </si>
  <si>
    <t>フクイズミ　サキ</t>
    <phoneticPr fontId="110" type="Hiragana"/>
  </si>
  <si>
    <t>タナベ　ユウダイ</t>
    <phoneticPr fontId="110" type="Hiragana"/>
  </si>
  <si>
    <t>ウエノ　アキト</t>
    <phoneticPr fontId="110" type="Hiragana"/>
  </si>
  <si>
    <t>カイ　レンスケ</t>
    <phoneticPr fontId="110" type="Hiragana"/>
  </si>
  <si>
    <t>オオツカ　ハルキ</t>
    <phoneticPr fontId="110" type="Hiragana"/>
  </si>
  <si>
    <t>ヤダ　テンスケ</t>
    <phoneticPr fontId="110" type="Hiragana"/>
  </si>
  <si>
    <t>タナカ　リョウタ</t>
    <phoneticPr fontId="110" type="Hiragana"/>
  </si>
  <si>
    <t>ニシダ　ハルト</t>
    <phoneticPr fontId="110" type="Hiragana"/>
  </si>
  <si>
    <t>カワジリ　ハルヤ</t>
    <phoneticPr fontId="110" type="Hiragana"/>
  </si>
  <si>
    <t>ワタヌキ　ソウマ</t>
    <phoneticPr fontId="110" type="Hiragana"/>
  </si>
  <si>
    <t>シモモト　ハルキ</t>
    <phoneticPr fontId="110" type="Hiragana"/>
  </si>
  <si>
    <t>ニノミヤ　ユウキ</t>
    <phoneticPr fontId="110" type="Hiragana"/>
  </si>
  <si>
    <t>ツネトウ　ユイト</t>
    <phoneticPr fontId="110" type="Hiragana"/>
  </si>
  <si>
    <t>カワベ　ユリナ</t>
    <phoneticPr fontId="110" type="Hiragana"/>
  </si>
  <si>
    <t>アキヤマ　ミナト</t>
    <phoneticPr fontId="110" type="Hiragana"/>
  </si>
  <si>
    <t>マサムラ　ハル</t>
    <phoneticPr fontId="110" type="Hiragana"/>
  </si>
  <si>
    <t>ツユキ　ミユ</t>
    <phoneticPr fontId="110" type="Hiragana"/>
  </si>
  <si>
    <t>カタノ　ショウタ</t>
    <phoneticPr fontId="110" type="Hiragana"/>
  </si>
  <si>
    <t>イナヨシ　レイ</t>
    <phoneticPr fontId="110" type="Hiragana"/>
  </si>
  <si>
    <t>タカオ　イブキ</t>
    <phoneticPr fontId="110" type="Hiragana"/>
  </si>
  <si>
    <t>カシマ　ヒロナリ</t>
    <phoneticPr fontId="110" type="Hiragana"/>
  </si>
  <si>
    <t>ミキ　ホノカ</t>
    <phoneticPr fontId="110" type="Hiragana"/>
  </si>
  <si>
    <t>ムコハタ　シュンスケ</t>
    <phoneticPr fontId="110" type="Hiragana"/>
  </si>
  <si>
    <t>イワナミ　カツキ</t>
    <phoneticPr fontId="110" type="Hiragana"/>
  </si>
  <si>
    <t>タルミ　ダイチ</t>
    <phoneticPr fontId="110" type="Hiragana"/>
  </si>
  <si>
    <t>ナカザキ　ユウダイ</t>
    <phoneticPr fontId="110" type="Hiragana"/>
  </si>
  <si>
    <t>ウツミ　ヒマル</t>
    <phoneticPr fontId="110" type="Hiragana"/>
  </si>
  <si>
    <t>ワキグチ　ハルカ</t>
    <phoneticPr fontId="110" type="Hiragana"/>
  </si>
  <si>
    <t>ゴトウ　セイヤ</t>
    <phoneticPr fontId="110" type="Hiragana"/>
  </si>
  <si>
    <t>ナカムラ　ユイト</t>
    <phoneticPr fontId="110" type="Hiragana"/>
  </si>
  <si>
    <t>マツタカ　ヒロト</t>
    <phoneticPr fontId="110" type="Hiragana"/>
  </si>
  <si>
    <t>マツナリ　アイカ</t>
    <phoneticPr fontId="110" type="Hiragana"/>
  </si>
  <si>
    <t>ヤオカ　ユズル</t>
    <phoneticPr fontId="110" type="Hiragana"/>
  </si>
  <si>
    <t>フルタ　カイ</t>
    <phoneticPr fontId="110" type="Hiragana"/>
  </si>
  <si>
    <t>ヤマサキ　コトネ</t>
    <phoneticPr fontId="110" type="Hiragana"/>
  </si>
  <si>
    <t>タニグチ　コハル</t>
    <phoneticPr fontId="110" type="Hiragana"/>
  </si>
  <si>
    <t>ソノダ　コウスケ</t>
    <phoneticPr fontId="110" type="Hiragana"/>
  </si>
  <si>
    <t>イトウ　ソウシ</t>
    <phoneticPr fontId="110" type="Hiragana"/>
  </si>
  <si>
    <t>トヨダ　マナキ</t>
    <phoneticPr fontId="110" type="Hiragana"/>
  </si>
  <si>
    <t>ミヤケ　セイヤ</t>
    <phoneticPr fontId="110" type="Hiragana"/>
  </si>
  <si>
    <t>アダチ　コウノスケ</t>
    <phoneticPr fontId="110" type="Hiragana"/>
  </si>
  <si>
    <t>タケノ　コウスケ</t>
    <phoneticPr fontId="110" type="Hiragana"/>
  </si>
  <si>
    <t>ナカノ　ヒナタ</t>
    <phoneticPr fontId="110" type="Hiragana"/>
  </si>
  <si>
    <t>ナカノ　ヒサト</t>
    <phoneticPr fontId="110" type="Hiragana"/>
  </si>
  <si>
    <t>コクシ　ユウセイ</t>
    <phoneticPr fontId="110" type="Hiragana"/>
  </si>
  <si>
    <t>ヒラノ　アサヒ</t>
    <phoneticPr fontId="110" type="Hiragana"/>
  </si>
  <si>
    <t>ニシダ　リュウノスケ</t>
    <phoneticPr fontId="110" type="Hiragana"/>
  </si>
  <si>
    <t>ハマシマ　ユウト</t>
    <phoneticPr fontId="110" type="Hiragana"/>
  </si>
  <si>
    <t>キモト　ユウセイ</t>
    <phoneticPr fontId="110" type="Hiragana"/>
  </si>
  <si>
    <t>ハシヤマ　シュン</t>
    <phoneticPr fontId="110" type="Hiragana"/>
  </si>
  <si>
    <t>オギモト　ケイ</t>
    <phoneticPr fontId="110" type="Hiragana"/>
  </si>
  <si>
    <t>クマタバラ　ユウマ</t>
    <phoneticPr fontId="110" type="Hiragana"/>
  </si>
  <si>
    <t>ムラカミ　ダイト</t>
    <phoneticPr fontId="110" type="Hiragana"/>
  </si>
  <si>
    <t>エンドウ　ヤマト</t>
    <phoneticPr fontId="110" type="Hiragana"/>
  </si>
  <si>
    <t>キクチ　コウガ</t>
    <phoneticPr fontId="110" type="Hiragana"/>
  </si>
  <si>
    <t>ヤクシジ　ハルト</t>
    <phoneticPr fontId="110" type="Hiragana"/>
  </si>
  <si>
    <t>コバヤシ　ワタル</t>
    <phoneticPr fontId="110" type="Hiragana"/>
  </si>
  <si>
    <t>サトウ　ハルタ</t>
    <phoneticPr fontId="110" type="Hiragana"/>
  </si>
  <si>
    <t>オガワ　カケル</t>
    <phoneticPr fontId="110" type="Hiragana"/>
  </si>
  <si>
    <t>フルカワ　タイチ</t>
    <phoneticPr fontId="110" type="Hiragana"/>
  </si>
  <si>
    <t>キヨハラ　ショウキ</t>
    <phoneticPr fontId="110" type="Hiragana"/>
  </si>
  <si>
    <t>タケヤマ　オウスケ</t>
    <phoneticPr fontId="110" type="Hiragana"/>
  </si>
  <si>
    <t>ツル　ユアト</t>
    <phoneticPr fontId="110" type="Hiragana"/>
  </si>
  <si>
    <t>タツカワ　シンバ</t>
    <phoneticPr fontId="110" type="Hiragana"/>
  </si>
  <si>
    <t>タカイ　リュウガ</t>
    <phoneticPr fontId="110" type="Hiragana"/>
  </si>
  <si>
    <t>オガワ　ハルト</t>
    <phoneticPr fontId="110" type="Hiragana"/>
  </si>
  <si>
    <t>ヒガシ　チハヤ</t>
    <phoneticPr fontId="110" type="Hiragana"/>
  </si>
  <si>
    <t>ワタウチ　ハルト</t>
    <phoneticPr fontId="110" type="Hiragana"/>
  </si>
  <si>
    <t>ヒラツカ　リュウキ</t>
    <phoneticPr fontId="110" type="Hiragana"/>
  </si>
  <si>
    <t>コイケ　マコナリ</t>
    <phoneticPr fontId="110" type="Hiragana"/>
  </si>
  <si>
    <t>ナガノ　タイキ</t>
    <phoneticPr fontId="110" type="Hiragana"/>
  </si>
  <si>
    <t>カイ　コウシ</t>
    <phoneticPr fontId="110" type="Hiragana"/>
  </si>
  <si>
    <t>カイ　ソウシ</t>
    <phoneticPr fontId="110" type="Hiragana"/>
  </si>
  <si>
    <t>ハラ　シュウタ</t>
    <phoneticPr fontId="110" type="Hiragana"/>
  </si>
  <si>
    <t>サカモト　レンタ</t>
    <phoneticPr fontId="110" type="Hiragana"/>
  </si>
  <si>
    <t>ハタノ　ルイ</t>
    <phoneticPr fontId="110" type="Hiragana"/>
  </si>
  <si>
    <t>ザイツ　ヒカリ</t>
    <phoneticPr fontId="110" type="Hiragana"/>
  </si>
  <si>
    <t>コウノ　レイ</t>
    <phoneticPr fontId="110" type="Hiragana"/>
  </si>
  <si>
    <t>サンミヤ　アオノスケ</t>
    <phoneticPr fontId="110" type="Hiragana"/>
  </si>
  <si>
    <t>カドタ　アツキ</t>
    <phoneticPr fontId="110" type="Hiragana"/>
  </si>
  <si>
    <t>カワヅ　ジョウ</t>
    <phoneticPr fontId="110" type="Hiragana"/>
  </si>
  <si>
    <t>ヤマグチ　ハルマ</t>
    <phoneticPr fontId="110" type="Hiragana"/>
  </si>
  <si>
    <t>アダチ　ハル</t>
    <phoneticPr fontId="110" type="Hiragana"/>
  </si>
  <si>
    <t>ヒノデ　ルキ</t>
    <phoneticPr fontId="110" type="Hiragana"/>
  </si>
  <si>
    <t>シン　タケヒロ</t>
    <phoneticPr fontId="110" type="Hiragana"/>
  </si>
  <si>
    <t>コジマ　イブキ</t>
    <phoneticPr fontId="110" type="Hiragana"/>
  </si>
  <si>
    <t>ヤツナミ　ココナ</t>
    <phoneticPr fontId="110" type="Hiragana"/>
  </si>
  <si>
    <t>ナカムラ　アスト</t>
    <phoneticPr fontId="110" type="Hiragana"/>
  </si>
  <si>
    <t>カバタ　レオ</t>
    <phoneticPr fontId="110" type="Hiragana"/>
  </si>
  <si>
    <t>ウラモト　ハルト</t>
    <phoneticPr fontId="110" type="Hiragana"/>
  </si>
  <si>
    <t>イワサキ　カズト</t>
    <phoneticPr fontId="110" type="Hiragana"/>
  </si>
  <si>
    <t>トクナガ　タクマ</t>
    <phoneticPr fontId="110" type="Hiragana"/>
  </si>
  <si>
    <t>マイ　ケンシロウ</t>
    <phoneticPr fontId="110" type="Hiragana"/>
  </si>
  <si>
    <t>マスイ　ソウスケ</t>
    <phoneticPr fontId="110" type="Hiragana"/>
  </si>
  <si>
    <t>フクナガ　ゼンシロウ</t>
    <phoneticPr fontId="110" type="Hiragana"/>
  </si>
  <si>
    <t>サトウ　ハル</t>
    <phoneticPr fontId="110" type="Hiragana"/>
  </si>
  <si>
    <t>ヤスナミ　オウジロウ</t>
    <phoneticPr fontId="110" type="Hiragana"/>
  </si>
  <si>
    <t>エンドウ　ハルキ</t>
    <phoneticPr fontId="110" type="Hiragana"/>
  </si>
  <si>
    <t>サガラ　ミズキ</t>
    <phoneticPr fontId="110" type="Hiragana"/>
  </si>
  <si>
    <t>アンドウ　タクマ</t>
    <phoneticPr fontId="110" type="Hiragana"/>
  </si>
  <si>
    <t>エトウ　コハナ</t>
    <phoneticPr fontId="110" type="Hiragana"/>
  </si>
  <si>
    <t>シュトウ　ミナト</t>
    <phoneticPr fontId="110" type="Hiragana"/>
  </si>
  <si>
    <t>ヤマモト　アユム</t>
    <phoneticPr fontId="110" type="Hiragana"/>
  </si>
  <si>
    <t>タケイシ　キリュウ</t>
    <phoneticPr fontId="110" type="Hiragana"/>
  </si>
  <si>
    <t>ツルタ　コウダイ</t>
    <phoneticPr fontId="110" type="Hiragana"/>
  </si>
  <si>
    <t>イナオ　リュウマ</t>
    <phoneticPr fontId="110" type="Hiragana"/>
  </si>
  <si>
    <t>サイトウ　アサヒ</t>
    <phoneticPr fontId="110" type="Hiragana"/>
  </si>
  <si>
    <t>エトウ　タイヨウ</t>
    <phoneticPr fontId="110" type="Hiragana"/>
  </si>
  <si>
    <t>ナカハタ　ショウヤ</t>
    <phoneticPr fontId="110" type="Hiragana"/>
  </si>
  <si>
    <t>サトウ　タイセイ</t>
    <phoneticPr fontId="110" type="Hiragana"/>
  </si>
  <si>
    <t>ハザマ　ソウタロウ</t>
    <phoneticPr fontId="110" type="Hiragana"/>
  </si>
  <si>
    <t>カガワ　トウマ</t>
    <phoneticPr fontId="110" type="Hiragana"/>
  </si>
  <si>
    <t>ナイキ　ツナト</t>
    <phoneticPr fontId="110" type="Hiragana"/>
  </si>
  <si>
    <t>ムラカミ　マイト</t>
    <phoneticPr fontId="110" type="Hiragana"/>
  </si>
  <si>
    <t>マエヤマ　ハルキ</t>
    <phoneticPr fontId="110" type="Hiragana"/>
  </si>
  <si>
    <t>ヤマシタ　ヨウヘイ</t>
    <phoneticPr fontId="110" type="Hiragana"/>
  </si>
  <si>
    <t>ホソカワ　ハルト</t>
    <phoneticPr fontId="110" type="Hiragana"/>
  </si>
  <si>
    <t>マキ　カナタ</t>
    <phoneticPr fontId="110" type="Hiragana"/>
  </si>
  <si>
    <t>マツキ　タイセイ</t>
    <phoneticPr fontId="110" type="Hiragana"/>
  </si>
  <si>
    <t>ゴウハラ　シュウマ</t>
    <phoneticPr fontId="110" type="Hiragana"/>
  </si>
  <si>
    <t>アベ　フタバ</t>
    <phoneticPr fontId="110" type="Hiragana"/>
  </si>
  <si>
    <t>サトウ　ソラ</t>
    <phoneticPr fontId="110" type="Hiragana"/>
  </si>
  <si>
    <t>ミウラ　ソウマ</t>
    <phoneticPr fontId="110" type="Hiragana"/>
  </si>
  <si>
    <t>ヤマモト　レオ</t>
    <phoneticPr fontId="110" type="Hiragana"/>
  </si>
  <si>
    <t>シマ　オウスケ</t>
    <phoneticPr fontId="110" type="Hiragana"/>
  </si>
  <si>
    <t>ネギ　リョウガ</t>
    <phoneticPr fontId="110" type="Hiragana"/>
  </si>
  <si>
    <t>シマダ　ユウタロウ</t>
    <phoneticPr fontId="110" type="Hiragana"/>
  </si>
  <si>
    <t>ミゾベ　テルマ</t>
    <phoneticPr fontId="110" type="Hiragana"/>
  </si>
  <si>
    <t>ハマグチ　コウシロウ</t>
    <phoneticPr fontId="110" type="Hiragana"/>
  </si>
  <si>
    <t>クボタ　ハルト</t>
    <phoneticPr fontId="110" type="Hiragana"/>
  </si>
  <si>
    <t>カワヅ　オウキ</t>
    <phoneticPr fontId="110" type="Hiragana"/>
  </si>
  <si>
    <t>フジメ　カイト</t>
    <phoneticPr fontId="110" type="Hiragana"/>
  </si>
  <si>
    <t>シオツキ　タクト</t>
    <phoneticPr fontId="110" type="Hiragana"/>
  </si>
  <si>
    <t>アナイ　マオ</t>
    <phoneticPr fontId="110" type="Hiragana"/>
  </si>
  <si>
    <t>ハタベ　リョウスケ</t>
    <phoneticPr fontId="110" type="Hiragana"/>
  </si>
  <si>
    <t>シュトウ　タカヒト</t>
    <phoneticPr fontId="110" type="Hiragana"/>
  </si>
  <si>
    <t>ヒロセ　ソウシ</t>
    <phoneticPr fontId="110" type="Hiragana"/>
  </si>
  <si>
    <t>コモリ　セイタロウ</t>
    <phoneticPr fontId="110" type="Hiragana"/>
  </si>
  <si>
    <t>ゴトウ　サク</t>
    <phoneticPr fontId="110" type="Hiragana"/>
  </si>
  <si>
    <t>カトウ　コウセイ</t>
    <phoneticPr fontId="110" type="Hiragana"/>
  </si>
  <si>
    <t>エトウ　ユウマ</t>
    <phoneticPr fontId="110" type="Hiragana"/>
  </si>
  <si>
    <t>ヨシザキ　ヒゲン</t>
    <phoneticPr fontId="110" type="Hiragana"/>
  </si>
  <si>
    <t>アンドウ　ハル</t>
    <phoneticPr fontId="110" type="Hiragana"/>
  </si>
  <si>
    <t>セグチ　リンスケ</t>
    <phoneticPr fontId="110" type="Hiragana"/>
  </si>
  <si>
    <t>ハヤシ　リク</t>
    <phoneticPr fontId="110" type="Hiragana"/>
  </si>
  <si>
    <t>ハヤシ　ソウタ</t>
    <phoneticPr fontId="110" type="Hiragana"/>
  </si>
  <si>
    <t>シバタ　ユウセイ</t>
    <phoneticPr fontId="110" type="Hiragana"/>
  </si>
  <si>
    <t>ヒロセ　レイジ</t>
    <phoneticPr fontId="110" type="Hiragana"/>
  </si>
  <si>
    <t>アサカワ　ルカ</t>
    <phoneticPr fontId="110" type="Hiragana"/>
  </si>
  <si>
    <t>トクウラ　カズユキ</t>
    <phoneticPr fontId="110" type="Hiragana"/>
  </si>
  <si>
    <t>シノダ　マサト</t>
    <phoneticPr fontId="110" type="Hiragana"/>
  </si>
  <si>
    <t>キベ　レンタロウ</t>
    <phoneticPr fontId="110" type="Hiragana"/>
  </si>
  <si>
    <t>オオイシ　タクヤ</t>
    <phoneticPr fontId="110" type="Hiragana"/>
  </si>
  <si>
    <t>マツオカ　コウタ</t>
    <phoneticPr fontId="110" type="Hiragana"/>
  </si>
  <si>
    <t>ナカヤマ　ショウゲン</t>
    <phoneticPr fontId="110" type="Hiragana"/>
  </si>
  <si>
    <t>キ　カリン</t>
    <phoneticPr fontId="110" type="Hiragana"/>
  </si>
  <si>
    <t>ナガオ　リツキ</t>
    <phoneticPr fontId="110" type="Hiragana"/>
  </si>
  <si>
    <t>ゴトウ　ユウダイ</t>
    <phoneticPr fontId="110" type="Hiragana"/>
  </si>
  <si>
    <t>ミノ　ユウト</t>
    <phoneticPr fontId="110" type="Hiragana"/>
  </si>
  <si>
    <t>ヤノ　ショウゴ</t>
    <phoneticPr fontId="110" type="Hiragana"/>
  </si>
  <si>
    <t>ヨシカネ　ゼン</t>
    <phoneticPr fontId="110" type="Hiragana"/>
  </si>
  <si>
    <t>コジマ　エイタ</t>
    <phoneticPr fontId="110" type="Hiragana"/>
  </si>
  <si>
    <t>アベ　ジョウシン</t>
    <phoneticPr fontId="110" type="Hiragana"/>
  </si>
  <si>
    <t>サイトウ　ハル</t>
    <phoneticPr fontId="110" type="Hiragana"/>
  </si>
  <si>
    <t>フジタ　ユイト</t>
    <phoneticPr fontId="110" type="Hiragana"/>
  </si>
  <si>
    <t>ヤナイ　ヒナタ</t>
    <phoneticPr fontId="110" type="Hiragana"/>
  </si>
  <si>
    <t>ヒワタシ　ソラ</t>
    <phoneticPr fontId="110" type="Hiragana"/>
  </si>
  <si>
    <t>タカミヤ　リョウガ</t>
    <phoneticPr fontId="110" type="Hiragana"/>
  </si>
  <si>
    <t>アンヨウジ　テンマ</t>
    <phoneticPr fontId="110" type="Hiragana"/>
  </si>
  <si>
    <t>ヨシカワ　ロク</t>
    <phoneticPr fontId="110" type="Hiragana"/>
  </si>
  <si>
    <t>イワサキ　マナト</t>
    <phoneticPr fontId="110" type="Hiragana"/>
  </si>
  <si>
    <t>タナカ　コウメイ</t>
    <phoneticPr fontId="110" type="Hiragana"/>
  </si>
  <si>
    <t>タカハシ　ハヤト</t>
    <phoneticPr fontId="110" type="Hiragana"/>
  </si>
  <si>
    <t>ナガノ　ハルヒト</t>
    <phoneticPr fontId="110" type="Hiragana"/>
  </si>
  <si>
    <t>ハシモト　タクト</t>
    <phoneticPr fontId="110" type="Hiragana"/>
  </si>
  <si>
    <t>ユミサキ　ユウキ</t>
    <phoneticPr fontId="110" type="Hiragana"/>
  </si>
  <si>
    <t>ヒノ　ユメノ</t>
    <phoneticPr fontId="110" type="Hiragana"/>
  </si>
  <si>
    <t>ワダ　コウシ</t>
    <phoneticPr fontId="110" type="Hiragana"/>
  </si>
  <si>
    <t>イワオ　カズトヨ</t>
    <phoneticPr fontId="110" type="Hiragana"/>
  </si>
  <si>
    <t>クリハラ　リツ</t>
    <phoneticPr fontId="110" type="Hiragana"/>
  </si>
  <si>
    <t>マツキ　キヨシロウ</t>
    <phoneticPr fontId="110" type="Hiragana"/>
  </si>
  <si>
    <t>トクマル　ヒロト</t>
    <phoneticPr fontId="110" type="Hiragana"/>
  </si>
  <si>
    <t>イシバシ　ナオキ</t>
    <phoneticPr fontId="110" type="Hiragana"/>
  </si>
  <si>
    <t>コノモト　ハルヒト</t>
    <phoneticPr fontId="110" type="Hiragana"/>
  </si>
  <si>
    <t>マエダ　レント</t>
    <phoneticPr fontId="110" type="Hiragana"/>
  </si>
  <si>
    <t>イシダ　タケル</t>
    <phoneticPr fontId="110" type="Hiragana"/>
  </si>
  <si>
    <t>ゴトウ　ナオ</t>
    <phoneticPr fontId="110" type="Hiragana"/>
  </si>
  <si>
    <t>ゴトウ　ワク</t>
    <phoneticPr fontId="110" type="Hiragana"/>
  </si>
  <si>
    <t>タカハシ　カズキ</t>
    <phoneticPr fontId="110" type="Hiragana"/>
  </si>
  <si>
    <t>ゴトウ　イツキ</t>
    <phoneticPr fontId="110" type="Hiragana"/>
  </si>
  <si>
    <t>アサミツ　ハルア</t>
    <phoneticPr fontId="110" type="Hiragana"/>
  </si>
  <si>
    <t>ホンダ　レンマ</t>
    <phoneticPr fontId="110" type="Hiragana"/>
  </si>
  <si>
    <t>ミズナガ　ヒナト</t>
    <phoneticPr fontId="110" type="Hiragana"/>
  </si>
  <si>
    <t>ハヤシ　コウタ</t>
    <phoneticPr fontId="110" type="Hiragana"/>
  </si>
  <si>
    <t>カンダ　コタロウ</t>
    <phoneticPr fontId="110" type="Hiragana"/>
  </si>
  <si>
    <t>ナカムラ　ユウセイ</t>
    <phoneticPr fontId="110" type="Hiragana"/>
  </si>
  <si>
    <t>ヤマダ　リオト</t>
    <phoneticPr fontId="110" type="Hiragana"/>
  </si>
  <si>
    <t>ニイナ　ジュンヤ</t>
    <phoneticPr fontId="110" type="Hiragana"/>
  </si>
  <si>
    <t>ショウノ　ユウガ</t>
    <phoneticPr fontId="110" type="Hiragana"/>
  </si>
  <si>
    <t>ミヤワキ　コウジ</t>
    <phoneticPr fontId="110" type="Hiragana"/>
  </si>
  <si>
    <t>イワサキ　リュウシン</t>
    <phoneticPr fontId="110" type="Hiragana"/>
  </si>
  <si>
    <t>マルタニ　ルイト</t>
    <phoneticPr fontId="110" type="Hiragana"/>
  </si>
  <si>
    <t>イシイ　ヒロノリ</t>
    <phoneticPr fontId="110" type="Hiragana"/>
  </si>
  <si>
    <t>ユフ　エイト</t>
    <phoneticPr fontId="110" type="Hiragana"/>
  </si>
  <si>
    <t>ナガモト　ナナカ</t>
    <phoneticPr fontId="110" type="Hiragana"/>
  </si>
  <si>
    <t>ナガタ　ケイゴ</t>
    <phoneticPr fontId="110" type="Hiragana"/>
  </si>
  <si>
    <t>ヤノ　アカリ</t>
    <phoneticPr fontId="110" type="Hiragana"/>
  </si>
  <si>
    <t>ナカハタ　タイガ</t>
    <phoneticPr fontId="110" type="Hiragana"/>
  </si>
  <si>
    <t>ナベシマ　ミナト</t>
    <phoneticPr fontId="110" type="Hiragana"/>
  </si>
  <si>
    <t>アンドウ　タクト</t>
    <phoneticPr fontId="110" type="Hiragana"/>
  </si>
  <si>
    <t>イコマ　コウダイ</t>
    <phoneticPr fontId="110" type="Hiragana"/>
  </si>
  <si>
    <t>ナカノ　ハルヒト</t>
    <phoneticPr fontId="110" type="Hiragana"/>
  </si>
  <si>
    <t>ナカノ　ナツヒト</t>
    <phoneticPr fontId="110" type="Hiragana"/>
  </si>
  <si>
    <t>サトウ　ギンタ</t>
    <phoneticPr fontId="110" type="Hiragana"/>
  </si>
  <si>
    <t>イワモト　ソウスケ</t>
    <phoneticPr fontId="110" type="Hiragana"/>
  </si>
  <si>
    <t>ササキ　ハヤト</t>
    <phoneticPr fontId="110" type="Hiragana"/>
  </si>
  <si>
    <t>ソノダ　ヤマト</t>
    <phoneticPr fontId="110" type="Hiragana"/>
  </si>
  <si>
    <t>クツカケ　ハルマ</t>
    <phoneticPr fontId="110" type="Hiragana"/>
  </si>
  <si>
    <t>イチハラ　ヒナ</t>
    <phoneticPr fontId="110" type="Hiragana"/>
  </si>
  <si>
    <t>タツブチ　アツト</t>
    <phoneticPr fontId="110" type="Hiragana"/>
  </si>
  <si>
    <t>シライシ　ユラ</t>
    <phoneticPr fontId="110" type="Hiragana"/>
  </si>
  <si>
    <t>ゴトウ　エルマ</t>
    <phoneticPr fontId="110" type="Hiragana"/>
  </si>
  <si>
    <t>ヨシミツ　ユウト</t>
    <phoneticPr fontId="110" type="Hiragana"/>
  </si>
  <si>
    <t>オノ　ヒナタ</t>
    <phoneticPr fontId="110" type="Hiragana"/>
  </si>
  <si>
    <t>シノハラ　ミノリ</t>
    <phoneticPr fontId="110" type="Hiragana"/>
  </si>
  <si>
    <t>キモト　タオ</t>
    <phoneticPr fontId="110" type="Hiragana"/>
  </si>
  <si>
    <t>ナガノ　ヨシツグ</t>
    <phoneticPr fontId="110" type="Hiragana"/>
  </si>
  <si>
    <t>ナカノ　イッセイ</t>
    <phoneticPr fontId="110" type="Hiragana"/>
  </si>
  <si>
    <t>アベ　ソウマ</t>
    <phoneticPr fontId="110" type="Hiragana"/>
  </si>
  <si>
    <t>ミツナガ　エイショウ</t>
    <phoneticPr fontId="110" type="Hiragana"/>
  </si>
  <si>
    <t>フジサワ　カンタ</t>
    <phoneticPr fontId="110" type="Hiragana"/>
  </si>
  <si>
    <t>ザイツ　ユウセイ</t>
    <phoneticPr fontId="110" type="Hiragana"/>
  </si>
  <si>
    <t>オノ　ソウマ</t>
    <phoneticPr fontId="110" type="Hiragana"/>
  </si>
  <si>
    <t>キモト　マキト</t>
    <phoneticPr fontId="110" type="Hiragana"/>
  </si>
  <si>
    <t>アカギ　ナオト</t>
    <phoneticPr fontId="110" type="Hiragana"/>
  </si>
  <si>
    <t>オノ　ケイシロウ</t>
    <phoneticPr fontId="110" type="Hiragana"/>
  </si>
  <si>
    <t>ハセベ　ユズト</t>
    <phoneticPr fontId="110" type="Hiragana"/>
  </si>
  <si>
    <t>カジワラ　ナツ</t>
    <phoneticPr fontId="110" type="Hiragana"/>
  </si>
  <si>
    <t>ムロ　レント</t>
    <phoneticPr fontId="110" type="Hiragana"/>
  </si>
  <si>
    <t>サトウ　エイスケ</t>
    <phoneticPr fontId="110" type="Hiragana"/>
  </si>
  <si>
    <t>ウエダ　フウリ</t>
    <phoneticPr fontId="110" type="Hiragana"/>
  </si>
  <si>
    <t>ヒシカワ　ハヤト</t>
    <phoneticPr fontId="110" type="Hiragana"/>
  </si>
  <si>
    <t>サトウ　ヨウタ</t>
    <phoneticPr fontId="110" type="Hiragana"/>
  </si>
  <si>
    <t>タカハシ　レオ</t>
    <phoneticPr fontId="110" type="Hiragana"/>
  </si>
  <si>
    <t>スギヤマ　エイト</t>
    <phoneticPr fontId="110" type="Hiragana"/>
  </si>
  <si>
    <t>クロガワ　シュハリ</t>
    <phoneticPr fontId="110" type="Hiragana"/>
  </si>
  <si>
    <t>タカツカ　レン</t>
    <phoneticPr fontId="110" type="Hiragana"/>
  </si>
  <si>
    <t>ソノダ　アキ</t>
    <phoneticPr fontId="110" type="Hiragana"/>
  </si>
  <si>
    <t>ニシエダ　ナナミ</t>
    <phoneticPr fontId="110" type="Hiragana"/>
  </si>
  <si>
    <t>イワムラ　シュウマ</t>
    <phoneticPr fontId="110" type="Hiragana"/>
  </si>
  <si>
    <t>ミナミ　カナタ</t>
    <phoneticPr fontId="110" type="Hiragana"/>
  </si>
  <si>
    <t>オギモト　タクマ</t>
    <phoneticPr fontId="110" type="Hiragana"/>
  </si>
  <si>
    <t>トモマツ　ユズ</t>
    <phoneticPr fontId="110" type="Hiragana"/>
  </si>
  <si>
    <t>モリ　カンタロウ</t>
    <phoneticPr fontId="110" type="Hiragana"/>
  </si>
  <si>
    <t>ホンダ　レアル</t>
    <phoneticPr fontId="110" type="Hiragana"/>
  </si>
  <si>
    <t>ノガミ　コウタ</t>
    <phoneticPr fontId="110" type="Hiragana"/>
  </si>
  <si>
    <t>ヤマモト　レン</t>
    <phoneticPr fontId="110" type="Hiragana"/>
  </si>
  <si>
    <t>ミツオカ　ユウヒ</t>
    <phoneticPr fontId="110" type="Hiragana"/>
  </si>
  <si>
    <t>クロキ　ライミ</t>
    <phoneticPr fontId="110" type="Hiragana"/>
  </si>
  <si>
    <t>イケダ　セナ</t>
    <phoneticPr fontId="110" type="Hiragana"/>
  </si>
  <si>
    <t>ツネヒロ　モモミ</t>
    <phoneticPr fontId="110" type="Hiragana"/>
  </si>
  <si>
    <t>シイハラ　リュウタ</t>
    <phoneticPr fontId="110" type="Hiragana"/>
  </si>
  <si>
    <t>イシダ　ユウセイ</t>
    <phoneticPr fontId="110" type="Hiragana"/>
  </si>
  <si>
    <t>ツチヤ　イチト</t>
    <phoneticPr fontId="110" type="Hiragana"/>
  </si>
  <si>
    <t>トダ　ヒマワリ</t>
    <phoneticPr fontId="110" type="Hiragana"/>
  </si>
  <si>
    <t>ヨシダ　セイヤ</t>
    <phoneticPr fontId="110" type="Hiragana"/>
  </si>
  <si>
    <t>タカオ　アサヒ</t>
    <phoneticPr fontId="110" type="Hiragana"/>
  </si>
  <si>
    <t>ヨシダ　レサ</t>
    <phoneticPr fontId="110" type="Hiragana"/>
  </si>
  <si>
    <t>タケムラ　リンタロウ</t>
    <phoneticPr fontId="110" type="Hiragana"/>
  </si>
  <si>
    <t>スエナガ　シノグ</t>
    <phoneticPr fontId="110" type="Hiragana"/>
  </si>
  <si>
    <t>ヨシハラ　セイゴ</t>
    <phoneticPr fontId="110" type="Hiragana"/>
  </si>
  <si>
    <t>サカグチ　カイト</t>
    <phoneticPr fontId="110" type="Hiragana"/>
  </si>
  <si>
    <t>リクマル　ゲンタ</t>
    <phoneticPr fontId="110" type="Hiragana"/>
  </si>
  <si>
    <t>イワモト　ケイジ</t>
    <phoneticPr fontId="110" type="Hiragana"/>
  </si>
  <si>
    <t>イワナガ　カイ</t>
    <phoneticPr fontId="110" type="Hiragana"/>
  </si>
  <si>
    <t>ワタナベ　ゴウキ</t>
    <phoneticPr fontId="110" type="Hiragana"/>
  </si>
  <si>
    <t>シュトウ　コハク</t>
    <phoneticPr fontId="110" type="Hiragana"/>
  </si>
  <si>
    <t>シュトウ　ナオト</t>
    <phoneticPr fontId="110" type="Hiragana"/>
  </si>
  <si>
    <t>フジノ　リク</t>
    <phoneticPr fontId="110" type="Hiragana"/>
  </si>
  <si>
    <t>サトウ　アヤト</t>
    <phoneticPr fontId="110" type="Hiragana"/>
  </si>
  <si>
    <t>サトウ　ヒナタ</t>
    <phoneticPr fontId="110" type="Hiragana"/>
  </si>
  <si>
    <t>ハタノ　ナツキ</t>
    <phoneticPr fontId="110" type="Hiragana"/>
  </si>
  <si>
    <t>タカノ　アラタ</t>
    <phoneticPr fontId="110" type="Hiragana"/>
  </si>
  <si>
    <t>イノウエ　サクト</t>
    <phoneticPr fontId="110" type="Hiragana"/>
  </si>
  <si>
    <t>ハシモト　リオ</t>
    <phoneticPr fontId="110" type="Hiragana"/>
  </si>
  <si>
    <t>アベ　テツト</t>
    <phoneticPr fontId="110" type="Hiragana"/>
  </si>
  <si>
    <t>ミシロ　タイセイ</t>
    <phoneticPr fontId="110" type="Hiragana"/>
  </si>
  <si>
    <t>ワカバヤシ　ソウタ</t>
    <phoneticPr fontId="110" type="Hiragana"/>
  </si>
  <si>
    <t>シュトウ　リンセイ</t>
    <phoneticPr fontId="110" type="Hiragana"/>
  </si>
  <si>
    <t>コハラ　キズナ</t>
    <phoneticPr fontId="110" type="Hiragana"/>
  </si>
  <si>
    <t>ゴトウ　ハルト</t>
    <phoneticPr fontId="110" type="Hiragana"/>
  </si>
  <si>
    <t>シイバ　アオイ</t>
    <phoneticPr fontId="110" type="Hiragana"/>
  </si>
  <si>
    <t>コバタ　ソウタ</t>
    <phoneticPr fontId="110" type="Hiragana"/>
  </si>
  <si>
    <t>ミタライ　アマト</t>
    <phoneticPr fontId="110" type="Hiragana"/>
  </si>
  <si>
    <t>ミウラ　アツト</t>
    <phoneticPr fontId="110" type="Hiragana"/>
  </si>
  <si>
    <t>フクダ　タイヨウ</t>
    <phoneticPr fontId="110" type="Hiragana"/>
  </si>
  <si>
    <t>アキヅキ　カイト</t>
    <phoneticPr fontId="110" type="Hiragana"/>
  </si>
  <si>
    <t>カメガワ　ハルク</t>
    <phoneticPr fontId="110" type="Hiragana"/>
  </si>
  <si>
    <t>フジイ　リツキ</t>
    <phoneticPr fontId="110" type="Hiragana"/>
  </si>
  <si>
    <t>ヤシオ　ユウキ</t>
    <phoneticPr fontId="110" type="Hiragana"/>
  </si>
  <si>
    <t>ムラカミ　ソウマ</t>
    <phoneticPr fontId="110" type="Hiragana"/>
  </si>
  <si>
    <t>アベ　イサミ</t>
    <phoneticPr fontId="110" type="Hiragana"/>
  </si>
  <si>
    <t>ムラマツ　レオ</t>
    <phoneticPr fontId="110" type="Hiragana"/>
  </si>
  <si>
    <t>コショウ　カイト</t>
    <phoneticPr fontId="110" type="Hiragana"/>
  </si>
  <si>
    <t>エグマ　コウスケ</t>
    <phoneticPr fontId="110" type="Hiragana"/>
  </si>
  <si>
    <t>フタミ　スグル</t>
    <phoneticPr fontId="110" type="Hiragana"/>
  </si>
  <si>
    <t>オノ　アオト</t>
    <phoneticPr fontId="110" type="Hiragana"/>
  </si>
  <si>
    <t>サクライ　ケンシン</t>
    <phoneticPr fontId="110" type="Hiragana"/>
  </si>
  <si>
    <t>コモト　レン</t>
    <phoneticPr fontId="110" type="Hiragana"/>
  </si>
  <si>
    <t>サダモト　フクシ</t>
    <phoneticPr fontId="110" type="Hiragana"/>
  </si>
  <si>
    <t>ユキ　レミナ</t>
    <phoneticPr fontId="110" type="Hiragana"/>
  </si>
  <si>
    <t>セキトウ　ハジメ</t>
    <phoneticPr fontId="110" type="Hiragana"/>
  </si>
  <si>
    <t>ミヤザキ　ジュン</t>
    <phoneticPr fontId="110" type="Hiragana"/>
  </si>
  <si>
    <t>オトズ　マサト</t>
    <phoneticPr fontId="110" type="Hiragana"/>
  </si>
  <si>
    <t>サトウ　イロハ</t>
    <phoneticPr fontId="110" type="Hiragana"/>
  </si>
  <si>
    <t>ウルシマ　リク</t>
    <phoneticPr fontId="110" type="Hiragana"/>
  </si>
  <si>
    <t>コウノ　カイセイ</t>
    <phoneticPr fontId="110" type="Hiragana"/>
  </si>
  <si>
    <t>イシイ　コジロウ</t>
    <phoneticPr fontId="110" type="Hiragana"/>
  </si>
  <si>
    <t>ナギノ　カズマ</t>
    <phoneticPr fontId="110" type="Hiragana"/>
  </si>
  <si>
    <t>ノバヤシ　コウタ</t>
    <phoneticPr fontId="110" type="Hiragana"/>
  </si>
  <si>
    <t>イシカワ　ナツキ</t>
    <phoneticPr fontId="110" type="Hiragana"/>
  </si>
  <si>
    <t>エトウ　カイト</t>
    <phoneticPr fontId="110" type="Hiragana"/>
  </si>
  <si>
    <t>タカハシ　ケイタロウ</t>
    <phoneticPr fontId="110" type="Hiragana"/>
  </si>
  <si>
    <t>イケオカ　シュンスケ</t>
    <phoneticPr fontId="110" type="Hiragana"/>
  </si>
  <si>
    <t>ウチダ　シュウマ</t>
    <phoneticPr fontId="110" type="Hiragana"/>
  </si>
  <si>
    <t>クゲ　ソウマ</t>
    <phoneticPr fontId="110" type="Hiragana"/>
  </si>
  <si>
    <t>セイケ　アルト</t>
    <phoneticPr fontId="110" type="Hiragana"/>
  </si>
  <si>
    <t>マツナガ　シュウ</t>
    <phoneticPr fontId="110" type="Hiragana"/>
  </si>
  <si>
    <t>マツナガ　ヨウ</t>
    <phoneticPr fontId="110" type="Hiragana"/>
  </si>
  <si>
    <t>ノダ　タクマ</t>
    <phoneticPr fontId="110" type="Hiragana"/>
  </si>
  <si>
    <t>アキモト　ホマレ</t>
    <phoneticPr fontId="110" type="Hiragana"/>
  </si>
  <si>
    <t>ヤマサキ　ヨウイチロウ</t>
    <phoneticPr fontId="110" type="Hiragana"/>
  </si>
  <si>
    <t>サクライ　コジロウ</t>
    <phoneticPr fontId="110" type="Hiragana"/>
  </si>
  <si>
    <t>ヒロオカ　ヒカル</t>
    <phoneticPr fontId="110" type="Hiragana"/>
  </si>
  <si>
    <t>ヨシミズ　コウスケ</t>
    <phoneticPr fontId="110" type="Hiragana"/>
  </si>
  <si>
    <t>ヤマサキ　カムイ</t>
    <phoneticPr fontId="110" type="Hiragana"/>
  </si>
  <si>
    <t>カワグチ　ユヅキ</t>
    <phoneticPr fontId="110" type="Hiragana"/>
  </si>
  <si>
    <t>ミズタニ　ソウスケ</t>
    <phoneticPr fontId="110" type="Hiragana"/>
  </si>
  <si>
    <t>トモキヨ　リョウマ</t>
    <phoneticPr fontId="110" type="Hiragana"/>
  </si>
  <si>
    <t>マニワ　ソウ</t>
    <phoneticPr fontId="110" type="Hiragana"/>
  </si>
  <si>
    <t>シュトウ　ユウキ</t>
    <phoneticPr fontId="110" type="Hiragana"/>
  </si>
  <si>
    <t>デグチ　ナツ</t>
    <phoneticPr fontId="110" type="Hiragana"/>
  </si>
  <si>
    <t>アンドウ　カイト</t>
    <phoneticPr fontId="110" type="Hiragana"/>
  </si>
  <si>
    <t>ミヤモト　リコ</t>
    <phoneticPr fontId="110" type="Hiragana"/>
  </si>
  <si>
    <t>サメジマ　リョウセイ</t>
    <phoneticPr fontId="110" type="Hiragana"/>
  </si>
  <si>
    <t>オハラ　リコ</t>
    <phoneticPr fontId="110" type="Hiragana"/>
  </si>
  <si>
    <t>ミヤワキ　コトコ</t>
    <phoneticPr fontId="110" type="Hiragana"/>
  </si>
  <si>
    <t>ナガオカ　ハルト</t>
    <phoneticPr fontId="110" type="Hiragana"/>
  </si>
  <si>
    <t>タチバナ　アユキ</t>
    <phoneticPr fontId="110" type="Hiragana"/>
  </si>
  <si>
    <t>ワタナベ　リンタ</t>
    <phoneticPr fontId="110" type="Hiragana"/>
  </si>
  <si>
    <t>カミカワ　ハルキ</t>
    <phoneticPr fontId="110" type="Hiragana"/>
  </si>
  <si>
    <t>ニイナ　ケンイチロウ</t>
    <phoneticPr fontId="110" type="Hiragana"/>
  </si>
  <si>
    <t>ヒラヤマ　ナギ</t>
    <phoneticPr fontId="110" type="Hiragana"/>
  </si>
  <si>
    <t>タカダ　ソウスケ</t>
    <phoneticPr fontId="110" type="Hiragana"/>
  </si>
  <si>
    <t>ヤマグチ　イチロ</t>
    <phoneticPr fontId="110" type="Hiragana"/>
  </si>
  <si>
    <t>アソウ　タイシ</t>
    <phoneticPr fontId="110" type="Hiragana"/>
  </si>
  <si>
    <t>アベ　ハヤト</t>
    <phoneticPr fontId="110" type="Hiragana"/>
  </si>
  <si>
    <t>イケダ　アサヒ</t>
    <phoneticPr fontId="110" type="Hiragana"/>
  </si>
  <si>
    <t>キベ　タツキ</t>
    <phoneticPr fontId="110" type="Hiragana"/>
  </si>
  <si>
    <t>カジワラ　ソウタ</t>
    <phoneticPr fontId="110" type="Hiragana"/>
  </si>
  <si>
    <t>フクダ　ミヤビ</t>
    <phoneticPr fontId="110" type="Hiragana"/>
  </si>
  <si>
    <t>コモリ　ユウキ</t>
    <phoneticPr fontId="110" type="Hiragana"/>
  </si>
  <si>
    <t>オノ　ソウスケ</t>
    <phoneticPr fontId="110" type="Hiragana"/>
  </si>
  <si>
    <t>マルタ　シュウ</t>
    <phoneticPr fontId="110" type="Hiragana"/>
  </si>
  <si>
    <t>ヒラマツ　レンスケ</t>
    <phoneticPr fontId="110" type="Hiragana"/>
  </si>
  <si>
    <t>マツオ　イッキ</t>
    <phoneticPr fontId="110" type="Hiragana"/>
  </si>
  <si>
    <t>オオタ　サクト</t>
    <phoneticPr fontId="110" type="Hiragana"/>
  </si>
  <si>
    <t>ヒロセ　タイガ</t>
    <phoneticPr fontId="110" type="Hiragana"/>
  </si>
  <si>
    <t>ヤスダ　コウスケ</t>
    <phoneticPr fontId="110" type="Hiragana"/>
  </si>
  <si>
    <t>シキナ　トウジロウ</t>
    <phoneticPr fontId="110" type="Hiragana"/>
  </si>
  <si>
    <t>ゴトウ　リクウ</t>
    <phoneticPr fontId="110" type="Hiragana"/>
  </si>
  <si>
    <t>アソウ　カナタ</t>
    <phoneticPr fontId="110" type="Hiragana"/>
  </si>
  <si>
    <t>マツオ　イッケイ</t>
    <phoneticPr fontId="110" type="Hiragana"/>
  </si>
  <si>
    <t>アベ　コウスケ</t>
    <phoneticPr fontId="110" type="Hiragana"/>
  </si>
  <si>
    <t>ナカムラ　キョウタロウ</t>
    <phoneticPr fontId="110" type="Hiragana"/>
  </si>
  <si>
    <t>ハラダ　リコ</t>
    <phoneticPr fontId="110" type="Hiragana"/>
  </si>
  <si>
    <t>ヒラノ　コウタ</t>
    <phoneticPr fontId="110" type="Hiragana"/>
  </si>
  <si>
    <t>ヨシダ　ソウマ</t>
    <phoneticPr fontId="110" type="Hiragana"/>
  </si>
  <si>
    <t>フクシマ　リョウガ</t>
    <phoneticPr fontId="110" type="Hiragana"/>
  </si>
  <si>
    <t>サトウ　リョウマ</t>
    <phoneticPr fontId="110" type="Hiragana"/>
  </si>
  <si>
    <t>フジワラ　ソウマ</t>
    <phoneticPr fontId="110" type="Hiragana"/>
  </si>
  <si>
    <t>ハタセ　トア</t>
    <phoneticPr fontId="110" type="Hiragana"/>
  </si>
  <si>
    <t>ヤマナカ　トア</t>
    <phoneticPr fontId="110" type="Hiragana"/>
  </si>
  <si>
    <t>イデ　サクト</t>
    <phoneticPr fontId="110" type="Hiragana"/>
  </si>
  <si>
    <t>シムラ　アオイ</t>
    <phoneticPr fontId="110" type="Hiragana"/>
  </si>
  <si>
    <t>シジョウ　ソウタ</t>
    <phoneticPr fontId="110" type="Hiragana"/>
  </si>
  <si>
    <t>ゴトウ　キイル</t>
    <phoneticPr fontId="110" type="Hiragana"/>
  </si>
  <si>
    <t>トモマツ　アオシ</t>
    <phoneticPr fontId="110" type="Hiragana"/>
  </si>
  <si>
    <t>ホシダ　テツジロウ</t>
    <phoneticPr fontId="110" type="Hiragana"/>
  </si>
  <si>
    <t>タナカ　ルイ</t>
    <phoneticPr fontId="110" type="Hiragana"/>
  </si>
  <si>
    <t>カトウ　ソウ</t>
    <phoneticPr fontId="110" type="Hiragana"/>
  </si>
  <si>
    <t>マキ　シュンスケ</t>
    <phoneticPr fontId="110" type="Hiragana"/>
  </si>
  <si>
    <t>アベ　フミヤ</t>
    <phoneticPr fontId="110" type="Hiragana"/>
  </si>
  <si>
    <t>ヤツシロ　ゼンタロウ</t>
    <phoneticPr fontId="110" type="Hiragana"/>
  </si>
  <si>
    <t>ヤツシロ　ジュタロウ</t>
    <phoneticPr fontId="110" type="Hiragana"/>
  </si>
  <si>
    <t>ヤノ　ショウスケ</t>
    <phoneticPr fontId="110" type="Hiragana"/>
  </si>
  <si>
    <t>ニシミネ　ミノル</t>
    <phoneticPr fontId="110" type="Hiragana"/>
  </si>
  <si>
    <t>ワタナベ　ショウタ</t>
    <phoneticPr fontId="110" type="Hiragana"/>
  </si>
  <si>
    <t>タキヤマ　ショウタ</t>
    <phoneticPr fontId="110" type="Hiragana"/>
  </si>
  <si>
    <t>ミノハラ　タダヒコ</t>
    <phoneticPr fontId="110" type="Hiragana"/>
  </si>
  <si>
    <t>タケモト　イブキ</t>
    <phoneticPr fontId="110" type="Hiragana"/>
  </si>
  <si>
    <t>イケダ　ミユ</t>
    <phoneticPr fontId="110" type="Hiragana"/>
  </si>
  <si>
    <t>カワバタ　ガク</t>
    <phoneticPr fontId="110" type="Hiragana"/>
  </si>
  <si>
    <t>サトウ　テッペイ</t>
    <phoneticPr fontId="110" type="Hiragana"/>
  </si>
  <si>
    <t>マツカワ　カナト</t>
    <phoneticPr fontId="110" type="Hiragana"/>
  </si>
  <si>
    <t>エトウ　ミツキ</t>
    <phoneticPr fontId="110" type="Hiragana"/>
  </si>
  <si>
    <t>モリ　ユウマ</t>
    <phoneticPr fontId="110" type="Hiragana"/>
  </si>
  <si>
    <t>トウダ　ユウシン</t>
    <phoneticPr fontId="110" type="Hiragana"/>
  </si>
  <si>
    <t>シブヤ　イッセイ</t>
    <phoneticPr fontId="110" type="Hiragana"/>
  </si>
  <si>
    <t>カワタ　イタル</t>
    <phoneticPr fontId="110" type="Hiragana"/>
  </si>
  <si>
    <t>アナイ　ユウタ</t>
    <phoneticPr fontId="110" type="Hiragana"/>
  </si>
  <si>
    <t>ナカイ　コウセイ</t>
    <phoneticPr fontId="110" type="Hiragana"/>
  </si>
  <si>
    <t>ハシザコ　フウガ</t>
    <phoneticPr fontId="110" type="Hiragana"/>
  </si>
  <si>
    <t>オオタニ　ヨシキ</t>
    <phoneticPr fontId="110" type="Hiragana"/>
  </si>
  <si>
    <t>オダ　コウスケ</t>
    <phoneticPr fontId="110" type="Hiragana"/>
  </si>
  <si>
    <t>サトウ　アラタ</t>
    <phoneticPr fontId="110" type="Hiragana"/>
  </si>
  <si>
    <t>キノシタ　ハルト</t>
    <phoneticPr fontId="110" type="Hiragana"/>
  </si>
  <si>
    <t>ワキ　ユウト</t>
    <phoneticPr fontId="110" type="Hiragana"/>
  </si>
  <si>
    <t>ヒグマ　ハルト</t>
    <phoneticPr fontId="110" type="Hiragana"/>
  </si>
  <si>
    <t>イトウ　オウガ</t>
    <phoneticPr fontId="110" type="Hiragana"/>
  </si>
  <si>
    <t>カワノ　ケイゴ</t>
    <phoneticPr fontId="110" type="Hiragana"/>
  </si>
  <si>
    <t>ソガ　アユム</t>
    <phoneticPr fontId="110" type="Hiragana"/>
  </si>
  <si>
    <t>ミヤモト　ライマ</t>
    <phoneticPr fontId="110" type="Hiragana"/>
  </si>
  <si>
    <t>ハヤマ　アサヒ</t>
    <phoneticPr fontId="110" type="Hiragana"/>
  </si>
  <si>
    <t>タカハシ　ソウタ</t>
    <phoneticPr fontId="110" type="Hiragana"/>
  </si>
  <si>
    <t>トクベ　トモヒト</t>
    <phoneticPr fontId="110" type="Hiragana"/>
  </si>
  <si>
    <t>エハラ　リク</t>
    <phoneticPr fontId="110" type="Hiragana"/>
  </si>
  <si>
    <t>タグチ　イチト</t>
    <phoneticPr fontId="110" type="Hiragana"/>
  </si>
  <si>
    <t>ヒラカワ　タクミ</t>
    <phoneticPr fontId="110" type="Hiragana"/>
  </si>
  <si>
    <t>サトウ　ヒイロ</t>
    <phoneticPr fontId="110" type="Hiragana"/>
  </si>
  <si>
    <t>カモ　ショウタ</t>
    <phoneticPr fontId="110" type="Hiragana"/>
  </si>
  <si>
    <t>イッポウシ　アオキ</t>
    <phoneticPr fontId="110" type="Hiragana"/>
  </si>
  <si>
    <t>オオヒラ　クレハ</t>
    <phoneticPr fontId="110" type="Hiragana"/>
  </si>
  <si>
    <t>ニシカタ　サクヤ</t>
    <phoneticPr fontId="110" type="Hiragana"/>
  </si>
  <si>
    <t>ヤマモト　ヒナタ</t>
    <phoneticPr fontId="110" type="Hiragana"/>
  </si>
  <si>
    <t>タメイケ　ナオ</t>
    <phoneticPr fontId="110" type="Hiragana"/>
  </si>
  <si>
    <t>オオニシ　フウリュウ</t>
    <phoneticPr fontId="110" type="Hiragana"/>
  </si>
  <si>
    <t>ヒガシカワ　ユイト</t>
    <phoneticPr fontId="110" type="Hiragana"/>
  </si>
  <si>
    <t>アベ　リンタロウ</t>
    <phoneticPr fontId="110" type="Hiragana"/>
  </si>
  <si>
    <t>マツモト　ユウシ</t>
    <phoneticPr fontId="110" type="Hiragana"/>
  </si>
  <si>
    <t>オガワ　コウタ</t>
    <phoneticPr fontId="110" type="Hiragana"/>
  </si>
  <si>
    <t>キクチ　ソウスケ</t>
    <phoneticPr fontId="110" type="Hiragana"/>
  </si>
  <si>
    <t>アサリ　ツヅミ</t>
    <phoneticPr fontId="110" type="Hiragana"/>
  </si>
  <si>
    <t>シュトウ　ヒロヤ</t>
    <phoneticPr fontId="110" type="Hiragana"/>
  </si>
  <si>
    <t>アサゴエ　ハルキ</t>
    <phoneticPr fontId="110" type="Hiragana"/>
  </si>
  <si>
    <t>ウエスギ　イツキ</t>
    <phoneticPr fontId="110" type="Hiragana"/>
  </si>
  <si>
    <t>ソガ　ソウタ</t>
    <phoneticPr fontId="110" type="Hiragana"/>
  </si>
  <si>
    <t>ウチダ　アツト</t>
    <phoneticPr fontId="110" type="Hiragana"/>
  </si>
  <si>
    <t>コヤマ　ソウマ</t>
    <phoneticPr fontId="110" type="Hiragana"/>
  </si>
  <si>
    <t>タナカ　アサヒ</t>
    <phoneticPr fontId="110" type="Hiragana"/>
  </si>
  <si>
    <t>タカハシ　レンスケ</t>
    <phoneticPr fontId="110" type="Hiragana"/>
  </si>
  <si>
    <t>イワナガ　キッペイ</t>
    <phoneticPr fontId="110" type="Hiragana"/>
  </si>
  <si>
    <t>ヤマザキ　アオ</t>
    <phoneticPr fontId="110" type="Hiragana"/>
  </si>
  <si>
    <t>カジワラ　ナオタロウ</t>
    <phoneticPr fontId="110" type="Hiragana"/>
  </si>
  <si>
    <t>イワシタ　アオイ</t>
    <phoneticPr fontId="110" type="Hiragana"/>
  </si>
  <si>
    <t>キモト　ケイスケ</t>
    <phoneticPr fontId="110" type="Hiragana"/>
  </si>
  <si>
    <t>タナカ　ユウセイ</t>
    <phoneticPr fontId="110" type="Hiragana"/>
  </si>
  <si>
    <t>ヤノ　ユウキ</t>
    <phoneticPr fontId="110" type="Hiragana"/>
  </si>
  <si>
    <t>キタサコ　タケル</t>
    <phoneticPr fontId="110" type="Hiragana"/>
  </si>
  <si>
    <t>モトカワ　ハヤト</t>
    <phoneticPr fontId="110" type="Hiragana"/>
  </si>
  <si>
    <t>オオクボ　シュウ</t>
    <phoneticPr fontId="110" type="Hiragana"/>
  </si>
  <si>
    <t>ゴトウ　コオ</t>
    <phoneticPr fontId="110" type="Hiragana"/>
  </si>
  <si>
    <t>ヤマムラ　シュンタ</t>
    <phoneticPr fontId="110" type="Hiragana"/>
  </si>
  <si>
    <t>ヒメノ　ウタ</t>
    <phoneticPr fontId="110" type="Hiragana"/>
  </si>
  <si>
    <t>タグチ　リュウト</t>
    <phoneticPr fontId="110" type="Hiragana"/>
  </si>
  <si>
    <t>カワノ　カイト</t>
    <phoneticPr fontId="110" type="Hiragana"/>
  </si>
  <si>
    <t>フルノ　ユウタ</t>
    <phoneticPr fontId="110" type="Hiragana"/>
  </si>
  <si>
    <t>キタザト　ダイチ</t>
    <phoneticPr fontId="110" type="Hiragana"/>
  </si>
  <si>
    <t>アリマ　ケイト</t>
    <phoneticPr fontId="110" type="Hiragana"/>
  </si>
  <si>
    <t>モロオカ　アサヒ</t>
    <phoneticPr fontId="110" type="Hiragana"/>
  </si>
  <si>
    <t>ハシモト　ガクト</t>
    <phoneticPr fontId="110" type="Hiragana"/>
  </si>
  <si>
    <t>ハラノ　コウスケ</t>
    <phoneticPr fontId="110" type="Hiragana"/>
  </si>
  <si>
    <t>イトウ　アヤノ</t>
    <phoneticPr fontId="110" type="Hiragana"/>
  </si>
  <si>
    <t>テツモト　シュウト</t>
    <phoneticPr fontId="110" type="Hiragana"/>
  </si>
  <si>
    <t>アサオ　ケイタ</t>
    <phoneticPr fontId="110" type="Hiragana"/>
  </si>
  <si>
    <t>アベ　ハルキ</t>
    <phoneticPr fontId="110" type="Hiragana"/>
  </si>
  <si>
    <t>アリナガ　ムツキ</t>
    <phoneticPr fontId="110" type="Hiragana"/>
  </si>
  <si>
    <t>サカイ　コタロウ</t>
    <phoneticPr fontId="110" type="Hiragana"/>
  </si>
  <si>
    <t>クロカワ　アツキ</t>
    <phoneticPr fontId="110" type="Hiragana"/>
  </si>
  <si>
    <t>アダチ　マオヤ</t>
    <phoneticPr fontId="110" type="Hiragana"/>
  </si>
  <si>
    <t>イシイ　ハルト</t>
    <phoneticPr fontId="110" type="Hiragana"/>
  </si>
  <si>
    <t>オオボシ　リュウキ</t>
    <phoneticPr fontId="110" type="Hiragana"/>
  </si>
  <si>
    <t>イケダ　レント</t>
    <phoneticPr fontId="110" type="Hiragana"/>
  </si>
  <si>
    <t>フジワラ　ショウゴ</t>
    <phoneticPr fontId="110" type="Hiragana"/>
  </si>
  <si>
    <t>イカガワ　アンナ</t>
    <phoneticPr fontId="110" type="Hiragana"/>
  </si>
  <si>
    <t>シン　アユム</t>
    <phoneticPr fontId="110" type="Hiragana"/>
  </si>
  <si>
    <t>アリマ　ユウサイ</t>
    <phoneticPr fontId="110" type="Hiragana"/>
  </si>
  <si>
    <t>クドウ　ハルマ</t>
    <phoneticPr fontId="110" type="Hiragana"/>
  </si>
  <si>
    <t>ウエダ　タイヨウ</t>
    <phoneticPr fontId="110" type="Hiragana"/>
  </si>
  <si>
    <t>コウバル　ヨリト</t>
    <phoneticPr fontId="110" type="Hiragana"/>
  </si>
  <si>
    <t>ノガミ　トウイ</t>
    <phoneticPr fontId="110" type="Hiragana"/>
  </si>
  <si>
    <t>カワヅ　アヤト</t>
    <phoneticPr fontId="110" type="Hiragana"/>
  </si>
  <si>
    <t>ナカシマ　トウリ</t>
    <phoneticPr fontId="110" type="Hiragana"/>
  </si>
  <si>
    <t>コウノ　ソウタ</t>
    <phoneticPr fontId="110" type="Hiragana"/>
  </si>
  <si>
    <t>コウノ　ユイト</t>
    <phoneticPr fontId="110" type="Hiragana"/>
  </si>
  <si>
    <t>ヤマダ　ハルト</t>
    <phoneticPr fontId="110" type="Hiragana"/>
  </si>
  <si>
    <t>エガワ　ユウマ</t>
    <phoneticPr fontId="110" type="Hiragana"/>
  </si>
  <si>
    <t>エトウ　ジョウジ</t>
    <phoneticPr fontId="110" type="Hiragana"/>
  </si>
  <si>
    <t>スエヒロ　ミキヤ</t>
    <phoneticPr fontId="110" type="Hiragana"/>
  </si>
  <si>
    <t>サガラ　トクタロウ</t>
    <phoneticPr fontId="110" type="Hiragana"/>
  </si>
  <si>
    <t>マスダ　コウキ</t>
    <phoneticPr fontId="110" type="Hiragana"/>
  </si>
  <si>
    <t>アソウ　トモキ</t>
    <phoneticPr fontId="110" type="Hiragana"/>
  </si>
  <si>
    <t>オトメ　ココロ</t>
    <phoneticPr fontId="110" type="Hiragana"/>
  </si>
  <si>
    <t>カンザキ　トウシン</t>
    <phoneticPr fontId="110" type="Hiragana"/>
  </si>
  <si>
    <t>オカモト　トモヤ</t>
    <phoneticPr fontId="110" type="Hiragana"/>
  </si>
  <si>
    <t>カトウ　ユウキ</t>
    <phoneticPr fontId="110" type="Hiragana"/>
  </si>
  <si>
    <t>ヤナギダ　キョウノスケ</t>
    <phoneticPr fontId="110" type="Hiragana"/>
  </si>
  <si>
    <t>キリカワ　ヒュウガ</t>
    <phoneticPr fontId="110" type="Hiragana"/>
  </si>
  <si>
    <t>イケナガ　ユウト</t>
    <phoneticPr fontId="110" type="Hiragana"/>
  </si>
  <si>
    <t>カワバタ　ケンシン</t>
    <phoneticPr fontId="110" type="Hiragana"/>
  </si>
  <si>
    <t>ヒラカワ　シュン</t>
    <phoneticPr fontId="110" type="Hiragana"/>
  </si>
  <si>
    <t>オクナガ　リュウセイ</t>
    <phoneticPr fontId="110" type="Hiragana"/>
  </si>
  <si>
    <t>イワタ　ヒヨリ</t>
    <phoneticPr fontId="110" type="Hiragana"/>
  </si>
  <si>
    <t>サトウ　コウセイ</t>
    <phoneticPr fontId="110" type="Hiragana"/>
  </si>
  <si>
    <t>フジカワ　アオト</t>
    <phoneticPr fontId="110" type="Hiragana"/>
  </si>
  <si>
    <t>アンドウ　アヤト</t>
    <phoneticPr fontId="110" type="Hiragana"/>
  </si>
  <si>
    <t>ミツノブ　ジョウジ</t>
    <phoneticPr fontId="110" type="Hiragana"/>
  </si>
  <si>
    <t>モトギ　ユウト</t>
    <phoneticPr fontId="110" type="Hiragana"/>
  </si>
  <si>
    <t>ワタナベ　ダイゾウ</t>
    <phoneticPr fontId="110" type="Hiragana"/>
  </si>
  <si>
    <t>ホリ　リオト</t>
    <phoneticPr fontId="110" type="Hiragana"/>
  </si>
  <si>
    <t>イタイ　ソウタ</t>
    <phoneticPr fontId="110" type="Hiragana"/>
  </si>
  <si>
    <t>カタヤマ　ヒナタ</t>
    <phoneticPr fontId="110" type="Hiragana"/>
  </si>
  <si>
    <t>ヤマダ　シンノスケ</t>
    <phoneticPr fontId="110" type="Hiragana"/>
  </si>
  <si>
    <t>カンダ　ソウタ</t>
    <phoneticPr fontId="110" type="Hiragana"/>
  </si>
  <si>
    <t>ジツザキ　ユウタロウ</t>
    <phoneticPr fontId="110" type="Hiragana"/>
  </si>
  <si>
    <t>キヨタ　ケイイチロウ</t>
    <phoneticPr fontId="110" type="Hiragana"/>
  </si>
  <si>
    <t>モリタ　アヤカ</t>
    <phoneticPr fontId="110" type="Hiragana"/>
  </si>
  <si>
    <t>ショウノ　ハルマ</t>
    <phoneticPr fontId="110" type="Hiragana"/>
  </si>
  <si>
    <t>ハマコウジ　ソウマ</t>
    <phoneticPr fontId="110" type="Hiragana"/>
  </si>
  <si>
    <t>ヒロタ　アキト</t>
    <phoneticPr fontId="110" type="Hiragana"/>
  </si>
  <si>
    <t>キモト　リク</t>
    <phoneticPr fontId="110" type="Hiragana"/>
  </si>
  <si>
    <t>マキ　テルマ</t>
    <phoneticPr fontId="110" type="Hiragana"/>
  </si>
  <si>
    <t>キシワダ　カイト</t>
    <phoneticPr fontId="110" type="Hiragana"/>
  </si>
  <si>
    <t>ユキ　ジン</t>
    <phoneticPr fontId="110" type="Hiragana"/>
  </si>
  <si>
    <t>シュトウ　ユウセイ</t>
    <phoneticPr fontId="110" type="Hiragana"/>
  </si>
  <si>
    <t>ソメヤ　リュウト</t>
    <phoneticPr fontId="110" type="Hiragana"/>
  </si>
  <si>
    <t>ニノミヤ　コウシ</t>
    <phoneticPr fontId="110" type="Hiragana"/>
  </si>
  <si>
    <t>グンダ　ミキヤ</t>
    <phoneticPr fontId="110" type="Hiragana"/>
  </si>
  <si>
    <t>タケオ　トア</t>
    <phoneticPr fontId="110" type="Hiragana"/>
  </si>
  <si>
    <t>イトウ　アキ</t>
    <phoneticPr fontId="110" type="Hiragana"/>
  </si>
  <si>
    <t>オノ　コウキ</t>
    <phoneticPr fontId="110" type="Hiragana"/>
  </si>
  <si>
    <t>ユキ　タツヤ</t>
    <phoneticPr fontId="110" type="Hiragana"/>
  </si>
  <si>
    <t>ヤノ　キヨマサ</t>
    <phoneticPr fontId="110" type="Hiragana"/>
  </si>
  <si>
    <t>フカタ　イツキ</t>
    <phoneticPr fontId="110" type="Hiragana"/>
  </si>
  <si>
    <t>トミザワ　アオイ</t>
    <phoneticPr fontId="110" type="Hiragana"/>
  </si>
  <si>
    <t>ウエノ　リュウタ</t>
    <phoneticPr fontId="110" type="Hiragana"/>
  </si>
  <si>
    <t>ゴトウ　ナオモト</t>
    <phoneticPr fontId="110" type="Hiragana"/>
  </si>
  <si>
    <t>イノクチ　ハル</t>
    <phoneticPr fontId="110" type="Hiragana"/>
  </si>
  <si>
    <t>ヤノ　ナナ</t>
    <phoneticPr fontId="110" type="Hiragana"/>
  </si>
  <si>
    <t>オガエリ　シュウゴ</t>
    <phoneticPr fontId="110" type="Hiragana"/>
  </si>
  <si>
    <t>ヤマダ　リョウジ</t>
    <phoneticPr fontId="110" type="Hiragana"/>
  </si>
  <si>
    <t>オカベ　ユウリ</t>
    <phoneticPr fontId="110" type="Hiragana"/>
  </si>
  <si>
    <t>ムラヤマ　アンナ</t>
    <phoneticPr fontId="110" type="Hiragana"/>
  </si>
  <si>
    <t>イトウ　アイト</t>
    <phoneticPr fontId="110" type="Hiragana"/>
  </si>
  <si>
    <t>マルヤマ　アヤト</t>
    <phoneticPr fontId="110" type="Hiragana"/>
  </si>
  <si>
    <t>イノウエ　コウ</t>
    <phoneticPr fontId="110" type="Hiragana"/>
  </si>
  <si>
    <t>タカクラ　アキト</t>
    <phoneticPr fontId="110" type="Hiragana"/>
  </si>
  <si>
    <t>イナモチ　タイシ</t>
    <phoneticPr fontId="110" type="Hiragana"/>
  </si>
  <si>
    <t>クドウ　コトカ</t>
    <phoneticPr fontId="110" type="Hiragana"/>
  </si>
  <si>
    <t>アベ　セイア</t>
    <phoneticPr fontId="110" type="Hiragana"/>
  </si>
  <si>
    <t>イトウ　カイセイ</t>
    <phoneticPr fontId="110" type="Hiragana"/>
  </si>
  <si>
    <t>テシマ　サトヨシ</t>
    <phoneticPr fontId="110" type="Hiragana"/>
  </si>
  <si>
    <t>アベ　コウシ</t>
    <phoneticPr fontId="110" type="Hiragana"/>
  </si>
  <si>
    <t>エトウ　ハル</t>
    <phoneticPr fontId="110" type="Hiragana"/>
  </si>
  <si>
    <t>オカダ　コウタ</t>
    <phoneticPr fontId="110" type="Hiragana"/>
  </si>
  <si>
    <t>オテキ　タケル</t>
    <phoneticPr fontId="110" type="Hiragana"/>
  </si>
  <si>
    <t>トミモト　ハルキ</t>
    <phoneticPr fontId="110" type="Hiragana"/>
  </si>
  <si>
    <t>マジマ　オウガ</t>
    <phoneticPr fontId="110" type="Hiragana"/>
  </si>
  <si>
    <t>ヤマサキ　キョウシロウ</t>
    <phoneticPr fontId="110" type="Hiragana"/>
  </si>
  <si>
    <t>イシミ　シオン</t>
    <phoneticPr fontId="110" type="Hiragana"/>
  </si>
  <si>
    <t>カワノ　アオト</t>
    <phoneticPr fontId="110" type="Hiragana"/>
  </si>
  <si>
    <t>ワタナベ　リョウジ</t>
    <phoneticPr fontId="110" type="Hiragana"/>
  </si>
  <si>
    <t>フジモト　ユウト</t>
    <phoneticPr fontId="110" type="Hiragana"/>
  </si>
  <si>
    <t>オオヤマ　リョウジ</t>
    <phoneticPr fontId="110" type="Hiragana"/>
  </si>
  <si>
    <t>サトウ　ユウヒ</t>
    <phoneticPr fontId="110" type="Hiragana"/>
  </si>
  <si>
    <t>キクチ　ユウト</t>
    <phoneticPr fontId="110" type="Hiragana"/>
  </si>
  <si>
    <t>ハザマ　ヒナタ</t>
    <phoneticPr fontId="110" type="Hiragana"/>
  </si>
  <si>
    <t>ツダ　トウリ</t>
    <phoneticPr fontId="110" type="Hiragana"/>
  </si>
  <si>
    <t>エトウ　ソウスケ</t>
    <phoneticPr fontId="110" type="Hiragana"/>
  </si>
  <si>
    <t>ナカムラ　ケイシン</t>
    <phoneticPr fontId="110" type="Hiragana"/>
  </si>
  <si>
    <t>オガサワラ　イオリ</t>
    <phoneticPr fontId="110" type="Hiragana"/>
  </si>
  <si>
    <t>カジワラ　シオン</t>
    <phoneticPr fontId="110" type="Hiragana"/>
  </si>
  <si>
    <t>タガワ　リト</t>
    <phoneticPr fontId="110" type="Hiragana"/>
  </si>
  <si>
    <t>イノマタ　ケイタ</t>
    <phoneticPr fontId="110" type="Hiragana"/>
  </si>
  <si>
    <t>イヤマ　アヤ</t>
    <phoneticPr fontId="110" type="Hiragana"/>
  </si>
  <si>
    <t>フナシマ　ケンシン</t>
    <phoneticPr fontId="110" type="Hiragana"/>
  </si>
  <si>
    <t>キムラ　ルイ</t>
    <phoneticPr fontId="110" type="Hiragana"/>
  </si>
  <si>
    <t>イワサカ　ジュンペイ</t>
    <phoneticPr fontId="110" type="Hiragana"/>
  </si>
  <si>
    <t>イマナガ　シンカ</t>
    <phoneticPr fontId="110" type="Hiragana"/>
  </si>
  <si>
    <t>オダ　セナ</t>
    <phoneticPr fontId="110" type="Hiragana"/>
  </si>
  <si>
    <t>カメダ　ハルト</t>
    <phoneticPr fontId="110" type="Hiragana"/>
  </si>
  <si>
    <t>イシザキ　モカ</t>
    <phoneticPr fontId="110" type="Hiragana"/>
  </si>
  <si>
    <t>タムラ　ケンゴ</t>
    <phoneticPr fontId="110" type="Hiragana"/>
  </si>
  <si>
    <t>ワタナベ　ヒラリ</t>
    <phoneticPr fontId="110" type="Hiragana"/>
  </si>
  <si>
    <t>ナガノ　ユイト</t>
    <phoneticPr fontId="110" type="Hiragana"/>
  </si>
  <si>
    <t>イトウ　シュンタ</t>
    <phoneticPr fontId="110" type="Hiragana"/>
  </si>
  <si>
    <t>ババ　カイト</t>
    <phoneticPr fontId="110" type="Hiragana"/>
  </si>
  <si>
    <t>オノ　タイガ</t>
    <phoneticPr fontId="110" type="Hiragana"/>
  </si>
  <si>
    <t>ショウノ　ヒロト</t>
    <phoneticPr fontId="110" type="Hiragana"/>
  </si>
  <si>
    <t>ムライ　ソウシ</t>
    <phoneticPr fontId="110" type="Hiragana"/>
  </si>
  <si>
    <t>コザコ　ケンゴウ</t>
    <phoneticPr fontId="110" type="Hiragana"/>
  </si>
  <si>
    <t>ミヤモト　タクミ</t>
    <phoneticPr fontId="110" type="Hiragana"/>
  </si>
  <si>
    <t>ヌマグチ　ナオ</t>
    <phoneticPr fontId="110" type="Hiragana"/>
  </si>
  <si>
    <t>コバヤシ　コウスケ</t>
    <phoneticPr fontId="110" type="Hiragana"/>
  </si>
  <si>
    <t>ニノミヤ　ケイ</t>
    <phoneticPr fontId="110" type="Hiragana"/>
  </si>
  <si>
    <t>ウエムラ　アオイ</t>
    <phoneticPr fontId="110" type="Hiragana"/>
  </si>
  <si>
    <t>ヨシカイ　イロ</t>
    <phoneticPr fontId="110" type="Hiragana"/>
  </si>
  <si>
    <t>コダマ　ヒロト</t>
    <phoneticPr fontId="110" type="Hiragana"/>
  </si>
  <si>
    <t>タニグチ　トウマ</t>
    <phoneticPr fontId="110" type="Hiragana"/>
  </si>
  <si>
    <t>キラ　ハルキ</t>
    <phoneticPr fontId="110" type="Hiragana"/>
  </si>
  <si>
    <t>フクダ　レナ</t>
    <phoneticPr fontId="110" type="Hiragana"/>
  </si>
  <si>
    <t>ヨシヒロ　ユウシ</t>
    <phoneticPr fontId="110" type="Hiragana"/>
  </si>
  <si>
    <t>ミヤノ　ヨシト</t>
    <phoneticPr fontId="110" type="Hiragana"/>
  </si>
  <si>
    <t>アソウ　ダイキ</t>
    <phoneticPr fontId="110" type="Hiragana"/>
  </si>
  <si>
    <t>イシダ　リョウト</t>
    <phoneticPr fontId="110" type="Hiragana"/>
  </si>
  <si>
    <t>キノシタ　ハルキ</t>
    <phoneticPr fontId="110" type="Hiragana"/>
  </si>
  <si>
    <t>マツモト　クヒロ</t>
    <phoneticPr fontId="110" type="Hiragana"/>
  </si>
  <si>
    <t>カヤシマ　ソラ</t>
    <phoneticPr fontId="110" type="Hiragana"/>
  </si>
  <si>
    <t>ゴトウ　ユウセイ</t>
    <phoneticPr fontId="110" type="Hiragana"/>
  </si>
  <si>
    <t>タムラ　ウイ</t>
    <phoneticPr fontId="110" type="Hiragana"/>
  </si>
  <si>
    <t>シマダ　マサキ</t>
    <phoneticPr fontId="110" type="Hiragana"/>
  </si>
  <si>
    <t>オオニシ　サトシ</t>
    <phoneticPr fontId="110" type="Hiragana"/>
  </si>
  <si>
    <t>カトウ　ヨウ</t>
    <phoneticPr fontId="110" type="Hiragana"/>
  </si>
  <si>
    <t>ツルタ　タケト</t>
    <phoneticPr fontId="110" type="Hiragana"/>
  </si>
  <si>
    <t>ワダ　アキト</t>
    <phoneticPr fontId="110" type="Hiragana"/>
  </si>
  <si>
    <t>イマイ　アサヒ</t>
    <phoneticPr fontId="110" type="Hiragana"/>
  </si>
  <si>
    <t>ナカノ　モモキ</t>
    <phoneticPr fontId="110" type="Hiragana"/>
  </si>
  <si>
    <t>マルヤマ　リク</t>
    <phoneticPr fontId="110" type="Hiragana"/>
  </si>
  <si>
    <t>イマタ　タクミ</t>
    <phoneticPr fontId="110" type="Hiragana"/>
  </si>
  <si>
    <t>アカシ　リョウ</t>
    <phoneticPr fontId="110" type="Hiragana"/>
  </si>
  <si>
    <t>タカクラ　カイ</t>
    <phoneticPr fontId="110" type="Hiragana"/>
  </si>
  <si>
    <t>シブタ　ガク</t>
    <phoneticPr fontId="110" type="Hiragana"/>
  </si>
  <si>
    <t>ミゾグチ　トウマ</t>
    <phoneticPr fontId="110" type="Hiragana"/>
  </si>
  <si>
    <t>ナカモト　トモキ</t>
    <phoneticPr fontId="110" type="Hiragana"/>
  </si>
  <si>
    <t>アサブキ　リク</t>
    <phoneticPr fontId="110" type="Hiragana"/>
  </si>
  <si>
    <t>サトウ　ユアン</t>
    <phoneticPr fontId="110" type="Hiragana"/>
  </si>
  <si>
    <t>アベ　オウスケ</t>
    <phoneticPr fontId="110" type="Hiragana"/>
  </si>
  <si>
    <t>カトウ　アオ</t>
    <phoneticPr fontId="110" type="Hiragana"/>
  </si>
  <si>
    <t>ウエダ　マナト</t>
    <phoneticPr fontId="110" type="Hiragana"/>
  </si>
  <si>
    <t>サトウ　エイト</t>
    <phoneticPr fontId="110" type="Hiragana"/>
  </si>
  <si>
    <t>カイ　オウセイ</t>
    <phoneticPr fontId="110" type="Hiragana"/>
  </si>
  <si>
    <t>クラカケ　シュウタ</t>
    <phoneticPr fontId="110" type="Hiragana"/>
  </si>
  <si>
    <t>オガワ　リオト</t>
    <phoneticPr fontId="110" type="Hiragana"/>
  </si>
  <si>
    <t>マツキ　コウセイ</t>
    <phoneticPr fontId="110" type="Hiragana"/>
  </si>
  <si>
    <t>カワノ　ケンヤ</t>
    <phoneticPr fontId="110" type="Hiragana"/>
  </si>
  <si>
    <t>コバヤシ　ハルト</t>
    <phoneticPr fontId="110" type="Hiragana"/>
  </si>
  <si>
    <t>ヤマムラ　タイガ</t>
    <phoneticPr fontId="110" type="Hiragana"/>
  </si>
  <si>
    <t>ツネナリ　ハル</t>
    <phoneticPr fontId="110" type="Hiragana"/>
  </si>
  <si>
    <t>マスハラ　ヒナタ</t>
    <phoneticPr fontId="110" type="Hiragana"/>
  </si>
  <si>
    <t>イワタ　マサキ</t>
    <phoneticPr fontId="110" type="Hiragana"/>
  </si>
  <si>
    <t>サクラギ　ロク</t>
    <phoneticPr fontId="110" type="Hiragana"/>
  </si>
  <si>
    <t>タナカ　アカリ</t>
    <phoneticPr fontId="110" type="Hiragana"/>
  </si>
  <si>
    <t>ミタライ　ユウ</t>
    <phoneticPr fontId="110" type="Hiragana"/>
  </si>
  <si>
    <t>ハマグチ　ハルマ</t>
    <phoneticPr fontId="110" type="Hiragana"/>
  </si>
  <si>
    <t>カワグチ　ソウマ</t>
    <phoneticPr fontId="110" type="Hiragana"/>
  </si>
  <si>
    <t>ウノ　タイセイ</t>
    <phoneticPr fontId="110" type="Hiragana"/>
  </si>
  <si>
    <t>ムラマツ　エイタ</t>
    <phoneticPr fontId="110" type="Hiragana"/>
  </si>
  <si>
    <t>カメイ　リョウマ</t>
    <phoneticPr fontId="110" type="Hiragana"/>
  </si>
  <si>
    <t>イトナガ　ケント</t>
    <phoneticPr fontId="110" type="Hiragana"/>
  </si>
  <si>
    <t>フジモト　リュウノスケ</t>
    <phoneticPr fontId="110" type="Hiragana"/>
  </si>
  <si>
    <t>カイ　ナナト</t>
    <phoneticPr fontId="110" type="Hiragana"/>
  </si>
  <si>
    <t>オハラ　キッペイ</t>
    <phoneticPr fontId="110" type="Hiragana"/>
  </si>
  <si>
    <t>フクザワ　カエデ</t>
    <phoneticPr fontId="110" type="Hiragana"/>
  </si>
  <si>
    <t>マエダ　ジュン</t>
    <phoneticPr fontId="110" type="Hiragana"/>
  </si>
  <si>
    <t>キヨマツ　イヅル</t>
    <phoneticPr fontId="110" type="Hiragana"/>
  </si>
  <si>
    <t>シライシ　イツキ</t>
    <phoneticPr fontId="110" type="Hiragana"/>
  </si>
  <si>
    <t>カワノ　セナ</t>
    <phoneticPr fontId="110" type="Hiragana"/>
  </si>
  <si>
    <t>ヒョウドウ　レオ</t>
    <phoneticPr fontId="110" type="Hiragana"/>
  </si>
  <si>
    <t>スガタ　リョウヘイ</t>
    <phoneticPr fontId="110" type="Hiragana"/>
  </si>
  <si>
    <t>タハラ　サク</t>
    <phoneticPr fontId="110" type="Hiragana"/>
  </si>
  <si>
    <t>コダマ　ルイ</t>
    <phoneticPr fontId="110" type="Hiragana"/>
  </si>
  <si>
    <t>ムラカミ　ハクト</t>
    <phoneticPr fontId="110" type="Hiragana"/>
  </si>
  <si>
    <t>ヤマサキ　ショウ</t>
    <phoneticPr fontId="110" type="Hiragana"/>
  </si>
  <si>
    <t>ヒライ　ノブキ</t>
    <phoneticPr fontId="110" type="Hiragana"/>
  </si>
  <si>
    <t>マキ　ユキナガ</t>
    <phoneticPr fontId="110" type="Hiragana"/>
  </si>
  <si>
    <t>クキマル　タクミ</t>
    <phoneticPr fontId="110" type="Hiragana"/>
  </si>
  <si>
    <t>ワタナベ　カナト</t>
    <phoneticPr fontId="110" type="Hiragana"/>
  </si>
  <si>
    <t>カワノ　ノア</t>
    <phoneticPr fontId="110" type="Hiragana"/>
  </si>
  <si>
    <t>サコ　モモタ</t>
    <phoneticPr fontId="110" type="Hiragana"/>
  </si>
  <si>
    <t>ヤダ　ガク</t>
    <phoneticPr fontId="110" type="Hiragana"/>
  </si>
  <si>
    <t>シモハタ　アサヒ</t>
    <phoneticPr fontId="110" type="Hiragana"/>
  </si>
  <si>
    <t>カワノ　ソウタ</t>
    <phoneticPr fontId="110" type="Hiragana"/>
  </si>
  <si>
    <t>マツオ　ユイト</t>
    <phoneticPr fontId="110" type="Hiragana"/>
  </si>
  <si>
    <t>フジイシ　シュンスケ</t>
    <phoneticPr fontId="110" type="Hiragana"/>
  </si>
  <si>
    <t>ソノダ　アイリ</t>
    <phoneticPr fontId="110" type="Hiragana"/>
  </si>
  <si>
    <t>イワマル　ヨウタロウ</t>
    <phoneticPr fontId="110" type="Hiragana"/>
  </si>
  <si>
    <t>サガラ　ルキト</t>
    <phoneticPr fontId="110" type="Hiragana"/>
  </si>
  <si>
    <t>シュトウ　アサヒ</t>
    <phoneticPr fontId="110" type="Hiragana"/>
  </si>
  <si>
    <t>フジタ　エイト</t>
    <phoneticPr fontId="110" type="Hiragana"/>
  </si>
  <si>
    <t>トミタカ　ソウスケ</t>
    <phoneticPr fontId="110" type="Hiragana"/>
  </si>
  <si>
    <t>ホンダ　タスク</t>
    <phoneticPr fontId="110" type="Hiragana"/>
  </si>
  <si>
    <t>ワダ　シヅキ</t>
    <phoneticPr fontId="110" type="Hiragana"/>
  </si>
  <si>
    <t>カツラギ　ハルト</t>
    <phoneticPr fontId="110" type="Hiragana"/>
  </si>
  <si>
    <t>マツキ　リオル</t>
    <phoneticPr fontId="110" type="Hiragana"/>
  </si>
  <si>
    <t>ユキ　ソラ</t>
    <phoneticPr fontId="110" type="Hiragana"/>
  </si>
  <si>
    <t>ノダ　ミヤビ</t>
    <phoneticPr fontId="110" type="Hiragana"/>
  </si>
  <si>
    <t>ハシモト　コウタロウ</t>
    <phoneticPr fontId="110" type="Hiragana"/>
  </si>
  <si>
    <t>クワノ　テッセイ</t>
    <phoneticPr fontId="110" type="Hiragana"/>
  </si>
  <si>
    <t>イワ　ヒカリ</t>
    <phoneticPr fontId="110" type="Hiragana"/>
  </si>
  <si>
    <t>サトウ　カイリ</t>
    <phoneticPr fontId="110" type="Hiragana"/>
  </si>
  <si>
    <t>カワムラ　ユウリ</t>
    <phoneticPr fontId="110" type="Hiragana"/>
  </si>
  <si>
    <t>ヒラオカ　ミツル</t>
    <phoneticPr fontId="110" type="Hiragana"/>
  </si>
  <si>
    <t>カドタ　チヒロ</t>
    <phoneticPr fontId="110" type="Hiragana"/>
  </si>
  <si>
    <t>クワバラ　ソウシ</t>
    <phoneticPr fontId="110" type="Hiragana"/>
  </si>
  <si>
    <t>エトウ　タクミ</t>
    <phoneticPr fontId="110" type="Hiragana"/>
  </si>
  <si>
    <t>シトウ　フミヤ</t>
    <phoneticPr fontId="110" type="Hiragana"/>
  </si>
  <si>
    <t>イトナガ　カンタ</t>
    <phoneticPr fontId="110" type="Hiragana"/>
  </si>
  <si>
    <t>ウノハナ　ユナ</t>
    <phoneticPr fontId="110" type="Hiragana"/>
  </si>
  <si>
    <t>トクミツ　ケイタ</t>
    <phoneticPr fontId="110" type="Hiragana"/>
  </si>
  <si>
    <t>タカクラ　ソウタ</t>
    <phoneticPr fontId="110" type="Hiragana"/>
  </si>
  <si>
    <t>レイ　チイケン</t>
    <phoneticPr fontId="110" type="Hiragana"/>
  </si>
  <si>
    <t>コウノ　イツキ</t>
    <phoneticPr fontId="110" type="Hiragana"/>
  </si>
  <si>
    <t>ホンダ　コウロク</t>
    <phoneticPr fontId="110" type="Hiragana"/>
  </si>
  <si>
    <t>ミウラ　ヨウスケ</t>
    <phoneticPr fontId="110" type="Hiragana"/>
  </si>
  <si>
    <t>ゴトウ　キイチ</t>
    <phoneticPr fontId="110" type="Hiragana"/>
  </si>
  <si>
    <t>オオイシ　タクミ</t>
    <phoneticPr fontId="110" type="Hiragana"/>
  </si>
  <si>
    <t>ゴトウ　リンタロウ</t>
    <phoneticPr fontId="110" type="Hiragana"/>
  </si>
  <si>
    <t>アナミ　サヤト</t>
    <phoneticPr fontId="110" type="Hiragana"/>
  </si>
  <si>
    <t>ノジリ　ハル</t>
    <phoneticPr fontId="110" type="Hiragana"/>
  </si>
  <si>
    <t>オカムラ　ワク</t>
    <phoneticPr fontId="110" type="Hiragana"/>
  </si>
  <si>
    <t>フルサワ　ケント</t>
    <phoneticPr fontId="110" type="Hiragana"/>
  </si>
  <si>
    <t>シオツキ　リオ</t>
    <phoneticPr fontId="110" type="Hiragana"/>
  </si>
  <si>
    <t>ワタナベ　ショウマ</t>
    <phoneticPr fontId="110" type="Hiragana"/>
  </si>
  <si>
    <t>ワキサカ　ソラト</t>
    <phoneticPr fontId="110" type="Hiragana"/>
  </si>
  <si>
    <t>オオガ　アサヒ</t>
    <phoneticPr fontId="110" type="Hiragana"/>
  </si>
  <si>
    <t>ハラダ　ジョウ</t>
    <phoneticPr fontId="110" type="Hiragana"/>
  </si>
  <si>
    <t>フジカワ　ケイスケ</t>
    <phoneticPr fontId="110" type="Hiragana"/>
  </si>
  <si>
    <t>コウノ　ケンシン</t>
    <phoneticPr fontId="110" type="Hiragana"/>
  </si>
  <si>
    <t>イノウエ　シオン</t>
    <phoneticPr fontId="110" type="Hiragana"/>
  </si>
  <si>
    <t>イノウエ　カズシ</t>
    <phoneticPr fontId="110" type="Hiragana"/>
  </si>
  <si>
    <t>ニシ　キイチロウ</t>
    <phoneticPr fontId="110" type="Hiragana"/>
  </si>
  <si>
    <t>カマモト　ソウタ</t>
    <phoneticPr fontId="110" type="Hiragana"/>
  </si>
  <si>
    <t>エグチ　アヤト</t>
    <phoneticPr fontId="110" type="Hiragana"/>
  </si>
  <si>
    <t>ナリマツ　ヒビキ</t>
    <phoneticPr fontId="110" type="Hiragana"/>
  </si>
  <si>
    <t>サコダ　ヤマト</t>
    <phoneticPr fontId="110" type="Hiragana"/>
  </si>
  <si>
    <t>フルカワ　トウセイ</t>
    <phoneticPr fontId="110" type="Hiragana"/>
  </si>
  <si>
    <t>ゴトウ　イツジ</t>
    <phoneticPr fontId="110" type="Hiragana"/>
  </si>
  <si>
    <t>コジマ　ヒロト</t>
    <phoneticPr fontId="110" type="Hiragana"/>
  </si>
  <si>
    <t>イワヤ　ユウト</t>
    <phoneticPr fontId="110" type="Hiragana"/>
  </si>
  <si>
    <t>マツキ　ソウシ</t>
    <phoneticPr fontId="110" type="Hiragana"/>
  </si>
  <si>
    <t>オオノ　リク</t>
    <phoneticPr fontId="110" type="Hiragana"/>
  </si>
  <si>
    <t>トミヒサ　ショウマ</t>
    <phoneticPr fontId="110" type="Hiragana"/>
  </si>
  <si>
    <t>サクライ　シュン</t>
    <phoneticPr fontId="110" type="Hiragana"/>
  </si>
  <si>
    <t>タツカワ　ヒロト</t>
    <phoneticPr fontId="110" type="Hiragana"/>
  </si>
  <si>
    <t>カジワラ　アキト</t>
    <phoneticPr fontId="110" type="Hiragana"/>
  </si>
  <si>
    <t>オカムラ　マシロ</t>
    <phoneticPr fontId="110" type="Hiragana"/>
  </si>
  <si>
    <t>トヨダ　エイト</t>
    <phoneticPr fontId="110" type="Hiragana"/>
  </si>
  <si>
    <t>イケダ　タクト</t>
    <phoneticPr fontId="110" type="Hiragana"/>
  </si>
  <si>
    <t>ニノミヤ　ユウ</t>
    <phoneticPr fontId="110" type="Hiragana"/>
  </si>
  <si>
    <t>オノ　アコ</t>
    <phoneticPr fontId="110" type="Hiragana"/>
  </si>
  <si>
    <t>オノ　ニコ</t>
    <phoneticPr fontId="110" type="Hiragana"/>
  </si>
  <si>
    <t>ヒラシマ　ユウト</t>
    <phoneticPr fontId="110" type="Hiragana"/>
  </si>
  <si>
    <t>タカダ　ハルト</t>
    <phoneticPr fontId="110" type="Hiragana"/>
  </si>
  <si>
    <t>ワタナベ　ガク</t>
    <phoneticPr fontId="110" type="Hiragana"/>
  </si>
  <si>
    <t>クリヤマ　スズ</t>
    <phoneticPr fontId="110" type="Hiragana"/>
  </si>
  <si>
    <t>ハタ　ユウト</t>
    <phoneticPr fontId="110" type="Hiragana"/>
  </si>
  <si>
    <t>クロカワ　ハルマ</t>
    <phoneticPr fontId="110" type="Hiragana"/>
  </si>
  <si>
    <t>ハヤシ　サキ</t>
    <phoneticPr fontId="110" type="Hiragana"/>
  </si>
  <si>
    <t>トーマス　グレゴリーカイ</t>
    <phoneticPr fontId="110" type="Hiragana"/>
  </si>
  <si>
    <t>タハラ　ハヤテ</t>
    <phoneticPr fontId="110" type="Hiragana"/>
  </si>
  <si>
    <t>アラマキ　エイト</t>
    <phoneticPr fontId="110" type="Hiragana"/>
  </si>
  <si>
    <t>タナカ　スバル</t>
    <phoneticPr fontId="110" type="Hiragana"/>
  </si>
  <si>
    <t>アキヨシ　ルイ</t>
    <phoneticPr fontId="110" type="Hiragana"/>
  </si>
  <si>
    <t>ヤマグチ　ケイト</t>
    <phoneticPr fontId="110" type="Hiragana"/>
  </si>
  <si>
    <t>ノムラ　タスク</t>
    <phoneticPr fontId="110" type="Hiragana"/>
  </si>
  <si>
    <t>ヒライ　ヒナ</t>
    <phoneticPr fontId="110" type="Hiragana"/>
  </si>
  <si>
    <t>タテワキ　ハルマ</t>
    <phoneticPr fontId="110" type="Hiragana"/>
  </si>
  <si>
    <t>ヒガシ　コウナ</t>
    <phoneticPr fontId="110" type="Hiragana"/>
  </si>
  <si>
    <t>ボウムキ　サネアキ</t>
    <phoneticPr fontId="110" type="Hiragana"/>
  </si>
  <si>
    <t>ウサ　カリナ</t>
    <phoneticPr fontId="110" type="Hiragana"/>
  </si>
  <si>
    <t>ウラヤマ　ツムグ</t>
    <phoneticPr fontId="110" type="Hiragana"/>
  </si>
  <si>
    <t>オオクボ　ショウキ</t>
    <phoneticPr fontId="110" type="Hiragana"/>
  </si>
  <si>
    <t>ミシロ　カノン</t>
    <phoneticPr fontId="110" type="Hiragana"/>
  </si>
  <si>
    <t>イマガワ　マサキヨ</t>
    <phoneticPr fontId="110" type="Hiragana"/>
  </si>
  <si>
    <t>ワタナベ　ソア</t>
    <phoneticPr fontId="110" type="Hiragana"/>
  </si>
  <si>
    <t>ヤナダ　カズマサ</t>
    <phoneticPr fontId="110" type="Hiragana"/>
  </si>
  <si>
    <t>ユキ　リョウスケ</t>
    <phoneticPr fontId="110" type="Hiragana"/>
  </si>
  <si>
    <t>ヨロズ　サンシロウ</t>
    <phoneticPr fontId="110" type="Hiragana"/>
  </si>
  <si>
    <t>キタヤマ　キルア</t>
    <phoneticPr fontId="110" type="Hiragana"/>
  </si>
  <si>
    <t>フジカワ　ヤマト</t>
    <phoneticPr fontId="110" type="Hiragana"/>
  </si>
  <si>
    <t>カワヅ　リアナ</t>
    <phoneticPr fontId="110" type="Hiragana"/>
  </si>
  <si>
    <t>ワタナベ　オウガ</t>
    <phoneticPr fontId="110" type="Hiragana"/>
  </si>
  <si>
    <t>フクダ　カイト</t>
    <phoneticPr fontId="110" type="Hiragana"/>
  </si>
  <si>
    <t>ヒガシ　コウノスケ</t>
    <phoneticPr fontId="110" type="Hiragana"/>
  </si>
  <si>
    <t>イノウエ　サクタロウ</t>
    <phoneticPr fontId="110" type="Hiragana"/>
  </si>
  <si>
    <t>ナンバ　タカユキ</t>
    <phoneticPr fontId="110" type="Hiragana"/>
  </si>
  <si>
    <t>タシロ　トヨノブ</t>
    <phoneticPr fontId="110" type="Hiragana"/>
  </si>
  <si>
    <t>イケダ　リク</t>
    <phoneticPr fontId="110" type="Hiragana"/>
  </si>
  <si>
    <t>アベ　トモエ</t>
    <phoneticPr fontId="110" type="Hiragana"/>
  </si>
  <si>
    <t>シュトウ　ソウセイ</t>
    <phoneticPr fontId="110" type="Hiragana"/>
  </si>
  <si>
    <t>ミフサ　マオ</t>
    <phoneticPr fontId="110" type="Hiragana"/>
  </si>
  <si>
    <t>セキネ　ユウタ</t>
    <phoneticPr fontId="110" type="Hiragana"/>
  </si>
  <si>
    <t>アキヤマ　タイショウ</t>
    <phoneticPr fontId="110" type="Hiragana"/>
  </si>
  <si>
    <t>サガラ　エイト</t>
    <phoneticPr fontId="110" type="Hiragana"/>
  </si>
  <si>
    <t>オガサワラ　ゴウ</t>
    <phoneticPr fontId="110" type="Hiragana"/>
  </si>
  <si>
    <t>タケモト　リクト</t>
    <phoneticPr fontId="110" type="Hiragana"/>
  </si>
  <si>
    <t>ミムラ　タカノリ</t>
    <phoneticPr fontId="110" type="Hiragana"/>
  </si>
  <si>
    <t>モロトミ　レンセイ</t>
    <phoneticPr fontId="110" type="Hiragana"/>
  </si>
  <si>
    <t>ナカシマ　ヒデト</t>
    <phoneticPr fontId="110" type="Hiragana"/>
  </si>
  <si>
    <t>サノ　ミナト</t>
    <phoneticPr fontId="110" type="Hiragana"/>
  </si>
  <si>
    <t>タダ　ユイト</t>
    <phoneticPr fontId="110" type="Hiragana"/>
  </si>
  <si>
    <t>タマシロ　アサヒ</t>
    <phoneticPr fontId="110" type="Hiragana"/>
  </si>
  <si>
    <t>サトウ　リクト</t>
    <phoneticPr fontId="110" type="Hiragana"/>
  </si>
  <si>
    <t>ヤスエダ　サキ</t>
    <phoneticPr fontId="110" type="Hiragana"/>
  </si>
  <si>
    <t>フカミ　リク</t>
    <phoneticPr fontId="110" type="Hiragana"/>
  </si>
  <si>
    <t>マツバラ　タクト</t>
    <phoneticPr fontId="110" type="Hiragana"/>
  </si>
  <si>
    <t>シンヤ　ソウタ</t>
    <phoneticPr fontId="110" type="Hiragana"/>
  </si>
  <si>
    <t>ミナミ　オウスケ</t>
    <phoneticPr fontId="110" type="Hiragana"/>
  </si>
  <si>
    <t>ヨシダ　マサヤ</t>
    <phoneticPr fontId="110" type="Hiragana"/>
  </si>
  <si>
    <t>オオモリ　エイト</t>
    <phoneticPr fontId="110" type="Hiragana"/>
  </si>
  <si>
    <t>アベ　ハル</t>
    <phoneticPr fontId="110" type="Hiragana"/>
  </si>
  <si>
    <t>ニシノ　スバル</t>
    <phoneticPr fontId="110" type="Hiragana"/>
  </si>
  <si>
    <t>カミジョウ　モトキ</t>
    <phoneticPr fontId="110" type="Hiragana"/>
  </si>
  <si>
    <t>ナカヤマ　サクタロウ</t>
    <phoneticPr fontId="110" type="Hiragana"/>
  </si>
  <si>
    <t>エトウ　コウタ</t>
    <phoneticPr fontId="110" type="Hiragana"/>
  </si>
  <si>
    <t>ミヤモト　ヒロム</t>
    <phoneticPr fontId="110" type="Hiragana"/>
  </si>
  <si>
    <t>カイ　ミナト</t>
    <phoneticPr fontId="110" type="Hiragana"/>
  </si>
  <si>
    <t>イワヤ　ソウマ</t>
    <phoneticPr fontId="110" type="Hiragana"/>
  </si>
  <si>
    <t>ヤマサキ　エニシ</t>
    <phoneticPr fontId="110" type="Hiragana"/>
  </si>
  <si>
    <t>イノウエ　シホ</t>
    <phoneticPr fontId="110" type="Hiragana"/>
  </si>
  <si>
    <t>ハタ　ソウタ</t>
    <phoneticPr fontId="110" type="Hiragana"/>
  </si>
  <si>
    <t>ヨシオカ　イオリ</t>
    <phoneticPr fontId="110" type="Hiragana"/>
  </si>
  <si>
    <t>フジノ　イツキ</t>
    <phoneticPr fontId="110" type="Hiragana"/>
  </si>
  <si>
    <t>シュトウ　アツシ</t>
    <phoneticPr fontId="110" type="Hiragana"/>
  </si>
  <si>
    <t>コバヤシ　ゲンキ</t>
    <phoneticPr fontId="110" type="Hiragana"/>
  </si>
  <si>
    <t>ヒラカワ　ツカサ</t>
    <phoneticPr fontId="110" type="Hiragana"/>
  </si>
  <si>
    <t>ナガノ　リムア</t>
    <phoneticPr fontId="110" type="Hiragana"/>
  </si>
  <si>
    <t>ミズクレ　ユイト</t>
    <phoneticPr fontId="110" type="Hiragana"/>
  </si>
  <si>
    <t>ヒガシ　ソラト</t>
    <phoneticPr fontId="110" type="Hiragana"/>
  </si>
  <si>
    <t>コダマ　ケンシン</t>
    <phoneticPr fontId="110" type="Hiragana"/>
  </si>
  <si>
    <t>ヒナゴ　ユイ</t>
    <phoneticPr fontId="110" type="Hiragana"/>
  </si>
  <si>
    <t>マサキ　ハル</t>
    <phoneticPr fontId="110" type="Hiragana"/>
  </si>
  <si>
    <t>アベ　ケイスケ</t>
    <phoneticPr fontId="110" type="Hiragana"/>
  </si>
  <si>
    <t>コヤマ　ガク</t>
    <phoneticPr fontId="110" type="Hiragana"/>
  </si>
  <si>
    <t>オノ　ユイト</t>
    <phoneticPr fontId="110" type="Hiragana"/>
  </si>
  <si>
    <t>スガノ　ハルマ</t>
    <phoneticPr fontId="110" type="Hiragana"/>
  </si>
  <si>
    <t>マスノ　アサヒ</t>
    <phoneticPr fontId="110" type="Hiragana"/>
  </si>
  <si>
    <t>エトウ　ユウタ</t>
    <phoneticPr fontId="110" type="Hiragana"/>
  </si>
  <si>
    <t>ハシモト　リク</t>
    <phoneticPr fontId="110" type="Hiragana"/>
  </si>
  <si>
    <t>シュトウ　レン</t>
    <phoneticPr fontId="110" type="Hiragana"/>
  </si>
  <si>
    <t>オカ　コウキ</t>
    <phoneticPr fontId="110" type="Hiragana"/>
  </si>
  <si>
    <t>ホヅキ　シュンタロウ</t>
    <phoneticPr fontId="110" type="Hiragana"/>
  </si>
  <si>
    <t>ソノダ　ハルト</t>
    <phoneticPr fontId="110" type="Hiragana"/>
  </si>
  <si>
    <t>タグチ　ソウタ</t>
    <phoneticPr fontId="110" type="Hiragana"/>
  </si>
  <si>
    <t>フルショウ　ユウセイ</t>
    <phoneticPr fontId="110" type="Hiragana"/>
  </si>
  <si>
    <t>ミウラ　タケナリ</t>
    <phoneticPr fontId="110" type="Hiragana"/>
  </si>
  <si>
    <t>ヨシモト　コウジ</t>
    <phoneticPr fontId="110" type="Hiragana"/>
  </si>
  <si>
    <t>フルカワ　チハル</t>
    <phoneticPr fontId="110" type="Hiragana"/>
  </si>
  <si>
    <t>ナガトミ　タイラ</t>
    <phoneticPr fontId="110" type="Hiragana"/>
  </si>
  <si>
    <t>タカハシ　モモカ</t>
    <phoneticPr fontId="110" type="Hiragana"/>
  </si>
  <si>
    <t>マツウラ　コウキ</t>
    <phoneticPr fontId="110" type="Hiragana"/>
  </si>
  <si>
    <t>エダ　ハルト</t>
    <phoneticPr fontId="110" type="Hiragana"/>
  </si>
  <si>
    <t>コダマ　アツキ</t>
    <phoneticPr fontId="110" type="Hiragana"/>
  </si>
  <si>
    <t>アイザワ　イツキ</t>
    <phoneticPr fontId="110" type="Hiragana"/>
  </si>
  <si>
    <t>オノ　エイト</t>
    <phoneticPr fontId="110" type="Hiragana"/>
  </si>
  <si>
    <t>カイ　フミヤ</t>
    <phoneticPr fontId="110" type="Hiragana"/>
  </si>
  <si>
    <t>タカハシ　カリン</t>
    <phoneticPr fontId="110" type="Hiragana"/>
  </si>
  <si>
    <t>オノ　ガクト</t>
    <phoneticPr fontId="110" type="Hiragana"/>
  </si>
  <si>
    <t>ミナミ　ソウタ</t>
    <phoneticPr fontId="110" type="Hiragana"/>
  </si>
  <si>
    <t>コクイ　タケル</t>
    <phoneticPr fontId="110" type="Hiragana"/>
  </si>
  <si>
    <t>ワカスギ　エイト</t>
    <phoneticPr fontId="110" type="Hiragana"/>
  </si>
  <si>
    <t>キラ　カイシン</t>
    <phoneticPr fontId="110" type="Hiragana"/>
  </si>
  <si>
    <t>セキ　マサヒロ</t>
    <phoneticPr fontId="110" type="Hiragana"/>
  </si>
  <si>
    <t>カトウ　ハル</t>
    <phoneticPr fontId="110" type="Hiragana"/>
  </si>
  <si>
    <t>コジマ　タツミ</t>
    <phoneticPr fontId="110" type="Hiragana"/>
  </si>
  <si>
    <t>コジマ　トウキ</t>
    <phoneticPr fontId="110" type="Hiragana"/>
  </si>
  <si>
    <t>コジマ　ミオ</t>
    <phoneticPr fontId="110" type="Hiragana"/>
  </si>
  <si>
    <t>イシカワ　フウト</t>
    <phoneticPr fontId="110" type="Hiragana"/>
  </si>
  <si>
    <t>ゴトウ　ユキア</t>
    <phoneticPr fontId="110" type="Hiragana"/>
  </si>
  <si>
    <t>オカミ　タクト</t>
    <phoneticPr fontId="110" type="Hiragana"/>
  </si>
  <si>
    <t>タキモト　シュウヤ</t>
    <phoneticPr fontId="110" type="Hiragana"/>
  </si>
  <si>
    <t>イソガワ　アオイ</t>
    <phoneticPr fontId="110" type="Hiragana"/>
  </si>
  <si>
    <t>イトウ　ルイ</t>
    <phoneticPr fontId="110" type="Hiragana"/>
  </si>
  <si>
    <t>ウエヤマ　クルミ</t>
    <phoneticPr fontId="110" type="Hiragana"/>
  </si>
  <si>
    <t>タカキ　レン</t>
    <phoneticPr fontId="110" type="Hiragana"/>
  </si>
  <si>
    <t>ワタナベ　ショウミ</t>
    <phoneticPr fontId="110" type="Hiragana"/>
  </si>
  <si>
    <t>カゲヤマ　ショウ</t>
    <phoneticPr fontId="110" type="Hiragana"/>
  </si>
  <si>
    <t>キン　ジウ</t>
    <phoneticPr fontId="110" type="Hiragana"/>
  </si>
  <si>
    <t>トダカ　アサヒ</t>
    <phoneticPr fontId="110" type="Hiragana"/>
  </si>
  <si>
    <t>ヤマザキ　ケント</t>
    <phoneticPr fontId="110" type="Hiragana"/>
  </si>
  <si>
    <t>シミズ　ユウリ</t>
    <phoneticPr fontId="110" type="Hiragana"/>
  </si>
  <si>
    <t>イケベ　コウタ</t>
    <phoneticPr fontId="110" type="Hiragana"/>
  </si>
  <si>
    <t>キリムラ　イツキ</t>
    <phoneticPr fontId="110" type="Hiragana"/>
  </si>
  <si>
    <t>オオニシ　ヒナタ</t>
    <phoneticPr fontId="110" type="Hiragana"/>
  </si>
  <si>
    <t>ヨシダ　イブキ</t>
    <phoneticPr fontId="110" type="Hiragana"/>
  </si>
  <si>
    <t>ノナカ　タイガ</t>
    <phoneticPr fontId="110" type="Hiragana"/>
  </si>
  <si>
    <t>ゴトウ　リク</t>
    <phoneticPr fontId="110" type="Hiragana"/>
  </si>
  <si>
    <t>ヤワタ　ショウ</t>
    <phoneticPr fontId="110" type="Hiragana"/>
  </si>
  <si>
    <t>サホ　タイスケ</t>
    <phoneticPr fontId="110" type="Hiragana"/>
  </si>
  <si>
    <t>ミズエ　トモヒサ</t>
    <phoneticPr fontId="110" type="Hiragana"/>
  </si>
  <si>
    <t>ナガノ　ソウ</t>
    <phoneticPr fontId="110" type="Hiragana"/>
  </si>
  <si>
    <t>カタヤマ　エイタ</t>
    <phoneticPr fontId="110" type="Hiragana"/>
  </si>
  <si>
    <t>コガ　ハルマ</t>
    <phoneticPr fontId="110" type="Hiragana"/>
  </si>
  <si>
    <t>ソノダ　ソラ</t>
    <phoneticPr fontId="110" type="Hiragana"/>
  </si>
  <si>
    <t>ソノダ　アオ</t>
    <phoneticPr fontId="110" type="Hiragana"/>
  </si>
  <si>
    <t>アサノ　ナオマサ</t>
    <phoneticPr fontId="110" type="Hiragana"/>
  </si>
  <si>
    <t>ワタナベ　ヤイチロウ</t>
    <phoneticPr fontId="110" type="Hiragana"/>
  </si>
  <si>
    <t>カミ　アイト</t>
    <phoneticPr fontId="110" type="Hiragana"/>
  </si>
  <si>
    <t>イワオ　ショウマ</t>
    <phoneticPr fontId="110" type="Hiragana"/>
  </si>
  <si>
    <t>ヒメノ　ヘイスケ</t>
    <phoneticPr fontId="110" type="Hiragana"/>
  </si>
  <si>
    <t>ヤマムラ　エイト</t>
    <phoneticPr fontId="110" type="Hiragana"/>
  </si>
  <si>
    <t>ヒナゴ　ソウタ</t>
    <phoneticPr fontId="110" type="Hiragana"/>
  </si>
  <si>
    <t>タムラ　ソウスケ</t>
    <phoneticPr fontId="110" type="Hiragana"/>
  </si>
  <si>
    <t>サカモト　トウマ</t>
    <phoneticPr fontId="110" type="Hiragana"/>
  </si>
  <si>
    <t>ゴトウ　ミナト</t>
    <phoneticPr fontId="110" type="Hiragana"/>
  </si>
  <si>
    <t>イトウ　リク</t>
    <phoneticPr fontId="110" type="Hiragana"/>
  </si>
  <si>
    <t>コジマ　ソラ</t>
    <phoneticPr fontId="110" type="Hiragana"/>
  </si>
  <si>
    <t>マエカワ　アサヒ</t>
    <phoneticPr fontId="110" type="Hiragana"/>
  </si>
  <si>
    <t>タカハシ　シュウゴ</t>
    <phoneticPr fontId="110" type="Hiragana"/>
  </si>
  <si>
    <t>モリナガ　エイタ</t>
    <phoneticPr fontId="110" type="Hiragana"/>
  </si>
  <si>
    <t>ウド　ソウシ</t>
    <phoneticPr fontId="110" type="Hiragana"/>
  </si>
  <si>
    <t>ニシダ　コウタ</t>
    <phoneticPr fontId="110" type="Hiragana"/>
  </si>
  <si>
    <t>ミヤガワ　タスク</t>
    <phoneticPr fontId="110" type="Hiragana"/>
  </si>
  <si>
    <t>マツモト　エイト</t>
    <phoneticPr fontId="110" type="Hiragana"/>
  </si>
  <si>
    <t>ゴトウ　コウセイ</t>
    <phoneticPr fontId="110" type="Hiragana"/>
  </si>
  <si>
    <t>ウメキ　イオ</t>
    <phoneticPr fontId="110" type="Hiragana"/>
  </si>
  <si>
    <t>ミズエ　ソウスケ</t>
    <phoneticPr fontId="110" type="Hiragana"/>
  </si>
  <si>
    <t>ヨシミツ　コウ</t>
    <phoneticPr fontId="110" type="Hiragana"/>
  </si>
  <si>
    <t>ソガ　トウマ</t>
    <phoneticPr fontId="110" type="Hiragana"/>
  </si>
  <si>
    <t>タカクラ　タケヒト</t>
    <phoneticPr fontId="110" type="Hiragana"/>
  </si>
  <si>
    <t>カタダ　セイル</t>
    <phoneticPr fontId="110" type="Hiragana"/>
  </si>
  <si>
    <t>アベ　ユウダイ</t>
    <phoneticPr fontId="110" type="Hiragana"/>
  </si>
  <si>
    <t>ヒノ　レント</t>
    <phoneticPr fontId="110" type="Hiragana"/>
  </si>
  <si>
    <t>マツモト　ヨシキ</t>
    <phoneticPr fontId="110" type="Hiragana"/>
  </si>
  <si>
    <t>タカハシ　ヤスヒト</t>
    <phoneticPr fontId="110" type="Hiragana"/>
  </si>
  <si>
    <t>ミウラ　コウキ</t>
    <phoneticPr fontId="110" type="Hiragana"/>
  </si>
  <si>
    <t>ミヤザキ　コウセイ</t>
    <phoneticPr fontId="110" type="Hiragana"/>
  </si>
  <si>
    <t>タカハシ　ヒロト</t>
    <phoneticPr fontId="110" type="Hiragana"/>
  </si>
  <si>
    <t>フクダ　ヨシロウ</t>
    <phoneticPr fontId="110" type="Hiragana"/>
  </si>
  <si>
    <t>イマムラ　ハナ</t>
    <phoneticPr fontId="110" type="Hiragana"/>
  </si>
  <si>
    <t>ヒライ　ミナト</t>
    <phoneticPr fontId="110" type="Hiragana"/>
  </si>
  <si>
    <t>カワノ　ツバサ</t>
    <phoneticPr fontId="110" type="Hiragana"/>
  </si>
  <si>
    <t>ヨシガ　タオ</t>
    <phoneticPr fontId="110" type="Hiragana"/>
  </si>
  <si>
    <t>ウラタ　トウゴ</t>
    <phoneticPr fontId="110" type="Hiragana"/>
  </si>
  <si>
    <t>カイ　タカヒロ</t>
    <phoneticPr fontId="110" type="Hiragana"/>
  </si>
  <si>
    <t>ミナミ　サクタロウ</t>
    <phoneticPr fontId="110" type="Hiragana"/>
  </si>
  <si>
    <t>オガタ　ハルト</t>
    <phoneticPr fontId="110" type="Hiragana"/>
  </si>
  <si>
    <t>フジマル　リョウゴ</t>
    <phoneticPr fontId="110" type="Hiragana"/>
  </si>
  <si>
    <t>イトウ　クラノスケ</t>
    <phoneticPr fontId="110" type="Hiragana"/>
  </si>
  <si>
    <t>モリモト　イツキ</t>
    <phoneticPr fontId="110" type="Hiragana"/>
  </si>
  <si>
    <t>アキズキ　メイ</t>
    <phoneticPr fontId="110" type="Hiragana"/>
  </si>
  <si>
    <t>ミヨシ　ツカサ</t>
    <phoneticPr fontId="110" type="Hiragana"/>
  </si>
  <si>
    <t>オカモト　サクト</t>
    <phoneticPr fontId="110" type="Hiragana"/>
  </si>
  <si>
    <t>ヤノ　ヒロト</t>
    <phoneticPr fontId="110" type="Hiragana"/>
  </si>
  <si>
    <t>ヨシミツ　ソウタ</t>
    <phoneticPr fontId="110" type="Hiragana"/>
  </si>
  <si>
    <t>サトウ　フウタ</t>
    <phoneticPr fontId="110" type="Hiragana"/>
  </si>
  <si>
    <t>シゲタ　ハルヒト</t>
    <phoneticPr fontId="110" type="Hiragana"/>
  </si>
  <si>
    <t>トクマル　カイシュウ</t>
    <phoneticPr fontId="110" type="Hiragana"/>
  </si>
  <si>
    <t>フジカワ　ユウリ</t>
    <phoneticPr fontId="110" type="Hiragana"/>
  </si>
  <si>
    <t>シゲイシ　ユウト</t>
    <phoneticPr fontId="110" type="Hiragana"/>
  </si>
  <si>
    <t>シュレスタ　カルシブ</t>
    <phoneticPr fontId="110" type="Hiragana"/>
  </si>
  <si>
    <t>カクヤ　イツキ</t>
    <phoneticPr fontId="110" type="Hiragana"/>
  </si>
  <si>
    <t>ヤマダ　エイト</t>
    <phoneticPr fontId="110" type="Hiragana"/>
  </si>
  <si>
    <t>サトウ　キラト</t>
    <phoneticPr fontId="110" type="Hiragana"/>
  </si>
  <si>
    <t>ヒエダ　リクト</t>
    <phoneticPr fontId="110" type="Hiragana"/>
  </si>
  <si>
    <t>イケダ　ルイト</t>
    <phoneticPr fontId="110" type="Hiragana"/>
  </si>
  <si>
    <t>イノマタ　ナオ</t>
    <phoneticPr fontId="110" type="Hiragana"/>
  </si>
  <si>
    <t>ヒラノ　セラ</t>
    <phoneticPr fontId="110" type="Hiragana"/>
  </si>
  <si>
    <t>ヤマダ　マサユミ</t>
    <phoneticPr fontId="110" type="Hiragana"/>
  </si>
  <si>
    <t>クドウ　ヒサシ</t>
    <phoneticPr fontId="110" type="Hiragana"/>
  </si>
  <si>
    <t>オワタリ　ユイト</t>
    <phoneticPr fontId="110" type="Hiragana"/>
  </si>
  <si>
    <t>サカモト　ホマレ</t>
    <phoneticPr fontId="110" type="Hiragana"/>
  </si>
  <si>
    <t>イワタ　カナタ</t>
    <phoneticPr fontId="110" type="Hiragana"/>
  </si>
  <si>
    <t>イワモト　ユウキ</t>
    <phoneticPr fontId="110" type="Hiragana"/>
  </si>
  <si>
    <t>カワノ　ハルキ</t>
    <phoneticPr fontId="110" type="Hiragana"/>
  </si>
  <si>
    <t>フジワラ　ユノ</t>
    <phoneticPr fontId="110" type="Hiragana"/>
  </si>
  <si>
    <t>オゼキ　ソウマ</t>
    <phoneticPr fontId="110" type="Hiragana"/>
  </si>
  <si>
    <t>イノウエ　イツキ</t>
    <phoneticPr fontId="110" type="Hiragana"/>
  </si>
  <si>
    <t>アカミネ　メブキ</t>
    <phoneticPr fontId="110" type="Hiragana"/>
  </si>
  <si>
    <t>イシカケ　ミオ</t>
    <phoneticPr fontId="110" type="Hiragana"/>
  </si>
  <si>
    <t>モリタ　アツシ</t>
    <phoneticPr fontId="110" type="Hiragana"/>
  </si>
  <si>
    <t>エトウ　オウカ</t>
    <phoneticPr fontId="110" type="Hiragana"/>
  </si>
  <si>
    <t>ヤマモト　コウタ</t>
    <phoneticPr fontId="110" type="Hiragana"/>
  </si>
  <si>
    <t>シダラ　セナ</t>
    <phoneticPr fontId="110" type="Hiragana"/>
  </si>
  <si>
    <t>カネサキ　ユウシン</t>
    <phoneticPr fontId="110" type="Hiragana"/>
  </si>
  <si>
    <t>カネサキ　ユウマ</t>
    <phoneticPr fontId="110" type="Hiragana"/>
  </si>
  <si>
    <t>マルオ　レン</t>
    <phoneticPr fontId="110" type="Hiragana"/>
  </si>
  <si>
    <t>オオイシ　カイト</t>
    <phoneticPr fontId="110" type="Hiragana"/>
  </si>
  <si>
    <t>ナカタニ　ヒナタ</t>
    <phoneticPr fontId="110" type="Hiragana"/>
  </si>
  <si>
    <t>ヤマダ　マサト</t>
    <phoneticPr fontId="110" type="Hiragana"/>
  </si>
  <si>
    <t>イソガイ　タイセイ</t>
    <phoneticPr fontId="110" type="Hiragana"/>
  </si>
  <si>
    <t>ウエダ　ソウマ</t>
    <phoneticPr fontId="110" type="Hiragana"/>
  </si>
  <si>
    <t>エガミ　アオイ</t>
    <phoneticPr fontId="110" type="Hiragana"/>
  </si>
  <si>
    <t>リョウザン　テルヨシ</t>
    <phoneticPr fontId="110" type="Hiragana"/>
  </si>
  <si>
    <t>ホンダ　ハル</t>
    <phoneticPr fontId="110" type="Hiragana"/>
  </si>
  <si>
    <t>アサリ　カナト</t>
    <phoneticPr fontId="110" type="Hiragana"/>
  </si>
  <si>
    <t>イマニ　ユウヒ</t>
    <phoneticPr fontId="110" type="Hiragana"/>
  </si>
  <si>
    <t>ナカハラ　ケイノスケ</t>
    <phoneticPr fontId="110" type="Hiragana"/>
  </si>
  <si>
    <t>フジイ　ヒロム</t>
    <phoneticPr fontId="110" type="Hiragana"/>
  </si>
  <si>
    <t>スガ　ハルト</t>
    <phoneticPr fontId="110" type="Hiragana"/>
  </si>
  <si>
    <t>イケダ　アラタ</t>
    <phoneticPr fontId="110" type="Hiragana"/>
  </si>
  <si>
    <t>ツダ　ソウア</t>
    <phoneticPr fontId="110" type="Hiragana"/>
  </si>
  <si>
    <t>ソメヤ　ハルマ</t>
    <phoneticPr fontId="110" type="Hiragana"/>
  </si>
  <si>
    <t>タケハラ　ナナミ</t>
    <phoneticPr fontId="110" type="Hiragana"/>
  </si>
  <si>
    <t>イワブチ　シュン</t>
    <phoneticPr fontId="110" type="Hiragana"/>
  </si>
  <si>
    <t>エトウ　チヅル</t>
    <phoneticPr fontId="110" type="Hiragana"/>
  </si>
  <si>
    <t>サシハラ　ユイト</t>
    <phoneticPr fontId="110" type="Hiragana"/>
  </si>
  <si>
    <t>タマダ　イッセイ</t>
    <phoneticPr fontId="110" type="Hiragana"/>
  </si>
  <si>
    <t>ナカ　カノン</t>
    <phoneticPr fontId="110" type="Hiragana"/>
  </si>
  <si>
    <t>タニグチ　カイト</t>
    <phoneticPr fontId="110" type="Hiragana"/>
  </si>
  <si>
    <t>ヒラヤマ　ハルキ</t>
    <phoneticPr fontId="110" type="Hiragana"/>
  </si>
  <si>
    <t>キクチ　ケンスケ</t>
    <phoneticPr fontId="110" type="Hiragana"/>
  </si>
  <si>
    <t>イワサキ　トウリ</t>
    <phoneticPr fontId="110" type="Hiragana"/>
  </si>
  <si>
    <t>ハヤシ　サクト</t>
    <phoneticPr fontId="110" type="Hiragana"/>
  </si>
  <si>
    <t>イノウエ　ニト</t>
    <phoneticPr fontId="110" type="Hiragana"/>
  </si>
  <si>
    <t>ナカノ　エイト</t>
    <phoneticPr fontId="110" type="Hiragana"/>
  </si>
  <si>
    <t>ミヤケ　アレン</t>
    <phoneticPr fontId="110" type="Hiragana"/>
  </si>
  <si>
    <t>ナガタ　リュウト</t>
    <phoneticPr fontId="110" type="Hiragana"/>
  </si>
  <si>
    <t>フジワラ　ハルト</t>
    <phoneticPr fontId="110" type="Hiragana"/>
  </si>
  <si>
    <t>アンドウ　イクト</t>
    <phoneticPr fontId="110" type="Hiragana"/>
  </si>
  <si>
    <t>セキ　トクト</t>
    <phoneticPr fontId="110" type="Hiragana"/>
  </si>
  <si>
    <t>スギタ　カナデ</t>
    <phoneticPr fontId="110" type="Hiragana"/>
  </si>
  <si>
    <t>シイヤマ　ハルト</t>
    <phoneticPr fontId="110" type="Hiragana"/>
  </si>
  <si>
    <t>シュトウ　ユウリ</t>
    <phoneticPr fontId="110" type="Hiragana"/>
  </si>
  <si>
    <t>フルショウ　リキト</t>
    <phoneticPr fontId="110" type="Hiragana"/>
  </si>
  <si>
    <t>キムラ　エイタ</t>
    <phoneticPr fontId="110" type="Hiragana"/>
  </si>
  <si>
    <t>ナガイ　キヨト</t>
    <phoneticPr fontId="110" type="Hiragana"/>
  </si>
  <si>
    <t>トキエダ　ユウ</t>
    <phoneticPr fontId="110" type="Hiragana"/>
  </si>
  <si>
    <t>コバヤシ　カナト</t>
    <phoneticPr fontId="110" type="Hiragana"/>
  </si>
  <si>
    <t>オギノ　タイヨウ</t>
    <phoneticPr fontId="110" type="Hiragana"/>
  </si>
  <si>
    <t>イトウ　アオ</t>
    <phoneticPr fontId="110" type="Hiragana"/>
  </si>
  <si>
    <t>ヤマモト　ソウシ</t>
    <phoneticPr fontId="110" type="Hiragana"/>
  </si>
  <si>
    <t>エラ　ハヤト</t>
    <phoneticPr fontId="110" type="Hiragana"/>
  </si>
  <si>
    <t>オオエ　アンリ</t>
    <phoneticPr fontId="110" type="Hiragana"/>
  </si>
  <si>
    <t>モリ　アイコ</t>
    <phoneticPr fontId="110" type="Hiragana"/>
  </si>
  <si>
    <t>オオツ　リオ</t>
    <phoneticPr fontId="110" type="Hiragana"/>
  </si>
  <si>
    <t>アカミネ　タツノスケ</t>
    <phoneticPr fontId="110" type="Hiragana"/>
  </si>
  <si>
    <t>ヒラマツ　アサヒ</t>
    <phoneticPr fontId="110" type="Hiragana"/>
  </si>
  <si>
    <t>ヒロセ　ハルト</t>
    <phoneticPr fontId="110" type="Hiragana"/>
  </si>
  <si>
    <t>マエダ　ソラト</t>
    <phoneticPr fontId="110" type="Hiragana"/>
  </si>
  <si>
    <t>オバタ　タクミ</t>
    <phoneticPr fontId="110" type="Hiragana"/>
  </si>
  <si>
    <t>コダマ　ナツハ</t>
    <phoneticPr fontId="110" type="Hiragana"/>
  </si>
  <si>
    <t>トミヤマ　アオト</t>
    <phoneticPr fontId="110" type="Hiragana"/>
  </si>
  <si>
    <t>サカモト　シン</t>
    <phoneticPr fontId="110" type="Hiragana"/>
  </si>
  <si>
    <t>スエマツ　カナタ</t>
    <phoneticPr fontId="110" type="Hiragana"/>
  </si>
  <si>
    <t>ヒグチ　タイガ</t>
    <phoneticPr fontId="110" type="Hiragana"/>
  </si>
  <si>
    <t>アキヅキ　ソウタ</t>
    <phoneticPr fontId="110" type="Hiragana"/>
  </si>
  <si>
    <t>キド　シュン</t>
    <phoneticPr fontId="110" type="Hiragana"/>
  </si>
  <si>
    <t>ヒロタ　ケイシ</t>
    <phoneticPr fontId="110" type="Hiragana"/>
  </si>
  <si>
    <t>トサカ　コウタ</t>
    <phoneticPr fontId="110" type="Hiragana"/>
  </si>
  <si>
    <t>オノ　リョウキ</t>
    <phoneticPr fontId="110" type="Hiragana"/>
  </si>
  <si>
    <t>ハラダ　コウセイ</t>
    <phoneticPr fontId="110" type="Hiragana"/>
  </si>
  <si>
    <t>シガ　リヒト</t>
    <phoneticPr fontId="110" type="Hiragana"/>
  </si>
  <si>
    <t>トクナガ　ハルキ</t>
    <phoneticPr fontId="110" type="Hiragana"/>
  </si>
  <si>
    <t>ヤマモト　アキト</t>
    <phoneticPr fontId="110" type="Hiragana"/>
  </si>
  <si>
    <t>ナカハラ　タイヨウ</t>
    <phoneticPr fontId="110" type="Hiragana"/>
  </si>
  <si>
    <t>ヨシオカ　タイセイ</t>
    <phoneticPr fontId="110" type="Hiragana"/>
  </si>
  <si>
    <t>オシタ　ハヤテ</t>
    <phoneticPr fontId="110" type="Hiragana"/>
  </si>
  <si>
    <t>オオタ　イツキ</t>
    <phoneticPr fontId="110" type="Hiragana"/>
  </si>
  <si>
    <t>カワノ　ユヅキ</t>
    <phoneticPr fontId="110" type="Hiragana"/>
  </si>
  <si>
    <t>ツルハラ　キョウスケ</t>
    <phoneticPr fontId="110" type="Hiragana"/>
  </si>
  <si>
    <t>アソウ　ユウタ</t>
    <phoneticPr fontId="110" type="Hiragana"/>
  </si>
  <si>
    <t>オオヤ　ハルト</t>
    <phoneticPr fontId="110" type="Hiragana"/>
  </si>
  <si>
    <t>ゴトウ　フウア</t>
    <phoneticPr fontId="110" type="Hiragana"/>
  </si>
  <si>
    <t>トシネ　コウキ</t>
    <phoneticPr fontId="110" type="Hiragana"/>
  </si>
  <si>
    <t>シュトウ　コウセイ</t>
    <phoneticPr fontId="110" type="Hiragana"/>
  </si>
  <si>
    <t>ウエムラ　ユウダイ</t>
    <phoneticPr fontId="110" type="Hiragana"/>
  </si>
  <si>
    <t>シライシ　ユウスケ</t>
    <phoneticPr fontId="110" type="Hiragana"/>
  </si>
  <si>
    <t>マキ　リチカ</t>
    <phoneticPr fontId="110" type="Hiragana"/>
  </si>
  <si>
    <t>ナガノ　アオイ</t>
    <phoneticPr fontId="110" type="Hiragana"/>
  </si>
  <si>
    <t>ナガノ　トウリ</t>
    <phoneticPr fontId="110" type="Hiragana"/>
  </si>
  <si>
    <t>ホアシ　アサヒ</t>
    <phoneticPr fontId="110" type="Hiragana"/>
  </si>
  <si>
    <t>ヒメノ　ルイク</t>
    <phoneticPr fontId="110" type="Hiragana"/>
  </si>
  <si>
    <t>モロトミ　タクマ</t>
    <phoneticPr fontId="110" type="Hiragana"/>
  </si>
  <si>
    <t>オジロ　イチ</t>
    <phoneticPr fontId="110" type="Hiragana"/>
  </si>
  <si>
    <t>ハナキ　イッシン</t>
    <phoneticPr fontId="110" type="Hiragana"/>
  </si>
  <si>
    <t>ハタナカ　ヒナタ</t>
    <phoneticPr fontId="110" type="Hiragana"/>
  </si>
  <si>
    <t>ツル　カナデ</t>
    <phoneticPr fontId="110" type="Hiragana"/>
  </si>
  <si>
    <t>ナカシマ　サクタ</t>
    <phoneticPr fontId="110" type="Hiragana"/>
  </si>
  <si>
    <t>ナカガミ　ハルキ</t>
    <phoneticPr fontId="110" type="Hiragana"/>
  </si>
  <si>
    <t>アソウ　ミチタ</t>
    <phoneticPr fontId="110" type="Hiragana"/>
  </si>
  <si>
    <t>ヤノ　ユイ</t>
    <phoneticPr fontId="110" type="Hiragana"/>
  </si>
  <si>
    <t>ヒロサキ　キイチ</t>
    <phoneticPr fontId="110" type="Hiragana"/>
  </si>
  <si>
    <t>オガワ　キッペイ</t>
    <phoneticPr fontId="110" type="Hiragana"/>
  </si>
  <si>
    <t>トシミツ　シュリ</t>
    <phoneticPr fontId="110" type="Hiragana"/>
  </si>
  <si>
    <t>イチハラ　ユライ</t>
    <phoneticPr fontId="110" type="Hiragana"/>
  </si>
  <si>
    <t>ニシモト　ユウマ</t>
    <phoneticPr fontId="110" type="Hiragana"/>
  </si>
  <si>
    <t>サクラギ　イチト</t>
    <phoneticPr fontId="110" type="Hiragana"/>
  </si>
  <si>
    <t>ヤノ　アオト</t>
    <phoneticPr fontId="110" type="Hiragana"/>
  </si>
  <si>
    <t>ヨシミツ　ユキ</t>
    <phoneticPr fontId="110" type="Hiragana"/>
  </si>
  <si>
    <t>シオツキ　フウカ</t>
    <phoneticPr fontId="110" type="Hiragana"/>
  </si>
  <si>
    <t>ニシムラ　ソウマ</t>
    <phoneticPr fontId="110" type="Hiragana"/>
  </si>
  <si>
    <t>オノ　コウタ</t>
    <phoneticPr fontId="110" type="Hiragana"/>
  </si>
  <si>
    <t>タカダ　アツト</t>
    <phoneticPr fontId="110" type="Hiragana"/>
  </si>
  <si>
    <t>ナカシマ　カイ</t>
    <phoneticPr fontId="110" type="Hiragana"/>
  </si>
  <si>
    <t>カイ　トキチカ</t>
    <phoneticPr fontId="110" type="Hiragana"/>
  </si>
  <si>
    <t>サトウ　ハヤト</t>
    <phoneticPr fontId="110" type="Hiragana"/>
  </si>
  <si>
    <t>イワタ　タクミ</t>
    <phoneticPr fontId="110" type="Hiragana"/>
  </si>
  <si>
    <t>キタムラ　ソウタ</t>
    <phoneticPr fontId="110" type="Hiragana"/>
  </si>
  <si>
    <t>カワノ　ハルト</t>
    <phoneticPr fontId="110" type="Hiragana"/>
  </si>
  <si>
    <t>イシハラ　ハルマ</t>
    <phoneticPr fontId="110" type="Hiragana"/>
  </si>
  <si>
    <t>オオツ　ユイト</t>
    <phoneticPr fontId="110" type="Hiragana"/>
  </si>
  <si>
    <t>ヤマサキ　ユウト</t>
    <phoneticPr fontId="110" type="Hiragana"/>
  </si>
  <si>
    <t>アベ　コウキ</t>
    <phoneticPr fontId="110" type="Hiragana"/>
  </si>
  <si>
    <t>テラシマ　エイタ</t>
    <phoneticPr fontId="110" type="Hiragana"/>
  </si>
  <si>
    <t>カタギリ　トウハ</t>
    <phoneticPr fontId="110" type="Hiragana"/>
  </si>
  <si>
    <t>タツカワ　ミナ</t>
    <phoneticPr fontId="110" type="Hiragana"/>
  </si>
  <si>
    <t>コウノ　レオ</t>
    <phoneticPr fontId="110" type="Hiragana"/>
  </si>
  <si>
    <t>シュトウ　リュウセイ</t>
    <phoneticPr fontId="110" type="Hiragana"/>
  </si>
  <si>
    <t>チハラ　タクム</t>
    <phoneticPr fontId="110" type="Hiragana"/>
  </si>
  <si>
    <t>サトウ　ソウタ</t>
    <phoneticPr fontId="110" type="Hiragana"/>
  </si>
  <si>
    <t>フクナガ　ソウタロウ</t>
    <phoneticPr fontId="110" type="Hiragana"/>
  </si>
  <si>
    <t>イシカワ　アサヒ</t>
    <phoneticPr fontId="110" type="Hiragana"/>
  </si>
  <si>
    <t>ノダ　イチト</t>
    <phoneticPr fontId="110" type="Hiragana"/>
  </si>
  <si>
    <t>サトウ　タイスケ</t>
    <phoneticPr fontId="110" type="Hiragana"/>
  </si>
  <si>
    <t>カワノ　ルイ</t>
    <phoneticPr fontId="110" type="Hiragana"/>
  </si>
  <si>
    <t>ミシロ　ヨウ</t>
    <phoneticPr fontId="110" type="Hiragana"/>
  </si>
  <si>
    <t>ヒラバル　ケイシン</t>
    <phoneticPr fontId="110" type="Hiragana"/>
  </si>
  <si>
    <t>ヒノ　コウタ</t>
    <phoneticPr fontId="110" type="Hiragana"/>
  </si>
  <si>
    <t>イバ　エイタ</t>
    <phoneticPr fontId="110" type="Hiragana"/>
  </si>
  <si>
    <t>タカノ　タカヒロ</t>
    <phoneticPr fontId="110" type="Hiragana"/>
  </si>
  <si>
    <t>シモゴオリ　ケイマ</t>
    <phoneticPr fontId="110" type="Hiragana"/>
  </si>
  <si>
    <t>コウノ　カズマ</t>
    <phoneticPr fontId="110" type="Hiragana"/>
  </si>
  <si>
    <t>ゴトウ　マサキ</t>
    <phoneticPr fontId="110" type="Hiragana"/>
  </si>
  <si>
    <t>タカミネ　センタロウ</t>
    <phoneticPr fontId="110" type="Hiragana"/>
  </si>
  <si>
    <t>ツジ　アイラ</t>
    <phoneticPr fontId="110" type="Hiragana"/>
  </si>
  <si>
    <t>サトウ　カナム</t>
    <phoneticPr fontId="110" type="Hiragana"/>
  </si>
  <si>
    <t>ソエジマ　ユウセイ</t>
    <phoneticPr fontId="110" type="Hiragana"/>
  </si>
  <si>
    <t>ジンヤ　アオト</t>
    <phoneticPr fontId="110" type="Hiragana"/>
  </si>
  <si>
    <t>ナガノ　ソウマ</t>
    <phoneticPr fontId="110" type="Hiragana"/>
  </si>
  <si>
    <t>ナカシマ　ヒナタ</t>
    <phoneticPr fontId="110" type="Hiragana"/>
  </si>
  <si>
    <t>クマモト　リンドウ</t>
    <phoneticPr fontId="110" type="Hiragana"/>
  </si>
  <si>
    <t>ヤマダ　リオ</t>
    <phoneticPr fontId="110" type="Hiragana"/>
  </si>
  <si>
    <t>フジワラ　モモカ</t>
    <phoneticPr fontId="110" type="Hiragana"/>
  </si>
  <si>
    <t>オガワ　ミナト</t>
    <phoneticPr fontId="110" type="Hiragana"/>
  </si>
  <si>
    <t>タケナカ　カケル</t>
    <phoneticPr fontId="110" type="Hiragana"/>
  </si>
  <si>
    <t>ホリオ　ソウタ</t>
    <phoneticPr fontId="110" type="Hiragana"/>
  </si>
  <si>
    <t>ミヤモト　ユウリ</t>
    <phoneticPr fontId="110" type="Hiragana"/>
  </si>
  <si>
    <t>ヤスナガ　ユウト</t>
    <phoneticPr fontId="110" type="Hiragana"/>
  </si>
  <si>
    <t>ミヤカワ　コウ</t>
    <phoneticPr fontId="110" type="Hiragana"/>
  </si>
  <si>
    <t>タカノ　リキト</t>
    <phoneticPr fontId="110" type="Hiragana"/>
  </si>
  <si>
    <t>コウダ　ユウキ</t>
    <phoneticPr fontId="110" type="Hiragana"/>
  </si>
  <si>
    <t>ナガタ　ソウタ</t>
    <phoneticPr fontId="110" type="Hiragana"/>
  </si>
  <si>
    <t>マツカワ　トウマ</t>
    <phoneticPr fontId="110" type="Hiragana"/>
  </si>
  <si>
    <t>カワノ　リオト</t>
    <phoneticPr fontId="110" type="Hiragana"/>
  </si>
  <si>
    <t>ヨシウミ　トア</t>
    <phoneticPr fontId="110" type="Hiragana"/>
  </si>
  <si>
    <t>ムロ　タカト</t>
    <phoneticPr fontId="110" type="Hiragana"/>
  </si>
  <si>
    <t>イノウエ　エミリ</t>
    <phoneticPr fontId="110" type="Hiragana"/>
  </si>
  <si>
    <t>タケシタ　リンタロウ</t>
    <phoneticPr fontId="110" type="Hiragana"/>
  </si>
  <si>
    <t>ナルセ　イチノスケ</t>
    <phoneticPr fontId="110" type="Hiragana"/>
  </si>
  <si>
    <t>ヒサエダ　ハルカ</t>
    <phoneticPr fontId="110" type="Hiragana"/>
  </si>
  <si>
    <t>シオツキ　マサト</t>
    <phoneticPr fontId="110" type="Hiragana"/>
  </si>
  <si>
    <t>タケオ　ガク</t>
    <phoneticPr fontId="110" type="Hiragana"/>
  </si>
  <si>
    <t>ゴトウ　ミヤビ</t>
    <phoneticPr fontId="110" type="Hiragana"/>
  </si>
  <si>
    <t>イイムラ　リュウガ</t>
    <phoneticPr fontId="110" type="Hiragana"/>
  </si>
  <si>
    <t>ミツナガ　ショウラン</t>
    <phoneticPr fontId="110" type="Hiragana"/>
  </si>
  <si>
    <t>オギノ　カナデ</t>
    <phoneticPr fontId="110" type="Hiragana"/>
  </si>
  <si>
    <t>シキシマ　ホノカ</t>
    <phoneticPr fontId="110" type="Hiragana"/>
  </si>
  <si>
    <t>タカハ　リンイチ</t>
    <phoneticPr fontId="110" type="Hiragana"/>
  </si>
  <si>
    <t>ミヤタニ　リョウヘイ</t>
    <phoneticPr fontId="110" type="Hiragana"/>
  </si>
  <si>
    <t>ヤマモト　ハル</t>
    <phoneticPr fontId="110" type="Hiragana"/>
  </si>
  <si>
    <t>カイ　トモヤ</t>
    <phoneticPr fontId="110" type="Hiragana"/>
  </si>
  <si>
    <t>イトウ　リョウマ</t>
    <phoneticPr fontId="110" type="Hiragana"/>
  </si>
  <si>
    <t>カジワラ　トオマ</t>
    <phoneticPr fontId="110" type="Hiragana"/>
  </si>
  <si>
    <t>クドウ　ジン</t>
    <phoneticPr fontId="110" type="Hiragana"/>
  </si>
  <si>
    <t>クドウ　レン</t>
    <phoneticPr fontId="110" type="Hiragana"/>
  </si>
  <si>
    <t>ヒメノ　コウキ</t>
    <phoneticPr fontId="110" type="Hiragana"/>
  </si>
  <si>
    <t>ヒメノ　ガク</t>
    <phoneticPr fontId="110" type="Hiragana"/>
  </si>
  <si>
    <t>タケグチ　ハヤト</t>
    <phoneticPr fontId="110" type="Hiragana"/>
  </si>
  <si>
    <t>ナカムラ　シオリ</t>
    <phoneticPr fontId="110" type="Hiragana"/>
  </si>
  <si>
    <t>カワノ　コウダイ</t>
    <phoneticPr fontId="110" type="Hiragana"/>
  </si>
  <si>
    <t>カワノ　イクト</t>
    <phoneticPr fontId="110" type="Hiragana"/>
  </si>
  <si>
    <t>エジリ　ヤマト</t>
    <phoneticPr fontId="110" type="Hiragana"/>
  </si>
  <si>
    <t>マツモト　ショウタ</t>
    <phoneticPr fontId="110" type="Hiragana"/>
  </si>
  <si>
    <t>フジタ　ユウト</t>
    <phoneticPr fontId="110" type="Hiragana"/>
  </si>
  <si>
    <t>イチバ　リク</t>
    <phoneticPr fontId="110" type="Hiragana"/>
  </si>
  <si>
    <t>ナカヤ　ユウマ</t>
    <phoneticPr fontId="110" type="Hiragana"/>
  </si>
  <si>
    <t>アベ　タクマ</t>
    <phoneticPr fontId="110" type="Hiragana"/>
  </si>
  <si>
    <t>ハラ　マレト</t>
    <phoneticPr fontId="110" type="Hiragana"/>
  </si>
  <si>
    <t>ウチマル　キョウジロウ</t>
    <phoneticPr fontId="110" type="Hiragana"/>
  </si>
  <si>
    <t>ヒガシ　ルイト</t>
    <phoneticPr fontId="110" type="Hiragana"/>
  </si>
  <si>
    <t>ナカノ　ソウタ</t>
    <phoneticPr fontId="110" type="Hiragana"/>
  </si>
  <si>
    <t>トマリ　ミオ</t>
    <phoneticPr fontId="110" type="Hiragana"/>
  </si>
  <si>
    <t>シュトウ　オウスケ</t>
    <phoneticPr fontId="110" type="Hiragana"/>
  </si>
  <si>
    <t>ナイトウ　チアキ</t>
    <phoneticPr fontId="110" type="Hiragana"/>
  </si>
  <si>
    <t>イケベ　ミナト</t>
    <phoneticPr fontId="110" type="Hiragana"/>
  </si>
  <si>
    <t>イワサキ　フウマ</t>
    <phoneticPr fontId="110" type="Hiragana"/>
  </si>
  <si>
    <t>ツルハラ　チヒロ</t>
    <phoneticPr fontId="110" type="Hiragana"/>
  </si>
  <si>
    <t>ユキヒラ　カイセイ</t>
    <phoneticPr fontId="110" type="Hiragana"/>
  </si>
  <si>
    <t>ナカノ　コウスケ</t>
    <phoneticPr fontId="110" type="Hiragana"/>
  </si>
  <si>
    <t>ゴトウ　トア</t>
    <phoneticPr fontId="110" type="Hiragana"/>
  </si>
  <si>
    <t>シゲトミ　オウスケ</t>
    <phoneticPr fontId="110" type="Hiragana"/>
  </si>
  <si>
    <t>ヨシタケ　シュウト</t>
    <phoneticPr fontId="110" type="Hiragana"/>
  </si>
  <si>
    <t>タケヨシ　ハナカ</t>
    <phoneticPr fontId="110" type="Hiragana"/>
  </si>
  <si>
    <t>サトウ　タツキ</t>
    <phoneticPr fontId="110" type="Hiragana"/>
  </si>
  <si>
    <t>キラ　ユウト</t>
    <phoneticPr fontId="110" type="Hiragana"/>
  </si>
  <si>
    <t>スエマツ　ソウ</t>
    <phoneticPr fontId="110" type="Hiragana"/>
  </si>
  <si>
    <t>シユトウ　アオト</t>
    <phoneticPr fontId="110" type="Hiragana"/>
  </si>
  <si>
    <t>ウエヤマ　ソウタ</t>
    <phoneticPr fontId="110" type="Hiragana"/>
  </si>
  <si>
    <t>アサダ　エイト</t>
    <phoneticPr fontId="110" type="Hiragana"/>
  </si>
  <si>
    <t>ヒョウドウ　マコ</t>
    <phoneticPr fontId="110" type="Hiragana"/>
  </si>
  <si>
    <t>マツウラ　エイト</t>
    <phoneticPr fontId="110" type="Hiragana"/>
  </si>
  <si>
    <t>スギタ　ゼンヨウ</t>
    <phoneticPr fontId="110" type="Hiragana"/>
  </si>
  <si>
    <t>オオクボ　トウリ</t>
    <phoneticPr fontId="110" type="Hiragana"/>
  </si>
  <si>
    <t>サトウ　イブキ</t>
    <phoneticPr fontId="110" type="Hiragana"/>
  </si>
  <si>
    <t>エガワ　ショウタ</t>
    <phoneticPr fontId="110" type="Hiragana"/>
  </si>
  <si>
    <t>タツカワ　ルイ</t>
    <phoneticPr fontId="110" type="Hiragana"/>
  </si>
  <si>
    <t>トミヤマ　エイト</t>
    <phoneticPr fontId="110" type="Hiragana"/>
  </si>
  <si>
    <t>フジイ　マナト</t>
    <phoneticPr fontId="110" type="Hiragana"/>
  </si>
  <si>
    <t>オジロ　ケンジョウ</t>
    <phoneticPr fontId="110" type="Hiragana"/>
  </si>
  <si>
    <t>ウエムラ　ユウセイ</t>
    <phoneticPr fontId="110" type="Hiragana"/>
  </si>
  <si>
    <t>タカハシ　ユイ</t>
    <phoneticPr fontId="110" type="Hiragana"/>
  </si>
  <si>
    <t>カワヅ　ソウマ</t>
    <phoneticPr fontId="110" type="Hiragana"/>
  </si>
  <si>
    <t>ニシヤマ　ケイ</t>
    <phoneticPr fontId="110" type="Hiragana"/>
  </si>
  <si>
    <t>ユキタケ　ヒカル</t>
    <phoneticPr fontId="110" type="Hiragana"/>
  </si>
  <si>
    <t>ナカジマ　ハク</t>
    <phoneticPr fontId="110" type="Hiragana"/>
  </si>
  <si>
    <t>ヤマナカ　リンカ</t>
    <phoneticPr fontId="110" type="Hiragana"/>
  </si>
  <si>
    <t>トオヤマ　ナオト</t>
    <phoneticPr fontId="110" type="Hiragana"/>
  </si>
  <si>
    <t>エド　アキト</t>
    <phoneticPr fontId="110" type="Hiragana"/>
  </si>
  <si>
    <t>カキ　シンバ</t>
    <phoneticPr fontId="110" type="Hiragana"/>
  </si>
  <si>
    <t>ワタナベ　コウ</t>
    <phoneticPr fontId="110" type="Hiragana"/>
  </si>
  <si>
    <t>トミナガ　ソラ</t>
    <phoneticPr fontId="110" type="Hiragana"/>
  </si>
  <si>
    <t>ムナオカ　ヒヨリ</t>
    <phoneticPr fontId="110" type="Hiragana"/>
  </si>
  <si>
    <t>サトウ　ユウスケ</t>
    <phoneticPr fontId="110" type="Hiragana"/>
  </si>
  <si>
    <t>サイトウ　リョウタロウ</t>
    <phoneticPr fontId="110" type="Hiragana"/>
  </si>
  <si>
    <t>ニシ　タツキ</t>
    <phoneticPr fontId="110" type="Hiragana"/>
  </si>
  <si>
    <t>アキヨシ　サクタロウ</t>
    <phoneticPr fontId="110" type="Hiragana"/>
  </si>
  <si>
    <t>ナカガワ　ソウタ</t>
    <phoneticPr fontId="110" type="Hiragana"/>
  </si>
  <si>
    <t>ハダノ　カエデ</t>
    <phoneticPr fontId="110" type="Hiragana"/>
  </si>
  <si>
    <t>マエヤマ　イズキ</t>
    <phoneticPr fontId="110" type="Hiragana"/>
  </si>
  <si>
    <t>ホリ　タイラ</t>
    <phoneticPr fontId="110" type="Hiragana"/>
  </si>
  <si>
    <t>シミズ　ショウジロウ</t>
    <phoneticPr fontId="110" type="Hiragana"/>
  </si>
  <si>
    <t>イシダ　オウタ</t>
    <phoneticPr fontId="110" type="Hiragana"/>
  </si>
  <si>
    <t>オノ　アオバ</t>
    <phoneticPr fontId="110" type="Hiragana"/>
  </si>
  <si>
    <t>クロダ　リュウキ</t>
    <phoneticPr fontId="110" type="Hiragana"/>
  </si>
  <si>
    <t>シイハラ　ハルカ</t>
    <phoneticPr fontId="110" type="Hiragana"/>
  </si>
  <si>
    <t>イバタ　タカト</t>
    <phoneticPr fontId="110" type="Hiragana"/>
  </si>
  <si>
    <t>モリタ　アイト</t>
    <phoneticPr fontId="110" type="Hiragana"/>
  </si>
  <si>
    <t>ムカイ　ランマ</t>
    <phoneticPr fontId="110" type="Hiragana"/>
  </si>
  <si>
    <t>ヒサモチ　カイ</t>
    <phoneticPr fontId="110" type="Hiragana"/>
  </si>
  <si>
    <t>トウモト　ヒナタ</t>
    <phoneticPr fontId="110" type="Hiragana"/>
  </si>
  <si>
    <t>ヤマグチ　リク</t>
    <phoneticPr fontId="110" type="Hiragana"/>
  </si>
  <si>
    <t>オガサワラ　ヤマト</t>
    <phoneticPr fontId="110" type="Hiragana"/>
  </si>
  <si>
    <t>ウツノミヤ　タツヒコ</t>
    <phoneticPr fontId="110" type="Hiragana"/>
  </si>
  <si>
    <t>サトウ　ケイシロウ</t>
    <phoneticPr fontId="110" type="Hiragana"/>
  </si>
  <si>
    <t>ナカジマ　リュウキ</t>
    <phoneticPr fontId="110" type="Hiragana"/>
  </si>
  <si>
    <t>ウツノミヤ　エイト</t>
    <phoneticPr fontId="110" type="Hiragana"/>
  </si>
  <si>
    <t>アソウ　タカヒサ</t>
    <phoneticPr fontId="110" type="Hiragana"/>
  </si>
  <si>
    <t>ヤノ　リクト</t>
    <phoneticPr fontId="110" type="Hiragana"/>
  </si>
  <si>
    <t>オオボシ　ライキ</t>
    <phoneticPr fontId="110" type="Hiragana"/>
  </si>
  <si>
    <t>フジツカ　ヨシト</t>
    <phoneticPr fontId="110" type="Hiragana"/>
  </si>
  <si>
    <t>フジタ　ケイスケ</t>
    <phoneticPr fontId="110" type="Hiragana"/>
  </si>
  <si>
    <t>アンベ　トモアツ</t>
    <phoneticPr fontId="110" type="Hiragana"/>
  </si>
  <si>
    <t>ツダ　ヒマリ</t>
    <phoneticPr fontId="110" type="Hiragana"/>
  </si>
  <si>
    <t>オオクボ　ユラト</t>
    <phoneticPr fontId="110" type="Hiragana"/>
  </si>
  <si>
    <t>タケノシタ　ミナト</t>
    <phoneticPr fontId="110" type="Hiragana"/>
  </si>
  <si>
    <t>ヨコヤマ　ココナ</t>
    <phoneticPr fontId="110" type="Hiragana"/>
  </si>
  <si>
    <t>カワカミ　ユウセイ</t>
    <phoneticPr fontId="110" type="Hiragana"/>
  </si>
  <si>
    <t>テシマ　ソウタ</t>
    <phoneticPr fontId="110" type="Hiragana"/>
  </si>
  <si>
    <t>スガワ　タイヨウ</t>
    <phoneticPr fontId="110" type="Hiragana"/>
  </si>
  <si>
    <t>アベ　アオイ</t>
    <phoneticPr fontId="110" type="Hiragana"/>
  </si>
  <si>
    <t>マツキ　ユウマ</t>
    <phoneticPr fontId="110" type="Hiragana"/>
  </si>
  <si>
    <t>トミタ　リオ</t>
    <phoneticPr fontId="110" type="Hiragana"/>
  </si>
  <si>
    <t>ナカノ　エイゴ</t>
    <phoneticPr fontId="110" type="Hiragana"/>
  </si>
  <si>
    <t>オクシマ　シュウスケ</t>
    <phoneticPr fontId="110" type="Hiragana"/>
  </si>
  <si>
    <t>ミヤモト　ナオヤ</t>
    <phoneticPr fontId="110" type="Hiragana"/>
  </si>
  <si>
    <t>ナナメキ　リョウスケ</t>
    <phoneticPr fontId="110" type="Hiragana"/>
  </si>
  <si>
    <t>ノウガミ　レイジュ</t>
    <phoneticPr fontId="110" type="Hiragana"/>
  </si>
  <si>
    <t>マキノ　マサチカ</t>
    <phoneticPr fontId="110" type="Hiragana"/>
  </si>
  <si>
    <t>エトウ　ギンジ</t>
    <phoneticPr fontId="110" type="Hiragana"/>
  </si>
  <si>
    <t>モロトミ　ユウタ</t>
    <phoneticPr fontId="110" type="Hiragana"/>
  </si>
  <si>
    <t>ミヤワキ　マサヒロ</t>
    <phoneticPr fontId="110" type="Hiragana"/>
  </si>
  <si>
    <t>ハダ　トキヤ</t>
    <phoneticPr fontId="110" type="Hiragana"/>
  </si>
  <si>
    <t>ツツイ　エイト</t>
    <phoneticPr fontId="110" type="Hiragana"/>
  </si>
  <si>
    <t>シングウ　ツバサ</t>
    <phoneticPr fontId="110" type="Hiragana"/>
  </si>
  <si>
    <t>ハシモト　シュンヤ</t>
    <phoneticPr fontId="110" type="Hiragana"/>
  </si>
  <si>
    <t>イシダ　セナ</t>
    <phoneticPr fontId="110" type="Hiragana"/>
  </si>
  <si>
    <t>ミヤザキ　ユイト</t>
    <phoneticPr fontId="110" type="Hiragana"/>
  </si>
  <si>
    <t>クリハラ　ユウキ</t>
    <phoneticPr fontId="110" type="Hiragana"/>
  </si>
  <si>
    <t>ヒグチ　ケイ</t>
    <phoneticPr fontId="110" type="Hiragana"/>
  </si>
  <si>
    <t>ヨシタケ　エイタロウ</t>
    <phoneticPr fontId="110" type="Hiragana"/>
  </si>
  <si>
    <t>マツモト　ユノ</t>
    <phoneticPr fontId="110" type="Hiragana"/>
  </si>
  <si>
    <t>カワセ　カエデ</t>
    <phoneticPr fontId="110" type="Hiragana"/>
  </si>
  <si>
    <t>テシマ　ソウスケ</t>
    <phoneticPr fontId="110" type="Hiragana"/>
  </si>
  <si>
    <t>コジマ　リョウタ</t>
    <phoneticPr fontId="110" type="Hiragana"/>
  </si>
  <si>
    <t>キッカワ　リョウト</t>
    <phoneticPr fontId="110" type="Hiragana"/>
  </si>
  <si>
    <t>シモヤマ　コウマ</t>
    <phoneticPr fontId="110" type="Hiragana"/>
  </si>
  <si>
    <t>ヤナイ　ユウト</t>
    <phoneticPr fontId="110" type="Hiragana"/>
  </si>
  <si>
    <t>カヤシマ　アラタ</t>
    <phoneticPr fontId="110" type="Hiragana"/>
  </si>
  <si>
    <t>マスダ　ヤマト</t>
    <phoneticPr fontId="110" type="Hiragana"/>
  </si>
  <si>
    <t>サンノミヤ　シュウマ</t>
    <phoneticPr fontId="110" type="Hiragana"/>
  </si>
  <si>
    <t>カワノ　ユウト</t>
    <phoneticPr fontId="110" type="Hiragana"/>
  </si>
  <si>
    <t>アダチ　エイタ</t>
    <phoneticPr fontId="110" type="Hiragana"/>
  </si>
  <si>
    <t>ユキ　アオイ</t>
    <phoneticPr fontId="110" type="Hiragana"/>
  </si>
  <si>
    <t>サカモト　エイト</t>
    <phoneticPr fontId="110" type="Hiragana"/>
  </si>
  <si>
    <t>エトウ　ショウイ</t>
    <phoneticPr fontId="110" type="Hiragana"/>
  </si>
  <si>
    <t>ヤハタ　ハルキ</t>
    <phoneticPr fontId="110" type="Hiragana"/>
  </si>
  <si>
    <t>ミウラ　タイセイ</t>
    <phoneticPr fontId="110" type="Hiragana"/>
  </si>
  <si>
    <t>タナベ　ハジメ</t>
    <phoneticPr fontId="110" type="Hiragana"/>
  </si>
  <si>
    <t>トミタ　ショウマ</t>
    <phoneticPr fontId="110" type="Hiragana"/>
  </si>
  <si>
    <t>シラカワ　アオイ</t>
    <phoneticPr fontId="110" type="Hiragana"/>
  </si>
  <si>
    <t>イワタ　セイタロウ</t>
    <phoneticPr fontId="110" type="Hiragana"/>
  </si>
  <si>
    <t>ニイナ　アサヒ</t>
    <phoneticPr fontId="110" type="Hiragana"/>
  </si>
  <si>
    <t>ウエノ　アラタ</t>
    <phoneticPr fontId="110" type="Hiragana"/>
  </si>
  <si>
    <t>ゴトウ　サクト</t>
    <phoneticPr fontId="110" type="Hiragana"/>
  </si>
  <si>
    <t>サトウ　アオバ</t>
    <phoneticPr fontId="110" type="Hiragana"/>
  </si>
  <si>
    <t>シュトウ　ユタカ</t>
    <phoneticPr fontId="110" type="Hiragana"/>
  </si>
  <si>
    <t>ワカバヤシ　カイセイ</t>
    <phoneticPr fontId="110" type="Hiragana"/>
  </si>
  <si>
    <t>タカハシ　コウガ</t>
    <phoneticPr fontId="110" type="Hiragana"/>
  </si>
  <si>
    <t>サトウ　アユム</t>
    <phoneticPr fontId="110" type="Hiragana"/>
  </si>
  <si>
    <t>ナガマツ　ハルヤス</t>
    <phoneticPr fontId="110" type="Hiragana"/>
  </si>
  <si>
    <t>タグチ　マキト</t>
    <phoneticPr fontId="110" type="Hiragana"/>
  </si>
  <si>
    <t>カワグチ　ダイチ</t>
    <phoneticPr fontId="110" type="Hiragana"/>
  </si>
  <si>
    <t>カイ　キッカ</t>
    <phoneticPr fontId="110" type="Hiragana"/>
  </si>
  <si>
    <t>ミエダ　ユヅキ</t>
    <phoneticPr fontId="110" type="Hiragana"/>
  </si>
  <si>
    <t>シゲタ　ライト</t>
    <phoneticPr fontId="110" type="Hiragana"/>
  </si>
  <si>
    <t>カイ　レナ</t>
    <phoneticPr fontId="110" type="Hiragana"/>
  </si>
  <si>
    <t>ハナキ　ゲンタ</t>
    <phoneticPr fontId="110" type="Hiragana"/>
  </si>
  <si>
    <t>イシダ　コウタ</t>
    <phoneticPr fontId="110" type="Hiragana"/>
  </si>
  <si>
    <t>ナガオ　ソウゴ</t>
    <phoneticPr fontId="110" type="Hiragana"/>
  </si>
  <si>
    <t>アナイ　イブキ</t>
    <phoneticPr fontId="110" type="Hiragana"/>
  </si>
  <si>
    <t>マツシタ　コウセイ</t>
    <phoneticPr fontId="110" type="Hiragana"/>
  </si>
  <si>
    <t>ハダノ　ソウ</t>
    <phoneticPr fontId="110" type="Hiragana"/>
  </si>
  <si>
    <t>ワタナベ　ソラ</t>
    <phoneticPr fontId="110" type="Hiragana"/>
  </si>
  <si>
    <t>スギサキ　リュウセイ</t>
    <phoneticPr fontId="110" type="Hiragana"/>
  </si>
  <si>
    <t>ミヤゾノ　オウスケ</t>
    <phoneticPr fontId="110" type="Hiragana"/>
  </si>
  <si>
    <t>シマダ　ガク</t>
    <phoneticPr fontId="110" type="Hiragana"/>
  </si>
  <si>
    <t>ゴシマ　リツキ</t>
    <phoneticPr fontId="110" type="Hiragana"/>
  </si>
  <si>
    <t>チカヒロ　ダイキ</t>
    <phoneticPr fontId="110" type="Hiragana"/>
  </si>
  <si>
    <t>ナカタニ　アイト</t>
    <phoneticPr fontId="110" type="Hiragana"/>
  </si>
  <si>
    <t>アベ　アキト</t>
    <phoneticPr fontId="110" type="Hiragana"/>
  </si>
  <si>
    <t>アベ　ヒビト</t>
    <phoneticPr fontId="110" type="Hiragana"/>
  </si>
  <si>
    <t>ヒロセ　メイ</t>
    <phoneticPr fontId="110" type="Hiragana"/>
  </si>
  <si>
    <t>カサムラ　トモキ</t>
    <phoneticPr fontId="110" type="Hiragana"/>
  </si>
  <si>
    <t>サカモト　ショウマ</t>
    <phoneticPr fontId="110" type="Hiragana"/>
  </si>
  <si>
    <t>ホリ　ケイセイ</t>
    <phoneticPr fontId="110" type="Hiragana"/>
  </si>
  <si>
    <t>ソノダ　ヒロト</t>
    <phoneticPr fontId="110" type="Hiragana"/>
  </si>
  <si>
    <t>ソノダ　ミコト</t>
    <phoneticPr fontId="110" type="Hiragana"/>
  </si>
  <si>
    <t>アベ　カズヨシ</t>
    <phoneticPr fontId="110" type="Hiragana"/>
  </si>
  <si>
    <t>トベ　アオイ</t>
    <phoneticPr fontId="110" type="Hiragana"/>
  </si>
  <si>
    <t>クワハラ　イッキ</t>
    <phoneticPr fontId="110" type="Hiragana"/>
  </si>
  <si>
    <t>タカクラ　オウノスケ</t>
    <phoneticPr fontId="110" type="Hiragana"/>
  </si>
  <si>
    <t>オオエ　ナナミ</t>
    <phoneticPr fontId="110" type="Hiragana"/>
  </si>
  <si>
    <t>サカイ　シュウエイ</t>
    <phoneticPr fontId="110" type="Hiragana"/>
  </si>
  <si>
    <t>ウルマ　トア</t>
    <phoneticPr fontId="110" type="Hiragana"/>
  </si>
  <si>
    <t>ヤマモト　カナデ</t>
    <phoneticPr fontId="110" type="Hiragana"/>
  </si>
  <si>
    <t>キクチ　シンゴ</t>
    <phoneticPr fontId="110" type="Hiragana"/>
  </si>
  <si>
    <t>ヤマムラ　アキト</t>
    <phoneticPr fontId="110" type="Hiragana"/>
  </si>
  <si>
    <t>ナカシマ　タオ</t>
    <phoneticPr fontId="110" type="Hiragana"/>
  </si>
  <si>
    <t>スギヤマ　ルイ</t>
    <phoneticPr fontId="110" type="Hiragana"/>
  </si>
  <si>
    <t>ノダ　ヤスジロウ</t>
    <phoneticPr fontId="110" type="Hiragana"/>
  </si>
  <si>
    <t>ニシノ　タイスケ</t>
    <phoneticPr fontId="110" type="Hiragana"/>
  </si>
  <si>
    <t>イハラ　アレン</t>
    <phoneticPr fontId="110" type="Hiragana"/>
  </si>
  <si>
    <t>ユキナガ　アツト</t>
    <phoneticPr fontId="110" type="Hiragana"/>
  </si>
  <si>
    <t>ニシムラ　リク</t>
    <phoneticPr fontId="110" type="Hiragana"/>
  </si>
  <si>
    <t>ダンヅカ　ワタル</t>
    <phoneticPr fontId="110" type="Hiragana"/>
  </si>
  <si>
    <t>ナカムラ　ソウイチロウ</t>
    <phoneticPr fontId="110" type="Hiragana"/>
  </si>
  <si>
    <t>クドウ　アマト</t>
    <phoneticPr fontId="110" type="Hiragana"/>
  </si>
  <si>
    <t>アダニヤ　シュウ</t>
    <phoneticPr fontId="110" type="Hiragana"/>
  </si>
  <si>
    <t>アナイ　アキトシ</t>
    <phoneticPr fontId="110" type="Hiragana"/>
  </si>
  <si>
    <t>ハヤシ　リキト</t>
    <phoneticPr fontId="110" type="Hiragana"/>
  </si>
  <si>
    <t>カネコ　ゴウタ</t>
    <phoneticPr fontId="110" type="Hiragana"/>
  </si>
  <si>
    <t>カスタニ　リンタロウ</t>
    <phoneticPr fontId="110" type="Hiragana"/>
  </si>
  <si>
    <t>ハヤシ　コウキ</t>
    <phoneticPr fontId="110" type="Hiragana"/>
  </si>
  <si>
    <t>アベ　タイセイ</t>
    <phoneticPr fontId="110" type="Hiragana"/>
  </si>
  <si>
    <t>ナカムラ　ソウタ</t>
    <phoneticPr fontId="110" type="Hiragana"/>
  </si>
  <si>
    <t>ツネヒロ　カナル</t>
    <phoneticPr fontId="110" type="Hiragana"/>
  </si>
  <si>
    <t>ナカシマ　リン</t>
    <phoneticPr fontId="110" type="Hiragana"/>
  </si>
  <si>
    <t>ゴトウ　ユウタロウ</t>
    <phoneticPr fontId="110" type="Hiragana"/>
  </si>
  <si>
    <t>ウマコシ　ワタル</t>
    <phoneticPr fontId="110" type="Hiragana"/>
  </si>
  <si>
    <t>イガウエ　リョウタ</t>
    <phoneticPr fontId="110" type="Hiragana"/>
  </si>
  <si>
    <t>カナイ　ケイスケ</t>
    <phoneticPr fontId="110" type="Hiragana"/>
  </si>
  <si>
    <t>ドウジョウ　ハルト</t>
    <phoneticPr fontId="110" type="Hiragana"/>
  </si>
  <si>
    <t>オオツカ　アン</t>
    <phoneticPr fontId="110" type="Hiragana"/>
  </si>
  <si>
    <t>マキ　カナト</t>
    <phoneticPr fontId="110" type="Hiragana"/>
  </si>
  <si>
    <t>タナカ　ユウシン</t>
    <phoneticPr fontId="110" type="Hiragana"/>
  </si>
  <si>
    <t>ノガミ　カンタ</t>
    <phoneticPr fontId="110" type="Hiragana"/>
  </si>
  <si>
    <t>イトウ　トア</t>
    <phoneticPr fontId="110" type="Hiragana"/>
  </si>
  <si>
    <t>シライ　ミナト</t>
    <phoneticPr fontId="110" type="Hiragana"/>
  </si>
  <si>
    <t>フジイ　サクタロウ</t>
    <phoneticPr fontId="110" type="Hiragana"/>
  </si>
  <si>
    <t>ヒロセ　ソラ</t>
    <phoneticPr fontId="110" type="Hiragana"/>
  </si>
  <si>
    <t>ウツノミヤ　セナ</t>
    <phoneticPr fontId="110" type="Hiragana"/>
  </si>
  <si>
    <t>オノ　ワクト</t>
    <phoneticPr fontId="110" type="Hiragana"/>
  </si>
  <si>
    <t>クドウ　タイガ</t>
    <phoneticPr fontId="110" type="Hiragana"/>
  </si>
  <si>
    <t>イイクラ　リュウト</t>
    <phoneticPr fontId="110" type="Hiragana"/>
  </si>
  <si>
    <t>マツバラ　アキ</t>
    <phoneticPr fontId="110" type="Hiragana"/>
  </si>
  <si>
    <t>アダチ　キョウシロウ</t>
    <phoneticPr fontId="110" type="Hiragana"/>
  </si>
  <si>
    <t>タニグチ　リクト</t>
    <phoneticPr fontId="110" type="Hiragana"/>
  </si>
  <si>
    <t>ナカムラ　ゲン</t>
    <phoneticPr fontId="110" type="Hiragana"/>
  </si>
  <si>
    <t>サトウ　フウト</t>
    <phoneticPr fontId="110" type="Hiragana"/>
  </si>
  <si>
    <t>コンドウ　キョウゴ</t>
    <phoneticPr fontId="110" type="Hiragana"/>
  </si>
  <si>
    <t>シロミズ　ソラ</t>
    <phoneticPr fontId="110" type="Hiragana"/>
  </si>
  <si>
    <t>オクモト　ケンシン</t>
    <phoneticPr fontId="110" type="Hiragana"/>
  </si>
  <si>
    <t>アラタ　ユウタ</t>
    <phoneticPr fontId="110" type="Hiragana"/>
  </si>
  <si>
    <t>ハヤシ　カイト</t>
    <phoneticPr fontId="110" type="Hiragana"/>
  </si>
  <si>
    <t>ホリ　ヒロト</t>
    <phoneticPr fontId="110" type="Hiragana"/>
  </si>
  <si>
    <t>オノ　ヒナ</t>
    <phoneticPr fontId="110" type="Hiragana"/>
  </si>
  <si>
    <t>オノ　ユメ</t>
    <phoneticPr fontId="110" type="Hiragana"/>
  </si>
  <si>
    <t>シブタ　コウ</t>
    <phoneticPr fontId="110" type="Hiragana"/>
  </si>
  <si>
    <t>マツダ　ゲン</t>
    <phoneticPr fontId="110" type="Hiragana"/>
  </si>
  <si>
    <t>ナガセ　ハルヒサ</t>
    <phoneticPr fontId="110" type="Hiragana"/>
  </si>
  <si>
    <t>アソウ　シオン</t>
    <phoneticPr fontId="110" type="Hiragana"/>
  </si>
  <si>
    <t>ノジリ　リクヤ</t>
    <phoneticPr fontId="110" type="Hiragana"/>
  </si>
  <si>
    <t>ナカノ　コウシ</t>
    <phoneticPr fontId="110" type="Hiragana"/>
  </si>
  <si>
    <t>ワダ　ハルタ</t>
    <phoneticPr fontId="110" type="Hiragana"/>
  </si>
  <si>
    <t>イナバ　カズマ</t>
    <phoneticPr fontId="110" type="Hiragana"/>
  </si>
  <si>
    <t>エトウ　ダイナ</t>
    <phoneticPr fontId="110" type="Hiragana"/>
  </si>
  <si>
    <t>カワムラ　レオ</t>
    <phoneticPr fontId="110" type="Hiragana"/>
  </si>
  <si>
    <t>クボ　ヒロト</t>
    <phoneticPr fontId="110" type="Hiragana"/>
  </si>
  <si>
    <t>タカジ　ナオキ</t>
    <phoneticPr fontId="110" type="Hiragana"/>
  </si>
  <si>
    <t>イワオ　リク</t>
    <phoneticPr fontId="110" type="Hiragana"/>
  </si>
  <si>
    <t>シュトウ　タクヤ</t>
    <phoneticPr fontId="110" type="Hiragana"/>
  </si>
  <si>
    <t>ミヤザキ　コウダイ</t>
    <phoneticPr fontId="110" type="Hiragana"/>
  </si>
  <si>
    <t>トオヤ　ハヤト</t>
    <phoneticPr fontId="110" type="Hiragana"/>
  </si>
  <si>
    <t>ハマダ　ハルマ</t>
    <phoneticPr fontId="110" type="Hiragana"/>
  </si>
  <si>
    <t>アベ　ケイゴ</t>
    <phoneticPr fontId="110" type="Hiragana"/>
  </si>
  <si>
    <t>クワハラ　ヒビト</t>
    <phoneticPr fontId="110" type="Hiragana"/>
  </si>
  <si>
    <t>アオキ　ネネ</t>
    <phoneticPr fontId="110" type="Hiragana"/>
  </si>
  <si>
    <t>シガ　ハルト</t>
    <phoneticPr fontId="110" type="Hiragana"/>
  </si>
  <si>
    <t>ヤマシタ　アサヒ</t>
    <phoneticPr fontId="110" type="Hiragana"/>
  </si>
  <si>
    <t>ナカムラ　ソウシ</t>
    <phoneticPr fontId="110" type="Hiragana"/>
  </si>
  <si>
    <t>タケダ　イツキ</t>
    <phoneticPr fontId="110" type="Hiragana"/>
  </si>
  <si>
    <t>イシダ　オウスケ</t>
    <phoneticPr fontId="110" type="Hiragana"/>
  </si>
  <si>
    <t>イトウ　フェイラン</t>
    <phoneticPr fontId="110" type="Hiragana"/>
  </si>
  <si>
    <t>タカサキ　ハヤト</t>
    <phoneticPr fontId="110" type="Hiragana"/>
  </si>
  <si>
    <t>ウメキ　ショウヨウ</t>
    <phoneticPr fontId="110" type="Hiragana"/>
  </si>
  <si>
    <t>コバヤシ　コウキ</t>
    <phoneticPr fontId="110" type="Hiragana"/>
  </si>
  <si>
    <t>ウエキ　ヒロト</t>
    <phoneticPr fontId="110" type="Hiragana"/>
  </si>
  <si>
    <t>オノ　ミコノ</t>
    <phoneticPr fontId="110" type="Hiragana"/>
  </si>
  <si>
    <t>オオハラ　サクト</t>
    <phoneticPr fontId="110" type="Hiragana"/>
  </si>
  <si>
    <t>ゴトウ　ユキヤ</t>
    <phoneticPr fontId="110" type="Hiragana"/>
  </si>
  <si>
    <t>アナン　ハルト</t>
    <phoneticPr fontId="110" type="Hiragana"/>
  </si>
  <si>
    <t>フクダ　タイシ</t>
    <phoneticPr fontId="110" type="Hiragana"/>
  </si>
  <si>
    <t>ササキ　ハルタカ</t>
    <phoneticPr fontId="110" type="Hiragana"/>
  </si>
  <si>
    <t>ワタナベ　リコ</t>
    <phoneticPr fontId="110" type="Hiragana"/>
  </si>
  <si>
    <t>アソウ　コウタ</t>
    <phoneticPr fontId="110" type="Hiragana"/>
  </si>
  <si>
    <t>ムラナカ　ハルト</t>
    <phoneticPr fontId="110" type="Hiragana"/>
  </si>
  <si>
    <t>ハシモト　ラブ</t>
    <phoneticPr fontId="110" type="Hiragana"/>
  </si>
  <si>
    <t>ヒロセ　トウマ</t>
    <phoneticPr fontId="110" type="Hiragana"/>
  </si>
  <si>
    <t>サカタ　ユズハ</t>
    <phoneticPr fontId="110" type="Hiragana"/>
  </si>
  <si>
    <t>イノクチ　ハルキ</t>
    <phoneticPr fontId="110" type="Hiragana"/>
  </si>
  <si>
    <t>スズキ　ミナト</t>
    <phoneticPr fontId="110" type="Hiragana"/>
  </si>
  <si>
    <t>モウリ　ソウタ</t>
    <phoneticPr fontId="110" type="Hiragana"/>
  </si>
  <si>
    <t>ハダノ　イツキ</t>
    <phoneticPr fontId="110" type="Hiragana"/>
  </si>
  <si>
    <t>ワタナベ　ユウヒ</t>
    <phoneticPr fontId="110" type="Hiragana"/>
  </si>
  <si>
    <t>タテ　エイト</t>
    <phoneticPr fontId="110" type="Hiragana"/>
  </si>
  <si>
    <t>カワノ　フクタ</t>
    <phoneticPr fontId="110" type="Hiragana"/>
  </si>
  <si>
    <t>ナカニシ　エイタロウ</t>
    <phoneticPr fontId="110" type="Hiragana"/>
  </si>
  <si>
    <t>ゴウジ　ジョウタロウ</t>
    <phoneticPr fontId="110" type="Hiragana"/>
  </si>
  <si>
    <t>アヤベ　リク</t>
    <phoneticPr fontId="110" type="Hiragana"/>
  </si>
  <si>
    <t>タカクラ　ヨシト</t>
    <phoneticPr fontId="110" type="Hiragana"/>
  </si>
  <si>
    <t>フクミツ　ハルマ</t>
    <phoneticPr fontId="110" type="Hiragana"/>
  </si>
  <si>
    <t>トウドウ　シュウジ</t>
    <phoneticPr fontId="110" type="Hiragana"/>
  </si>
  <si>
    <t>アベ　リョウヘイ</t>
    <phoneticPr fontId="110" type="Hiragana"/>
  </si>
  <si>
    <t>タカハシ　ケイジ</t>
    <phoneticPr fontId="110" type="Hiragana"/>
  </si>
  <si>
    <t>イチハラ　レオ</t>
    <phoneticPr fontId="110" type="Hiragana"/>
  </si>
  <si>
    <t>アイベ　ミナト</t>
    <phoneticPr fontId="110" type="Hiragana"/>
  </si>
  <si>
    <t>タカナミ　リュウタロウ</t>
    <phoneticPr fontId="110" type="Hiragana"/>
  </si>
  <si>
    <t>ハシイ　ソラ</t>
    <phoneticPr fontId="110" type="Hiragana"/>
  </si>
  <si>
    <t>シバセキ　イッシン</t>
    <phoneticPr fontId="110" type="Hiragana"/>
  </si>
  <si>
    <t>ナカオ　ヒナタ</t>
    <phoneticPr fontId="110" type="Hiragana"/>
  </si>
  <si>
    <t>ウエダ　ハルト</t>
    <phoneticPr fontId="110" type="Hiragana"/>
  </si>
  <si>
    <t>タカハシ　イッシン</t>
    <phoneticPr fontId="110" type="Hiragana"/>
  </si>
  <si>
    <t>ゴトウ　アオト</t>
    <phoneticPr fontId="110" type="Hiragana"/>
  </si>
  <si>
    <t>ハセベ　リョウヘイ</t>
    <phoneticPr fontId="110" type="Hiragana"/>
  </si>
  <si>
    <t>ニシモト　シュンタ</t>
    <phoneticPr fontId="110" type="Hiragana"/>
  </si>
  <si>
    <t>ムチマ　ソウタ</t>
    <phoneticPr fontId="110" type="Hiragana"/>
  </si>
  <si>
    <t>ゴトウ　ハル</t>
    <phoneticPr fontId="110" type="Hiragana"/>
  </si>
  <si>
    <t>シュトウ　ワタル</t>
    <phoneticPr fontId="110" type="Hiragana"/>
  </si>
  <si>
    <t>ヒロセ　ツムギ</t>
    <phoneticPr fontId="110" type="Hiragana"/>
  </si>
  <si>
    <t>ドウジョウ　アカリ</t>
    <phoneticPr fontId="110" type="Hiragana"/>
  </si>
  <si>
    <t>サトウ　ミハヤ</t>
    <phoneticPr fontId="110" type="Hiragana"/>
  </si>
  <si>
    <t>オバタ　エイト</t>
    <phoneticPr fontId="110" type="Hiragana"/>
  </si>
  <si>
    <t>ヒロハタ　イツキ</t>
    <phoneticPr fontId="110" type="Hiragana"/>
  </si>
  <si>
    <t>シマムラ　トワ</t>
    <phoneticPr fontId="110" type="Hiragana"/>
  </si>
  <si>
    <t>フカタ　コウ</t>
    <phoneticPr fontId="110" type="Hiragana"/>
  </si>
  <si>
    <t>イソベ　ハル</t>
    <phoneticPr fontId="110" type="Hiragana"/>
  </si>
  <si>
    <t>オカ　アオイ</t>
    <phoneticPr fontId="110" type="Hiragana"/>
  </si>
  <si>
    <t>イワオ　ナオキ</t>
    <phoneticPr fontId="110" type="Hiragana"/>
  </si>
  <si>
    <t>フジワラ　アオシ</t>
    <phoneticPr fontId="110" type="Hiragana"/>
  </si>
  <si>
    <t>ヤツナミ　コハク</t>
    <phoneticPr fontId="110" type="Hiragana"/>
  </si>
  <si>
    <t>オシダ　スバル</t>
    <phoneticPr fontId="110" type="Hiragana"/>
  </si>
  <si>
    <t>オカザキ　セイゴ</t>
    <phoneticPr fontId="110" type="Hiragana"/>
  </si>
  <si>
    <t>カシマ　ヌイ</t>
    <phoneticPr fontId="110" type="Hiragana"/>
  </si>
  <si>
    <t>ヒロセ　コウ</t>
    <phoneticPr fontId="110" type="Hiragana"/>
  </si>
  <si>
    <t>カワイ　ヒナタ</t>
    <phoneticPr fontId="110" type="Hiragana"/>
  </si>
  <si>
    <t>コジマ　ハルキ</t>
    <phoneticPr fontId="110" type="Hiragana"/>
  </si>
  <si>
    <t>トモマツ　シュン</t>
    <phoneticPr fontId="110" type="Hiragana"/>
  </si>
  <si>
    <t>ゴウシ　ケント</t>
    <phoneticPr fontId="110" type="Hiragana"/>
  </si>
  <si>
    <t>スガ　リョウタ</t>
    <phoneticPr fontId="110" type="Hiragana"/>
  </si>
  <si>
    <t>ヨシダ　コウキ</t>
    <phoneticPr fontId="110" type="Hiragana"/>
  </si>
  <si>
    <t>タカマツ　ゲンノスケ</t>
    <phoneticPr fontId="110" type="Hiragana"/>
  </si>
  <si>
    <t>ワタナベ　エリカ</t>
    <phoneticPr fontId="110" type="Hiragana"/>
  </si>
  <si>
    <t>クロダ　タイヨウ</t>
    <phoneticPr fontId="110" type="Hiragana"/>
  </si>
  <si>
    <t>オノ　タケル</t>
    <phoneticPr fontId="110" type="Hiragana"/>
  </si>
  <si>
    <t>サカイ　オウガ</t>
    <phoneticPr fontId="110" type="Hiragana"/>
  </si>
  <si>
    <t>アカミネ　ショウ</t>
    <phoneticPr fontId="110" type="Hiragana"/>
  </si>
  <si>
    <t>フルショウ　ヒナタ</t>
    <phoneticPr fontId="110" type="Hiragana"/>
  </si>
  <si>
    <t>イソガワ　サク</t>
    <phoneticPr fontId="110" type="Hiragana"/>
  </si>
  <si>
    <t>イトウ　ユウマ</t>
    <phoneticPr fontId="110" type="Hiragana"/>
  </si>
  <si>
    <t>カワソコ　レオ</t>
    <phoneticPr fontId="110" type="Hiragana"/>
  </si>
  <si>
    <t>アベ　ユウノスケ</t>
    <phoneticPr fontId="110" type="Hiragana"/>
  </si>
  <si>
    <t>モリグチ　カイ</t>
    <phoneticPr fontId="110" type="Hiragana"/>
  </si>
  <si>
    <t>クラマシ　アツキ</t>
    <phoneticPr fontId="110" type="Hiragana"/>
  </si>
  <si>
    <t>イナヅキ　セイタ</t>
    <phoneticPr fontId="110" type="Hiragana"/>
  </si>
  <si>
    <t>ウエダ　ダイチ</t>
    <phoneticPr fontId="110" type="Hiragana"/>
  </si>
  <si>
    <t>オカド　ソウスケ</t>
    <phoneticPr fontId="110" type="Hiragana"/>
  </si>
  <si>
    <t>イマトク　アオ</t>
    <phoneticPr fontId="110" type="Hiragana"/>
  </si>
  <si>
    <t>シマダ　リクタロウ</t>
    <phoneticPr fontId="110" type="Hiragana"/>
  </si>
  <si>
    <t>イトウ　ショウマ</t>
    <phoneticPr fontId="110" type="Hiragana"/>
  </si>
  <si>
    <t>イノウエ　ヒカリ</t>
    <phoneticPr fontId="110" type="Hiragana"/>
  </si>
  <si>
    <t>サイトウ　アキ</t>
    <phoneticPr fontId="110" type="Hiragana"/>
  </si>
  <si>
    <t>イコマ　ダイヤ</t>
    <phoneticPr fontId="110" type="Hiragana"/>
  </si>
  <si>
    <t>コジマ　ソウスケ</t>
    <phoneticPr fontId="110" type="Hiragana"/>
  </si>
  <si>
    <t>ウツノミヤ　ノア</t>
    <phoneticPr fontId="110" type="Hiragana"/>
  </si>
  <si>
    <t>マキ　コウタ</t>
    <phoneticPr fontId="110" type="Hiragana"/>
  </si>
  <si>
    <t>ユフ　リュウノスケ</t>
    <phoneticPr fontId="110" type="Hiragana"/>
  </si>
  <si>
    <t>オウ　ヨシテツ</t>
    <phoneticPr fontId="110" type="Hiragana"/>
  </si>
  <si>
    <t>ミズナガ　ナツキ</t>
    <phoneticPr fontId="110" type="Hiragana"/>
  </si>
  <si>
    <t>ミトマ　フクト</t>
    <phoneticPr fontId="110" type="Hiragana"/>
  </si>
  <si>
    <t>シノダ　アツト</t>
    <phoneticPr fontId="110" type="Hiragana"/>
  </si>
  <si>
    <t>マエダ　イブキ</t>
    <phoneticPr fontId="110" type="Hiragana"/>
  </si>
  <si>
    <t>マツバラ　ダイヤ</t>
    <phoneticPr fontId="110" type="Hiragana"/>
  </si>
  <si>
    <t>ゴトウ　チヒロ</t>
    <phoneticPr fontId="110" type="Hiragana"/>
  </si>
  <si>
    <t>モリシマ　ケイト</t>
    <phoneticPr fontId="110" type="Hiragana"/>
  </si>
  <si>
    <t>ミヤワキ　サク</t>
    <phoneticPr fontId="110" type="Hiragana"/>
  </si>
  <si>
    <t>アンドウ　ユウジ</t>
    <phoneticPr fontId="110" type="Hiragana"/>
  </si>
  <si>
    <t>ゴトウ　リョウ</t>
    <phoneticPr fontId="110" type="Hiragana"/>
  </si>
  <si>
    <t>キタヤ　ミナト</t>
    <phoneticPr fontId="110" type="Hiragana"/>
  </si>
  <si>
    <t>スズキ　ユウマ</t>
    <phoneticPr fontId="110" type="Hiragana"/>
  </si>
  <si>
    <t>ヒメノ　リク</t>
    <phoneticPr fontId="110" type="Hiragana"/>
  </si>
  <si>
    <t>クワノ　アサヒ</t>
    <phoneticPr fontId="110" type="Hiragana"/>
  </si>
  <si>
    <t>イトウ　サモン</t>
    <phoneticPr fontId="110" type="Hiragana"/>
  </si>
  <si>
    <t>サトウ　リョウセイ</t>
    <phoneticPr fontId="110" type="Hiragana"/>
  </si>
  <si>
    <t>ヤマギワ　テンセイ</t>
    <phoneticPr fontId="110" type="Hiragana"/>
  </si>
  <si>
    <t>ワタナベ　マコト</t>
    <phoneticPr fontId="110" type="Hiragana"/>
  </si>
  <si>
    <t>ナカハラ　ゼン</t>
    <phoneticPr fontId="110" type="Hiragana"/>
  </si>
  <si>
    <t>クワノ　ハナ</t>
    <phoneticPr fontId="110" type="Hiragana"/>
  </si>
  <si>
    <t>マルタニ　リュウセイ</t>
    <phoneticPr fontId="110" type="Hiragana"/>
  </si>
  <si>
    <t>サトウ　シンノスケ</t>
    <phoneticPr fontId="110" type="Hiragana"/>
  </si>
  <si>
    <t>タカフジ　ハル</t>
    <phoneticPr fontId="110" type="Hiragana"/>
  </si>
  <si>
    <t>ハヤシダ　ヤマト</t>
    <phoneticPr fontId="110" type="Hiragana"/>
  </si>
  <si>
    <t>カタオカ　コウセイ</t>
    <phoneticPr fontId="110" type="Hiragana"/>
  </si>
  <si>
    <t>ナナゾウシ　ツバサ</t>
    <phoneticPr fontId="110" type="Hiragana"/>
  </si>
  <si>
    <t>エンモト　リノア</t>
    <phoneticPr fontId="110" type="Hiragana"/>
  </si>
  <si>
    <t>タケモト　リョウタロウ</t>
    <phoneticPr fontId="110" type="Hiragana"/>
  </si>
  <si>
    <t>トクナガ　コウセイ</t>
    <phoneticPr fontId="110" type="Hiragana"/>
  </si>
  <si>
    <t>アナイ　リコ</t>
    <phoneticPr fontId="110" type="Hiragana"/>
  </si>
  <si>
    <t>タケノ　タイキ</t>
    <phoneticPr fontId="110" type="Hiragana"/>
  </si>
  <si>
    <t>フジワラ　キミト</t>
    <phoneticPr fontId="110" type="Hiragana"/>
  </si>
  <si>
    <t>ヒロサキ　ソウタ</t>
    <phoneticPr fontId="110" type="Hiragana"/>
  </si>
  <si>
    <t>バンドウ　トウヤ</t>
    <phoneticPr fontId="110" type="Hiragana"/>
  </si>
  <si>
    <t>カワサキ　リヒト</t>
    <phoneticPr fontId="110" type="Hiragana"/>
  </si>
  <si>
    <t>スズキ　カゲヒロ</t>
    <phoneticPr fontId="110" type="Hiragana"/>
  </si>
  <si>
    <t>キクチ　コウタロウ</t>
    <phoneticPr fontId="110" type="Hiragana"/>
  </si>
  <si>
    <t>タグチ　アイト</t>
    <phoneticPr fontId="110" type="Hiragana"/>
  </si>
  <si>
    <t>ミナミ　ユズキ</t>
    <phoneticPr fontId="110" type="Hiragana"/>
  </si>
  <si>
    <t>ヨシダ　リク</t>
    <phoneticPr fontId="110" type="Hiragana"/>
  </si>
  <si>
    <t>ノムラ　タクト</t>
    <phoneticPr fontId="110" type="Hiragana"/>
  </si>
  <si>
    <t>タキグチ　ジョウジロウ</t>
    <phoneticPr fontId="110" type="Hiragana"/>
  </si>
  <si>
    <t>カガワ　ハルマ</t>
    <phoneticPr fontId="110" type="Hiragana"/>
  </si>
  <si>
    <t>アソウ　アキト</t>
    <phoneticPr fontId="110" type="Hiragana"/>
  </si>
  <si>
    <t>サカグチ　シュント</t>
    <phoneticPr fontId="110" type="Hiragana"/>
  </si>
  <si>
    <t>クマイ　リュウト</t>
    <phoneticPr fontId="110" type="Hiragana"/>
  </si>
  <si>
    <t>ハダテ　スバル</t>
    <phoneticPr fontId="110" type="Hiragana"/>
  </si>
  <si>
    <t>ヤマサキ　マサシ</t>
    <phoneticPr fontId="110" type="Hiragana"/>
  </si>
  <si>
    <t>ワダ　ダイキ</t>
    <phoneticPr fontId="110" type="Hiragana"/>
  </si>
  <si>
    <t>ゴトウ　ナナミ</t>
    <phoneticPr fontId="110" type="Hiragana"/>
  </si>
  <si>
    <t>ミウラ　ユミト</t>
    <phoneticPr fontId="110" type="Hiragana"/>
  </si>
  <si>
    <t>ヤマサキ　ライア</t>
    <phoneticPr fontId="110" type="Hiragana"/>
  </si>
  <si>
    <t>シマダ　ユウキ</t>
    <phoneticPr fontId="110" type="Hiragana"/>
  </si>
  <si>
    <t>スエヒロ　フウト</t>
    <phoneticPr fontId="110" type="Hiragana"/>
  </si>
  <si>
    <t>ヤマサキ　リュウジ</t>
    <phoneticPr fontId="110" type="Hiragana"/>
  </si>
  <si>
    <t>イズミ　カンナ</t>
    <phoneticPr fontId="110" type="Hiragana"/>
  </si>
  <si>
    <t>サトウ　ワタル</t>
    <phoneticPr fontId="110" type="Hiragana"/>
  </si>
  <si>
    <t>イザキ　コウタ</t>
    <phoneticPr fontId="110" type="Hiragana"/>
  </si>
  <si>
    <t>オノ　ラン</t>
    <phoneticPr fontId="110" type="Hiragana"/>
  </si>
  <si>
    <t>オカダ　リオ</t>
    <phoneticPr fontId="110" type="Hiragana"/>
  </si>
  <si>
    <t>モリヤマ　ケイト</t>
    <phoneticPr fontId="110" type="Hiragana"/>
  </si>
  <si>
    <t>イタイ　ワカナ</t>
    <phoneticPr fontId="110" type="Hiragana"/>
  </si>
  <si>
    <t>カミベップ　シュン</t>
    <phoneticPr fontId="110" type="Hiragana"/>
  </si>
  <si>
    <t>ニシカタ　コウタ</t>
    <phoneticPr fontId="110" type="Hiragana"/>
  </si>
  <si>
    <t>フジワラ　ソラ</t>
    <phoneticPr fontId="110" type="Hiragana"/>
  </si>
  <si>
    <t>ゴトウ　タクミ</t>
    <phoneticPr fontId="110" type="Hiragana"/>
  </si>
  <si>
    <t>ザイゼン　ソラ</t>
    <phoneticPr fontId="110" type="Hiragana"/>
  </si>
  <si>
    <t>ヤマモト　ユウシ</t>
    <phoneticPr fontId="110" type="Hiragana"/>
  </si>
  <si>
    <t>ヒノ　テンマ</t>
    <phoneticPr fontId="110" type="Hiragana"/>
  </si>
  <si>
    <t>イシダ　タイヨウ</t>
    <phoneticPr fontId="110" type="Hiragana"/>
  </si>
  <si>
    <t>ムラマツ　コウタ</t>
    <phoneticPr fontId="110" type="Hiragana"/>
  </si>
  <si>
    <t>イワモト　ケイスケ</t>
    <phoneticPr fontId="110" type="Hiragana"/>
  </si>
  <si>
    <t>イトウ　マサト</t>
    <phoneticPr fontId="110" type="Hiragana"/>
  </si>
  <si>
    <t>カワノ　サクヤ</t>
    <phoneticPr fontId="110" type="Hiragana"/>
  </si>
  <si>
    <t>ヒラバラ　コトノ</t>
    <phoneticPr fontId="110" type="Hiragana"/>
  </si>
  <si>
    <t>ユフ　タイチ</t>
    <phoneticPr fontId="110" type="Hiragana"/>
  </si>
  <si>
    <t>トモエダ　イツキ</t>
    <phoneticPr fontId="110" type="Hiragana"/>
  </si>
  <si>
    <t>アソウ　サク</t>
    <phoneticPr fontId="110" type="Hiragana"/>
  </si>
  <si>
    <t>オカマツ　ライラ</t>
    <phoneticPr fontId="110" type="Hiragana"/>
  </si>
  <si>
    <t>カイ　テルマサ</t>
    <phoneticPr fontId="110" type="Hiragana"/>
  </si>
  <si>
    <t>タバタ　ソウタ</t>
    <phoneticPr fontId="110" type="Hiragana"/>
  </si>
  <si>
    <t>オガエリ　ジュキア</t>
    <phoneticPr fontId="110" type="Hiragana"/>
  </si>
  <si>
    <t>シュトウ　トキ</t>
    <phoneticPr fontId="110" type="Hiragana"/>
  </si>
  <si>
    <t>オガワ　コウヘイ</t>
    <phoneticPr fontId="110" type="Hiragana"/>
  </si>
  <si>
    <t>クマタバラ　ショウタ</t>
    <phoneticPr fontId="110" type="Hiragana"/>
  </si>
  <si>
    <t>ノナカ　レオ</t>
    <phoneticPr fontId="110" type="Hiragana"/>
  </si>
  <si>
    <t>フジト　ダイチ</t>
    <phoneticPr fontId="110" type="Hiragana"/>
  </si>
  <si>
    <t>ヒノ　テンセイ</t>
    <phoneticPr fontId="110" type="Hiragana"/>
  </si>
  <si>
    <t>オカモト　シュウヤ</t>
    <phoneticPr fontId="110" type="Hiragana"/>
  </si>
  <si>
    <t>カク　ミツキ</t>
    <phoneticPr fontId="110" type="Hiragana"/>
  </si>
  <si>
    <t>サトウ　ノア</t>
    <phoneticPr fontId="110" type="Hiragana"/>
  </si>
  <si>
    <t>ザイゼン　アユム</t>
    <phoneticPr fontId="110" type="Hiragana"/>
  </si>
  <si>
    <t>オカベ　リク</t>
    <phoneticPr fontId="110" type="Hiragana"/>
  </si>
  <si>
    <t>オトズ　ユウ</t>
    <phoneticPr fontId="110" type="Hiragana"/>
  </si>
  <si>
    <t>エグチ　ソウマ</t>
    <phoneticPr fontId="110" type="Hiragana"/>
  </si>
  <si>
    <t>コニシ　リュウセイ</t>
    <phoneticPr fontId="110" type="Hiragana"/>
  </si>
  <si>
    <t>カジワラ　シュンキ</t>
    <phoneticPr fontId="110" type="Hiragana"/>
  </si>
  <si>
    <t>ザイツ　トシヒロ</t>
    <phoneticPr fontId="110" type="Hiragana"/>
  </si>
  <si>
    <t>セグチ　ハヤタ</t>
    <phoneticPr fontId="110" type="Hiragana"/>
  </si>
  <si>
    <t>セイケ　ワタル</t>
    <phoneticPr fontId="110" type="Hiragana"/>
  </si>
  <si>
    <t>ソメヤ　キヨシ</t>
    <phoneticPr fontId="110" type="Hiragana"/>
  </si>
  <si>
    <t>サトウ　スズナ</t>
    <phoneticPr fontId="110" type="Hiragana"/>
  </si>
  <si>
    <t>タケムラ　ハジメ</t>
    <phoneticPr fontId="110" type="Hiragana"/>
  </si>
  <si>
    <t>シモハタ　ハルヒ</t>
    <phoneticPr fontId="110" type="Hiragana"/>
  </si>
  <si>
    <t>マツダ　ヒナタ</t>
    <phoneticPr fontId="110" type="Hiragana"/>
  </si>
  <si>
    <t>カトウ　タイシ</t>
    <phoneticPr fontId="110" type="Hiragana"/>
  </si>
  <si>
    <t>キヨハラ　ヒビキ</t>
    <phoneticPr fontId="110" type="Hiragana"/>
  </si>
  <si>
    <t>キタガワ　ユウシン</t>
    <phoneticPr fontId="110" type="Hiragana"/>
  </si>
  <si>
    <t>カイ　ソウスケ</t>
    <phoneticPr fontId="110" type="Hiragana"/>
  </si>
  <si>
    <t>キヨハラ　イツキ</t>
    <phoneticPr fontId="110" type="Hiragana"/>
  </si>
  <si>
    <t>サトウ　アサヒ</t>
    <phoneticPr fontId="110" type="Hiragana"/>
  </si>
  <si>
    <t>オハラ　ルナ</t>
    <phoneticPr fontId="110" type="Hiragana"/>
  </si>
  <si>
    <t>フルヤマ　シンヤ</t>
    <phoneticPr fontId="110" type="Hiragana"/>
  </si>
  <si>
    <t>ハヤシ　イブキ</t>
    <phoneticPr fontId="110" type="Hiragana"/>
  </si>
  <si>
    <t>ゴトウ　ヒナタ</t>
    <phoneticPr fontId="110" type="Hiragana"/>
  </si>
  <si>
    <t>ナカハラ　イツキ</t>
    <phoneticPr fontId="110" type="Hiragana"/>
  </si>
  <si>
    <t>シミズ　ソラ</t>
    <phoneticPr fontId="110" type="Hiragana"/>
  </si>
  <si>
    <t>シオツキ　レオ</t>
    <phoneticPr fontId="110" type="Hiragana"/>
  </si>
  <si>
    <t>モリサキ　ヒヅキ</t>
    <phoneticPr fontId="110" type="Hiragana"/>
  </si>
  <si>
    <t>フサマエ　コハル</t>
    <phoneticPr fontId="110" type="Hiragana"/>
  </si>
  <si>
    <t>マキ　コウガ</t>
    <phoneticPr fontId="110" type="Hiragana"/>
  </si>
  <si>
    <t>ヤマグチ　ココネ</t>
    <phoneticPr fontId="110" type="Hiragana"/>
  </si>
  <si>
    <t>ツル　ユウセイ</t>
    <phoneticPr fontId="110" type="Hiragana"/>
  </si>
  <si>
    <t>モリ　レオ</t>
    <phoneticPr fontId="110" type="Hiragana"/>
  </si>
  <si>
    <t>ミズタニ　シュウタ</t>
    <phoneticPr fontId="110" type="Hiragana"/>
  </si>
  <si>
    <t>ハシグチ　タケル</t>
    <phoneticPr fontId="110" type="Hiragana"/>
  </si>
  <si>
    <t>マスダ　ハヤト</t>
    <phoneticPr fontId="110" type="Hiragana"/>
  </si>
  <si>
    <t>テシマ　ダイチ</t>
    <phoneticPr fontId="110" type="Hiragana"/>
  </si>
  <si>
    <t>マエヤマ　シュン</t>
    <phoneticPr fontId="110" type="Hiragana"/>
  </si>
  <si>
    <t>タカハシ　リオン</t>
    <phoneticPr fontId="110" type="Hiragana"/>
  </si>
  <si>
    <t>アダチ　トキ</t>
    <phoneticPr fontId="110" type="Hiragana"/>
  </si>
  <si>
    <t>ヒラヤマ　ハル</t>
    <phoneticPr fontId="110" type="Hiragana"/>
  </si>
  <si>
    <t>コウノ　ライ</t>
    <phoneticPr fontId="110" type="Hiragana"/>
  </si>
  <si>
    <t>エトウ　アヤト</t>
    <phoneticPr fontId="110" type="Hiragana"/>
  </si>
  <si>
    <t>カワノ　コウセイ</t>
    <phoneticPr fontId="110" type="Hiragana"/>
  </si>
  <si>
    <t>ヤマモト　ケイタ</t>
    <phoneticPr fontId="110" type="Hiragana"/>
  </si>
  <si>
    <t>ワゴウ　ヒサシ</t>
    <phoneticPr fontId="110" type="Hiragana"/>
  </si>
  <si>
    <t>ヤナイ　ミナト</t>
    <phoneticPr fontId="110" type="Hiragana"/>
  </si>
  <si>
    <t>オノ　ヒナト</t>
    <phoneticPr fontId="110" type="Hiragana"/>
  </si>
  <si>
    <t>シン　ナギト</t>
    <phoneticPr fontId="110" type="Hiragana"/>
  </si>
  <si>
    <t>ザイツ　タクミ</t>
    <phoneticPr fontId="110" type="Hiragana"/>
  </si>
  <si>
    <t>オオノ　ミツキ</t>
    <phoneticPr fontId="110" type="Hiragana"/>
  </si>
  <si>
    <t>クロサワ　アヤト</t>
    <phoneticPr fontId="110" type="Hiragana"/>
  </si>
  <si>
    <t>ハラヤマ　ケイト</t>
    <phoneticPr fontId="110" type="Hiragana"/>
  </si>
  <si>
    <t>フジワラ　ヒマリ</t>
    <phoneticPr fontId="110" type="Hiragana"/>
  </si>
  <si>
    <t>シオツキ　アカリ</t>
    <phoneticPr fontId="110" type="Hiragana"/>
  </si>
  <si>
    <t>クボタ　リン</t>
    <phoneticPr fontId="110" type="Hiragana"/>
  </si>
  <si>
    <t>タケナカ　ダイキ</t>
    <phoneticPr fontId="110" type="Hiragana"/>
  </si>
  <si>
    <t>タシロ　ハジメ</t>
    <phoneticPr fontId="110" type="Hiragana"/>
  </si>
  <si>
    <t>ナカガワ　タイセイ</t>
    <phoneticPr fontId="110" type="Hiragana"/>
  </si>
  <si>
    <t>ホンダ　サク</t>
    <phoneticPr fontId="110" type="Hiragana"/>
  </si>
  <si>
    <t>トオリド　ジョウスケ</t>
    <phoneticPr fontId="110" type="Hiragana"/>
  </si>
  <si>
    <t>タナカ　ユイト</t>
    <phoneticPr fontId="110" type="Hiragana"/>
  </si>
  <si>
    <t>クドウ　コウシ</t>
    <phoneticPr fontId="110" type="Hiragana"/>
  </si>
  <si>
    <t>シモセ　カズヨシ</t>
    <phoneticPr fontId="110" type="Hiragana"/>
  </si>
  <si>
    <t>シバタ　アオイ</t>
    <phoneticPr fontId="110" type="Hiragana"/>
  </si>
  <si>
    <t>カバタ　ソウスケ</t>
    <phoneticPr fontId="110" type="Hiragana"/>
  </si>
  <si>
    <t>アリヨシ　ソウタ</t>
    <phoneticPr fontId="110" type="Hiragana"/>
  </si>
  <si>
    <t>マス　タスク</t>
    <phoneticPr fontId="110" type="Hiragana"/>
  </si>
  <si>
    <t>ニシ　ソウスケ</t>
    <phoneticPr fontId="110" type="Hiragana"/>
  </si>
  <si>
    <t>ナガオ　ミスズ</t>
    <phoneticPr fontId="110" type="Hiragana"/>
  </si>
  <si>
    <t>アキヨシ　アイセイ</t>
    <phoneticPr fontId="110" type="Hiragana"/>
  </si>
  <si>
    <t>オガエリ　ケイスケ</t>
    <phoneticPr fontId="110" type="Hiragana"/>
  </si>
  <si>
    <t>カワノ　ネネ</t>
    <phoneticPr fontId="110" type="Hiragana"/>
  </si>
  <si>
    <t>ノダ　コウラン</t>
    <phoneticPr fontId="110" type="Hiragana"/>
  </si>
  <si>
    <t>マツダ　ソウタ</t>
    <phoneticPr fontId="110" type="Hiragana"/>
  </si>
  <si>
    <t>サカモト　タイシ</t>
    <phoneticPr fontId="110" type="Hiragana"/>
  </si>
  <si>
    <t>ヒラシマ　ハルト</t>
    <phoneticPr fontId="110" type="Hiragana"/>
  </si>
  <si>
    <t>モリ　ソウタ</t>
    <phoneticPr fontId="110" type="Hiragana"/>
  </si>
  <si>
    <t>ヒガシ　サクヤ</t>
    <phoneticPr fontId="110" type="Hiragana"/>
  </si>
  <si>
    <t>オオタニ　ミナト</t>
    <phoneticPr fontId="110" type="Hiragana"/>
  </si>
  <si>
    <t>クリハラ　コウ</t>
    <phoneticPr fontId="110" type="Hiragana"/>
  </si>
  <si>
    <t>フルノ　コウ</t>
    <phoneticPr fontId="110" type="Hiragana"/>
  </si>
  <si>
    <t>ヤマシタ　リョウマ</t>
    <phoneticPr fontId="110" type="Hiragana"/>
  </si>
  <si>
    <t>キクチ　オウスケ</t>
    <phoneticPr fontId="110" type="Hiragana"/>
  </si>
  <si>
    <t>ワタナベ　アサヒ</t>
    <phoneticPr fontId="110" type="Hiragana"/>
  </si>
  <si>
    <t>ウメキ　ヒロセ</t>
    <phoneticPr fontId="110" type="Hiragana"/>
  </si>
  <si>
    <t>ウエダ　ヒサシ</t>
    <phoneticPr fontId="110" type="Hiragana"/>
  </si>
  <si>
    <t>アベ　ユウスケ</t>
    <phoneticPr fontId="110" type="Hiragana"/>
  </si>
  <si>
    <t>ハナキタ　ヒナタ</t>
    <phoneticPr fontId="110" type="Hiragana"/>
  </si>
  <si>
    <t>タノウエ　ルイ</t>
    <phoneticPr fontId="110" type="Hiragana"/>
  </si>
  <si>
    <t>アラカワ　ユイト</t>
    <phoneticPr fontId="110" type="Hiragana"/>
  </si>
  <si>
    <t>タカオ　レイジ</t>
    <phoneticPr fontId="110" type="Hiragana"/>
  </si>
  <si>
    <t>キヨハラ　ユイト</t>
    <phoneticPr fontId="110" type="Hiragana"/>
  </si>
  <si>
    <t>トシミツ　ジュン</t>
    <phoneticPr fontId="110" type="Hiragana"/>
  </si>
  <si>
    <t>トモオカ　コオセイ</t>
    <phoneticPr fontId="110" type="Hiragana"/>
  </si>
  <si>
    <t>ヤマモト　タケル</t>
    <phoneticPr fontId="110" type="Hiragana"/>
  </si>
  <si>
    <t>タカハシ　センスケ</t>
    <phoneticPr fontId="110" type="Hiragana"/>
  </si>
  <si>
    <t>タシマ　カナメ</t>
    <phoneticPr fontId="110" type="Hiragana"/>
  </si>
  <si>
    <t>オカザキ　キヨマサ</t>
    <phoneticPr fontId="110" type="Hiragana"/>
  </si>
  <si>
    <t>シイハラ　カホ</t>
    <phoneticPr fontId="110" type="Hiragana"/>
  </si>
  <si>
    <t>ヤマモト　アラタ</t>
    <phoneticPr fontId="110" type="Hiragana"/>
  </si>
  <si>
    <t>カツオ　ユウマ</t>
    <phoneticPr fontId="110" type="Hiragana"/>
  </si>
  <si>
    <t>コガ　ミツキ</t>
    <phoneticPr fontId="110" type="Hiragana"/>
  </si>
  <si>
    <t>フクダ　ユウヒ</t>
    <phoneticPr fontId="110" type="Hiragana"/>
  </si>
  <si>
    <t>クドウ　メイ</t>
    <phoneticPr fontId="110" type="Hiragana"/>
  </si>
  <si>
    <t>ノジ　テンマ</t>
    <phoneticPr fontId="110" type="Hiragana"/>
  </si>
  <si>
    <t>ワダ　エイタ</t>
    <phoneticPr fontId="110" type="Hiragana"/>
  </si>
  <si>
    <t>イワオ　ジュア</t>
    <phoneticPr fontId="110" type="Hiragana"/>
  </si>
  <si>
    <t>ワタナベ　ユイ</t>
    <phoneticPr fontId="110" type="Hiragana"/>
  </si>
  <si>
    <t>ハタテ　キイチ</t>
    <phoneticPr fontId="110" type="Hiragana"/>
  </si>
  <si>
    <t>サトウ　カナコ</t>
    <phoneticPr fontId="110" type="Hiragana"/>
  </si>
  <si>
    <t>スギタ　ムア</t>
    <phoneticPr fontId="110" type="Hiragana"/>
  </si>
  <si>
    <t>アナミ　ケンイチ</t>
    <phoneticPr fontId="110" type="Hiragana"/>
  </si>
  <si>
    <t>アンドウ　タスク</t>
    <phoneticPr fontId="110" type="Hiragana"/>
  </si>
  <si>
    <t>マツタカ　アサヒ</t>
    <phoneticPr fontId="110" type="Hiragana"/>
  </si>
  <si>
    <t>キモト　トオ</t>
    <phoneticPr fontId="110" type="Hiragana"/>
  </si>
  <si>
    <t>イマタ　ユツキ</t>
    <phoneticPr fontId="110" type="Hiragana"/>
  </si>
  <si>
    <t>キイ　タクト</t>
    <phoneticPr fontId="110" type="Hiragana"/>
  </si>
  <si>
    <t>キモト　エイタ</t>
    <phoneticPr fontId="110" type="Hiragana"/>
  </si>
  <si>
    <t>ショウノ　カナト</t>
    <phoneticPr fontId="110" type="Hiragana"/>
  </si>
  <si>
    <t>サトウ　タスク</t>
    <phoneticPr fontId="110" type="Hiragana"/>
  </si>
  <si>
    <t>ウエツカ　タキ</t>
    <phoneticPr fontId="110" type="Hiragana"/>
  </si>
  <si>
    <t>オダ　ケイタ</t>
    <phoneticPr fontId="110" type="Hiragana"/>
  </si>
  <si>
    <t>サガラ　ハヤト</t>
    <phoneticPr fontId="110" type="Hiragana"/>
  </si>
  <si>
    <t>スドウ　マナト</t>
    <phoneticPr fontId="110" type="Hiragana"/>
  </si>
  <si>
    <t>マツバラ　サクト</t>
    <phoneticPr fontId="110" type="Hiragana"/>
  </si>
  <si>
    <t>タカサキ　イト</t>
    <phoneticPr fontId="110" type="Hiragana"/>
  </si>
  <si>
    <t>ヨシミツ　カズト</t>
    <phoneticPr fontId="110" type="Hiragana"/>
  </si>
  <si>
    <t>ニシモト　ナオキ</t>
    <phoneticPr fontId="110" type="Hiragana"/>
  </si>
  <si>
    <t>カマクラ　オサム</t>
    <phoneticPr fontId="110" type="Hiragana"/>
  </si>
  <si>
    <t>ヒメノ　シュウタ</t>
    <phoneticPr fontId="110" type="Hiragana"/>
  </si>
  <si>
    <t>モリタ　リク</t>
    <phoneticPr fontId="110" type="Hiragana"/>
  </si>
  <si>
    <t>ヤノ　オウイチロウ</t>
    <phoneticPr fontId="110" type="Hiragana"/>
  </si>
  <si>
    <t>ゴンドウ　ハル</t>
    <phoneticPr fontId="110" type="Hiragana"/>
  </si>
  <si>
    <t>シン　テルユキ</t>
    <phoneticPr fontId="110" type="Hiragana"/>
  </si>
  <si>
    <t>サカモト　メイト</t>
    <phoneticPr fontId="110" type="Hiragana"/>
  </si>
  <si>
    <t>ムラタ　カナタ</t>
    <phoneticPr fontId="110" type="Hiragana"/>
  </si>
  <si>
    <t>スエヒロ　カズト</t>
    <phoneticPr fontId="110" type="Hiragana"/>
  </si>
  <si>
    <t>ハタヤマ　ノア</t>
    <phoneticPr fontId="110" type="Hiragana"/>
  </si>
  <si>
    <t>シンヤ　ヒロト</t>
    <phoneticPr fontId="110" type="Hiragana"/>
  </si>
  <si>
    <t>テツモト　ケイスケ</t>
    <phoneticPr fontId="110" type="Hiragana"/>
  </si>
  <si>
    <t>オカモト　タロウ</t>
    <phoneticPr fontId="110" type="Hiragana"/>
  </si>
  <si>
    <t>イトナガ　ミオ</t>
    <phoneticPr fontId="110" type="Hiragana"/>
  </si>
  <si>
    <t>イチカワ　リンタロウ</t>
    <phoneticPr fontId="110" type="Hiragana"/>
  </si>
  <si>
    <t>オオクボ　タツキ</t>
    <phoneticPr fontId="110" type="Hiragana"/>
  </si>
  <si>
    <t>ウエノ　ユウシ</t>
    <phoneticPr fontId="110" type="Hiragana"/>
  </si>
  <si>
    <t>ショウノ　アヤト</t>
    <phoneticPr fontId="110" type="Hiragana"/>
  </si>
  <si>
    <t>アカボシ　シュウト</t>
    <phoneticPr fontId="110" type="Hiragana"/>
  </si>
  <si>
    <t>タカモリ　テルマ</t>
    <phoneticPr fontId="110" type="Hiragana"/>
  </si>
  <si>
    <t>クドウ　アサヒ</t>
    <phoneticPr fontId="110" type="Hiragana"/>
  </si>
  <si>
    <t>ドイ　ヘイゴ</t>
    <phoneticPr fontId="110" type="Hiragana"/>
  </si>
  <si>
    <t>マトウ　ヒカル</t>
    <phoneticPr fontId="110" type="Hiragana"/>
  </si>
  <si>
    <t>ヤダ　レン</t>
    <phoneticPr fontId="110" type="Hiragana"/>
  </si>
  <si>
    <t>ユキ　リュウジ</t>
    <phoneticPr fontId="110" type="Hiragana"/>
  </si>
  <si>
    <t>タナカ　トウマ</t>
    <phoneticPr fontId="110" type="Hiragana"/>
  </si>
  <si>
    <t>シンシ　トキト</t>
    <phoneticPr fontId="110" type="Hiragana"/>
  </si>
  <si>
    <t>ニイノ　リリハ</t>
    <phoneticPr fontId="110" type="Hiragana"/>
  </si>
  <si>
    <t>クドウ　シュンキ</t>
    <phoneticPr fontId="110" type="Hiragana"/>
  </si>
  <si>
    <t>セイケ　トワ</t>
    <phoneticPr fontId="110" type="Hiragana"/>
  </si>
  <si>
    <t>ワキグチ　コウキ</t>
    <phoneticPr fontId="110" type="Hiragana"/>
  </si>
  <si>
    <t>ヤクシジ　オウラ</t>
    <phoneticPr fontId="110" type="Hiragana"/>
  </si>
  <si>
    <t>ミネ　ヒナタ</t>
    <phoneticPr fontId="110" type="Hiragana"/>
  </si>
  <si>
    <t>ゴトウ　サクヤ</t>
    <phoneticPr fontId="110" type="Hiragana"/>
  </si>
  <si>
    <t>ハシモト　ユウジロウ</t>
    <phoneticPr fontId="110" type="Hiragana"/>
  </si>
  <si>
    <t>ナカシマ　コウノスケ</t>
    <phoneticPr fontId="110" type="Hiragana"/>
  </si>
  <si>
    <t>タムラ　リュウセイ</t>
    <phoneticPr fontId="110" type="Hiragana"/>
  </si>
  <si>
    <t>ホリカワ　アオセ</t>
    <phoneticPr fontId="110" type="Hiragana"/>
  </si>
  <si>
    <t>サガラ　トア</t>
    <phoneticPr fontId="110" type="Hiragana"/>
  </si>
  <si>
    <t>カトウ　ススム</t>
    <phoneticPr fontId="110" type="Hiragana"/>
  </si>
  <si>
    <t>ナガノ　トモヤ</t>
    <phoneticPr fontId="110" type="Hiragana"/>
  </si>
  <si>
    <t>クマノミドウ　レント</t>
    <phoneticPr fontId="110" type="Hiragana"/>
  </si>
  <si>
    <t>コモト　サヤ</t>
    <phoneticPr fontId="110" type="Hiragana"/>
  </si>
  <si>
    <t>ミナミ　イチカ</t>
    <phoneticPr fontId="110" type="Hiragana"/>
  </si>
  <si>
    <t>ナカムラ　イチタ</t>
    <phoneticPr fontId="110" type="Hiragana"/>
  </si>
  <si>
    <t>フルサワ　アツト</t>
    <phoneticPr fontId="110" type="Hiragana"/>
  </si>
  <si>
    <t>ナカガワ　アイト</t>
    <phoneticPr fontId="110" type="Hiragana"/>
  </si>
  <si>
    <t>コダマ　ショウタ</t>
    <phoneticPr fontId="110" type="Hiragana"/>
  </si>
  <si>
    <t>クドウ　コウタ</t>
    <phoneticPr fontId="110" type="Hiragana"/>
  </si>
  <si>
    <t>ヤマサキ　ユウヒ</t>
    <phoneticPr fontId="110" type="Hiragana"/>
  </si>
  <si>
    <t>ヌカガ　ユウセイ</t>
    <phoneticPr fontId="110" type="Hiragana"/>
  </si>
  <si>
    <t>シン　ミナト</t>
    <phoneticPr fontId="110" type="Hiragana"/>
  </si>
  <si>
    <t>オオイシ　カズミ</t>
    <phoneticPr fontId="110" type="Hiragana"/>
  </si>
  <si>
    <t>ヤマサキ　ダイヤ</t>
    <phoneticPr fontId="110" type="Hiragana"/>
  </si>
  <si>
    <t>スガタ　アオイ</t>
    <phoneticPr fontId="110" type="Hiragana"/>
  </si>
  <si>
    <t>アサダ　ヒナタ</t>
    <phoneticPr fontId="110" type="Hiragana"/>
  </si>
  <si>
    <t>ミタライ　タツオミ</t>
    <phoneticPr fontId="110" type="Hiragana"/>
  </si>
  <si>
    <t>カバタ　ルイキ</t>
    <phoneticPr fontId="110" type="Hiragana"/>
  </si>
  <si>
    <t>タナムラ　タケル</t>
    <phoneticPr fontId="110" type="Hiragana"/>
  </si>
  <si>
    <t>ワタナベ　ナギ</t>
    <phoneticPr fontId="110" type="Hiragana"/>
  </si>
  <si>
    <t>アサダ　カイト</t>
    <phoneticPr fontId="110" type="Hiragana"/>
  </si>
  <si>
    <t>ヤノ　ショウマ</t>
    <phoneticPr fontId="110" type="Hiragana"/>
  </si>
  <si>
    <t>ヤマシタ　ハル</t>
    <phoneticPr fontId="110" type="Hiragana"/>
  </si>
  <si>
    <t>カシワギ　リュウノスケ</t>
    <phoneticPr fontId="110" type="Hiragana"/>
  </si>
  <si>
    <t>カシワギ　コウノスケ</t>
    <phoneticPr fontId="110" type="Hiragana"/>
  </si>
  <si>
    <t>イワタ　タスク</t>
    <phoneticPr fontId="110" type="Hiragana"/>
  </si>
  <si>
    <t>ナカオ　コウタ</t>
    <phoneticPr fontId="110" type="Hiragana"/>
  </si>
  <si>
    <t>ウエムラ　コウヘイ</t>
    <phoneticPr fontId="110" type="Hiragana"/>
  </si>
  <si>
    <t>ヨコタ　リュウスケ</t>
    <phoneticPr fontId="110" type="Hiragana"/>
  </si>
  <si>
    <t>ニシダ　カイト</t>
    <phoneticPr fontId="110" type="Hiragana"/>
  </si>
  <si>
    <t>ヤスイ　リクト</t>
    <phoneticPr fontId="110" type="Hiragana"/>
  </si>
  <si>
    <t>テラオ　ソウタ</t>
    <phoneticPr fontId="110" type="Hiragana"/>
  </si>
  <si>
    <t>キラ　アラタ</t>
    <phoneticPr fontId="110" type="Hiragana"/>
  </si>
  <si>
    <t>タカクラ　ケイト</t>
    <phoneticPr fontId="110" type="Hiragana"/>
  </si>
  <si>
    <t>シミズ　シュウヤ</t>
    <phoneticPr fontId="110" type="Hiragana"/>
  </si>
  <si>
    <t>ナカノ　ユイリ</t>
    <phoneticPr fontId="110" type="Hiragana"/>
  </si>
  <si>
    <t>ウチダ　リオト</t>
    <phoneticPr fontId="110" type="Hiragana"/>
  </si>
  <si>
    <t>タグチ　タクミ</t>
    <phoneticPr fontId="110" type="Hiragana"/>
  </si>
  <si>
    <t>シュトウ　リン</t>
    <phoneticPr fontId="110" type="Hiragana"/>
  </si>
  <si>
    <t>ミヤザキ　タイチ</t>
    <phoneticPr fontId="110" type="Hiragana"/>
  </si>
  <si>
    <t>ヒロセ　ツカサ</t>
    <phoneticPr fontId="110" type="Hiragana"/>
  </si>
  <si>
    <t>ミヤタ　カイリ</t>
    <phoneticPr fontId="110" type="Hiragana"/>
  </si>
  <si>
    <t>ホンマ　アオト</t>
    <phoneticPr fontId="110" type="Hiragana"/>
  </si>
  <si>
    <t>クロキ　ショウタ</t>
    <phoneticPr fontId="110" type="Hiragana"/>
  </si>
  <si>
    <t>カク　アオイ</t>
    <phoneticPr fontId="110" type="Hiragana"/>
  </si>
  <si>
    <t>アカオ　ノア</t>
    <phoneticPr fontId="110" type="Hiragana"/>
  </si>
  <si>
    <t>オノ　ハルト</t>
    <phoneticPr fontId="110" type="Hiragana"/>
  </si>
  <si>
    <t>カマハラ　アキト</t>
    <phoneticPr fontId="110" type="Hiragana"/>
  </si>
  <si>
    <t>ニシ　トウマ</t>
    <phoneticPr fontId="110" type="Hiragana"/>
  </si>
  <si>
    <t>ムラカミ　ビャクヤ</t>
    <phoneticPr fontId="110" type="Hiragana"/>
  </si>
  <si>
    <t>ナカボリ　エイト</t>
    <phoneticPr fontId="110" type="Hiragana"/>
  </si>
  <si>
    <t>アナイ　オウキ</t>
    <phoneticPr fontId="110" type="Hiragana"/>
  </si>
  <si>
    <t>ワカバヤシ　リク</t>
    <phoneticPr fontId="110" type="Hiragana"/>
  </si>
  <si>
    <t>オオツカ　ケント</t>
    <phoneticPr fontId="110" type="Hiragana"/>
  </si>
  <si>
    <t>ヨシダ　コウタ</t>
    <phoneticPr fontId="110" type="Hiragana"/>
  </si>
  <si>
    <t>ノムラ　ソウタ</t>
    <phoneticPr fontId="110" type="Hiragana"/>
  </si>
  <si>
    <t>ウノ　ユイト</t>
    <phoneticPr fontId="110" type="Hiragana"/>
  </si>
  <si>
    <t>キモト　タカハル</t>
    <phoneticPr fontId="110" type="Hiragana"/>
  </si>
  <si>
    <t>イタキヨ　アサヒ</t>
    <phoneticPr fontId="110" type="Hiragana"/>
  </si>
  <si>
    <t>ノバヤシ　カナタ</t>
    <phoneticPr fontId="110" type="Hiragana"/>
  </si>
  <si>
    <t>ヤノ　アサヒ</t>
    <phoneticPr fontId="110" type="Hiragana"/>
  </si>
  <si>
    <t>タジマ　ツバサ</t>
    <phoneticPr fontId="110" type="Hiragana"/>
  </si>
  <si>
    <t>マツモト　イオリ</t>
    <phoneticPr fontId="110" type="Hiragana"/>
  </si>
  <si>
    <t>コウノ　ソウ</t>
    <phoneticPr fontId="110" type="Hiragana"/>
  </si>
  <si>
    <t>ササハラ　ギンジ</t>
    <phoneticPr fontId="110" type="Hiragana"/>
  </si>
  <si>
    <t>ヒロキ　ハルイチ</t>
    <phoneticPr fontId="110" type="Hiragana"/>
  </si>
  <si>
    <t>アベ　ソウスケ</t>
    <phoneticPr fontId="110" type="Hiragana"/>
  </si>
  <si>
    <t>フジイ　オウガ</t>
    <phoneticPr fontId="110" type="Hiragana"/>
  </si>
  <si>
    <t>キサキ　タイセイ</t>
    <phoneticPr fontId="110" type="Hiragana"/>
  </si>
  <si>
    <t>ヤマダ　トモヤ</t>
    <phoneticPr fontId="110" type="Hiragana"/>
  </si>
  <si>
    <t>ミヤモト　ハヤタ</t>
    <phoneticPr fontId="110" type="Hiragana"/>
  </si>
  <si>
    <t>マツオ　イシン</t>
    <phoneticPr fontId="110" type="Hiragana"/>
  </si>
  <si>
    <t>モリサキ　イッサ</t>
    <phoneticPr fontId="110" type="Hiragana"/>
  </si>
  <si>
    <t>ノグチ　コタロウ</t>
    <phoneticPr fontId="110" type="Hiragana"/>
  </si>
  <si>
    <t>ナガオカ　ソウタ</t>
    <phoneticPr fontId="110" type="Hiragana"/>
  </si>
  <si>
    <t>ニシ　キシン</t>
    <phoneticPr fontId="110" type="Hiragana"/>
  </si>
  <si>
    <t>ユキ　アイリ</t>
    <phoneticPr fontId="110" type="Hiragana"/>
  </si>
  <si>
    <t>チバ　サツカ</t>
    <phoneticPr fontId="110" type="Hiragana"/>
  </si>
  <si>
    <t>オノ　ツムギ</t>
    <phoneticPr fontId="110" type="Hiragana"/>
  </si>
  <si>
    <t>アリヨシ　カケル</t>
    <phoneticPr fontId="110" type="Hiragana"/>
  </si>
  <si>
    <t>イケベ　ムネチカ</t>
    <phoneticPr fontId="110" type="Hiragana"/>
  </si>
  <si>
    <t>イシカワ　ソラ</t>
    <phoneticPr fontId="110" type="Hiragana"/>
  </si>
  <si>
    <t>コノモト　サキ</t>
    <phoneticPr fontId="110" type="Hiragana"/>
  </si>
  <si>
    <t>コトウ　ユウマ</t>
    <phoneticPr fontId="110" type="Hiragana"/>
  </si>
  <si>
    <t>ナカオ　ミツキ</t>
    <phoneticPr fontId="110" type="Hiragana"/>
  </si>
  <si>
    <t>ウエムラ　ナギサ</t>
    <phoneticPr fontId="110" type="Hiragana"/>
  </si>
  <si>
    <t>イワモト　シンジ</t>
    <phoneticPr fontId="110" type="Hiragana"/>
  </si>
  <si>
    <t>マツモト　イッセイ</t>
    <phoneticPr fontId="110" type="Hiragana"/>
  </si>
  <si>
    <t>ヤスイ　タクミ</t>
    <phoneticPr fontId="110" type="Hiragana"/>
  </si>
  <si>
    <t>コンドウ　アサヒ</t>
    <phoneticPr fontId="110" type="Hiragana"/>
  </si>
  <si>
    <t>ヤマウエ　リョウタ</t>
    <phoneticPr fontId="110" type="Hiragana"/>
  </si>
  <si>
    <t>フジタ　ユキト</t>
    <phoneticPr fontId="110" type="Hiragana"/>
  </si>
  <si>
    <t>タグチ　エン</t>
    <phoneticPr fontId="110" type="Hiragana"/>
  </si>
  <si>
    <t>ハシモト　ナオヤ</t>
    <phoneticPr fontId="110" type="Hiragana"/>
  </si>
  <si>
    <t>ワタナベ　ハルヒ</t>
    <phoneticPr fontId="110" type="Hiragana"/>
  </si>
  <si>
    <t>カヤジマ　カイト</t>
    <phoneticPr fontId="110" type="Hiragana"/>
  </si>
  <si>
    <t>スガノ　サクラ</t>
    <phoneticPr fontId="110" type="Hiragana"/>
  </si>
  <si>
    <t>イシザキ　テッシン</t>
    <phoneticPr fontId="110" type="Hiragana"/>
  </si>
  <si>
    <t>カワバタ　リト</t>
    <phoneticPr fontId="110" type="Hiragana"/>
  </si>
  <si>
    <t>ナカジマ　シュウジ</t>
    <phoneticPr fontId="110" type="Hiragana"/>
  </si>
  <si>
    <t>シオヤマ　コウ</t>
    <phoneticPr fontId="110" type="Hiragana"/>
  </si>
  <si>
    <t>コヤマ　コウゾウ</t>
    <phoneticPr fontId="110" type="Hiragana"/>
  </si>
  <si>
    <t>シオタ　レイ</t>
    <phoneticPr fontId="110" type="Hiragana"/>
  </si>
  <si>
    <t>ナカムラ　サクタロウ</t>
    <phoneticPr fontId="110" type="Hiragana"/>
  </si>
  <si>
    <t>シュクリ　カイト</t>
    <phoneticPr fontId="110" type="Hiragana"/>
  </si>
  <si>
    <t>ヒラノ　マリア</t>
    <phoneticPr fontId="110" type="Hiragana"/>
  </si>
  <si>
    <t>タカシマ　アオ</t>
    <phoneticPr fontId="110" type="Hiragana"/>
  </si>
  <si>
    <t>コバル　ジン</t>
    <phoneticPr fontId="110" type="Hiragana"/>
  </si>
  <si>
    <t>イケベ　ゲンキ</t>
    <phoneticPr fontId="110" type="Hiragana"/>
  </si>
  <si>
    <t>トミヒサ　リュウト</t>
    <phoneticPr fontId="110" type="Hiragana"/>
  </si>
  <si>
    <t>コバヤシ　リョウタ</t>
    <phoneticPr fontId="110" type="Hiragana"/>
  </si>
  <si>
    <t>タケオ　ヤマト</t>
    <phoneticPr fontId="110" type="Hiragana"/>
  </si>
  <si>
    <t>ナカノ　コウセイ</t>
    <phoneticPr fontId="110" type="Hiragana"/>
  </si>
  <si>
    <t>サダカネ　カナト</t>
    <phoneticPr fontId="110" type="Hiragana"/>
  </si>
  <si>
    <t>アベ　ショウマ</t>
    <phoneticPr fontId="110" type="Hiragana"/>
  </si>
  <si>
    <t>コバヤシ　タイキ</t>
    <phoneticPr fontId="110" type="Hiragana"/>
  </si>
  <si>
    <t>ナガオ　コタロウ</t>
    <phoneticPr fontId="110" type="Hiragana"/>
  </si>
  <si>
    <t>ニイナ　ナギサ</t>
    <phoneticPr fontId="110" type="Hiragana"/>
  </si>
  <si>
    <t>オバタ　ワタル</t>
    <phoneticPr fontId="110" type="Hiragana"/>
  </si>
  <si>
    <t>フタムラ　コタロウ</t>
    <phoneticPr fontId="110" type="Hiragana"/>
  </si>
  <si>
    <t>セグチ　テンジロウ</t>
    <phoneticPr fontId="110" type="Hiragana"/>
  </si>
  <si>
    <t>シロマ　ユウト</t>
    <phoneticPr fontId="110" type="Hiragana"/>
  </si>
  <si>
    <t>ヤマグチ　ハヤト</t>
    <phoneticPr fontId="110" type="Hiragana"/>
  </si>
  <si>
    <t>アソウ　ロク</t>
    <phoneticPr fontId="110" type="Hiragana"/>
  </si>
  <si>
    <t>フルテラ　トウヤ</t>
    <phoneticPr fontId="110" type="Hiragana"/>
  </si>
  <si>
    <t>ワゴウ　ウタ</t>
    <phoneticPr fontId="110" type="Hiragana"/>
  </si>
  <si>
    <t>イソザキ　アヤト</t>
    <phoneticPr fontId="110" type="Hiragana"/>
  </si>
  <si>
    <t>ヒダ　リュウシン</t>
    <phoneticPr fontId="110" type="Hiragana"/>
  </si>
  <si>
    <t>ナガタ　ハル</t>
    <phoneticPr fontId="110" type="Hiragana"/>
  </si>
  <si>
    <t>ハセベ　アオバ</t>
    <phoneticPr fontId="110" type="Hiragana"/>
  </si>
  <si>
    <t>オオモト　レン</t>
    <phoneticPr fontId="110" type="Hiragana"/>
  </si>
  <si>
    <t>サカモト　ジョウタロウ</t>
    <phoneticPr fontId="110" type="Hiragana"/>
  </si>
  <si>
    <t>カワグチ　ガク</t>
    <phoneticPr fontId="110" type="Hiragana"/>
  </si>
  <si>
    <t>カワノ　ヒイロ</t>
    <phoneticPr fontId="110" type="Hiragana"/>
  </si>
  <si>
    <t>マキ　マヒナ</t>
    <phoneticPr fontId="110" type="Hiragana"/>
  </si>
  <si>
    <t>ヤマサキ　トウリ</t>
    <phoneticPr fontId="110" type="Hiragana"/>
  </si>
  <si>
    <t>ナカオ　ヒトハル</t>
    <phoneticPr fontId="110" type="Hiragana"/>
  </si>
  <si>
    <t>テシマ　リク</t>
    <phoneticPr fontId="110" type="Hiragana"/>
  </si>
  <si>
    <t>ユキ　ハルト</t>
    <phoneticPr fontId="110" type="Hiragana"/>
  </si>
  <si>
    <t>オオノ　カイセイ</t>
    <phoneticPr fontId="110" type="Hiragana"/>
  </si>
  <si>
    <t>カワベ　ユウセイ</t>
    <phoneticPr fontId="110" type="Hiragana"/>
  </si>
  <si>
    <t>キヅ　フミト</t>
    <phoneticPr fontId="110" type="Hiragana"/>
  </si>
  <si>
    <t>トヨダ　カツキ</t>
    <phoneticPr fontId="110" type="Hiragana"/>
  </si>
  <si>
    <t>タムラ　ダン</t>
    <phoneticPr fontId="110" type="Hiragana"/>
  </si>
  <si>
    <t>イイムラ　リュウト</t>
    <phoneticPr fontId="110" type="Hiragana"/>
  </si>
  <si>
    <t>ナガノ　カナタ</t>
    <phoneticPr fontId="110" type="Hiragana"/>
  </si>
  <si>
    <t>セキヤ　トウゴ</t>
    <phoneticPr fontId="110" type="Hiragana"/>
  </si>
  <si>
    <t>ツルヤ　シュンスケ</t>
    <phoneticPr fontId="110" type="Hiragana"/>
  </si>
  <si>
    <t>クドウ　イオリ</t>
    <phoneticPr fontId="110" type="Hiragana"/>
  </si>
  <si>
    <t>ササハラ　ユウセイ</t>
    <phoneticPr fontId="110" type="Hiragana"/>
  </si>
  <si>
    <t>アベ　シュンスケ</t>
    <phoneticPr fontId="110" type="Hiragana"/>
  </si>
  <si>
    <t>ナガト　アサヒ</t>
    <phoneticPr fontId="110" type="Hiragana"/>
  </si>
  <si>
    <t>ナガノ　タスク</t>
    <phoneticPr fontId="110" type="Hiragana"/>
  </si>
  <si>
    <t>オイジ　コタロウ</t>
    <phoneticPr fontId="110" type="Hiragana"/>
  </si>
  <si>
    <t>イトウ　アン</t>
    <phoneticPr fontId="110" type="Hiragana"/>
  </si>
  <si>
    <t>フユノ　レイヤ</t>
    <phoneticPr fontId="110" type="Hiragana"/>
  </si>
  <si>
    <t>ツネツネガ　ゴウキ</t>
    <phoneticPr fontId="110" type="Hiragana"/>
  </si>
  <si>
    <t>カワムラ　ユウマ</t>
    <phoneticPr fontId="110" type="Hiragana"/>
  </si>
  <si>
    <t>ナガオカ　アヤト</t>
    <phoneticPr fontId="110" type="Hiragana"/>
  </si>
  <si>
    <t>ナカネ　アラン</t>
    <phoneticPr fontId="110" type="Hiragana"/>
  </si>
  <si>
    <t>アベ　ミサキ</t>
    <phoneticPr fontId="110" type="Hiragana"/>
  </si>
  <si>
    <t>スガワ　ソラ</t>
    <phoneticPr fontId="110" type="Hiragana"/>
  </si>
  <si>
    <t>カガワ　ヒナタ</t>
    <phoneticPr fontId="110" type="Hiragana"/>
  </si>
  <si>
    <t>モリワキ　カイセイ</t>
    <phoneticPr fontId="110" type="Hiragana"/>
  </si>
  <si>
    <t>フルハタ　ワタル</t>
    <phoneticPr fontId="110" type="Hiragana"/>
  </si>
  <si>
    <t>ヨシタニ　アオト</t>
    <phoneticPr fontId="110" type="Hiragana"/>
  </si>
  <si>
    <t>ヤノ　カイト</t>
    <phoneticPr fontId="110" type="Hiragana"/>
  </si>
  <si>
    <t>ヒノ　リュウマ</t>
    <phoneticPr fontId="110" type="Hiragana"/>
  </si>
  <si>
    <t>セキ　ミナト</t>
    <phoneticPr fontId="110" type="Hiragana"/>
  </si>
  <si>
    <t>サトウ　ヒサト</t>
    <phoneticPr fontId="110" type="Hiragana"/>
  </si>
  <si>
    <t>ナベシマ　リク</t>
    <phoneticPr fontId="110" type="Hiragana"/>
  </si>
  <si>
    <t>キモト　ワタル</t>
    <phoneticPr fontId="110" type="Hiragana"/>
  </si>
  <si>
    <t>カク　ケイイチ</t>
    <phoneticPr fontId="110" type="Hiragana"/>
  </si>
  <si>
    <t>オジロ　ユウ</t>
    <phoneticPr fontId="110" type="Hiragana"/>
  </si>
  <si>
    <t>タカオ　チアキ</t>
    <phoneticPr fontId="110" type="Hiragana"/>
  </si>
  <si>
    <t>ミヤモト　アオ</t>
    <phoneticPr fontId="110" type="Hiragana"/>
  </si>
  <si>
    <t>テシマ　ショウノスケ</t>
    <phoneticPr fontId="110" type="Hiragana"/>
  </si>
  <si>
    <t>コダマ　ソウワ</t>
    <phoneticPr fontId="110" type="Hiragana"/>
  </si>
  <si>
    <t>クロダ　チヒロ</t>
    <phoneticPr fontId="110" type="Hiragana"/>
  </si>
  <si>
    <t>ヤノ　アラタ</t>
    <phoneticPr fontId="110" type="Hiragana"/>
  </si>
  <si>
    <t>カメイ　コウマ</t>
    <phoneticPr fontId="110" type="Hiragana"/>
  </si>
  <si>
    <t>タナカ　シュウト</t>
    <phoneticPr fontId="110" type="Hiragana"/>
  </si>
  <si>
    <t>クロダ　リュウノスケ</t>
    <phoneticPr fontId="110" type="Hiragana"/>
  </si>
  <si>
    <t>カジワラ　ナギサ</t>
    <phoneticPr fontId="110" type="Hiragana"/>
  </si>
  <si>
    <t>マエダ　スバル</t>
    <phoneticPr fontId="110" type="Hiragana"/>
  </si>
  <si>
    <t>アカボシ　ソウキ</t>
    <phoneticPr fontId="110" type="Hiragana"/>
  </si>
  <si>
    <t>フルタ　イオリ</t>
    <phoneticPr fontId="110" type="Hiragana"/>
  </si>
  <si>
    <t>オカミ　ヨシト</t>
    <phoneticPr fontId="110" type="Hiragana"/>
  </si>
  <si>
    <t>サガラ　ケンシン</t>
    <phoneticPr fontId="110" type="Hiragana"/>
  </si>
  <si>
    <t>ナカノ　ナナト</t>
    <phoneticPr fontId="110" type="Hiragana"/>
  </si>
  <si>
    <t>ホンジョウ　キョウマ</t>
    <phoneticPr fontId="110" type="Hiragana"/>
  </si>
  <si>
    <t>オオエ　ミナト</t>
    <phoneticPr fontId="110" type="Hiragana"/>
  </si>
  <si>
    <t>フジワラ　ワカ</t>
    <phoneticPr fontId="110" type="Hiragana"/>
  </si>
  <si>
    <t>キタガワ　キイチ</t>
    <phoneticPr fontId="110" type="Hiragana"/>
  </si>
  <si>
    <t>ハシモト　カイ</t>
    <phoneticPr fontId="110" type="Hiragana"/>
  </si>
  <si>
    <t>アオノ　マサヒロ</t>
    <phoneticPr fontId="110" type="Hiragana"/>
  </si>
  <si>
    <t>カツラギ　ナギサ</t>
    <phoneticPr fontId="110" type="Hiragana"/>
  </si>
  <si>
    <t>ヒロセ　コタロウ</t>
    <phoneticPr fontId="110" type="Hiragana"/>
  </si>
  <si>
    <t>クリバヤシ　ジュイチ</t>
    <phoneticPr fontId="110" type="Hiragana"/>
  </si>
  <si>
    <t>オク　サキト</t>
    <phoneticPr fontId="110" type="Hiragana"/>
  </si>
  <si>
    <t>ホリタ　イッシン</t>
    <phoneticPr fontId="110" type="Hiragana"/>
  </si>
  <si>
    <t>トヨシマ　ハヤト</t>
    <phoneticPr fontId="110" type="Hiragana"/>
  </si>
  <si>
    <t>オカモト　ヒナタ</t>
    <phoneticPr fontId="110" type="Hiragana"/>
  </si>
  <si>
    <t>シライシ　ハルト</t>
    <phoneticPr fontId="110" type="Hiragana"/>
  </si>
  <si>
    <t>ツノダ　ヨウタ</t>
    <phoneticPr fontId="110" type="Hiragana"/>
  </si>
  <si>
    <t>ヒロオカ　ユズキ</t>
    <phoneticPr fontId="110" type="Hiragana"/>
  </si>
  <si>
    <t>ヨシダ　カレン</t>
    <phoneticPr fontId="110" type="Hiragana"/>
  </si>
  <si>
    <t>ヨシダ　シュウカ</t>
    <phoneticPr fontId="110" type="Hiragana"/>
  </si>
  <si>
    <t>オギノ　ユイト</t>
    <phoneticPr fontId="110" type="Hiragana"/>
  </si>
  <si>
    <t>アサリ　ヨシトモ</t>
    <phoneticPr fontId="110" type="Hiragana"/>
  </si>
  <si>
    <t>ササキ　アオシ</t>
    <phoneticPr fontId="110" type="Hiragana"/>
  </si>
  <si>
    <t>ノマ　オウタロウ</t>
    <phoneticPr fontId="110" type="Hiragana"/>
  </si>
  <si>
    <t>ナカガワジ　ハヤテ</t>
    <phoneticPr fontId="110" type="Hiragana"/>
  </si>
  <si>
    <t>ヤモチ　レオ</t>
    <phoneticPr fontId="110" type="Hiragana"/>
  </si>
  <si>
    <t>ウメオ　カナタ</t>
    <phoneticPr fontId="110" type="Hiragana"/>
  </si>
  <si>
    <t>アラマキ　アオネ</t>
    <phoneticPr fontId="110" type="Hiragana"/>
  </si>
  <si>
    <t>スミダ　ナツキ</t>
    <phoneticPr fontId="110" type="Hiragana"/>
  </si>
  <si>
    <t>フジモト　ケイノスケ</t>
    <phoneticPr fontId="110" type="Hiragana"/>
  </si>
  <si>
    <t>イワオ　ソア</t>
    <phoneticPr fontId="110" type="Hiragana"/>
  </si>
  <si>
    <t>マキ　アリヒサ</t>
    <phoneticPr fontId="110" type="Hiragana"/>
  </si>
  <si>
    <t>シオミツ　コタロウ</t>
    <phoneticPr fontId="110" type="Hiragana"/>
  </si>
  <si>
    <t>マツシタ　ナオト</t>
    <phoneticPr fontId="110" type="Hiragana"/>
  </si>
  <si>
    <t>ヤマダ　レンタ</t>
    <phoneticPr fontId="110" type="Hiragana"/>
  </si>
  <si>
    <t>ウエダ　ソウタ</t>
    <phoneticPr fontId="110" type="Hiragana"/>
  </si>
  <si>
    <t>ヤノ　トウヤ</t>
    <phoneticPr fontId="110" type="Hiragana"/>
  </si>
  <si>
    <t>アカシ　ルイ</t>
    <phoneticPr fontId="110" type="Hiragana"/>
  </si>
  <si>
    <t>ミシロ　ガク</t>
    <phoneticPr fontId="110" type="Hiragana"/>
  </si>
  <si>
    <t>カジワラ　タイセイ</t>
    <phoneticPr fontId="110" type="Hiragana"/>
  </si>
  <si>
    <t>シバサキ　レイシン</t>
    <phoneticPr fontId="110" type="Hiragana"/>
  </si>
  <si>
    <t>シミズ　セナ</t>
    <phoneticPr fontId="110" type="Hiragana"/>
  </si>
  <si>
    <t>ウサギダ　リト</t>
    <phoneticPr fontId="110" type="Hiragana"/>
  </si>
  <si>
    <t>カクドウ　ソラ</t>
    <phoneticPr fontId="110" type="Hiragana"/>
  </si>
  <si>
    <t>フジイ　ソア</t>
    <phoneticPr fontId="110" type="Hiragana"/>
  </si>
  <si>
    <t>オノ　シュウヤ</t>
    <phoneticPr fontId="110" type="Hiragana"/>
  </si>
  <si>
    <t>ウメムラ　シュン</t>
    <phoneticPr fontId="110" type="Hiragana"/>
  </si>
  <si>
    <t>ナカムラ　ハヤト</t>
    <phoneticPr fontId="110" type="Hiragana"/>
  </si>
  <si>
    <t>ハヤシ　カナタ</t>
    <phoneticPr fontId="110" type="Hiragana"/>
  </si>
  <si>
    <t>ザイゼン　ナギサ</t>
    <phoneticPr fontId="110" type="Hiragana"/>
  </si>
  <si>
    <t>エグチ　アキト</t>
    <phoneticPr fontId="110" type="Hiragana"/>
  </si>
  <si>
    <t>ナカヤマ　ライト</t>
    <phoneticPr fontId="110" type="Hiragana"/>
  </si>
  <si>
    <t>フジツカ　レノン</t>
    <phoneticPr fontId="110" type="Hiragana"/>
  </si>
  <si>
    <t>ヒャクタケ　カズマ</t>
    <phoneticPr fontId="110" type="Hiragana"/>
  </si>
  <si>
    <t>ヤノ　ヒビト</t>
    <phoneticPr fontId="110" type="Hiragana"/>
  </si>
  <si>
    <t>ウエダ　ユウキ</t>
    <phoneticPr fontId="110" type="Hiragana"/>
  </si>
  <si>
    <t>ヨシオカ　セイラ</t>
    <phoneticPr fontId="110" type="Hiragana"/>
  </si>
  <si>
    <t>アダチ　イオリ</t>
    <phoneticPr fontId="110" type="Hiragana"/>
  </si>
  <si>
    <t>オクナガ　コウセイ</t>
    <phoneticPr fontId="110" type="Hiragana"/>
  </si>
  <si>
    <t>ハサバ　アラタ</t>
    <phoneticPr fontId="110" type="Hiragana"/>
  </si>
  <si>
    <t>カク　ケイタ</t>
    <phoneticPr fontId="110" type="Hiragana"/>
  </si>
  <si>
    <t>ナカムラ　ミツキ</t>
    <phoneticPr fontId="110" type="Hiragana"/>
  </si>
  <si>
    <t>オノ　カイリ</t>
    <phoneticPr fontId="110" type="Hiragana"/>
  </si>
  <si>
    <t>タカハシ　オウシロウ</t>
    <phoneticPr fontId="110" type="Hiragana"/>
  </si>
  <si>
    <t>イシバシ　カズキ</t>
    <phoneticPr fontId="110" type="Hiragana"/>
  </si>
  <si>
    <t>ミカジリ　ユナ</t>
    <phoneticPr fontId="110" type="Hiragana"/>
  </si>
  <si>
    <t>ゴトウ　カナタ</t>
    <phoneticPr fontId="110" type="Hiragana"/>
  </si>
  <si>
    <t>タナカ　コウ</t>
    <phoneticPr fontId="110" type="Hiragana"/>
  </si>
  <si>
    <t>イワ　ジュンタロウ</t>
    <phoneticPr fontId="110" type="Hiragana"/>
  </si>
  <si>
    <t>シゲイシ　カホ</t>
    <phoneticPr fontId="110" type="Hiragana"/>
  </si>
  <si>
    <t>オノ　サンシロウ</t>
    <phoneticPr fontId="110" type="Hiragana"/>
  </si>
  <si>
    <t>イワオ　ユウ</t>
    <phoneticPr fontId="110" type="Hiragana"/>
  </si>
  <si>
    <t>ゴトウ　ユイト</t>
    <phoneticPr fontId="110" type="Hiragana"/>
  </si>
  <si>
    <t>サトウ　リョウタ</t>
    <phoneticPr fontId="110" type="Hiragana"/>
  </si>
  <si>
    <t>トネ　ミナミ</t>
    <phoneticPr fontId="110" type="Hiragana"/>
  </si>
  <si>
    <t>サメジマ　ツグミ</t>
    <phoneticPr fontId="110" type="Hiragana"/>
  </si>
  <si>
    <t>オオクラ　カナタ</t>
    <phoneticPr fontId="110" type="Hiragana"/>
  </si>
  <si>
    <t>ナカシマ　リネ</t>
    <phoneticPr fontId="110" type="Hiragana"/>
  </si>
  <si>
    <t>タカシマ　ソウ</t>
    <phoneticPr fontId="110" type="Hiragana"/>
  </si>
  <si>
    <t>シバタ　シュイ</t>
    <phoneticPr fontId="110" type="Hiragana"/>
  </si>
  <si>
    <t>クマイ　ユウト</t>
    <phoneticPr fontId="110" type="Hiragana"/>
  </si>
  <si>
    <t>オガエリ　ハヤト</t>
    <phoneticPr fontId="110" type="Hiragana"/>
  </si>
  <si>
    <t>ミゾベ　トオバ</t>
    <phoneticPr fontId="110" type="Hiragana"/>
  </si>
  <si>
    <t>アキヨシ　ハルト</t>
    <phoneticPr fontId="110" type="Hiragana"/>
  </si>
  <si>
    <t>コテガワ　タオ</t>
    <phoneticPr fontId="110" type="Hiragana"/>
  </si>
  <si>
    <t>フクミツ　ヒロト</t>
    <phoneticPr fontId="110" type="Hiragana"/>
  </si>
  <si>
    <t>ミズエ　タイスケ</t>
    <phoneticPr fontId="110" type="Hiragana"/>
  </si>
  <si>
    <t>ムカイ　リク</t>
    <phoneticPr fontId="110" type="Hiragana"/>
  </si>
  <si>
    <t>クワハラ　ハンタ</t>
    <phoneticPr fontId="110" type="Hiragana"/>
  </si>
  <si>
    <t>タケハラ　コトネ</t>
    <phoneticPr fontId="110" type="Hiragana"/>
  </si>
  <si>
    <t>ウルマ　ソウシ</t>
    <phoneticPr fontId="110" type="Hiragana"/>
  </si>
  <si>
    <t>タカダ　カイト</t>
    <phoneticPr fontId="110" type="Hiragana"/>
  </si>
  <si>
    <t>オオツカ　アラタ</t>
    <phoneticPr fontId="110" type="Hiragana"/>
  </si>
  <si>
    <t>マツキ　ソウヘイ</t>
    <phoneticPr fontId="110" type="Hiragana"/>
  </si>
  <si>
    <t>アカギ　カナタ</t>
    <phoneticPr fontId="110" type="Hiragana"/>
  </si>
  <si>
    <t>サシハラ　ケイスケ</t>
    <phoneticPr fontId="110" type="Hiragana"/>
  </si>
  <si>
    <t>クワハラ　マサキ</t>
    <phoneticPr fontId="110" type="Hiragana"/>
  </si>
  <si>
    <t>カワノ　キイチ</t>
    <phoneticPr fontId="110" type="Hiragana"/>
  </si>
  <si>
    <t>ゴトウ　ヒロミ</t>
    <phoneticPr fontId="110" type="Hiragana"/>
  </si>
  <si>
    <t>イケウチ　ナル</t>
    <phoneticPr fontId="110" type="Hiragana"/>
  </si>
  <si>
    <t>ヤマグチ　サクヤ</t>
    <phoneticPr fontId="110" type="Hiragana"/>
  </si>
  <si>
    <t>イトナガ　レイカ</t>
    <phoneticPr fontId="110" type="Hiragana"/>
  </si>
  <si>
    <t>サカグチ　ユウダイ</t>
    <phoneticPr fontId="110" type="Hiragana"/>
  </si>
  <si>
    <t>ウツノミヤ　ヒナタ</t>
    <phoneticPr fontId="110" type="Hiragana"/>
  </si>
  <si>
    <t>タナカ　タツオミ</t>
    <phoneticPr fontId="110" type="Hiragana"/>
  </si>
  <si>
    <t>オオカワ　エミカ</t>
    <phoneticPr fontId="110" type="Hiragana"/>
  </si>
  <si>
    <t>ドウジョウ　リンカ</t>
    <phoneticPr fontId="110" type="Hiragana"/>
  </si>
  <si>
    <t>ムラカミ　ソウタ</t>
    <phoneticPr fontId="110" type="Hiragana"/>
  </si>
  <si>
    <t>アベ　アツト</t>
    <phoneticPr fontId="110" type="Hiragana"/>
  </si>
  <si>
    <t>カワソコ　ユウ</t>
    <phoneticPr fontId="110" type="Hiragana"/>
  </si>
  <si>
    <t>カワノ　ソウマ</t>
    <phoneticPr fontId="110" type="Hiragana"/>
  </si>
  <si>
    <t>イシミ　コト</t>
    <phoneticPr fontId="110" type="Hiragana"/>
  </si>
  <si>
    <t>サカモト　トオヤ</t>
    <phoneticPr fontId="110" type="Hiragana"/>
  </si>
  <si>
    <t>ナカハラ　ユメ</t>
    <phoneticPr fontId="110" type="Hiragana"/>
  </si>
  <si>
    <t>ヤマウチ　アヤキ</t>
    <phoneticPr fontId="110" type="Hiragana"/>
  </si>
  <si>
    <t>ミウラ　ショウタ</t>
    <phoneticPr fontId="110" type="Hiragana"/>
  </si>
  <si>
    <t>カワノ　ケイタ</t>
    <phoneticPr fontId="110" type="Hiragana"/>
  </si>
  <si>
    <t>ヤマギワ　リョウマ</t>
    <phoneticPr fontId="110" type="Hiragana"/>
  </si>
  <si>
    <t>サトウ　ワカバ</t>
    <phoneticPr fontId="110" type="Hiragana"/>
  </si>
  <si>
    <t>タニヤマ　ハヤト</t>
    <phoneticPr fontId="110" type="Hiragana"/>
  </si>
  <si>
    <t>イノウエ　タクト</t>
    <phoneticPr fontId="110" type="Hiragana"/>
  </si>
  <si>
    <t>ウド　スズナ</t>
    <phoneticPr fontId="110" type="Hiragana"/>
  </si>
  <si>
    <t>アサイ　ソウイチロウ</t>
    <phoneticPr fontId="110" type="Hiragana"/>
  </si>
  <si>
    <t>コバヤシ　ハルキ</t>
    <phoneticPr fontId="110" type="Hiragana"/>
  </si>
  <si>
    <t>サトウ　リンノスケ</t>
    <phoneticPr fontId="110" type="Hiragana"/>
  </si>
  <si>
    <t>ソノダ　カイシン</t>
    <phoneticPr fontId="110" type="Hiragana"/>
  </si>
  <si>
    <t>ノムラ　ユウト</t>
    <phoneticPr fontId="110" type="Hiragana"/>
  </si>
  <si>
    <t>サトウ　リキ</t>
    <phoneticPr fontId="110" type="Hiragana"/>
  </si>
  <si>
    <t>アリヨシ　ハヤタ</t>
    <phoneticPr fontId="110" type="Hiragana"/>
  </si>
  <si>
    <t>ヒメシマ　イアト</t>
    <phoneticPr fontId="110" type="Hiragana"/>
  </si>
  <si>
    <t>ヒグチ　オオセイ</t>
    <phoneticPr fontId="110" type="Hiragana"/>
  </si>
  <si>
    <t>タバタ　エイタ</t>
    <phoneticPr fontId="110" type="Hiragana"/>
  </si>
  <si>
    <t>タカフジ　イサ</t>
    <phoneticPr fontId="110" type="Hiragana"/>
  </si>
  <si>
    <t>クロギ　リント</t>
    <phoneticPr fontId="110" type="Hiragana"/>
  </si>
  <si>
    <t>オザキ　ショウ</t>
    <phoneticPr fontId="110" type="Hiragana"/>
  </si>
  <si>
    <t>イワタ　ケンセイ</t>
    <phoneticPr fontId="110" type="Hiragana"/>
  </si>
  <si>
    <t>トオヤマ　ソウマ</t>
    <phoneticPr fontId="110" type="Hiragana"/>
  </si>
  <si>
    <t>カジワラ　ウタ</t>
    <phoneticPr fontId="110" type="Hiragana"/>
  </si>
  <si>
    <t>アンドウ　リョウジ</t>
    <phoneticPr fontId="110" type="Hiragana"/>
  </si>
  <si>
    <t>アキヤマ　ソウマ</t>
    <phoneticPr fontId="110" type="Hiragana"/>
  </si>
  <si>
    <t>サトウ　ハルト</t>
    <phoneticPr fontId="110" type="Hiragana"/>
  </si>
  <si>
    <t>ヒダカ　ナル</t>
    <phoneticPr fontId="110" type="Hiragana"/>
  </si>
  <si>
    <t>ミウラ　チヒロ</t>
    <phoneticPr fontId="110" type="Hiragana"/>
  </si>
  <si>
    <t>アキヤマ　タイシュン</t>
    <phoneticPr fontId="110" type="Hiragana"/>
  </si>
  <si>
    <t>オオニシ　タスク</t>
    <phoneticPr fontId="110" type="Hiragana"/>
  </si>
  <si>
    <t>ヨシダ　シュウト</t>
    <phoneticPr fontId="110" type="Hiragana"/>
  </si>
  <si>
    <t>スガワ　カイリ</t>
    <phoneticPr fontId="110" type="Hiragana"/>
  </si>
  <si>
    <t>カミベップ　リョウ</t>
    <phoneticPr fontId="110" type="Hiragana"/>
  </si>
  <si>
    <t>エガワ　ユウセイ</t>
    <phoneticPr fontId="110" type="Hiragana"/>
  </si>
  <si>
    <t>ツダ　オウスケ</t>
    <phoneticPr fontId="110" type="Hiragana"/>
  </si>
  <si>
    <t>タツカワ　ユウヒ</t>
    <phoneticPr fontId="110" type="Hiragana"/>
  </si>
  <si>
    <t>ゴトウ　シュンタロウ</t>
    <phoneticPr fontId="110" type="Hiragana"/>
  </si>
  <si>
    <t>テラシマ　ダイチ</t>
    <phoneticPr fontId="110" type="Hiragana"/>
  </si>
  <si>
    <t>ヤギ　ソウスケ</t>
    <phoneticPr fontId="110" type="Hiragana"/>
  </si>
  <si>
    <t>イワキ　ユウト</t>
    <phoneticPr fontId="110" type="Hiragana"/>
  </si>
  <si>
    <t>グンダ　テルヤ</t>
    <phoneticPr fontId="110" type="Hiragana"/>
  </si>
  <si>
    <t>アサリ　チヒロ</t>
    <phoneticPr fontId="110" type="Hiragana"/>
  </si>
  <si>
    <t>ニイナ　カンタ</t>
    <phoneticPr fontId="110" type="Hiragana"/>
  </si>
  <si>
    <t>エトウ　ケンタ</t>
    <phoneticPr fontId="110" type="Hiragana"/>
  </si>
  <si>
    <t>カワノ　ハナコ</t>
    <phoneticPr fontId="110" type="Hiragana"/>
  </si>
  <si>
    <t>ミヤケ　シキ</t>
    <phoneticPr fontId="110" type="Hiragana"/>
  </si>
  <si>
    <t>モリ　ハヤト</t>
    <phoneticPr fontId="110" type="Hiragana"/>
  </si>
  <si>
    <t>ゴウタニ　ユヅキ</t>
    <phoneticPr fontId="110" type="Hiragana"/>
  </si>
  <si>
    <t>ナガタ　カオル</t>
    <phoneticPr fontId="110" type="Hiragana"/>
  </si>
  <si>
    <t>クジラ　ユウト</t>
    <phoneticPr fontId="110" type="Hiragana"/>
  </si>
  <si>
    <t>ゴトウ　カズト</t>
    <phoneticPr fontId="110" type="Hiragana"/>
  </si>
  <si>
    <t>キダ　リョウスケ</t>
    <phoneticPr fontId="110" type="Hiragana"/>
  </si>
  <si>
    <t>ナガトモ　キッペイ</t>
    <phoneticPr fontId="110" type="Hiragana"/>
  </si>
  <si>
    <t>タカハシ　リュウノスケ</t>
    <phoneticPr fontId="110" type="Hiragana"/>
  </si>
  <si>
    <t>モングチ　マヒロ</t>
    <phoneticPr fontId="110" type="Hiragana"/>
  </si>
  <si>
    <t>ホリバ　アオイ</t>
    <phoneticPr fontId="110" type="Hiragana"/>
  </si>
  <si>
    <t>クスメギ　ミサキ</t>
    <phoneticPr fontId="110" type="Hiragana"/>
  </si>
  <si>
    <t>ハダテ　マサト</t>
    <phoneticPr fontId="110" type="Hiragana"/>
  </si>
  <si>
    <t>チュウジョウ　エイタ</t>
    <phoneticPr fontId="110" type="Hiragana"/>
  </si>
  <si>
    <t>ハダノ　リク</t>
    <phoneticPr fontId="110" type="Hiragana"/>
  </si>
  <si>
    <t>タケヨシ　リンカ</t>
    <phoneticPr fontId="110" type="Hiragana"/>
  </si>
  <si>
    <t>タケヨシ　ランカ</t>
    <phoneticPr fontId="110" type="Hiragana"/>
  </si>
  <si>
    <t>ミネ　ハルト</t>
    <phoneticPr fontId="110" type="Hiragana"/>
  </si>
  <si>
    <t>マルタ　ルイ</t>
    <phoneticPr fontId="110" type="Hiragana"/>
  </si>
  <si>
    <t>シオミツ　リュウノスケ</t>
    <phoneticPr fontId="110" type="Hiragana"/>
  </si>
  <si>
    <t>マキ　ヤマト</t>
    <phoneticPr fontId="110" type="Hiragana"/>
  </si>
  <si>
    <t>トミタ　ジュノン</t>
    <phoneticPr fontId="110" type="Hiragana"/>
  </si>
  <si>
    <t>シラエ　シュウ</t>
    <phoneticPr fontId="110" type="Hiragana"/>
  </si>
  <si>
    <t>タカムラ　リツ</t>
    <phoneticPr fontId="110" type="Hiragana"/>
  </si>
  <si>
    <t>コバヤシ　ヒロト</t>
    <phoneticPr fontId="110" type="Hiragana"/>
  </si>
  <si>
    <t>ヤマサキ　ミナト</t>
    <phoneticPr fontId="110" type="Hiragana"/>
  </si>
  <si>
    <t>カツラギ　ヨウ</t>
    <phoneticPr fontId="110" type="Hiragana"/>
  </si>
  <si>
    <t>フルマジ　ライキ</t>
    <phoneticPr fontId="110" type="Hiragana"/>
  </si>
  <si>
    <t>タキグチ　ライガ</t>
    <phoneticPr fontId="110" type="Hiragana"/>
  </si>
  <si>
    <t>タキグチ　フウガ</t>
    <phoneticPr fontId="110" type="Hiragana"/>
  </si>
  <si>
    <t>オオニシ　ハルト</t>
    <phoneticPr fontId="110" type="Hiragana"/>
  </si>
  <si>
    <t>キモト　マサト</t>
    <phoneticPr fontId="110" type="Hiragana"/>
  </si>
  <si>
    <t>ヤマダ　ヒロト</t>
    <phoneticPr fontId="110" type="Hiragana"/>
  </si>
  <si>
    <t>ヒラノ　バン</t>
    <phoneticPr fontId="110" type="Hiragana"/>
  </si>
  <si>
    <t>タカシマ　ユウ</t>
    <phoneticPr fontId="110" type="Hiragana"/>
  </si>
  <si>
    <t>アベ　リョウスケ</t>
    <phoneticPr fontId="110" type="Hiragana"/>
  </si>
  <si>
    <t>選手＿ふりがな</t>
    <phoneticPr fontId="110"/>
  </si>
  <si>
    <t>あべ　ゆいたろう</t>
    <phoneticPr fontId="29"/>
  </si>
  <si>
    <t>にのみや　そうた</t>
    <phoneticPr fontId="29"/>
  </si>
  <si>
    <t>おの　ひょうが</t>
    <phoneticPr fontId="29"/>
  </si>
  <si>
    <t>うえの　そうすけ</t>
  </si>
  <si>
    <t>かん　たいすけ</t>
  </si>
  <si>
    <t>すえなが　あおと</t>
  </si>
  <si>
    <t>よしだ　はるま</t>
  </si>
  <si>
    <t>きた　はるき</t>
  </si>
  <si>
    <t>たなべ　ゆうだい</t>
  </si>
  <si>
    <t>とうない　しゅう</t>
  </si>
  <si>
    <t>きもと　せあん</t>
  </si>
  <si>
    <t>しゅとう　まのあ</t>
  </si>
  <si>
    <t>まつおか　ひな</t>
  </si>
  <si>
    <t>ふりがな比較</t>
    <rPh sb="4" eb="6">
      <t>ヒカク</t>
    </rPh>
    <phoneticPr fontId="29"/>
  </si>
  <si>
    <t>×</t>
    <phoneticPr fontId="29"/>
  </si>
  <si>
    <t>　　　指導者資格証、審判資格証を有していない、ベンチ入り予定の指導者については、顔写真の確認出来る証明書(免許証等)を携帯しておく事。</t>
    <rPh sb="16" eb="17">
      <t>ユウ</t>
    </rPh>
    <rPh sb="26" eb="27">
      <t>イ</t>
    </rPh>
    <rPh sb="28" eb="30">
      <t>ヨテイ</t>
    </rPh>
    <rPh sb="31" eb="34">
      <t>シドウシャ</t>
    </rPh>
    <rPh sb="40" eb="43">
      <t>カオシャシン</t>
    </rPh>
    <rPh sb="44" eb="46">
      <t>カクニン</t>
    </rPh>
    <rPh sb="46" eb="48">
      <t>デキ</t>
    </rPh>
    <rPh sb="49" eb="52">
      <t>ショウメイショ</t>
    </rPh>
    <rPh sb="53" eb="56">
      <t>メンキョショウ</t>
    </rPh>
    <rPh sb="56" eb="57">
      <t>トウ</t>
    </rPh>
    <rPh sb="59" eb="61">
      <t>ケイタイ</t>
    </rPh>
    <rPh sb="65" eb="66">
      <t>コト</t>
    </rPh>
    <phoneticPr fontId="110"/>
  </si>
  <si>
    <t xml:space="preserve">　　　また、ベンチ入りする指導者は、指導者を識別するためのIDプレートを大会本部より配布する。
</t>
    <phoneticPr fontId="110"/>
  </si>
  <si>
    <t xml:space="preserve">　　　選手への戦術的な指示やコーチングを行う際は、必ずIDプレートを着用すること。尚、IDを配布される
</t>
    <phoneticPr fontId="110"/>
  </si>
  <si>
    <t>　　　指導者はD級以上の有資格者とし、無資格者のベンチ入りは認めるが戦術的指示は認めない。</t>
    <phoneticPr fontId="110"/>
  </si>
  <si>
    <t>D3</t>
    <phoneticPr fontId="29"/>
  </si>
  <si>
    <t>L3</t>
    <phoneticPr fontId="29"/>
  </si>
  <si>
    <t>B3</t>
    <phoneticPr fontId="29"/>
  </si>
  <si>
    <t>G1</t>
    <phoneticPr fontId="29"/>
  </si>
  <si>
    <t>A1</t>
    <phoneticPr fontId="29"/>
  </si>
  <si>
    <t>F1</t>
    <phoneticPr fontId="29"/>
  </si>
  <si>
    <t>K1</t>
    <phoneticPr fontId="29"/>
  </si>
  <si>
    <t>L1</t>
    <phoneticPr fontId="29"/>
  </si>
  <si>
    <t>E1</t>
    <phoneticPr fontId="29"/>
  </si>
  <si>
    <t>C1</t>
    <phoneticPr fontId="29"/>
  </si>
  <si>
    <t>H1</t>
    <phoneticPr fontId="29"/>
  </si>
  <si>
    <t>J1</t>
    <phoneticPr fontId="29"/>
  </si>
  <si>
    <t>D1</t>
    <phoneticPr fontId="29"/>
  </si>
  <si>
    <t>B1</t>
    <phoneticPr fontId="29"/>
  </si>
  <si>
    <t>臼杵・津久見</t>
    <phoneticPr fontId="29"/>
  </si>
  <si>
    <t>E3</t>
    <phoneticPr fontId="29"/>
  </si>
  <si>
    <t>J3</t>
    <phoneticPr fontId="29"/>
  </si>
  <si>
    <t>I3</t>
    <phoneticPr fontId="29"/>
  </si>
  <si>
    <t>G3</t>
    <phoneticPr fontId="29"/>
  </si>
  <si>
    <t>F3</t>
    <phoneticPr fontId="29"/>
  </si>
  <si>
    <t>F2</t>
    <phoneticPr fontId="29"/>
  </si>
  <si>
    <t>A2</t>
    <phoneticPr fontId="29"/>
  </si>
  <si>
    <t>I2</t>
    <phoneticPr fontId="29"/>
  </si>
  <si>
    <t>K2</t>
    <phoneticPr fontId="29"/>
  </si>
  <si>
    <t>C2</t>
    <phoneticPr fontId="29"/>
  </si>
  <si>
    <t>H2</t>
    <phoneticPr fontId="29"/>
  </si>
  <si>
    <t>J2</t>
    <phoneticPr fontId="29"/>
  </si>
  <si>
    <t>K3</t>
    <phoneticPr fontId="29"/>
  </si>
  <si>
    <t>D2</t>
    <phoneticPr fontId="29"/>
  </si>
  <si>
    <t>B2</t>
    <phoneticPr fontId="29"/>
  </si>
  <si>
    <t>A3</t>
    <phoneticPr fontId="29"/>
  </si>
  <si>
    <t>L2</t>
    <phoneticPr fontId="29"/>
  </si>
  <si>
    <t>G2</t>
    <phoneticPr fontId="29"/>
  </si>
  <si>
    <t>C3</t>
    <phoneticPr fontId="29"/>
  </si>
  <si>
    <t>E2</t>
    <phoneticPr fontId="29"/>
  </si>
  <si>
    <t>H3</t>
    <phoneticPr fontId="29"/>
  </si>
  <si>
    <t>I1</t>
    <phoneticPr fontId="29"/>
  </si>
  <si>
    <t>A</t>
    <phoneticPr fontId="29"/>
  </si>
  <si>
    <t>B</t>
    <phoneticPr fontId="29"/>
  </si>
  <si>
    <t>C</t>
    <phoneticPr fontId="29"/>
  </si>
  <si>
    <t>D</t>
    <phoneticPr fontId="29"/>
  </si>
  <si>
    <t>E</t>
    <phoneticPr fontId="29"/>
  </si>
  <si>
    <t>F</t>
    <phoneticPr fontId="29"/>
  </si>
  <si>
    <t>G</t>
    <phoneticPr fontId="29"/>
  </si>
  <si>
    <t>H</t>
    <phoneticPr fontId="29"/>
  </si>
  <si>
    <t>I</t>
    <phoneticPr fontId="29"/>
  </si>
  <si>
    <t>J</t>
    <phoneticPr fontId="29"/>
  </si>
  <si>
    <t>K</t>
    <phoneticPr fontId="29"/>
  </si>
  <si>
    <t>L</t>
    <phoneticPr fontId="29"/>
  </si>
  <si>
    <t>日出サッカースポーツ少年団　ＮＥＸＴ</t>
  </si>
  <si>
    <t>大分トリニータタートルズキング</t>
  </si>
  <si>
    <t>ＮＦＣ・ＯＩＴＡ　Ｕ１２Ｂ</t>
  </si>
  <si>
    <t>FP</t>
  </si>
  <si>
    <t>カワヅ　オウキ</t>
  </si>
  <si>
    <t>イヤマ　アヤ</t>
  </si>
  <si>
    <t>ワタナベ　リョウ</t>
  </si>
  <si>
    <t>ウメキ　ショウヨウ</t>
  </si>
  <si>
    <t>イシダ　コウタ</t>
  </si>
  <si>
    <t>ミズタニ　ソウスケ</t>
  </si>
  <si>
    <t>マツオカ　コウタ</t>
  </si>
  <si>
    <t>アナイ　タイヨウ</t>
  </si>
  <si>
    <t>オガエリ　ハヤト</t>
  </si>
  <si>
    <t>チハラ　タクム</t>
  </si>
  <si>
    <t>カジワラ　タイセイ</t>
  </si>
  <si>
    <t>ヤワタ　ショウ</t>
  </si>
  <si>
    <t>ソノダ　コウスケ</t>
  </si>
  <si>
    <t>ナカヤマ　レント</t>
  </si>
  <si>
    <t>タカハシ　レンスケ</t>
  </si>
  <si>
    <t>タカオ　イブキ</t>
  </si>
  <si>
    <t>サガラ　ルキト</t>
  </si>
  <si>
    <t>サクラギ　ロク</t>
  </si>
  <si>
    <t>テシマ　ココネ</t>
  </si>
  <si>
    <t>マツオ　リョウスケ</t>
  </si>
  <si>
    <t>ナカシマ　ヒデト</t>
  </si>
  <si>
    <t>セグチ　リンスケ</t>
  </si>
  <si>
    <t>イノウエ　コウ</t>
  </si>
  <si>
    <t>タカダ　ハルト</t>
  </si>
  <si>
    <t>タナカ　アカリ</t>
  </si>
  <si>
    <t>ナカムラ　ケイシン</t>
  </si>
  <si>
    <t>タカクラ　タケヒト</t>
  </si>
  <si>
    <t>カワヅ　リアナ</t>
  </si>
  <si>
    <t>タカオ　アサヒ</t>
  </si>
  <si>
    <t>フジワラ　カナデ</t>
  </si>
  <si>
    <t>ワゴウ　ヒサシ</t>
  </si>
  <si>
    <t>ヨシカイ　イロ</t>
  </si>
  <si>
    <t>フクザワ　カエデ</t>
  </si>
  <si>
    <t>ツツイ　エイト</t>
  </si>
  <si>
    <t>エグマ　コウスケ</t>
  </si>
  <si>
    <t>アナイ　ユウタ</t>
  </si>
  <si>
    <t>サコ　モモタ</t>
  </si>
  <si>
    <t>イマナガ　シンカ</t>
  </si>
  <si>
    <t>ナガモト　ナナカ</t>
  </si>
  <si>
    <t>ツネヒロ　モモミ</t>
  </si>
  <si>
    <t>ツネヒロ　カナル</t>
  </si>
  <si>
    <t>イソベ　ハル</t>
  </si>
  <si>
    <t>カバタ　ソウスケ</t>
  </si>
  <si>
    <t>タカオ　レイジ</t>
  </si>
  <si>
    <t>サカイ　オウガ</t>
  </si>
  <si>
    <t>オカザキ　キヨマサ</t>
  </si>
  <si>
    <t>オノ　タケル</t>
  </si>
  <si>
    <t>タキグチ　ジョウジロウ</t>
  </si>
  <si>
    <t>カモ　ショウタ</t>
  </si>
  <si>
    <t>ハタセ　トア</t>
  </si>
  <si>
    <t>ヤマグチ　ケイト</t>
  </si>
  <si>
    <t>トモキヨ　リョウマ</t>
  </si>
  <si>
    <t>タグチ　リュウト</t>
  </si>
  <si>
    <t>コバヤシ　コウスケ</t>
  </si>
  <si>
    <t>トクミツ　ケイタ</t>
  </si>
  <si>
    <t>ナカハタ　タイガ</t>
  </si>
  <si>
    <t>ソエジマ　ユウセイ</t>
  </si>
  <si>
    <t>スエマツ　カナタ</t>
  </si>
  <si>
    <t>コハラ　キズナ</t>
  </si>
  <si>
    <t>イチバ　リク</t>
  </si>
  <si>
    <t>アラカワ　コウタ</t>
  </si>
  <si>
    <t>タムラ　ケンゴ</t>
  </si>
  <si>
    <t>コウバル　ヨリト</t>
  </si>
  <si>
    <t>コバヤシ　ワタル</t>
  </si>
  <si>
    <t>オガワ　ハルト</t>
  </si>
  <si>
    <t>ナカモト　トモキ</t>
  </si>
  <si>
    <t>ハマコウジ　ソウマ</t>
  </si>
  <si>
    <t>ミムラ　タカノリ</t>
  </si>
  <si>
    <t>ナカモト　ダイキ</t>
  </si>
  <si>
    <t>カワバタ　ケンシン</t>
  </si>
  <si>
    <t>タハラ　サク</t>
  </si>
  <si>
    <t>コバタ　ソウタ</t>
  </si>
  <si>
    <t>イシダ　リョウト</t>
  </si>
  <si>
    <t>カマモト　ソウタ</t>
  </si>
  <si>
    <t>フジモト　ユウト</t>
  </si>
  <si>
    <t>フルタ　カイ</t>
  </si>
  <si>
    <t>オノ　タイガ</t>
  </si>
  <si>
    <t>アラマキ　エイト</t>
  </si>
  <si>
    <t>ニノミヤ　コウシ</t>
  </si>
  <si>
    <t>ヤツナミ　ココナ</t>
  </si>
  <si>
    <t>オカ　コウキ</t>
  </si>
  <si>
    <t>リョウザン　テルヨシ</t>
  </si>
  <si>
    <t>タカハシ　シュウゴ</t>
  </si>
  <si>
    <t>ウツノミヤ　エイト</t>
  </si>
  <si>
    <t>タムラ　ダン</t>
  </si>
  <si>
    <t>カク　アオイ</t>
  </si>
  <si>
    <t>クドウ　シュンキ</t>
  </si>
  <si>
    <t>ザイゼン　ナギサ</t>
  </si>
  <si>
    <t>ツノダ　ヨウタ</t>
  </si>
  <si>
    <t>ヤマサキ　ユウト</t>
  </si>
  <si>
    <t>スエマツ　ソウ</t>
  </si>
  <si>
    <t>アナミ　ケンイチ</t>
  </si>
  <si>
    <t>サガラ　ミズキ</t>
  </si>
  <si>
    <t>ヤマモト　カナデ</t>
  </si>
  <si>
    <t>ナカニシ　エイタロウ</t>
  </si>
  <si>
    <t>スエヒロ　カズト</t>
  </si>
  <si>
    <t>スエヒロ　フウト</t>
  </si>
  <si>
    <t>モリ　レオ</t>
  </si>
  <si>
    <t>タカハシ　センスケ</t>
  </si>
  <si>
    <t>オガワ　コウタ</t>
  </si>
  <si>
    <t>オノ　ソウマ</t>
  </si>
  <si>
    <t>ナカノ　エイト</t>
  </si>
  <si>
    <t>ハタナカ　ヒナタ</t>
  </si>
  <si>
    <t>タケヤマ　オウスケ</t>
  </si>
  <si>
    <t>タナカ　コウメイ</t>
  </si>
  <si>
    <t>アサブキ　リク</t>
  </si>
  <si>
    <t>タカマツ　エイト</t>
  </si>
  <si>
    <t>ミヤカワ　コウ</t>
  </si>
  <si>
    <t>フクナガ　ゼンシロウ</t>
  </si>
  <si>
    <t>ヤダ　ガク</t>
  </si>
  <si>
    <t>ニシエダ　ナナミ</t>
  </si>
  <si>
    <t>ヨシミツ　コウ</t>
  </si>
  <si>
    <t>ハシモト　リク</t>
  </si>
  <si>
    <t>イトウ　ショウマ</t>
  </si>
  <si>
    <t>クリハラ　コウ</t>
  </si>
  <si>
    <t>ニシダ　コウタ</t>
  </si>
  <si>
    <t>ヒナゴ　ユイ</t>
  </si>
  <si>
    <t>ノガミ　カンタ</t>
  </si>
  <si>
    <t>タケダ　イツキ</t>
  </si>
  <si>
    <t>コヤマ　ガク</t>
  </si>
  <si>
    <t>ヤマサキ　エニシ</t>
  </si>
  <si>
    <t>アンベ　トモアツ</t>
  </si>
  <si>
    <t>ノジ　テンマ</t>
  </si>
  <si>
    <t>カワサキ　リヒト</t>
  </si>
  <si>
    <t>ゴトウ　ヒナタ</t>
  </si>
  <si>
    <t>ヤマモト　ケイタ</t>
  </si>
  <si>
    <t>ニシモト　ナオキ</t>
  </si>
  <si>
    <t>ハラヤマ　ケイト</t>
  </si>
  <si>
    <t>ムラカミ　ビャクヤ</t>
  </si>
  <si>
    <t>ヤノ　アサヒ</t>
  </si>
  <si>
    <t>エグチ　サクマ</t>
  </si>
  <si>
    <t>ヤマサキ　カムイ</t>
  </si>
  <si>
    <t>ヤマモト　ヒナタ</t>
  </si>
  <si>
    <t>タナカ　アサヒ</t>
  </si>
  <si>
    <t>クギマル　ユイト</t>
  </si>
  <si>
    <t>ウド　ソウシ</t>
  </si>
  <si>
    <t>イケダ　レント</t>
  </si>
  <si>
    <t>マルタニ　ルイト</t>
  </si>
  <si>
    <t>ナンバ　タカユキ</t>
  </si>
  <si>
    <t>シジョウ　ソウタ</t>
  </si>
  <si>
    <t>オクナガ　リュウセイ</t>
  </si>
  <si>
    <t>オクシマ　シュウスケ</t>
  </si>
  <si>
    <t>カジワラ　トオマ</t>
  </si>
  <si>
    <t>ドウジョウ　アカリ</t>
  </si>
  <si>
    <t>ヒロキ　ハルイチ</t>
  </si>
  <si>
    <t>ウメキ　ヒロセ</t>
  </si>
  <si>
    <t>オオエ　アンリ</t>
  </si>
  <si>
    <t>オオシモ　タツキ</t>
  </si>
  <si>
    <t>トモマツ　シュン</t>
  </si>
  <si>
    <t>ヤマグチ　エマ</t>
  </si>
  <si>
    <t>イケダ　アラタ</t>
  </si>
  <si>
    <t>アキヨシ　アイセイ</t>
  </si>
  <si>
    <t>シンヤ　ソウタ</t>
  </si>
  <si>
    <t>シンヤ　ヒロト</t>
  </si>
  <si>
    <t>ハタ　ユウト</t>
  </si>
  <si>
    <t>シブタ　ガク</t>
  </si>
  <si>
    <t>フジマル　リョウゴ</t>
  </si>
  <si>
    <t>ナカシマ　カイ</t>
  </si>
  <si>
    <t>オオクボ　トウリ</t>
  </si>
  <si>
    <t>ウエヤマ　クルミ</t>
  </si>
  <si>
    <t>フルカワ　チハル</t>
  </si>
  <si>
    <t>ヤダ　レン</t>
  </si>
  <si>
    <t>ノダ　コウラン</t>
  </si>
  <si>
    <t>コヤマ　コウゾウ</t>
  </si>
  <si>
    <t>ソメヤ　キヨシ</t>
  </si>
  <si>
    <t>モリサキ　ヒヅキ</t>
  </si>
  <si>
    <t>キノシタ　ハルキ</t>
  </si>
  <si>
    <t>コテガワ　タオ</t>
  </si>
  <si>
    <t>マルヤマ　リク</t>
  </si>
  <si>
    <t>シオツキ　リオ</t>
  </si>
  <si>
    <t>イワモト　ユウキ</t>
  </si>
  <si>
    <t>オワタリ　ユイト</t>
  </si>
  <si>
    <t>キモト　マサト</t>
  </si>
  <si>
    <t>ナカジマ　ハク</t>
  </si>
  <si>
    <t>オオカワ　エミカ</t>
  </si>
  <si>
    <t>オノ　アコ</t>
  </si>
  <si>
    <t>オノ　ニコ</t>
  </si>
  <si>
    <t>サトウ　ヒナタ</t>
  </si>
  <si>
    <t>アキモト　ヨウタ</t>
  </si>
  <si>
    <t>ツダ　ソウア</t>
  </si>
  <si>
    <t>マエダ　ソラト</t>
  </si>
  <si>
    <t>オノ　ユイト</t>
  </si>
  <si>
    <t>コダマ　アツキ</t>
  </si>
  <si>
    <t>アベ　ケイスケ</t>
  </si>
  <si>
    <t>シュトウ　ゲンジ</t>
  </si>
  <si>
    <t>サトウ　ハル</t>
  </si>
  <si>
    <t>マジマ　オウガ</t>
  </si>
  <si>
    <t>オテキ　タケル</t>
  </si>
  <si>
    <t>ナカトミ　ソウマ</t>
  </si>
  <si>
    <t>ヤマカワ　アイキ</t>
  </si>
  <si>
    <t>モリ　セイイチロウ</t>
  </si>
  <si>
    <t>ナガオ　セナ</t>
  </si>
  <si>
    <t>イシバシ　ユウ</t>
  </si>
  <si>
    <t>サキムラ　ユウセイ</t>
  </si>
  <si>
    <t>イケミヤ　アラタ</t>
  </si>
  <si>
    <t>イノウエ　サクト</t>
  </si>
  <si>
    <t>ニシ　キイチロウ</t>
  </si>
  <si>
    <t>テラダ　タケシ</t>
  </si>
  <si>
    <t>ザイゼン　アヤト</t>
  </si>
  <si>
    <t>カマクラ　オサム</t>
  </si>
  <si>
    <t>ヤマモト　タケル</t>
  </si>
  <si>
    <t>ナガノ　ソウ</t>
  </si>
  <si>
    <t>ウエムラ　ナギサ</t>
  </si>
  <si>
    <t>ヤマナカ　トア</t>
  </si>
  <si>
    <t>コバヤシ　ハルト</t>
  </si>
  <si>
    <t>イナオ　リュウマ</t>
  </si>
  <si>
    <t>カク　ミツキ</t>
  </si>
  <si>
    <t>カイ　ヤマト</t>
  </si>
  <si>
    <t>タカクラ　ソウタ</t>
  </si>
  <si>
    <t>オオニシ　サトシ</t>
  </si>
  <si>
    <t>ゴトウ　ツカサ</t>
  </si>
  <si>
    <t>ミズナガ　ヒナト</t>
  </si>
  <si>
    <t>カトウ　ミワ</t>
  </si>
  <si>
    <t>ムコハタ　シュンスケ</t>
  </si>
  <si>
    <t>ノリカワ　コウキ</t>
  </si>
  <si>
    <t>ノリカワ　ナルキ</t>
  </si>
  <si>
    <t>ミシロ　リンタロウ</t>
  </si>
  <si>
    <t>タナカ　レオ</t>
  </si>
  <si>
    <t>ヒメノ　ルイク</t>
  </si>
  <si>
    <t>サトウ　ユウマ</t>
  </si>
  <si>
    <t>イシイ　レイ</t>
  </si>
  <si>
    <t>イトウ　アキ</t>
  </si>
  <si>
    <t>ヤマモト　ユウガ</t>
  </si>
  <si>
    <t>トウナイ　シュウ</t>
  </si>
  <si>
    <t>ハシモト　タイリ</t>
  </si>
  <si>
    <t>コクシ　ユウセイ</t>
  </si>
  <si>
    <t>カミカワ　ハルキ</t>
  </si>
  <si>
    <t>カワノ　アオト</t>
  </si>
  <si>
    <t>ヨシダ　セイヤ</t>
  </si>
  <si>
    <t>カバタ　レオ</t>
  </si>
  <si>
    <t>アカセ　ショウマ</t>
  </si>
  <si>
    <t>キシワダ　カイト</t>
  </si>
  <si>
    <t>カンダ　ソウタ</t>
  </si>
  <si>
    <t>コモト　レン</t>
  </si>
  <si>
    <t>エガミ　アオイ</t>
  </si>
  <si>
    <t>ヤスダ　コウスケ</t>
  </si>
  <si>
    <t>ヨシミツ　ユキ</t>
  </si>
  <si>
    <t>ノバヤシ　コウタ</t>
  </si>
  <si>
    <t>ゴトウ　マサキ</t>
  </si>
  <si>
    <t>イトウ　トア</t>
  </si>
  <si>
    <t>カワノ　セナ</t>
  </si>
  <si>
    <t>ゴウハラ　シュウマ</t>
  </si>
  <si>
    <t>ノジリ　ハル</t>
  </si>
  <si>
    <t>オダ　コウスケ</t>
  </si>
  <si>
    <t>ゴトウ　リンタロウ</t>
  </si>
  <si>
    <t>シマダ　ユウキ</t>
  </si>
  <si>
    <t>タケグチ　ハヤト</t>
  </si>
  <si>
    <t>コジマ　リョウタ</t>
  </si>
  <si>
    <t>フジイ　リツキ</t>
  </si>
  <si>
    <t>ナカムラ　ソウイチロウ</t>
  </si>
  <si>
    <t>マツオ　イッケイ</t>
  </si>
  <si>
    <t>オガサワラ　ゴウ</t>
  </si>
  <si>
    <t>ホシダ　テツジロウ</t>
  </si>
  <si>
    <t>ヨシミズ　コウスケ</t>
  </si>
  <si>
    <t>エトウ　ミツキ</t>
  </si>
  <si>
    <t>オハラ　リコ</t>
  </si>
  <si>
    <t>フルカワ　タイチ</t>
  </si>
  <si>
    <t>ヤノ　キヨマサ</t>
  </si>
  <si>
    <t>トミヤマ　アオト</t>
  </si>
  <si>
    <t>アカボシ　リュウキ</t>
  </si>
  <si>
    <t>ミハタ　ユウキ</t>
  </si>
  <si>
    <t>ゴトウ　キイチ</t>
  </si>
  <si>
    <t>フジタ　ユウト</t>
  </si>
  <si>
    <t>アカミネ　タツノスケ</t>
  </si>
  <si>
    <t>アナン　ハルト</t>
  </si>
  <si>
    <t>イワタ　カナタ</t>
  </si>
  <si>
    <t>オオイシ　カイト</t>
  </si>
  <si>
    <t>シュトウ　コウセイ</t>
  </si>
  <si>
    <t>シングウ　ツバサ</t>
  </si>
  <si>
    <t>ハヤシ　ソウタ</t>
  </si>
  <si>
    <t>マルヤマ　アヤト</t>
  </si>
  <si>
    <t>ヒロセ　タイガ</t>
  </si>
  <si>
    <t>クボタ　ハルト</t>
  </si>
  <si>
    <t>イトナガ　カンタ</t>
  </si>
  <si>
    <t>ミヤガワ　タスク</t>
  </si>
  <si>
    <t>イトウ　ルイ</t>
  </si>
  <si>
    <t>イノウエ　ニト</t>
  </si>
  <si>
    <t>タカハシ　ユイ</t>
  </si>
  <si>
    <t>カイ　フミヤ</t>
  </si>
  <si>
    <t>ヨシミツ　ソウタ</t>
  </si>
  <si>
    <t>コンドウ　キョウゴ</t>
  </si>
  <si>
    <t>タナムラ　タケル</t>
  </si>
  <si>
    <t>ミヤザキ　タイチ</t>
  </si>
  <si>
    <t>ゴトウ　サク</t>
  </si>
  <si>
    <t>ゴトウ　リク</t>
  </si>
  <si>
    <t>ミヤモト　アオ</t>
  </si>
  <si>
    <t>イコマ　コウダイ</t>
  </si>
  <si>
    <t>セキ　ミナト</t>
  </si>
  <si>
    <t>イコマ　ダイヤ</t>
  </si>
  <si>
    <t>イワタ　マサキ</t>
  </si>
  <si>
    <t>ウチダ　アツト</t>
  </si>
  <si>
    <t>ナガオカ　コウマ</t>
  </si>
  <si>
    <t>マツキ　タイセイ</t>
  </si>
  <si>
    <t>ニシノ　タイスケ</t>
  </si>
  <si>
    <t>サトウ　リクト</t>
  </si>
  <si>
    <t>ヒロタ　ケイシ</t>
  </si>
  <si>
    <t>オトズ　マサト</t>
  </si>
  <si>
    <t>キリムラ　イツキ</t>
  </si>
  <si>
    <t>カシマ　ヒロナリ</t>
  </si>
  <si>
    <t>サカグチ　カイト</t>
  </si>
  <si>
    <t>ゴトウ　ハルト</t>
  </si>
  <si>
    <t>オノ　ケイシロウ</t>
  </si>
  <si>
    <t>クワバラ　ソウシ</t>
  </si>
  <si>
    <t>マツシタ　コウセイ</t>
  </si>
  <si>
    <t>ヤスイ　リクト</t>
  </si>
  <si>
    <t>ハヤシ　サキ</t>
  </si>
  <si>
    <t>ショウノ　ヒロト</t>
  </si>
  <si>
    <t>モリ　ユウタ</t>
  </si>
  <si>
    <t>オハラ　キッペイ</t>
  </si>
  <si>
    <t>ニシモト　ユウマ</t>
  </si>
  <si>
    <t>アダチ　エイタ</t>
  </si>
  <si>
    <t>フクダ　ヨシロウ</t>
  </si>
  <si>
    <t>ツル　カナデ</t>
  </si>
  <si>
    <t>キタムラ　ソウタ</t>
  </si>
  <si>
    <t>クツカケ　ハルマ</t>
  </si>
  <si>
    <t>タメイケ　ナオ</t>
  </si>
  <si>
    <t>アベ　ハヤト</t>
  </si>
  <si>
    <t>ウルシマ　リク</t>
  </si>
  <si>
    <t>ヨシハラ　セイゴ</t>
  </si>
  <si>
    <t>ナカシマ　トウリ</t>
  </si>
  <si>
    <t>カネタカ　コウキ</t>
  </si>
  <si>
    <t>ヨシダ　レサ</t>
  </si>
  <si>
    <t>アソウ　タイシ</t>
  </si>
  <si>
    <t>ムラマツ　エイタ</t>
  </si>
  <si>
    <t>マキ　カナタ</t>
  </si>
  <si>
    <t>イノウエ　カズシ</t>
  </si>
  <si>
    <t>イノウエ　シオン</t>
  </si>
  <si>
    <t>アキヨシ　ルイ</t>
  </si>
  <si>
    <t>エジリ　ヤマト</t>
  </si>
  <si>
    <t>ハヤシ　リキト</t>
  </si>
  <si>
    <t>マツキ　コウセイ</t>
  </si>
  <si>
    <t>カスタニ　リンタロウ</t>
  </si>
  <si>
    <t>ノダ　トヨタロウ</t>
  </si>
  <si>
    <t>オカダ　ユウスケ</t>
  </si>
  <si>
    <t>イワシタ　ユウキ</t>
  </si>
  <si>
    <t>ノダ　ソウシ</t>
  </si>
  <si>
    <t>ヤマグチ　イチロ</t>
  </si>
  <si>
    <t>ワキグチ　ハルカ</t>
  </si>
  <si>
    <t>ナカノ　ハルヒト</t>
  </si>
  <si>
    <t>シュトウ　ユウセイ</t>
  </si>
  <si>
    <t>ナカノ　ナツヒト</t>
  </si>
  <si>
    <t>ホンジョウ　キョウマ</t>
  </si>
  <si>
    <t>アダニヤ　シュウ</t>
  </si>
  <si>
    <t>キヨスエ　ヒロキ</t>
  </si>
  <si>
    <t>サンミヤ　アオノスケ</t>
  </si>
  <si>
    <t>オシタ　ハヤテ</t>
  </si>
  <si>
    <t>エド　アキト</t>
  </si>
  <si>
    <t>ヤナイ　ユウト</t>
  </si>
  <si>
    <t>ミヤワキ　マサヒロ</t>
  </si>
  <si>
    <t>アソウ　アキト</t>
  </si>
  <si>
    <t>マツオ　イシン</t>
  </si>
  <si>
    <t>トヨダ　カイリ</t>
  </si>
  <si>
    <t>フジサワ　ユウト</t>
  </si>
  <si>
    <t>クワバラ　ユイカ</t>
  </si>
  <si>
    <t>ミヤナガ　ノア</t>
  </si>
  <si>
    <t>オノ　ソウスケ</t>
  </si>
  <si>
    <t>トミモト　ハルキ</t>
  </si>
  <si>
    <t>カワベ　ユリナ</t>
  </si>
  <si>
    <t>ジツザキ　ユウタロウ</t>
  </si>
  <si>
    <t>カトウ　アオ</t>
  </si>
  <si>
    <t>テシマ　ソウタ</t>
  </si>
  <si>
    <t>ゴトウ　カイリ</t>
  </si>
  <si>
    <t>シュトウ　レン</t>
  </si>
  <si>
    <t>ナカヤマ　サクタロウ</t>
  </si>
  <si>
    <t>シキシマ　ホノカ</t>
  </si>
  <si>
    <t>ハラダ　リコ</t>
  </si>
  <si>
    <t>イシザキ　モカ</t>
  </si>
  <si>
    <t>ユフ　リュウノスケ</t>
  </si>
  <si>
    <t>イシザキ　テッシン</t>
  </si>
  <si>
    <t>ヤマサキ　トウリ</t>
  </si>
  <si>
    <t>オノ　ヒナト</t>
  </si>
  <si>
    <t>クロダ　タイヨウ</t>
  </si>
  <si>
    <t>モリタ　アツシ</t>
  </si>
  <si>
    <t>アベ　カズヨシ</t>
  </si>
  <si>
    <t>フカタ　イツキ</t>
  </si>
  <si>
    <t>ナカガワ　ソウタ</t>
  </si>
  <si>
    <t>ヤマザキ　ケント</t>
  </si>
  <si>
    <t>フジト　ダイチ</t>
  </si>
  <si>
    <t>ヨシダ　マサヤ</t>
  </si>
  <si>
    <t>フジイ　マナト</t>
  </si>
  <si>
    <t>アカボシ　シュウト</t>
  </si>
  <si>
    <t>イケベ　コウタ</t>
  </si>
  <si>
    <t>クドウ　ハルマ</t>
  </si>
  <si>
    <t>オオヤ　ハルト</t>
  </si>
  <si>
    <t>テシマ　ソウスケ</t>
  </si>
  <si>
    <t>シマダ　ユウタロウ</t>
  </si>
  <si>
    <t>カタヤマ　ヒナタ</t>
  </si>
  <si>
    <t>キモト　ユウセイ</t>
  </si>
  <si>
    <t>シュトウ　ミナト</t>
  </si>
  <si>
    <t>フジサワ　カンタ</t>
  </si>
  <si>
    <t>サトウ　コウセイ</t>
  </si>
  <si>
    <t>ミヤモト　リコ</t>
  </si>
  <si>
    <t>コウノ　カイセイ</t>
  </si>
  <si>
    <t>オカダ　コウタ</t>
  </si>
  <si>
    <t>タケノ　コウスケ</t>
  </si>
  <si>
    <t>ウエノ　アラタ</t>
  </si>
  <si>
    <t>サトウ　アオバ</t>
  </si>
  <si>
    <t>ホンダ　タスク</t>
  </si>
  <si>
    <t>ヤナダ　カズマサ</t>
  </si>
  <si>
    <t>ヒラツカ　リュウキ</t>
  </si>
  <si>
    <t>イマタ　タクミ</t>
  </si>
  <si>
    <t>ニノミヤ　ユウ</t>
  </si>
  <si>
    <t>サトウ　イロハ</t>
  </si>
  <si>
    <t>ナカノ　イッセイ</t>
  </si>
  <si>
    <t>イトウ　リク</t>
  </si>
  <si>
    <t>オオガ　アサヒ</t>
  </si>
  <si>
    <t>モロトミ　レンセイ</t>
  </si>
  <si>
    <t>コウノ　レイ</t>
  </si>
  <si>
    <t>コザコ　ケンゴウ</t>
  </si>
  <si>
    <t>タグチ　ソウタ</t>
  </si>
  <si>
    <t>ウツノミヤ　セナ</t>
  </si>
  <si>
    <t>アキヨシ　サクタロウ</t>
  </si>
  <si>
    <t>ユキ　アオイ</t>
  </si>
  <si>
    <t>トミヒサ　ショウマ</t>
  </si>
  <si>
    <t>ゴトウ　ナオモト</t>
  </si>
  <si>
    <t>イソガワ　アオイ</t>
  </si>
  <si>
    <t>イワモト　ケイジ</t>
  </si>
  <si>
    <t>モトギ　ユウト</t>
  </si>
  <si>
    <t>ミウラ　タイセイ</t>
  </si>
  <si>
    <t>ホンダ　レアル</t>
  </si>
  <si>
    <t>ヒナゴ　ソウタ</t>
  </si>
  <si>
    <t>ナガマツ　ハルヤス</t>
  </si>
  <si>
    <t>ヤノ　ヒビト</t>
  </si>
  <si>
    <t>ヤスナガ　ユウト</t>
  </si>
  <si>
    <t>フジイ　ヒロム</t>
  </si>
  <si>
    <t>イトウ　アオ</t>
  </si>
  <si>
    <t>オオニシ　ヒナタ</t>
  </si>
  <si>
    <t>シミズ　ユウリ</t>
  </si>
  <si>
    <t>サトウ　ヨウタ</t>
  </si>
  <si>
    <t>ハダノ　ソウ</t>
  </si>
  <si>
    <t>シゲイシ　ユウト</t>
  </si>
  <si>
    <t>サトウ　ソウタ</t>
  </si>
  <si>
    <t>クドウ　シュウサク</t>
  </si>
  <si>
    <t>シュトウ　コハク</t>
  </si>
  <si>
    <t>ハシヤマ　シュン</t>
  </si>
  <si>
    <t>イワサキ　カズト</t>
  </si>
  <si>
    <t>カワバタ　ガク</t>
  </si>
  <si>
    <t>タムラ　ウイ</t>
  </si>
  <si>
    <t>アベ　ハル</t>
  </si>
  <si>
    <t>モリモト　イツキ</t>
  </si>
  <si>
    <t>ヤマザキ　アオ</t>
  </si>
  <si>
    <t>コウノ　カズマ</t>
  </si>
  <si>
    <t>オノ　シュウヤ</t>
  </si>
  <si>
    <t>ミフサ　マオ</t>
  </si>
  <si>
    <t>ナイトウ　チアキ</t>
  </si>
  <si>
    <t>フルサワ　アツト</t>
  </si>
  <si>
    <t>ナガノ　カナタ</t>
  </si>
  <si>
    <t>イワナミ　カツキ</t>
  </si>
  <si>
    <t>ハラ　カイリ</t>
  </si>
  <si>
    <t>ナガノ　サトル</t>
  </si>
  <si>
    <t>サトウ　オウガ</t>
  </si>
  <si>
    <t>ニイノ　レイ</t>
  </si>
  <si>
    <t>ゴトウ　セイヤ</t>
  </si>
  <si>
    <t>ヒロセ　ソウシ</t>
  </si>
  <si>
    <t>ヒロセ　レイジ</t>
  </si>
  <si>
    <t>ゴトウ　キイル</t>
  </si>
  <si>
    <t>イトウ　オウガ</t>
  </si>
  <si>
    <t>マツバラ　アキ</t>
  </si>
  <si>
    <t>サクライ　ケンシン</t>
  </si>
  <si>
    <t>フジワラ　ユノ</t>
  </si>
  <si>
    <t>ツル　ユアト</t>
  </si>
  <si>
    <t>クガ　リュウト</t>
  </si>
  <si>
    <t>ゴトウ　エルマ</t>
  </si>
  <si>
    <t>ヤノ　ショウスケ</t>
  </si>
  <si>
    <t>ミタライ　アマト</t>
  </si>
  <si>
    <t>モロトミ　タクマ</t>
  </si>
  <si>
    <t>クロガワ　シュハリ</t>
  </si>
  <si>
    <t>キヨタ　ケイイチロウ</t>
  </si>
  <si>
    <t>イシダ　ユウセイ</t>
  </si>
  <si>
    <t>ツルタ　コウダイ</t>
  </si>
  <si>
    <t>ヨコオ　リクト</t>
  </si>
  <si>
    <t>マツオ　イッキ</t>
  </si>
  <si>
    <t>クロキ　ジンスケ</t>
  </si>
  <si>
    <t>ミナミ　ソウタ</t>
  </si>
  <si>
    <t>ホソギ　タイセイ</t>
  </si>
  <si>
    <t>オオクボ　シュウ</t>
  </si>
  <si>
    <t>ヤマサキ　ソウタ</t>
  </si>
  <si>
    <t>シムラ　アオイ</t>
  </si>
  <si>
    <t>マエダ　レント</t>
  </si>
  <si>
    <t>テシマ　ナナミ</t>
  </si>
  <si>
    <t>ゴトウ　タクト</t>
  </si>
  <si>
    <t>イワキ　アサヒ</t>
  </si>
  <si>
    <t>マツモト　ユウリ</t>
  </si>
  <si>
    <t>イケナガ　ユウト</t>
  </si>
  <si>
    <t>シノダ　マサト</t>
  </si>
  <si>
    <t>コモリ　セイタロウ</t>
  </si>
  <si>
    <t>オノ　エイト</t>
  </si>
  <si>
    <t>サトウ　アラタ</t>
  </si>
  <si>
    <t>テシマ　サトヨシ</t>
  </si>
  <si>
    <t>ミゾベ　テルマ</t>
  </si>
  <si>
    <t>ミヤモト　ゲン</t>
  </si>
  <si>
    <t>ミサキ　トウタ</t>
  </si>
  <si>
    <t>ミヤモト　ライマ</t>
  </si>
  <si>
    <t>トクマル　ヒロト</t>
  </si>
  <si>
    <t>サイトウ　リョウタロウ</t>
  </si>
  <si>
    <t>アソウ　エイシン</t>
  </si>
  <si>
    <t>タサキ　ライト</t>
  </si>
  <si>
    <t>オトヅ　ソウスケ</t>
  </si>
  <si>
    <t>ハマシマ　ユウト</t>
  </si>
  <si>
    <t>キヨマツ　イヅル</t>
  </si>
  <si>
    <t>カンダ　コタロウ</t>
  </si>
  <si>
    <t>ミズエ　トモヒサ</t>
  </si>
  <si>
    <t>ヒメノ　コウキ</t>
  </si>
  <si>
    <t>オオハラ　サクト</t>
  </si>
  <si>
    <t>ミノハラ　タダヒコ</t>
  </si>
  <si>
    <t>ヒロタ　アキト</t>
  </si>
  <si>
    <t>オノ　コウキ</t>
  </si>
  <si>
    <t>ミウラ　タケナリ</t>
  </si>
  <si>
    <t>カトウ　ハル</t>
  </si>
  <si>
    <t>ヤマモト　アラタ</t>
  </si>
  <si>
    <t>イワタ　タクミ</t>
  </si>
  <si>
    <t>アベ　タクマ</t>
  </si>
  <si>
    <t>イッポウシ　アオキ</t>
  </si>
  <si>
    <t>シイヤマ　ハルト</t>
  </si>
  <si>
    <t>ゴトウ　ユキア</t>
  </si>
  <si>
    <t>アダチ　ハル</t>
  </si>
  <si>
    <t>ワキサカ　ソラト</t>
  </si>
  <si>
    <t>イワサキ　マナト</t>
  </si>
  <si>
    <t>ナカタニ　アイト</t>
  </si>
  <si>
    <t>ムラマツ　レオ</t>
  </si>
  <si>
    <t>フルノ　ユウタ</t>
  </si>
  <si>
    <t>ヒメノ　ヘイスケ</t>
  </si>
  <si>
    <t>コガ　ミツキ</t>
  </si>
  <si>
    <t>ヒガシカワ　ユイト</t>
  </si>
  <si>
    <t>ウチダ　シュウマ</t>
  </si>
  <si>
    <t>セキトウ　ハジメ</t>
  </si>
  <si>
    <t>モリ　カンタロウ</t>
  </si>
  <si>
    <t>ナカノ　モモキ</t>
  </si>
  <si>
    <t>シガ　カナト</t>
  </si>
  <si>
    <t>カワグチ　ユヅキ</t>
  </si>
  <si>
    <t>シミズ　キズナ</t>
  </si>
  <si>
    <t>ショウノ　ユウガ</t>
  </si>
  <si>
    <t>フナシマ　ケンシン</t>
  </si>
  <si>
    <t>イカガワ　アンナ</t>
  </si>
  <si>
    <t>イワシタ　アオイ</t>
  </si>
  <si>
    <t>フジメ　カイト</t>
  </si>
  <si>
    <t>ヒラマツ　レンスケ</t>
  </si>
  <si>
    <t>ヒラカワ　シュン</t>
  </si>
  <si>
    <t>イタイ　ソウタ</t>
  </si>
  <si>
    <t>シトウ　フミヤ</t>
  </si>
  <si>
    <t>ハタノ　ナツキ</t>
  </si>
  <si>
    <t>コバヤシ　コウキ</t>
  </si>
  <si>
    <t>カヤシマ　ハルト</t>
  </si>
  <si>
    <t>アンドウ　カイト</t>
  </si>
  <si>
    <t>ウエキ　ソウスケ</t>
  </si>
  <si>
    <t>エシマ　ケンタ</t>
  </si>
  <si>
    <t>カンザキ　トウシン</t>
  </si>
  <si>
    <t>ヒラカワ　タクミ</t>
  </si>
  <si>
    <t>ナカムラ　ユウセイ</t>
  </si>
  <si>
    <t>カワノ　リオト</t>
  </si>
  <si>
    <t>スギタ　カナデ</t>
  </si>
  <si>
    <t>スギタ　ムア</t>
  </si>
  <si>
    <t>フジカワ　アオト</t>
  </si>
  <si>
    <t>オオモト　レン</t>
  </si>
  <si>
    <t>カワノ　ケンヤ</t>
  </si>
  <si>
    <t>カイ　オウセイ</t>
  </si>
  <si>
    <t>ヤナイ　ヒナタ</t>
  </si>
  <si>
    <t>フジワラ　ハルト</t>
  </si>
  <si>
    <t>ヤノ　アオト</t>
  </si>
  <si>
    <t>オギノ　タイヨウ</t>
  </si>
  <si>
    <t>アサノ　ナオマサ</t>
  </si>
  <si>
    <t>アソウ　ミチタ</t>
  </si>
  <si>
    <t>カメイ　コウマ</t>
  </si>
  <si>
    <t>イワモト　イツキ</t>
  </si>
  <si>
    <t>ハヅク　ユウマ</t>
  </si>
  <si>
    <t>ナガサオ　アイト</t>
  </si>
  <si>
    <t>カワノ　ハルク</t>
  </si>
  <si>
    <t>サイキ　ハル</t>
  </si>
  <si>
    <t>ヤノ　ユウキ</t>
  </si>
  <si>
    <t>ナカノ　ヒサト</t>
  </si>
  <si>
    <t>ツルハラ　チヒロ</t>
  </si>
  <si>
    <t>カイ　タカヒロ</t>
  </si>
  <si>
    <t>コクイ　タケル</t>
  </si>
  <si>
    <t>ヨシダ　アスム</t>
  </si>
  <si>
    <t>ゴトウ　カナト</t>
  </si>
  <si>
    <t>コンドウ　ヨウヘイ</t>
  </si>
  <si>
    <t>フルタ　ヒョウ</t>
  </si>
  <si>
    <t>サトウ　ハルマ</t>
  </si>
  <si>
    <t>フジノ　ユウマ</t>
  </si>
  <si>
    <t>サダユキ　イクリ</t>
  </si>
  <si>
    <t>ミシロ　アオバ</t>
  </si>
  <si>
    <t>トミタ　ユキト</t>
  </si>
  <si>
    <t>シモタカ　ケイト</t>
  </si>
  <si>
    <t>ハシモト　リョウガ</t>
  </si>
  <si>
    <t>タニガワ　カイ</t>
  </si>
  <si>
    <t>サガラ　セイヨウ</t>
  </si>
  <si>
    <t>ヤマモト　ミナト</t>
  </si>
  <si>
    <t>ミツナガ　エイショウ</t>
  </si>
  <si>
    <t>エトウ　コウヘイ</t>
  </si>
  <si>
    <t>イワヤ　コウキ</t>
  </si>
  <si>
    <t>イノウエ　リョウタ</t>
  </si>
  <si>
    <t>ワタヌキ　ソウマ</t>
  </si>
  <si>
    <t>コイデ　カイト</t>
  </si>
  <si>
    <t>エトウ　ユウセイ</t>
  </si>
  <si>
    <t>トミタ　カイト</t>
  </si>
  <si>
    <t>ヨシカワ　ロク</t>
  </si>
  <si>
    <t>テツサキ　ユウマ</t>
  </si>
  <si>
    <t>ヤマサキ　コトネ</t>
  </si>
  <si>
    <t>イシハラ　ハルマ</t>
  </si>
  <si>
    <t>タキイシ　ヒロト</t>
  </si>
  <si>
    <t>オカモト　トモヤ</t>
  </si>
  <si>
    <t>ゴトウ　ショウタ</t>
  </si>
  <si>
    <t>タケハラ　ユウマ</t>
  </si>
  <si>
    <t>ヤマサキ　タン</t>
  </si>
  <si>
    <t>タケナガ　ハント</t>
  </si>
  <si>
    <t>ユキ　アヤカ</t>
  </si>
  <si>
    <t>アベ　ユイタロウ</t>
  </si>
  <si>
    <t>ヒサエダ　ハヤト</t>
  </si>
  <si>
    <t>ナカガワジ　ハヤテ</t>
  </si>
  <si>
    <t>アベ　タイヨウ</t>
  </si>
  <si>
    <t>ヤマムラ　タイガ</t>
  </si>
  <si>
    <t>サメジマ　リョウセイ</t>
  </si>
  <si>
    <t>ヒメノ　ウタ</t>
  </si>
  <si>
    <t>マトウ　ヒカル</t>
  </si>
  <si>
    <t>カトウ　ヨウ</t>
  </si>
  <si>
    <t>コミヤ　ヒナト</t>
  </si>
  <si>
    <t>オトメ　ココロ</t>
  </si>
  <si>
    <t>ソノダ　アキ</t>
  </si>
  <si>
    <t>イノウエ　イツキ</t>
  </si>
  <si>
    <t>ヒグチ　ケイ</t>
  </si>
  <si>
    <t>シマダ　ガク</t>
  </si>
  <si>
    <t>イマガワ　マサキヨ</t>
  </si>
  <si>
    <t>タカフジ　ハル</t>
  </si>
  <si>
    <t>アキヤマ　タイショウ</t>
  </si>
  <si>
    <t>マルオ　レン</t>
  </si>
  <si>
    <t>シミズ　ソラ</t>
  </si>
  <si>
    <t>イワオ　ジュア</t>
  </si>
  <si>
    <t>クマノミドウ　レント</t>
  </si>
  <si>
    <t>アリヨシ　ソウタ</t>
  </si>
  <si>
    <t>イノウエ　サクタロウ</t>
  </si>
  <si>
    <t>フジカワ　ヤマト</t>
  </si>
  <si>
    <t>サカイ　シュウエイ</t>
  </si>
  <si>
    <t>マツモト　クヒロ</t>
  </si>
  <si>
    <t>カトウ　ソウ</t>
  </si>
  <si>
    <t>ヨシヒロ　ユウシ</t>
  </si>
  <si>
    <t>ハラ　シュウタ</t>
  </si>
  <si>
    <t>サトウ　ハルタ</t>
  </si>
  <si>
    <t>カワノ　コウセイ</t>
  </si>
  <si>
    <t>ヒャクタケ　カズマ</t>
  </si>
  <si>
    <t>ニイノ　リリハ</t>
  </si>
  <si>
    <t>イノウエ　タクト</t>
  </si>
  <si>
    <t>ヨシダ　シュウト</t>
  </si>
  <si>
    <t>ナベシマ　ミナト</t>
  </si>
  <si>
    <t>オオイシ　タクミ</t>
  </si>
  <si>
    <t>イケダ　セナ</t>
  </si>
  <si>
    <t>ナカムラ　シオリ</t>
  </si>
  <si>
    <t>ホリ　ケイセイ</t>
  </si>
  <si>
    <t>トクベ　トモヒト</t>
  </si>
  <si>
    <t>ミツノブ　ジョウジ</t>
  </si>
  <si>
    <t>カイ　トモヤ</t>
  </si>
  <si>
    <t>タカハシ　ヒロト</t>
  </si>
  <si>
    <t>ウルマ　トア</t>
  </si>
  <si>
    <t>タニグチ　リクト</t>
  </si>
  <si>
    <t>オオイシ　カズミ</t>
  </si>
  <si>
    <t>ニシ　リョウセイ</t>
  </si>
  <si>
    <t>タカクラ　カイ</t>
  </si>
  <si>
    <t>シン　タケヒロ</t>
  </si>
  <si>
    <t>ムラカミ　ソウマ</t>
  </si>
  <si>
    <t>エトウ　タイヨウ</t>
  </si>
  <si>
    <t>ニノミヤ　ユウキ</t>
  </si>
  <si>
    <t>フスマダ　エイト</t>
  </si>
  <si>
    <t>ワタナベ　ユウト</t>
  </si>
  <si>
    <t>マツカワ　カナト</t>
  </si>
  <si>
    <t>スガノ　ハルマ</t>
  </si>
  <si>
    <t>カメダ　ハルト</t>
  </si>
  <si>
    <t>スギヤマ　エイト</t>
  </si>
  <si>
    <t>ホンダ　コウロク</t>
  </si>
  <si>
    <t>オカムラ　ワク</t>
  </si>
  <si>
    <t>アダチ　マオヤ</t>
  </si>
  <si>
    <t>デグチ　ナツ</t>
  </si>
  <si>
    <t>アベ　イサミ</t>
  </si>
  <si>
    <t>ワタナベ　リョウジ</t>
  </si>
  <si>
    <t>サトウ　ヒイロ</t>
  </si>
  <si>
    <t>タニグチ　トウマ</t>
  </si>
  <si>
    <t>カラシマ　ホナミ</t>
  </si>
  <si>
    <t>アダチ　トシハル</t>
  </si>
  <si>
    <t>シン　リョウタ</t>
  </si>
  <si>
    <t>ワタベ　アレン</t>
  </si>
  <si>
    <t>テラダ　ユウヤ</t>
  </si>
  <si>
    <t>ヤノ　マサムネ</t>
  </si>
  <si>
    <t>ナカハタ　ショウヤ</t>
  </si>
  <si>
    <t>シュトウ　タカヒト</t>
  </si>
  <si>
    <t>ナカ　カノン</t>
  </si>
  <si>
    <t>クマガイ　ルイト</t>
  </si>
  <si>
    <t>ヒロサキ　キイチ</t>
  </si>
  <si>
    <t>エトウ　タクミ</t>
  </si>
  <si>
    <t>タケモト　リクト</t>
  </si>
  <si>
    <t>ミゾグチ　トウマ</t>
  </si>
  <si>
    <t>ヤマシタ　サキ</t>
  </si>
  <si>
    <t>ニシモト　オウタ</t>
  </si>
  <si>
    <t>サカモリ　ムサシ</t>
  </si>
  <si>
    <t>オオヤマ　リョウジ</t>
  </si>
  <si>
    <t>ミズノ　アサヒ</t>
  </si>
  <si>
    <t>オガワ　リオト</t>
  </si>
  <si>
    <t>アサミツ　ハルア</t>
  </si>
  <si>
    <t>マツタカ　ヒロト</t>
  </si>
  <si>
    <t>モロオカ　アサヒ</t>
  </si>
  <si>
    <t>トヨダ　マナキ</t>
  </si>
  <si>
    <t>イワサキ　リュウシン</t>
  </si>
  <si>
    <t>ソノダ　アイリ</t>
  </si>
  <si>
    <t>ナカムラ　アスト</t>
  </si>
  <si>
    <t>タチバナ　アユキ</t>
  </si>
  <si>
    <t>ヤマダ　リョウジ</t>
  </si>
  <si>
    <t>アサダ　エイト</t>
  </si>
  <si>
    <t>マツナリ　アイカ</t>
  </si>
  <si>
    <t>カワヅ　ルイ</t>
  </si>
  <si>
    <t>オオキタ　メグミ</t>
  </si>
  <si>
    <t>スエヒロ　アヤナ</t>
  </si>
  <si>
    <t>ハタヤマ　ユウカ</t>
  </si>
  <si>
    <t>ナカヤマ　ハルト</t>
  </si>
  <si>
    <t>ヤマナカ　タツジ</t>
  </si>
  <si>
    <t>オバタ　ヒヨリ</t>
  </si>
  <si>
    <t>フジイシ　シュンスケ</t>
  </si>
  <si>
    <t>マツモト　ショウタ</t>
  </si>
  <si>
    <t>サトウ　ニコルジョイ</t>
  </si>
  <si>
    <t>タカクラ　オウノスケ</t>
  </si>
  <si>
    <t>オカミ　タクト</t>
  </si>
  <si>
    <t>アナイ　リコ</t>
  </si>
  <si>
    <t>オシダ　スバル</t>
  </si>
  <si>
    <t>イハラ　アレン</t>
  </si>
  <si>
    <t>イノウエ　ヒカリ</t>
  </si>
  <si>
    <t>タカノ　エイキ</t>
  </si>
  <si>
    <t>キクチ　シンゴ</t>
  </si>
  <si>
    <t>キクチ　コウガ</t>
  </si>
  <si>
    <t>オカモト　サクト</t>
  </si>
  <si>
    <t>イケダ　リク</t>
  </si>
  <si>
    <t>トクマル　タクマ</t>
  </si>
  <si>
    <t>モリヤマ　サクト</t>
  </si>
  <si>
    <t>セイケ　トワ</t>
  </si>
  <si>
    <t>カクドウ　ソラ</t>
  </si>
  <si>
    <t>ミヤモト　ナオヤ</t>
  </si>
  <si>
    <t>ナカハラ　イツキ</t>
  </si>
  <si>
    <t>スガ　リョウタ</t>
  </si>
  <si>
    <t>コトウ　ユウマ</t>
  </si>
  <si>
    <t>マツナガ　シュウ</t>
  </si>
  <si>
    <t>マツナガ　ヨウ</t>
  </si>
  <si>
    <t>スガタ　アオイ</t>
  </si>
  <si>
    <t>スガタ　リョウヘイ</t>
  </si>
  <si>
    <t>タケオ　トア</t>
  </si>
  <si>
    <t>オオクボ　ショウキ</t>
  </si>
  <si>
    <t>タシマ　カナメ</t>
  </si>
  <si>
    <t>大久保　孝太</t>
    <rPh sb="0" eb="3">
      <t>オオクボ</t>
    </rPh>
    <rPh sb="4" eb="6">
      <t>コウタ</t>
    </rPh>
    <phoneticPr fontId="29"/>
  </si>
  <si>
    <t>長田　敏明</t>
    <rPh sb="0" eb="2">
      <t>オサダ</t>
    </rPh>
    <rPh sb="3" eb="5">
      <t>トシアキ</t>
    </rPh>
    <phoneticPr fontId="29"/>
  </si>
  <si>
    <t>伊藤　宏充</t>
    <rPh sb="0" eb="2">
      <t>イトウ</t>
    </rPh>
    <rPh sb="3" eb="4">
      <t>ヒロシ</t>
    </rPh>
    <rPh sb="4" eb="5">
      <t>ミツル</t>
    </rPh>
    <phoneticPr fontId="29"/>
  </si>
  <si>
    <t>別府市サッカー協会</t>
    <rPh sb="0" eb="2">
      <t>ベップ</t>
    </rPh>
    <rPh sb="2" eb="3">
      <t>シ</t>
    </rPh>
    <rPh sb="7" eb="9">
      <t>キョウカイ</t>
    </rPh>
    <phoneticPr fontId="29"/>
  </si>
  <si>
    <t>R001265376</t>
    <phoneticPr fontId="29"/>
  </si>
  <si>
    <t>R009197594</t>
    <phoneticPr fontId="29"/>
  </si>
  <si>
    <t>R001260070</t>
    <phoneticPr fontId="29"/>
  </si>
  <si>
    <t>R010167725</t>
    <phoneticPr fontId="29"/>
  </si>
  <si>
    <t>小田　邦昭</t>
    <rPh sb="0" eb="2">
      <t>オダ</t>
    </rPh>
    <rPh sb="3" eb="5">
      <t>クニアキ</t>
    </rPh>
    <phoneticPr fontId="29"/>
  </si>
  <si>
    <t>鶴田　和也</t>
    <rPh sb="0" eb="2">
      <t>ツルタ</t>
    </rPh>
    <rPh sb="3" eb="5">
      <t>カズヤ</t>
    </rPh>
    <phoneticPr fontId="29"/>
  </si>
  <si>
    <t>速杵国東地区サッカー協会</t>
    <rPh sb="0" eb="4">
      <t>ソッキクニサキ</t>
    </rPh>
    <rPh sb="4" eb="6">
      <t>チク</t>
    </rPh>
    <rPh sb="10" eb="12">
      <t>キョウカイ</t>
    </rPh>
    <phoneticPr fontId="29"/>
  </si>
  <si>
    <t>速杵国東地区サッカー協会</t>
    <phoneticPr fontId="29"/>
  </si>
  <si>
    <t>R005405699</t>
    <phoneticPr fontId="29"/>
  </si>
  <si>
    <t>R010538360</t>
    <phoneticPr fontId="29"/>
  </si>
  <si>
    <t>R001264687</t>
    <phoneticPr fontId="29"/>
  </si>
  <si>
    <t>R010027860</t>
    <phoneticPr fontId="29"/>
  </si>
  <si>
    <t>松下　省吾</t>
    <rPh sb="0" eb="2">
      <t>マツシタ</t>
    </rPh>
    <rPh sb="3" eb="5">
      <t>ショウゴ</t>
    </rPh>
    <phoneticPr fontId="29"/>
  </si>
  <si>
    <t>板井　龍法</t>
    <rPh sb="0" eb="2">
      <t>イタイ</t>
    </rPh>
    <rPh sb="3" eb="4">
      <t>リュウ</t>
    </rPh>
    <rPh sb="4" eb="5">
      <t>ホウ</t>
    </rPh>
    <phoneticPr fontId="29"/>
  </si>
  <si>
    <t>津久見市サッカー協会</t>
    <rPh sb="0" eb="4">
      <t>ツクミシ</t>
    </rPh>
    <rPh sb="8" eb="10">
      <t>キョウカイ</t>
    </rPh>
    <phoneticPr fontId="29"/>
  </si>
  <si>
    <t>臼杵市サッカー協会</t>
    <rPh sb="0" eb="3">
      <t>ウスキシ</t>
    </rPh>
    <rPh sb="7" eb="9">
      <t>キョウカイ</t>
    </rPh>
    <phoneticPr fontId="29"/>
  </si>
  <si>
    <t>R001262546</t>
    <phoneticPr fontId="29"/>
  </si>
  <si>
    <t>R010168000</t>
    <phoneticPr fontId="29"/>
  </si>
  <si>
    <t>R010214606</t>
    <phoneticPr fontId="29"/>
  </si>
  <si>
    <t>R010642035</t>
    <phoneticPr fontId="29"/>
  </si>
  <si>
    <t>水島　義規</t>
    <rPh sb="0" eb="2">
      <t>ミズシマ</t>
    </rPh>
    <rPh sb="3" eb="5">
      <t>ヨシノリ</t>
    </rPh>
    <phoneticPr fontId="29"/>
  </si>
  <si>
    <t>谷口　達</t>
    <rPh sb="0" eb="2">
      <t>タニグチ</t>
    </rPh>
    <rPh sb="3" eb="4">
      <t>ダチ</t>
    </rPh>
    <phoneticPr fontId="29"/>
  </si>
  <si>
    <t>中津市サッカー協会</t>
    <rPh sb="0" eb="2">
      <t>ナカツ</t>
    </rPh>
    <rPh sb="2" eb="3">
      <t>シ</t>
    </rPh>
    <rPh sb="7" eb="9">
      <t>キョウカイ</t>
    </rPh>
    <phoneticPr fontId="29"/>
  </si>
  <si>
    <t>R001262379</t>
    <phoneticPr fontId="29"/>
  </si>
  <si>
    <t>R006664615</t>
    <phoneticPr fontId="29"/>
  </si>
  <si>
    <t>R001264580</t>
    <phoneticPr fontId="29"/>
  </si>
  <si>
    <t>R001259870</t>
    <phoneticPr fontId="29"/>
  </si>
  <si>
    <t>安倍　俊之</t>
    <rPh sb="0" eb="2">
      <t>アベ</t>
    </rPh>
    <rPh sb="3" eb="5">
      <t>トシユキ</t>
    </rPh>
    <phoneticPr fontId="29"/>
  </si>
  <si>
    <t>板井　祐介</t>
    <rPh sb="0" eb="2">
      <t>イタイ</t>
    </rPh>
    <rPh sb="3" eb="5">
      <t>ユウスケ</t>
    </rPh>
    <phoneticPr fontId="29"/>
  </si>
  <si>
    <t>宇佐高田地区サッカー協会</t>
    <rPh sb="0" eb="4">
      <t>ウサタカタ</t>
    </rPh>
    <rPh sb="4" eb="6">
      <t>チク</t>
    </rPh>
    <rPh sb="10" eb="12">
      <t>キョウカイ</t>
    </rPh>
    <phoneticPr fontId="29"/>
  </si>
  <si>
    <t>R009460515</t>
    <phoneticPr fontId="29"/>
  </si>
  <si>
    <t>R003317390</t>
    <phoneticPr fontId="29"/>
  </si>
  <si>
    <t>R001264003</t>
    <phoneticPr fontId="29"/>
  </si>
  <si>
    <t>R010700305</t>
    <phoneticPr fontId="29"/>
  </si>
  <si>
    <t>中野　観司郎</t>
    <rPh sb="0" eb="2">
      <t>ナカノ</t>
    </rPh>
    <rPh sb="3" eb="6">
      <t>カンシロウ</t>
    </rPh>
    <phoneticPr fontId="29"/>
  </si>
  <si>
    <t>安部　正信</t>
    <rPh sb="0" eb="2">
      <t>アベ</t>
    </rPh>
    <rPh sb="3" eb="5">
      <t>マサノブ</t>
    </rPh>
    <phoneticPr fontId="29"/>
  </si>
  <si>
    <t>R001251577</t>
    <phoneticPr fontId="29"/>
  </si>
  <si>
    <t>R001262829</t>
    <phoneticPr fontId="29"/>
  </si>
  <si>
    <t>R007075261</t>
    <phoneticPr fontId="29"/>
  </si>
  <si>
    <t>R010093494</t>
    <phoneticPr fontId="29"/>
  </si>
  <si>
    <t>平松　敬章</t>
    <rPh sb="0" eb="2">
      <t>ヒラマツ</t>
    </rPh>
    <rPh sb="3" eb="4">
      <t>ケイ</t>
    </rPh>
    <rPh sb="4" eb="5">
      <t>アキラ</t>
    </rPh>
    <phoneticPr fontId="29"/>
  </si>
  <si>
    <t>黒田　歩</t>
    <rPh sb="0" eb="2">
      <t>クロダ</t>
    </rPh>
    <rPh sb="3" eb="4">
      <t>アユム</t>
    </rPh>
    <phoneticPr fontId="29"/>
  </si>
  <si>
    <t>恵美　圭介</t>
    <rPh sb="0" eb="2">
      <t>エミ</t>
    </rPh>
    <rPh sb="3" eb="5">
      <t>ケイスケ</t>
    </rPh>
    <phoneticPr fontId="29"/>
  </si>
  <si>
    <t>R001265473</t>
    <phoneticPr fontId="29"/>
  </si>
  <si>
    <t>R010866341</t>
    <phoneticPr fontId="29"/>
  </si>
  <si>
    <t>R008798217</t>
    <phoneticPr fontId="29"/>
  </si>
  <si>
    <t>R002531522</t>
    <phoneticPr fontId="29"/>
  </si>
  <si>
    <t>安東　信二</t>
    <rPh sb="0" eb="2">
      <t>アンドウ</t>
    </rPh>
    <rPh sb="3" eb="5">
      <t>シンジ</t>
    </rPh>
    <phoneticPr fontId="29"/>
  </si>
  <si>
    <t>赤嶺　隆志</t>
    <rPh sb="0" eb="2">
      <t>アカミネ</t>
    </rPh>
    <rPh sb="3" eb="5">
      <t>タカシ</t>
    </rPh>
    <phoneticPr fontId="29"/>
  </si>
  <si>
    <t>R001262023</t>
    <phoneticPr fontId="29"/>
  </si>
  <si>
    <t>R010069871</t>
    <phoneticPr fontId="29"/>
  </si>
  <si>
    <t>R010013254</t>
    <phoneticPr fontId="29"/>
  </si>
  <si>
    <t>R010396582</t>
    <phoneticPr fontId="29"/>
  </si>
  <si>
    <t>塔元　繁喜</t>
    <phoneticPr fontId="29"/>
  </si>
  <si>
    <t>高畑　智秀</t>
    <rPh sb="0" eb="2">
      <t>タカハタ</t>
    </rPh>
    <rPh sb="3" eb="4">
      <t>サトシ</t>
    </rPh>
    <rPh sb="4" eb="5">
      <t>ヒデ</t>
    </rPh>
    <phoneticPr fontId="29"/>
  </si>
  <si>
    <t>R010347358</t>
    <phoneticPr fontId="29"/>
  </si>
  <si>
    <t>R003972391</t>
    <phoneticPr fontId="29"/>
  </si>
  <si>
    <t>R010259432</t>
    <phoneticPr fontId="29"/>
  </si>
  <si>
    <t>R006147145</t>
    <phoneticPr fontId="29"/>
  </si>
  <si>
    <t>※2</t>
    <phoneticPr fontId="29"/>
  </si>
  <si>
    <t>※1</t>
    <phoneticPr fontId="29"/>
  </si>
  <si>
    <t>山田　宏和</t>
    <rPh sb="0" eb="2">
      <t>ヤマダ</t>
    </rPh>
    <rPh sb="3" eb="5">
      <t>ヒロカズ</t>
    </rPh>
    <phoneticPr fontId="29"/>
  </si>
  <si>
    <t>小林　隆嗣</t>
    <rPh sb="0" eb="2">
      <t>コバヤシ</t>
    </rPh>
    <rPh sb="3" eb="5">
      <t>タカツグ</t>
    </rPh>
    <phoneticPr fontId="29"/>
  </si>
  <si>
    <t>R001261477</t>
    <phoneticPr fontId="29"/>
  </si>
  <si>
    <t>R010638053</t>
    <phoneticPr fontId="29"/>
  </si>
  <si>
    <t>R002384580</t>
    <phoneticPr fontId="29"/>
  </si>
  <si>
    <t>R010546291</t>
    <phoneticPr fontId="29"/>
  </si>
  <si>
    <t>大鶴　翔太郎</t>
    <rPh sb="0" eb="2">
      <t>オオツル</t>
    </rPh>
    <rPh sb="3" eb="6">
      <t>ショウタロウ</t>
    </rPh>
    <phoneticPr fontId="29"/>
  </si>
  <si>
    <t>中島　直哉</t>
    <rPh sb="0" eb="2">
      <t>ナカシマ</t>
    </rPh>
    <rPh sb="3" eb="5">
      <t>ナオヤ</t>
    </rPh>
    <phoneticPr fontId="29"/>
  </si>
  <si>
    <t>日田市サッカー協会</t>
    <rPh sb="0" eb="3">
      <t>ヒタシ</t>
    </rPh>
    <rPh sb="7" eb="9">
      <t>キョウカイ</t>
    </rPh>
    <phoneticPr fontId="29"/>
  </si>
  <si>
    <t>R001265552</t>
    <phoneticPr fontId="29"/>
  </si>
  <si>
    <t>R001264854</t>
    <phoneticPr fontId="29"/>
  </si>
  <si>
    <t>R010313749</t>
    <phoneticPr fontId="29"/>
  </si>
  <si>
    <t>R010552565</t>
    <phoneticPr fontId="29"/>
  </si>
  <si>
    <t>R010430157</t>
    <phoneticPr fontId="29"/>
  </si>
  <si>
    <t>姉川　光一郎</t>
    <rPh sb="0" eb="2">
      <t>アネカワ</t>
    </rPh>
    <rPh sb="3" eb="6">
      <t>コウイチロウ</t>
    </rPh>
    <phoneticPr fontId="29"/>
  </si>
  <si>
    <t>R001263785</t>
    <phoneticPr fontId="29"/>
  </si>
  <si>
    <t>酒井　清行</t>
    <rPh sb="0" eb="2">
      <t>サカイ</t>
    </rPh>
    <rPh sb="3" eb="5">
      <t>キヨユキ</t>
    </rPh>
    <phoneticPr fontId="29"/>
  </si>
  <si>
    <t>衛藤　和憲</t>
    <rPh sb="0" eb="2">
      <t>エトウ</t>
    </rPh>
    <rPh sb="3" eb="5">
      <t>カズノリ</t>
    </rPh>
    <phoneticPr fontId="29"/>
  </si>
  <si>
    <t>R009460551</t>
    <phoneticPr fontId="29"/>
  </si>
  <si>
    <t>R010714971</t>
    <phoneticPr fontId="29"/>
  </si>
  <si>
    <t>R006093835</t>
    <phoneticPr fontId="29"/>
  </si>
  <si>
    <t>熊谷　浩之</t>
    <rPh sb="0" eb="2">
      <t>クマガヤ</t>
    </rPh>
    <rPh sb="3" eb="5">
      <t>ヒロユキ</t>
    </rPh>
    <phoneticPr fontId="29"/>
  </si>
  <si>
    <t>R001258871</t>
    <phoneticPr fontId="29"/>
  </si>
  <si>
    <t>R001255616</t>
    <phoneticPr fontId="29"/>
  </si>
  <si>
    <t>R010073990</t>
    <phoneticPr fontId="29"/>
  </si>
  <si>
    <t>R001262838</t>
    <phoneticPr fontId="29"/>
  </si>
  <si>
    <t>平岡　正広</t>
    <rPh sb="0" eb="2">
      <t>ヒラオカ</t>
    </rPh>
    <rPh sb="3" eb="5">
      <t>マサヒロ</t>
    </rPh>
    <phoneticPr fontId="29"/>
  </si>
  <si>
    <t>川崎　博之</t>
    <rPh sb="0" eb="2">
      <t>カワサキ</t>
    </rPh>
    <rPh sb="3" eb="5">
      <t>ヒロユキ</t>
    </rPh>
    <phoneticPr fontId="29"/>
  </si>
  <si>
    <t>R001264775</t>
    <phoneticPr fontId="29"/>
  </si>
  <si>
    <t>R006664864</t>
    <phoneticPr fontId="29"/>
  </si>
  <si>
    <t>R010728146</t>
    <phoneticPr fontId="29"/>
  </si>
  <si>
    <t>R010027823</t>
    <phoneticPr fontId="29"/>
  </si>
  <si>
    <t>弓場　　幸誠</t>
    <phoneticPr fontId="29"/>
  </si>
  <si>
    <t>コーチ</t>
    <phoneticPr fontId="29"/>
  </si>
  <si>
    <t>笠置　忠照</t>
    <rPh sb="0" eb="2">
      <t>カサギ</t>
    </rPh>
    <rPh sb="3" eb="5">
      <t>タダテル</t>
    </rPh>
    <phoneticPr fontId="29"/>
  </si>
  <si>
    <t>R010281814</t>
    <phoneticPr fontId="29"/>
  </si>
  <si>
    <t>R003421338</t>
    <phoneticPr fontId="29"/>
  </si>
  <si>
    <t>R010376298</t>
    <phoneticPr fontId="29"/>
  </si>
  <si>
    <t>合谷　勇木</t>
    <rPh sb="0" eb="2">
      <t>ゴウタニ</t>
    </rPh>
    <rPh sb="3" eb="4">
      <t>イサム</t>
    </rPh>
    <rPh sb="4" eb="5">
      <t>モク</t>
    </rPh>
    <phoneticPr fontId="29"/>
  </si>
  <si>
    <t>梅木　悠也</t>
    <rPh sb="0" eb="2">
      <t>ウメキ</t>
    </rPh>
    <rPh sb="3" eb="5">
      <t>ユウヤ</t>
    </rPh>
    <phoneticPr fontId="29"/>
  </si>
  <si>
    <t>R010376324</t>
    <phoneticPr fontId="29"/>
  </si>
  <si>
    <t>R010776337</t>
    <phoneticPr fontId="29"/>
  </si>
  <si>
    <t>磯村　信一</t>
    <rPh sb="0" eb="2">
      <t>イソムラ</t>
    </rPh>
    <rPh sb="3" eb="5">
      <t>シンイチ</t>
    </rPh>
    <phoneticPr fontId="29"/>
  </si>
  <si>
    <t>R010448235</t>
    <phoneticPr fontId="29"/>
  </si>
  <si>
    <t>R007002733</t>
    <phoneticPr fontId="29"/>
  </si>
  <si>
    <t>R010281827</t>
    <phoneticPr fontId="29"/>
  </si>
  <si>
    <t>コーチ</t>
    <phoneticPr fontId="29"/>
  </si>
  <si>
    <t>弓場　　幸誠</t>
    <phoneticPr fontId="29"/>
  </si>
  <si>
    <t>R001264304</t>
    <phoneticPr fontId="29"/>
  </si>
  <si>
    <t>R010538391</t>
    <phoneticPr fontId="29"/>
  </si>
  <si>
    <t>松原　祐介</t>
    <rPh sb="0" eb="2">
      <t>マツバラ</t>
    </rPh>
    <rPh sb="3" eb="5">
      <t>ユウスケ</t>
    </rPh>
    <phoneticPr fontId="29"/>
  </si>
  <si>
    <t>箕迫　雄介</t>
    <phoneticPr fontId="29"/>
  </si>
  <si>
    <t>藤原　佑史朗</t>
    <rPh sb="0" eb="2">
      <t>フジワラ</t>
    </rPh>
    <rPh sb="3" eb="5">
      <t>ユウジ</t>
    </rPh>
    <rPh sb="5" eb="6">
      <t>ロウ</t>
    </rPh>
    <phoneticPr fontId="29"/>
  </si>
  <si>
    <t>R010737414</t>
    <phoneticPr fontId="29"/>
  </si>
  <si>
    <t>R010657826</t>
    <phoneticPr fontId="29"/>
  </si>
  <si>
    <t>石川　慎也</t>
    <rPh sb="0" eb="2">
      <t>イシカワ</t>
    </rPh>
    <rPh sb="3" eb="5">
      <t>シンヤ</t>
    </rPh>
    <phoneticPr fontId="29"/>
  </si>
  <si>
    <t>R001263837</t>
    <phoneticPr fontId="29"/>
  </si>
  <si>
    <t>R008634229</t>
    <phoneticPr fontId="29"/>
  </si>
  <si>
    <t>清原　勇二</t>
    <rPh sb="0" eb="2">
      <t>キヨハラ</t>
    </rPh>
    <rPh sb="3" eb="5">
      <t>ユウジ</t>
    </rPh>
    <phoneticPr fontId="29"/>
  </si>
  <si>
    <t>R002917722</t>
    <phoneticPr fontId="29"/>
  </si>
  <si>
    <t>ドリームキッズフットボールクラブ</t>
    <phoneticPr fontId="29"/>
  </si>
  <si>
    <t>ティエラフットボールクラブＵ－１２</t>
    <phoneticPr fontId="29"/>
  </si>
  <si>
    <t>別府フットボールクラブ．ミネルバＵ－１２</t>
    <phoneticPr fontId="29"/>
  </si>
  <si>
    <t>別府フットボールクラブ．ミネルバＵ－１２</t>
    <phoneticPr fontId="29"/>
  </si>
  <si>
    <t>大分トリニータタートルズ</t>
    <phoneticPr fontId="29"/>
  </si>
  <si>
    <t>大分トリニータタートルズ</t>
    <phoneticPr fontId="29"/>
  </si>
  <si>
    <t>弥生少年サッカークラブ</t>
    <phoneticPr fontId="29"/>
  </si>
  <si>
    <t>弥生少年サッカークラブ</t>
    <phoneticPr fontId="29"/>
  </si>
  <si>
    <t>滝尾下郡サッカースポーツ少年団</t>
    <phoneticPr fontId="29"/>
  </si>
  <si>
    <t>滝尾下郡サッカースポーツ少年団</t>
    <phoneticPr fontId="29"/>
  </si>
  <si>
    <t>リノスフットボールクラブ　Ｕ－１２</t>
    <phoneticPr fontId="29"/>
  </si>
  <si>
    <t>リノスフットボールクラブ　Ｕ－１２</t>
    <phoneticPr fontId="29"/>
  </si>
  <si>
    <t>臼杵ＳＳＳ</t>
    <phoneticPr fontId="29"/>
  </si>
  <si>
    <t>臼杵ＳＳＳ</t>
    <phoneticPr fontId="29"/>
  </si>
  <si>
    <t>四日市南ＳＳＣ</t>
    <phoneticPr fontId="29"/>
  </si>
  <si>
    <t>アトレチコエラン横瀬</t>
    <phoneticPr fontId="29"/>
  </si>
  <si>
    <t>アトレチコエラン横瀬</t>
    <phoneticPr fontId="29"/>
  </si>
  <si>
    <t>戸次吉野ＳＳＳ</t>
    <phoneticPr fontId="29"/>
  </si>
  <si>
    <t>戸次吉野ＳＳＳ</t>
    <phoneticPr fontId="29"/>
  </si>
  <si>
    <t>※１、※２　大会規定によるPK結果</t>
    <phoneticPr fontId="29"/>
  </si>
  <si>
    <t>カティオーラフットボールクラブＵ－１２</t>
    <phoneticPr fontId="29"/>
  </si>
  <si>
    <t>佐伯市サッカー協会</t>
    <rPh sb="0" eb="3">
      <t>サイキシ</t>
    </rPh>
    <rPh sb="7" eb="9">
      <t>キョウカイ</t>
    </rPh>
    <phoneticPr fontId="29"/>
  </si>
  <si>
    <t>久保田　秀樹</t>
    <rPh sb="0" eb="3">
      <t>クボタ</t>
    </rPh>
    <rPh sb="4" eb="6">
      <t>ヒデキ</t>
    </rPh>
    <phoneticPr fontId="29"/>
  </si>
  <si>
    <t>廣瀬　光雄</t>
    <rPh sb="0" eb="2">
      <t>ヒロセ</t>
    </rPh>
    <rPh sb="3" eb="5">
      <t>ミツオ</t>
    </rPh>
    <phoneticPr fontId="29"/>
  </si>
  <si>
    <t>R007003486</t>
    <phoneticPr fontId="29"/>
  </si>
  <si>
    <t>R001258738</t>
    <phoneticPr fontId="29"/>
  </si>
  <si>
    <t>岡部　司</t>
    <rPh sb="0" eb="2">
      <t>オカベ</t>
    </rPh>
    <rPh sb="3" eb="4">
      <t>ツカサ</t>
    </rPh>
    <phoneticPr fontId="29"/>
  </si>
  <si>
    <t>杉　吉隆</t>
    <rPh sb="0" eb="1">
      <t>スギ</t>
    </rPh>
    <rPh sb="2" eb="3">
      <t>ヨシ</t>
    </rPh>
    <rPh sb="3" eb="4">
      <t>タカシ</t>
    </rPh>
    <phoneticPr fontId="29"/>
  </si>
  <si>
    <t>豊肥地区サッカー協会</t>
    <rPh sb="0" eb="4">
      <t>ホウヒチク</t>
    </rPh>
    <rPh sb="8" eb="10">
      <t>キョウカイ</t>
    </rPh>
    <phoneticPr fontId="29"/>
  </si>
  <si>
    <t>R001263448</t>
    <phoneticPr fontId="29"/>
  </si>
  <si>
    <t>R010640404</t>
    <phoneticPr fontId="29"/>
  </si>
  <si>
    <t>R010120117</t>
    <phoneticPr fontId="29"/>
  </si>
  <si>
    <t>横山　幸司</t>
    <rPh sb="0" eb="2">
      <t>ヨコヤマ</t>
    </rPh>
    <rPh sb="3" eb="5">
      <t>コウジ</t>
    </rPh>
    <phoneticPr fontId="29"/>
  </si>
  <si>
    <t>秋元　文悟</t>
    <rPh sb="0" eb="2">
      <t>アキモト</t>
    </rPh>
    <rPh sb="3" eb="5">
      <t>ブンゴ</t>
    </rPh>
    <phoneticPr fontId="29"/>
  </si>
  <si>
    <t>R009554780</t>
    <phoneticPr fontId="29"/>
  </si>
  <si>
    <t>R003972489</t>
    <phoneticPr fontId="29"/>
  </si>
  <si>
    <t>菊地　謙一</t>
    <rPh sb="0" eb="2">
      <t>キクチ</t>
    </rPh>
    <rPh sb="3" eb="5">
      <t>ケンイチ</t>
    </rPh>
    <phoneticPr fontId="29"/>
  </si>
  <si>
    <t>古荘　羽矢斗</t>
    <rPh sb="0" eb="2">
      <t>フルショウ</t>
    </rPh>
    <rPh sb="3" eb="5">
      <t>ハヤ</t>
    </rPh>
    <rPh sb="5" eb="6">
      <t>ト</t>
    </rPh>
    <phoneticPr fontId="29"/>
  </si>
  <si>
    <t>R010593968</t>
    <phoneticPr fontId="29"/>
  </si>
  <si>
    <t>R010281809</t>
    <phoneticPr fontId="29"/>
  </si>
  <si>
    <t>R008634706</t>
    <phoneticPr fontId="29"/>
  </si>
  <si>
    <t>R010789999</t>
    <phoneticPr fontId="29"/>
  </si>
  <si>
    <t>R010007794</t>
    <phoneticPr fontId="29"/>
  </si>
  <si>
    <t>R010093443</t>
    <phoneticPr fontId="29"/>
  </si>
  <si>
    <t>R007890271</t>
    <phoneticPr fontId="29"/>
  </si>
  <si>
    <t>仲野　昭博</t>
    <rPh sb="0" eb="2">
      <t>ナカノ</t>
    </rPh>
    <rPh sb="3" eb="5">
      <t>アキヒロ</t>
    </rPh>
    <phoneticPr fontId="29"/>
  </si>
  <si>
    <t>R003256053</t>
    <phoneticPr fontId="29"/>
  </si>
  <si>
    <t>R003258477</t>
    <phoneticPr fontId="29"/>
  </si>
  <si>
    <t>（　大分　市）</t>
    <rPh sb="2" eb="4">
      <t>オオイタ</t>
    </rPh>
    <phoneticPr fontId="29"/>
  </si>
  <si>
    <t>（　中津　市）</t>
    <rPh sb="2" eb="4">
      <t>ナカツ</t>
    </rPh>
    <phoneticPr fontId="29"/>
  </si>
  <si>
    <t>（　宇佐　市）</t>
    <rPh sb="2" eb="4">
      <t>ウサ</t>
    </rPh>
    <phoneticPr fontId="29"/>
  </si>
  <si>
    <t>R001254477</t>
    <phoneticPr fontId="29"/>
  </si>
  <si>
    <t>黒田　大貴</t>
    <phoneticPr fontId="29"/>
  </si>
  <si>
    <t>白江　直樹</t>
    <phoneticPr fontId="29"/>
  </si>
  <si>
    <t>岡部　正典</t>
    <phoneticPr fontId="29"/>
  </si>
  <si>
    <t>寺岡　富夫</t>
    <phoneticPr fontId="29"/>
  </si>
  <si>
    <t>嶋田　尚祐</t>
    <phoneticPr fontId="29"/>
  </si>
  <si>
    <t>佐藤　慎二</t>
    <phoneticPr fontId="29"/>
  </si>
  <si>
    <t>小林　年晴</t>
    <phoneticPr fontId="29"/>
  </si>
  <si>
    <t>寺次　良生</t>
    <phoneticPr fontId="29"/>
  </si>
  <si>
    <t>佐々木　秀樹</t>
    <phoneticPr fontId="29"/>
  </si>
  <si>
    <t>榊　謙治</t>
    <phoneticPr fontId="29"/>
  </si>
  <si>
    <t>市原　宗久</t>
    <phoneticPr fontId="29"/>
  </si>
  <si>
    <t>田尻　貴志</t>
    <phoneticPr fontId="29"/>
  </si>
  <si>
    <t>中原　圭介</t>
    <phoneticPr fontId="29"/>
  </si>
  <si>
    <t>津守　一雄</t>
    <phoneticPr fontId="29"/>
  </si>
  <si>
    <t>松下　省吾</t>
    <phoneticPr fontId="29"/>
  </si>
  <si>
    <t>甲斐　直樹</t>
    <phoneticPr fontId="29"/>
  </si>
  <si>
    <t>末永　成久</t>
    <phoneticPr fontId="29"/>
  </si>
  <si>
    <t>中野　観司郎</t>
    <phoneticPr fontId="29"/>
  </si>
  <si>
    <t>12:00～</t>
    <phoneticPr fontId="29"/>
  </si>
  <si>
    <t>県人工芝</t>
    <rPh sb="0" eb="1">
      <t>ケン</t>
    </rPh>
    <rPh sb="1" eb="4">
      <t>ジンコウシバ</t>
    </rPh>
    <phoneticPr fontId="29"/>
  </si>
  <si>
    <t>大分県サッカー協会人工芝グラウンド</t>
    <phoneticPr fontId="110"/>
  </si>
  <si>
    <t>大分市大字松岡6841番地</t>
    <phoneticPr fontId="110"/>
  </si>
  <si>
    <t>14:10～</t>
    <phoneticPr fontId="72"/>
  </si>
  <si>
    <t>試合開始　14時10分～</t>
    <rPh sb="0" eb="2">
      <t>シアイ</t>
    </rPh>
    <rPh sb="2" eb="4">
      <t>カイシ</t>
    </rPh>
    <rPh sb="7" eb="8">
      <t>ジ</t>
    </rPh>
    <rPh sb="10" eb="11">
      <t>フン</t>
    </rPh>
    <phoneticPr fontId="29"/>
  </si>
  <si>
    <t>30分</t>
    <rPh sb="2" eb="3">
      <t>プン</t>
    </rPh>
    <phoneticPr fontId="29"/>
  </si>
  <si>
    <t>15:00～</t>
    <phoneticPr fontId="72"/>
  </si>
  <si>
    <t>14:10～</t>
    <phoneticPr fontId="29"/>
  </si>
  <si>
    <t>10:50～</t>
    <phoneticPr fontId="72"/>
  </si>
  <si>
    <t>12:30～</t>
    <phoneticPr fontId="72"/>
  </si>
  <si>
    <t>13:40～</t>
    <phoneticPr fontId="72"/>
  </si>
  <si>
    <t>試合開始　12時30分～</t>
    <rPh sb="0" eb="2">
      <t>シアイ</t>
    </rPh>
    <rPh sb="2" eb="4">
      <t>カイシ</t>
    </rPh>
    <rPh sb="7" eb="8">
      <t>ジ</t>
    </rPh>
    <rPh sb="10" eb="11">
      <t>フン</t>
    </rPh>
    <phoneticPr fontId="29"/>
  </si>
  <si>
    <t>大分県サッカー協会
人工芝グラウンド</t>
  </si>
  <si>
    <t>①</t>
    <phoneticPr fontId="29"/>
  </si>
  <si>
    <t>③</t>
    <phoneticPr fontId="29"/>
  </si>
  <si>
    <t>11～　→　10S</t>
    <phoneticPr fontId="29"/>
  </si>
  <si>
    <t>11　∩　10S</t>
    <phoneticPr fontId="29"/>
  </si>
  <si>
    <t>9　→　10S</t>
    <phoneticPr fontId="29"/>
  </si>
  <si>
    <t>10～　→　5S</t>
    <phoneticPr fontId="29"/>
  </si>
  <si>
    <t>∩</t>
    <phoneticPr fontId="29"/>
  </si>
  <si>
    <t>（　大分　市）</t>
  </si>
  <si>
    <t/>
  </si>
  <si>
    <t>大分県サッカー協会
人工芝グラウンド</t>
    <phoneticPr fontId="29"/>
  </si>
  <si>
    <t>9　～S</t>
    <phoneticPr fontId="29"/>
  </si>
  <si>
    <t>5　～S</t>
    <phoneticPr fontId="29"/>
  </si>
  <si>
    <t>（　中津　市）</t>
  </si>
  <si>
    <t>（　宇佐　市）</t>
  </si>
  <si>
    <t>26分　11番　C5</t>
    <rPh sb="2" eb="3">
      <t>フン</t>
    </rPh>
    <rPh sb="6" eb="7">
      <t>バン</t>
    </rPh>
    <phoneticPr fontId="29"/>
  </si>
  <si>
    <t>10　～S</t>
    <phoneticPr fontId="29"/>
  </si>
  <si>
    <t>11　～S</t>
    <phoneticPr fontId="29"/>
  </si>
  <si>
    <t>10S　バー跳ね返り　３S</t>
    <rPh sb="6" eb="7">
      <t>ハ</t>
    </rPh>
    <rPh sb="8" eb="9">
      <t>カエ</t>
    </rPh>
    <phoneticPr fontId="29"/>
  </si>
  <si>
    <t>11S</t>
    <phoneticPr fontId="2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</si>
</sst>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Red]&quot;¥&quot;\-#,##0"/>
    <numFmt numFmtId="176" formatCode="m/d;@"/>
    <numFmt numFmtId="177" formatCode="0.00_ "/>
    <numFmt numFmtId="178" formatCode="#,##0&quot;位&quot;"/>
    <numFmt numFmtId="179" formatCode="&quot;期日：&quot;General"/>
    <numFmt numFmtId="180" formatCode="m/d\(aaa\)"/>
    <numFmt numFmtId="181" formatCode="m&quot;月&quot;d&quot;日&quot;\(aaa\)\ &quot;１次リーグ&quot;"/>
    <numFmt numFmtId="182" formatCode="m&quot;月&quot;d&quot;日&quot;\(aaa\)\ &quot;２次リーグ&quot;"/>
    <numFmt numFmtId="183" formatCode="m&quot;月&quot;d&quot;日&quot;\(aaa\)\ &quot;準決勝(代表決定戦) / 決勝(順位決定戦)&quot;"/>
    <numFmt numFmtId="184" formatCode="yyyy&quot;年&quot;\ m&quot;月&quot;\ d&quot;日&quot;\ \(aaa\)"/>
  </numFmts>
  <fonts count="150" x14ac:knownFonts="1">
    <font>
      <sz val="11"/>
      <name val="ＭＳ Ｐゴシック"/>
      <family val="3"/>
    </font>
    <font>
      <sz val="11"/>
      <color indexed="8"/>
      <name val="ＭＳ Ｐゴシック"/>
      <family val="3"/>
    </font>
    <font>
      <sz val="12"/>
      <color indexed="8"/>
      <name val="ＭＳ Ｐゴシック"/>
      <family val="3"/>
    </font>
    <font>
      <sz val="11"/>
      <color indexed="9"/>
      <name val="ＭＳ Ｐゴシック"/>
      <family val="3"/>
    </font>
    <font>
      <sz val="12"/>
      <color indexed="9"/>
      <name val="ＭＳ Ｐゴシック"/>
      <family val="3"/>
    </font>
    <font>
      <sz val="11"/>
      <color indexed="60"/>
      <name val="ＭＳ Ｐゴシック"/>
      <family val="3"/>
    </font>
    <font>
      <b/>
      <sz val="18"/>
      <color indexed="56"/>
      <name val="ＭＳ Ｐゴシック"/>
      <family val="3"/>
    </font>
    <font>
      <b/>
      <sz val="11"/>
      <color indexed="9"/>
      <name val="ＭＳ Ｐゴシック"/>
      <family val="3"/>
    </font>
    <font>
      <u/>
      <sz val="8.5"/>
      <color indexed="12"/>
      <name val="ＭＳ 明朝"/>
      <family val="1"/>
    </font>
    <font>
      <u/>
      <sz val="11"/>
      <color indexed="12"/>
      <name val="ＭＳ Ｐゴシック"/>
      <family val="3"/>
    </font>
    <font>
      <sz val="11"/>
      <name val="ＭＳ Ｐゴシック"/>
      <family val="3"/>
    </font>
    <font>
      <sz val="11"/>
      <color indexed="52"/>
      <name val="ＭＳ Ｐゴシック"/>
      <family val="3"/>
    </font>
    <font>
      <sz val="11"/>
      <color indexed="62"/>
      <name val="ＭＳ Ｐゴシック"/>
      <family val="3"/>
    </font>
    <font>
      <b/>
      <sz val="11"/>
      <color indexed="63"/>
      <name val="ＭＳ Ｐゴシック"/>
      <family val="3"/>
    </font>
    <font>
      <b/>
      <sz val="12"/>
      <color indexed="8"/>
      <name val="ＭＳ Ｐゴシック"/>
      <family val="3"/>
    </font>
    <font>
      <sz val="11"/>
      <color indexed="20"/>
      <name val="ＭＳ Ｐゴシック"/>
      <family val="3"/>
    </font>
    <font>
      <sz val="12"/>
      <color indexed="60"/>
      <name val="ＭＳ Ｐゴシック"/>
      <family val="3"/>
    </font>
    <font>
      <sz val="11"/>
      <color theme="1"/>
      <name val="ＭＳ Ｐゴシック"/>
      <family val="2"/>
      <scheme val="minor"/>
    </font>
    <font>
      <sz val="8.5"/>
      <name val="ＭＳ 明朝"/>
      <family val="1"/>
    </font>
    <font>
      <sz val="12"/>
      <name val="ＭＳ 明朝"/>
      <family val="1"/>
    </font>
    <font>
      <sz val="11"/>
      <color indexed="17"/>
      <name val="ＭＳ Ｐゴシック"/>
      <family val="3"/>
    </font>
    <font>
      <b/>
      <sz val="15"/>
      <color indexed="56"/>
      <name val="ＭＳ Ｐゴシック"/>
      <family val="3"/>
    </font>
    <font>
      <b/>
      <sz val="13"/>
      <color indexed="56"/>
      <name val="ＭＳ Ｐゴシック"/>
      <family val="3"/>
    </font>
    <font>
      <b/>
      <sz val="11"/>
      <color indexed="56"/>
      <name val="ＭＳ Ｐゴシック"/>
      <family val="3"/>
    </font>
    <font>
      <b/>
      <sz val="11"/>
      <color indexed="52"/>
      <name val="ＭＳ Ｐゴシック"/>
      <family val="3"/>
    </font>
    <font>
      <i/>
      <sz val="11"/>
      <color indexed="23"/>
      <name val="ＭＳ Ｐゴシック"/>
      <family val="3"/>
    </font>
    <font>
      <sz val="11"/>
      <color indexed="10"/>
      <name val="ＭＳ Ｐゴシック"/>
      <family val="3"/>
    </font>
    <font>
      <b/>
      <sz val="8.5"/>
      <name val="ＭＳ 明朝"/>
      <family val="1"/>
    </font>
    <font>
      <b/>
      <sz val="11"/>
      <color indexed="8"/>
      <name val="ＭＳ Ｐゴシック"/>
      <family val="3"/>
    </font>
    <font>
      <sz val="6"/>
      <name val="ＭＳ Ｐゴシック"/>
      <family val="3"/>
    </font>
    <font>
      <sz val="11"/>
      <name val="Meiryo UI"/>
      <family val="3"/>
    </font>
    <font>
      <sz val="10"/>
      <name val="Meiryo UI"/>
      <family val="3"/>
    </font>
    <font>
      <sz val="11"/>
      <color theme="1"/>
      <name val="Meiryo UI"/>
      <family val="3"/>
    </font>
    <font>
      <sz val="11"/>
      <color indexed="10"/>
      <name val="Meiryo UI"/>
      <family val="3"/>
    </font>
    <font>
      <b/>
      <sz val="11"/>
      <color rgb="FFFF0000"/>
      <name val="Meiryo UI"/>
      <family val="3"/>
    </font>
    <font>
      <b/>
      <sz val="11"/>
      <color indexed="10"/>
      <name val="Meiryo UI"/>
      <family val="3"/>
    </font>
    <font>
      <sz val="10"/>
      <color indexed="8"/>
      <name val="Meiryo UI"/>
      <family val="3"/>
    </font>
    <font>
      <sz val="14"/>
      <name val="Meiryo UI"/>
      <family val="3"/>
    </font>
    <font>
      <sz val="10"/>
      <color theme="1"/>
      <name val="Meiryo UI"/>
      <family val="3"/>
    </font>
    <font>
      <sz val="11"/>
      <name val="HG丸ｺﾞｼｯｸM-PRO"/>
      <family val="3"/>
    </font>
    <font>
      <b/>
      <sz val="11"/>
      <name val="HG丸ｺﾞｼｯｸM-PRO"/>
      <family val="3"/>
    </font>
    <font>
      <b/>
      <sz val="12"/>
      <name val="HG丸ｺﾞｼｯｸM-PRO"/>
      <family val="3"/>
    </font>
    <font>
      <sz val="11"/>
      <color theme="1"/>
      <name val="HG丸ｺﾞｼｯｸM-PRO"/>
      <family val="3"/>
    </font>
    <font>
      <sz val="9"/>
      <name val="HG丸ｺﾞｼｯｸM-PRO"/>
      <family val="3"/>
    </font>
    <font>
      <sz val="10"/>
      <name val="HG丸ｺﾞｼｯｸM-PRO"/>
      <family val="3"/>
    </font>
    <font>
      <sz val="12"/>
      <name val="HG丸ｺﾞｼｯｸM-PRO"/>
      <family val="3"/>
    </font>
    <font>
      <b/>
      <u/>
      <sz val="18"/>
      <name val="ＭＳ Ｐゴシック"/>
      <family val="3"/>
    </font>
    <font>
      <b/>
      <sz val="14"/>
      <name val="HG丸ｺﾞｼｯｸM-PRO"/>
      <family val="3"/>
    </font>
    <font>
      <b/>
      <sz val="11"/>
      <color indexed="10"/>
      <name val="ＭＳ Ｐゴシック"/>
      <family val="3"/>
    </font>
    <font>
      <sz val="12"/>
      <name val="HGP創英角ｺﾞｼｯｸUB"/>
      <family val="3"/>
    </font>
    <font>
      <b/>
      <sz val="12"/>
      <color theme="1"/>
      <name val="HG丸ｺﾞｼｯｸM-PRO"/>
      <family val="3"/>
    </font>
    <font>
      <b/>
      <sz val="11"/>
      <name val="ＭＳ Ｐゴシック"/>
      <family val="3"/>
    </font>
    <font>
      <i/>
      <u/>
      <sz val="11"/>
      <name val="HG丸ｺﾞｼｯｸM-PRO"/>
      <family val="3"/>
    </font>
    <font>
      <sz val="8"/>
      <name val="HG丸ｺﾞｼｯｸM-PRO"/>
      <family val="3"/>
    </font>
    <font>
      <b/>
      <i/>
      <sz val="10"/>
      <color rgb="FFFF0000"/>
      <name val="HG丸ｺﾞｼｯｸM-PRO"/>
      <family val="3"/>
    </font>
    <font>
      <i/>
      <sz val="10"/>
      <name val="HG丸ｺﾞｼｯｸM-PRO"/>
      <family val="3"/>
    </font>
    <font>
      <sz val="8"/>
      <color theme="1"/>
      <name val="HG丸ｺﾞｼｯｸM-PRO"/>
      <family val="3"/>
    </font>
    <font>
      <b/>
      <sz val="9"/>
      <name val="HG丸ｺﾞｼｯｸM-PRO"/>
      <family val="3"/>
    </font>
    <font>
      <b/>
      <i/>
      <sz val="11"/>
      <name val="HG丸ｺﾞｼｯｸM-PRO"/>
      <family val="3"/>
    </font>
    <font>
      <sz val="6"/>
      <color theme="1"/>
      <name val="HG丸ｺﾞｼｯｸM-PRO"/>
      <family val="3"/>
    </font>
    <font>
      <sz val="6"/>
      <name val="HG丸ｺﾞｼｯｸM-PRO"/>
      <family val="3"/>
    </font>
    <font>
      <b/>
      <sz val="14"/>
      <name val="ＭＳ Ｐゴシック"/>
      <family val="3"/>
    </font>
    <font>
      <sz val="11"/>
      <name val="ＭＳ ゴシック"/>
      <family val="3"/>
    </font>
    <font>
      <sz val="16"/>
      <name val="ＭＳ ゴシック"/>
      <family val="3"/>
    </font>
    <font>
      <sz val="16"/>
      <color indexed="10"/>
      <name val="ＭＳ ゴシック"/>
      <family val="3"/>
    </font>
    <font>
      <sz val="26"/>
      <name val="ＭＳ ゴシック"/>
      <family val="3"/>
    </font>
    <font>
      <sz val="18"/>
      <name val="ＭＳ ゴシック"/>
      <family val="3"/>
    </font>
    <font>
      <sz val="16"/>
      <name val="ＭＳ Ｐゴシック"/>
      <family val="3"/>
    </font>
    <font>
      <sz val="18"/>
      <name val="ＭＳ Ｐゴシック"/>
      <family val="3"/>
    </font>
    <font>
      <sz val="14"/>
      <name val="ＭＳ Ｐゴシック"/>
      <family val="3"/>
    </font>
    <font>
      <sz val="20"/>
      <name val="ＭＳ ゴシック"/>
      <family val="3"/>
    </font>
    <font>
      <sz val="11"/>
      <color indexed="10"/>
      <name val="ＭＳ ゴシック"/>
      <family val="3"/>
    </font>
    <font>
      <sz val="14"/>
      <name val="ＭＳ Ｐゴシック"/>
      <family val="3"/>
    </font>
    <font>
      <sz val="10"/>
      <name val="ＭＳ Ｐゴシック"/>
      <family val="3"/>
    </font>
    <font>
      <sz val="8.5"/>
      <name val="Meiryo UI"/>
      <family val="3"/>
    </font>
    <font>
      <sz val="12"/>
      <name val="Meiryo UI"/>
      <family val="3"/>
    </font>
    <font>
      <b/>
      <sz val="14"/>
      <name val="Meiryo UI"/>
      <family val="3"/>
    </font>
    <font>
      <sz val="10"/>
      <color rgb="FF000000"/>
      <name val="Meiryo UI"/>
      <family val="3"/>
    </font>
    <font>
      <b/>
      <sz val="20"/>
      <name val="ＭＳ Ｐゴシック"/>
      <family val="3"/>
    </font>
    <font>
      <sz val="14"/>
      <name val="Arial"/>
      <family val="2"/>
    </font>
    <font>
      <sz val="20"/>
      <name val="ＭＳ Ｐゴシック"/>
      <family val="3"/>
    </font>
    <font>
      <sz val="12"/>
      <name val="ＭＳ Ｐゴシック"/>
      <family val="3"/>
    </font>
    <font>
      <b/>
      <sz val="18"/>
      <name val="ＭＳ Ｐゴシック"/>
      <family val="3"/>
    </font>
    <font>
      <sz val="12"/>
      <color theme="1"/>
      <name val="ＭＳ Ｐゴシック"/>
      <family val="3"/>
    </font>
    <font>
      <sz val="16"/>
      <color theme="1"/>
      <name val="ＭＳ Ｐゴシック"/>
      <family val="3"/>
      <scheme val="minor"/>
    </font>
    <font>
      <sz val="22"/>
      <color theme="1"/>
      <name val="ＭＳ Ｐゴシック"/>
      <family val="3"/>
    </font>
    <font>
      <sz val="14"/>
      <color theme="1"/>
      <name val="ＭＳ Ｐゴシック"/>
      <family val="3"/>
    </font>
    <font>
      <sz val="18"/>
      <color theme="1"/>
      <name val="ＭＳ Ｐゴシック"/>
      <family val="3"/>
    </font>
    <font>
      <sz val="20"/>
      <color theme="1"/>
      <name val="ＭＳ Ｐゴシック"/>
      <family val="3"/>
    </font>
    <font>
      <b/>
      <sz val="18"/>
      <color theme="1"/>
      <name val="ＭＳ Ｐゴシック"/>
      <family val="3"/>
    </font>
    <font>
      <b/>
      <sz val="12"/>
      <color theme="1"/>
      <name val="ＭＳ Ｐゴシック"/>
      <family val="3"/>
    </font>
    <font>
      <sz val="10"/>
      <color theme="1"/>
      <name val="ＭＳ Ｐゴシック"/>
      <family val="3"/>
    </font>
    <font>
      <b/>
      <sz val="20"/>
      <color theme="1"/>
      <name val="ＭＳ Ｐゴシック"/>
      <family val="3"/>
    </font>
    <font>
      <sz val="24"/>
      <name val="ＭＳ Ｐゴシック"/>
      <family val="3"/>
    </font>
    <font>
      <b/>
      <sz val="24"/>
      <color indexed="10"/>
      <name val="ＭＳ Ｐゴシック"/>
      <family val="3"/>
    </font>
    <font>
      <b/>
      <sz val="16"/>
      <name val="ＭＳ Ｐゴシック"/>
      <family val="3"/>
    </font>
    <font>
      <b/>
      <sz val="26"/>
      <name val="ＭＳ Ｐゴシック"/>
      <family val="3"/>
    </font>
    <font>
      <b/>
      <sz val="24"/>
      <color rgb="FFFF0000"/>
      <name val="ＭＳ Ｐゴシック"/>
      <family val="3"/>
    </font>
    <font>
      <sz val="9"/>
      <color theme="1"/>
      <name val="ＭＳ Ｐゴシック"/>
      <family val="3"/>
      <scheme val="minor"/>
    </font>
    <font>
      <sz val="9"/>
      <name val="ＭＳ Ｐゴシック"/>
      <family val="3"/>
    </font>
    <font>
      <sz val="11"/>
      <color indexed="10"/>
      <name val="ＭＳ Ｐゴシック"/>
      <family val="3"/>
      <charset val="128"/>
    </font>
    <font>
      <b/>
      <sz val="11"/>
      <color indexed="10"/>
      <name val="ＭＳ Ｐゴシック"/>
      <family val="3"/>
      <charset val="128"/>
    </font>
    <font>
      <b/>
      <sz val="11"/>
      <color indexed="10"/>
      <name val="Meiryo UI"/>
      <family val="3"/>
      <charset val="128"/>
    </font>
    <font>
      <b/>
      <sz val="11"/>
      <name val="ＭＳ Ｐゴシック"/>
      <family val="3"/>
      <charset val="128"/>
    </font>
    <font>
      <sz val="11"/>
      <color indexed="10"/>
      <name val="Meiryo UI"/>
      <family val="3"/>
      <charset val="128"/>
    </font>
    <font>
      <sz val="10"/>
      <name val="HG丸ｺﾞｼｯｸM-PRO"/>
      <family val="3"/>
      <charset val="128"/>
    </font>
    <font>
      <b/>
      <sz val="11"/>
      <name val="HG丸ｺﾞｼｯｸM-PRO"/>
      <family val="3"/>
      <charset val="128"/>
    </font>
    <font>
      <sz val="11"/>
      <name val="HG丸ｺﾞｼｯｸM-PRO"/>
      <family val="3"/>
      <charset val="128"/>
    </font>
    <font>
      <sz val="9"/>
      <color theme="1"/>
      <name val="ＭＳ Ｐゴシック"/>
      <family val="3"/>
      <charset val="128"/>
      <scheme val="minor"/>
    </font>
    <font>
      <sz val="10"/>
      <color theme="1"/>
      <name val="Meiryo UI"/>
      <family val="3"/>
      <charset val="128"/>
    </font>
    <font>
      <sz val="6"/>
      <name val="ＭＳ Ｐゴシック"/>
      <family val="3"/>
      <charset val="128"/>
    </font>
    <font>
      <sz val="9"/>
      <color rgb="FFFF0000"/>
      <name val="HG丸ｺﾞｼｯｸM-PRO"/>
      <family val="3"/>
      <charset val="128"/>
    </font>
    <font>
      <sz val="26"/>
      <name val="ＭＳ ゴシック"/>
      <family val="3"/>
      <charset val="128"/>
    </font>
    <font>
      <sz val="11"/>
      <name val="ＭＳ ゴシック"/>
      <family val="3"/>
      <charset val="128"/>
    </font>
    <font>
      <sz val="18"/>
      <name val="ＭＳ ゴシック"/>
      <family val="3"/>
      <charset val="128"/>
    </font>
    <font>
      <sz val="16"/>
      <name val="ＭＳ ゴシック"/>
      <family val="3"/>
      <charset val="128"/>
    </font>
    <font>
      <b/>
      <sz val="11"/>
      <color rgb="FFFF0000"/>
      <name val="ＭＳ Ｐゴシック"/>
      <family val="3"/>
      <charset val="128"/>
    </font>
    <font>
      <sz val="14"/>
      <name val="Meiryo UI"/>
      <family val="3"/>
      <charset val="128"/>
    </font>
    <font>
      <sz val="10"/>
      <color theme="1"/>
      <name val="HG丸ｺﾞｼｯｸM-PRO"/>
      <family val="3"/>
    </font>
    <font>
      <sz val="10"/>
      <color theme="1"/>
      <name val="HG丸ｺﾞｼｯｸM-PRO"/>
      <family val="3"/>
      <charset val="128"/>
    </font>
    <font>
      <sz val="16"/>
      <name val="ＭＳ Ｐゴシック"/>
      <family val="3"/>
      <charset val="128"/>
    </font>
    <font>
      <sz val="11"/>
      <name val="ＭＳ Ｐゴシック"/>
      <family val="3"/>
      <charset val="128"/>
    </font>
    <font>
      <sz val="9"/>
      <name val="HG丸ｺﾞｼｯｸM-PRO"/>
      <family val="3"/>
      <charset val="128"/>
    </font>
    <font>
      <sz val="11"/>
      <name val="Meiryo UI"/>
      <family val="3"/>
      <charset val="128"/>
    </font>
    <font>
      <sz val="11"/>
      <color rgb="FFFF0000"/>
      <name val="Meiryo UI"/>
      <family val="3"/>
      <charset val="128"/>
    </font>
    <font>
      <sz val="11"/>
      <color indexed="12"/>
      <name val="Meiryo UI"/>
      <family val="3"/>
      <charset val="128"/>
    </font>
    <font>
      <sz val="11"/>
      <color theme="1"/>
      <name val="Meiryo UI"/>
      <family val="3"/>
      <charset val="128"/>
    </font>
    <font>
      <sz val="10"/>
      <name val="Meiryo UI"/>
      <family val="3"/>
      <charset val="128"/>
    </font>
    <font>
      <b/>
      <u/>
      <sz val="11"/>
      <color indexed="10"/>
      <name val="Meiryo UI"/>
      <family val="3"/>
      <charset val="128"/>
    </font>
    <font>
      <sz val="14"/>
      <name val="ＭＳ Ｐゴシック"/>
      <family val="3"/>
      <charset val="128"/>
    </font>
    <font>
      <sz val="20"/>
      <color indexed="8"/>
      <name val="@ＭＳ ゴシック"/>
      <family val="3"/>
      <charset val="128"/>
    </font>
    <font>
      <sz val="18"/>
      <color indexed="8"/>
      <name val="@ＭＳ ゴシック"/>
      <family val="3"/>
      <charset val="128"/>
    </font>
    <font>
      <b/>
      <sz val="10"/>
      <color rgb="FFFF0000"/>
      <name val="Meiryo UI"/>
      <family val="3"/>
      <charset val="128"/>
    </font>
    <font>
      <sz val="12"/>
      <color rgb="FFFF0000"/>
      <name val="Meiryo UI"/>
      <family val="3"/>
    </font>
    <font>
      <b/>
      <sz val="11"/>
      <color rgb="FFFF0000"/>
      <name val="Meiryo UI"/>
      <family val="3"/>
      <charset val="128"/>
    </font>
    <font>
      <sz val="11"/>
      <color rgb="FFFF0000"/>
      <name val="Meiryo UI"/>
      <family val="3"/>
    </font>
    <font>
      <sz val="9"/>
      <name val="ＭＳ Ｐゴシック"/>
      <family val="3"/>
      <charset val="128"/>
    </font>
    <font>
      <sz val="20"/>
      <color theme="1"/>
      <name val="ＭＳ Ｐゴシック"/>
      <family val="3"/>
      <scheme val="minor"/>
    </font>
    <font>
      <b/>
      <sz val="12"/>
      <color rgb="FFFF0000"/>
      <name val="ＭＳ Ｐゴシック"/>
      <family val="3"/>
    </font>
    <font>
      <b/>
      <sz val="20"/>
      <color rgb="FFFF0000"/>
      <name val="ＭＳ Ｐゴシック"/>
      <family val="3"/>
      <charset val="128"/>
    </font>
    <font>
      <b/>
      <sz val="12"/>
      <color rgb="FFFF0000"/>
      <name val="ＭＳ Ｐゴシック"/>
      <family val="3"/>
      <charset val="128"/>
    </font>
    <font>
      <b/>
      <sz val="20"/>
      <color rgb="FFFF0000"/>
      <name val="ＭＳ Ｐゴシック"/>
      <family val="3"/>
    </font>
    <font>
      <b/>
      <sz val="20"/>
      <color theme="1"/>
      <name val="Segoe UI Symbol"/>
      <family val="3"/>
    </font>
    <font>
      <b/>
      <sz val="20"/>
      <color theme="1"/>
      <name val="ＭＳ Ｐゴシック"/>
      <family val="3"/>
      <charset val="128"/>
    </font>
    <font>
      <sz val="12"/>
      <name val="ＭＳ Ｐゴシック"/>
      <family val="3"/>
      <charset val="128"/>
    </font>
    <font>
      <sz val="12"/>
      <color theme="1"/>
      <name val="ＭＳ Ｐゴシック"/>
      <family val="3"/>
      <charset val="128"/>
    </font>
    <font>
      <b/>
      <sz val="12"/>
      <color theme="1"/>
      <name val="ＭＳ Ｐゴシック"/>
      <family val="3"/>
      <charset val="128"/>
    </font>
    <font>
      <sz val="11"/>
      <color theme="1"/>
      <name val="ＭＳ Ｐゴシック"/>
      <family val="3"/>
    </font>
    <font>
      <b/>
      <sz val="14"/>
      <color rgb="FFFF0000"/>
      <name val="ＭＳ Ｐゴシック"/>
      <family val="3"/>
      <charset val="128"/>
    </font>
    <font>
      <b/>
      <sz val="16"/>
      <color rgb="FFFF0000"/>
      <name val="ＭＳ ゴシック"/>
      <family val="3"/>
      <charset val="128"/>
    </font>
  </fonts>
  <fills count="4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9"/>
      </patternFill>
    </fill>
    <fill>
      <patternFill patternType="solid">
        <fgColor indexed="26"/>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22"/>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CCFF"/>
        <bgColor indexed="64"/>
      </patternFill>
    </fill>
    <fill>
      <patternFill patternType="solid">
        <fgColor rgb="FFFFFF99"/>
        <bgColor indexed="64"/>
      </patternFill>
    </fill>
    <fill>
      <patternFill patternType="solid">
        <fgColor rgb="FFCCFFFF"/>
        <bgColor indexed="64"/>
      </patternFill>
    </fill>
    <fill>
      <patternFill patternType="solid">
        <fgColor indexed="45"/>
        <bgColor indexed="64"/>
      </patternFill>
    </fill>
    <fill>
      <patternFill patternType="solid">
        <fgColor indexed="43"/>
        <bgColor indexed="64"/>
      </patternFill>
    </fill>
    <fill>
      <patternFill patternType="solid">
        <fgColor indexed="47"/>
        <bgColor indexed="64"/>
      </patternFill>
    </fill>
    <fill>
      <patternFill patternType="solid">
        <fgColor indexed="27"/>
        <bgColor indexed="64"/>
      </patternFill>
    </fill>
    <fill>
      <patternFill patternType="solid">
        <fgColor indexed="41"/>
        <bgColor indexed="64"/>
      </patternFill>
    </fill>
    <fill>
      <patternFill patternType="solid">
        <fgColor indexed="42"/>
        <bgColor indexed="64"/>
      </patternFill>
    </fill>
    <fill>
      <patternFill patternType="solid">
        <fgColor theme="0" tint="-0.249977111117893"/>
        <bgColor indexed="64"/>
      </patternFill>
    </fill>
    <fill>
      <patternFill patternType="solid">
        <fgColor theme="1"/>
        <bgColor indexed="64"/>
      </patternFill>
    </fill>
    <fill>
      <patternFill patternType="solid">
        <fgColor theme="8" tint="0.59999389629810485"/>
        <bgColor indexed="64"/>
      </patternFill>
    </fill>
    <fill>
      <patternFill patternType="solid">
        <fgColor rgb="FF92D050"/>
        <bgColor indexed="64"/>
      </patternFill>
    </fill>
    <fill>
      <patternFill patternType="solid">
        <fgColor rgb="FFFFFF00"/>
        <bgColor indexed="64"/>
      </patternFill>
    </fill>
    <fill>
      <patternFill patternType="solid">
        <fgColor rgb="FFFF99FF"/>
        <bgColor indexed="64"/>
      </patternFill>
    </fill>
  </fills>
  <borders count="23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style="thin">
        <color indexed="64"/>
      </left>
      <right style="dotted">
        <color indexed="64"/>
      </right>
      <top style="medium">
        <color indexed="64"/>
      </top>
      <bottom style="thin">
        <color indexed="64"/>
      </bottom>
      <diagonal/>
    </border>
    <border>
      <left style="thin">
        <color indexed="64"/>
      </left>
      <right style="dotted">
        <color indexed="64"/>
      </right>
      <top/>
      <bottom style="thin">
        <color indexed="64"/>
      </bottom>
      <diagonal/>
    </border>
    <border>
      <left style="thin">
        <color indexed="64"/>
      </left>
      <right style="dotted">
        <color indexed="64"/>
      </right>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medium">
        <color indexed="64"/>
      </top>
      <bottom style="thin">
        <color indexed="64"/>
      </bottom>
      <diagonal/>
    </border>
    <border>
      <left style="dotted">
        <color indexed="64"/>
      </left>
      <right style="medium">
        <color indexed="64"/>
      </right>
      <top/>
      <bottom style="thin">
        <color indexed="64"/>
      </bottom>
      <diagonal/>
    </border>
    <border>
      <left style="dotted">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thin">
        <color indexed="64"/>
      </bottom>
      <diagonal/>
    </border>
    <border>
      <left style="thin">
        <color indexed="64"/>
      </left>
      <right style="dotted">
        <color indexed="64"/>
      </right>
      <top style="thin">
        <color indexed="64"/>
      </top>
      <bottom style="medium">
        <color indexed="64"/>
      </bottom>
      <diagonal/>
    </border>
    <border>
      <left style="thin">
        <color indexed="64"/>
      </left>
      <right style="dotted">
        <color indexed="64"/>
      </right>
      <top style="medium">
        <color indexed="64"/>
      </top>
      <bottom style="medium">
        <color indexed="64"/>
      </bottom>
      <diagonal/>
    </border>
    <border>
      <left style="dotted">
        <color indexed="64"/>
      </left>
      <right style="medium">
        <color indexed="64"/>
      </right>
      <top style="thin">
        <color indexed="64"/>
      </top>
      <bottom style="thin">
        <color indexed="64"/>
      </bottom>
      <diagonal/>
    </border>
    <border>
      <left style="dotted">
        <color indexed="64"/>
      </left>
      <right style="medium">
        <color indexed="64"/>
      </right>
      <top style="thin">
        <color indexed="64"/>
      </top>
      <bottom style="medium">
        <color indexed="64"/>
      </bottom>
      <diagonal/>
    </border>
    <border>
      <left style="dotted">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hair">
        <color indexed="64"/>
      </right>
      <top style="thin">
        <color indexed="64"/>
      </top>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right/>
      <top style="thin">
        <color indexed="64"/>
      </top>
      <bottom/>
      <diagonal/>
    </border>
    <border>
      <left/>
      <right/>
      <top/>
      <bottom style="thin">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thin">
        <color indexed="64"/>
      </left>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right/>
      <top/>
      <bottom style="hair">
        <color indexed="64"/>
      </bottom>
      <diagonal/>
    </border>
    <border>
      <left/>
      <right/>
      <top style="hair">
        <color indexed="64"/>
      </top>
      <bottom/>
      <diagonal/>
    </border>
    <border>
      <left/>
      <right style="medium">
        <color indexed="64"/>
      </right>
      <top/>
      <bottom style="hair">
        <color indexed="64"/>
      </bottom>
      <diagonal/>
    </border>
    <border>
      <left style="medium">
        <color indexed="64"/>
      </left>
      <right/>
      <top style="medium">
        <color indexed="64"/>
      </top>
      <bottom style="hair">
        <color indexed="64"/>
      </bottom>
      <diagonal/>
    </border>
    <border>
      <left style="medium">
        <color indexed="64"/>
      </left>
      <right/>
      <top style="hair">
        <color indexed="64"/>
      </top>
      <bottom/>
      <diagonal/>
    </border>
    <border>
      <left style="medium">
        <color indexed="64"/>
      </left>
      <right/>
      <top/>
      <bottom/>
      <diagonal/>
    </border>
    <border>
      <left style="medium">
        <color indexed="64"/>
      </left>
      <right/>
      <top/>
      <bottom style="hair">
        <color indexed="64"/>
      </bottom>
      <diagonal/>
    </border>
    <border>
      <left style="medium">
        <color indexed="64"/>
      </left>
      <right style="hair">
        <color indexed="64"/>
      </right>
      <top style="hair">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right/>
      <top style="medium">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medium">
        <color indexed="64"/>
      </bottom>
      <diagonal/>
    </border>
    <border>
      <left/>
      <right style="hair">
        <color indexed="64"/>
      </right>
      <top style="hair">
        <color indexed="64"/>
      </top>
      <bottom/>
      <diagonal/>
    </border>
    <border>
      <left/>
      <right style="hair">
        <color indexed="64"/>
      </right>
      <top/>
      <bottom style="hair">
        <color indexed="64"/>
      </bottom>
      <diagonal/>
    </border>
    <border>
      <left style="hair">
        <color indexed="64"/>
      </left>
      <right/>
      <top style="hair">
        <color indexed="64"/>
      </top>
      <bottom/>
      <diagonal/>
    </border>
    <border>
      <left style="hair">
        <color indexed="64"/>
      </left>
      <right/>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diagonal/>
    </border>
    <border>
      <left style="hair">
        <color indexed="64"/>
      </left>
      <right style="medium">
        <color indexed="64"/>
      </right>
      <top style="hair">
        <color indexed="64"/>
      </top>
      <bottom/>
      <diagonal/>
    </border>
    <border>
      <left style="hair">
        <color indexed="64"/>
      </left>
      <right style="medium">
        <color indexed="64"/>
      </right>
      <top/>
      <bottom/>
      <diagonal/>
    </border>
    <border>
      <left style="hair">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hair">
        <color indexed="64"/>
      </left>
      <right style="hair">
        <color indexed="64"/>
      </right>
      <top/>
      <bottom style="hair">
        <color indexed="64"/>
      </bottom>
      <diagonal/>
    </border>
    <border>
      <left style="thin">
        <color indexed="64"/>
      </left>
      <right style="thin">
        <color indexed="64"/>
      </right>
      <top style="thin">
        <color indexed="64"/>
      </top>
      <bottom/>
      <diagonal/>
    </border>
    <border>
      <left/>
      <right/>
      <top style="dashed">
        <color indexed="64"/>
      </top>
      <bottom/>
      <diagonal/>
    </border>
    <border>
      <left style="thin">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double">
        <color indexed="64"/>
      </left>
      <right/>
      <top/>
      <bottom/>
      <diagonal/>
    </border>
    <border>
      <left/>
      <right/>
      <top style="double">
        <color indexed="64"/>
      </top>
      <bottom style="thin">
        <color indexed="64"/>
      </bottom>
      <diagonal/>
    </border>
    <border>
      <left/>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double">
        <color indexed="64"/>
      </right>
      <top style="double">
        <color indexed="64"/>
      </top>
      <bottom style="thin">
        <color indexed="64"/>
      </bottom>
      <diagonal/>
    </border>
    <border>
      <left/>
      <right style="double">
        <color indexed="64"/>
      </right>
      <top style="thin">
        <color indexed="64"/>
      </top>
      <bottom style="thin">
        <color indexed="64"/>
      </bottom>
      <diagonal/>
    </border>
    <border>
      <left/>
      <right style="double">
        <color indexed="64"/>
      </right>
      <top style="thin">
        <color indexed="64"/>
      </top>
      <bottom/>
      <diagonal/>
    </border>
    <border>
      <left/>
      <right style="double">
        <color indexed="64"/>
      </right>
      <top/>
      <bottom style="thin">
        <color indexed="64"/>
      </bottom>
      <diagonal/>
    </border>
    <border>
      <left style="double">
        <color indexed="64"/>
      </left>
      <right style="thin">
        <color indexed="64"/>
      </right>
      <top style="thin">
        <color indexed="64"/>
      </top>
      <bottom/>
      <diagonal/>
    </border>
    <border>
      <left/>
      <right style="thin">
        <color indexed="64"/>
      </right>
      <top/>
      <bottom/>
      <diagonal/>
    </border>
    <border>
      <left/>
      <right style="double">
        <color indexed="64"/>
      </right>
      <top style="thin">
        <color indexed="64"/>
      </top>
      <bottom style="double">
        <color indexed="64"/>
      </bottom>
      <diagonal/>
    </border>
    <border>
      <left style="thin">
        <color indexed="64"/>
      </left>
      <right style="double">
        <color indexed="64"/>
      </right>
      <top style="double">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medium">
        <color indexed="64"/>
      </right>
      <top/>
      <bottom/>
      <diagonal/>
    </border>
    <border>
      <left style="medium">
        <color indexed="64"/>
      </left>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hair">
        <color indexed="64"/>
      </left>
      <right/>
      <top style="medium">
        <color indexed="64"/>
      </top>
      <bottom/>
      <diagonal/>
    </border>
    <border>
      <left/>
      <right style="medium">
        <color indexed="64"/>
      </right>
      <top style="thin">
        <color indexed="64"/>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dashed">
        <color indexed="64"/>
      </bottom>
      <diagonal/>
    </border>
    <border>
      <left style="medium">
        <color indexed="64"/>
      </left>
      <right/>
      <top style="dashed">
        <color indexed="64"/>
      </top>
      <bottom style="medium">
        <color indexed="64"/>
      </bottom>
      <diagonal/>
    </border>
    <border>
      <left/>
      <right/>
      <top style="thin">
        <color indexed="64"/>
      </top>
      <bottom style="dotted">
        <color indexed="64"/>
      </bottom>
      <diagonal/>
    </border>
    <border>
      <left/>
      <right/>
      <top style="medium">
        <color indexed="64"/>
      </top>
      <bottom style="dashed">
        <color indexed="64"/>
      </bottom>
      <diagonal/>
    </border>
    <border>
      <left/>
      <right/>
      <top style="dashed">
        <color indexed="64"/>
      </top>
      <bottom style="medium">
        <color indexed="64"/>
      </bottom>
      <diagonal/>
    </border>
    <border>
      <left style="medium">
        <color indexed="64"/>
      </left>
      <right style="thin">
        <color indexed="64"/>
      </right>
      <top style="medium">
        <color indexed="64"/>
      </top>
      <bottom style="dotted">
        <color indexed="64"/>
      </bottom>
      <diagonal/>
    </border>
    <border>
      <left style="medium">
        <color indexed="64"/>
      </left>
      <right/>
      <top style="dotted">
        <color indexed="64"/>
      </top>
      <bottom style="medium">
        <color indexed="64"/>
      </bottom>
      <diagonal/>
    </border>
    <border>
      <left/>
      <right style="thin">
        <color indexed="64"/>
      </right>
      <top style="thin">
        <color indexed="64"/>
      </top>
      <bottom style="dotted">
        <color indexed="64"/>
      </bottom>
      <diagonal/>
    </border>
    <border>
      <left style="thin">
        <color indexed="64"/>
      </left>
      <right style="thin">
        <color indexed="64"/>
      </right>
      <top style="medium">
        <color indexed="64"/>
      </top>
      <bottom style="dotted">
        <color indexed="64"/>
      </bottom>
      <diagonal/>
    </border>
    <border>
      <left/>
      <right/>
      <top style="dotted">
        <color indexed="64"/>
      </top>
      <bottom style="medium">
        <color indexed="64"/>
      </bottom>
      <diagonal/>
    </border>
    <border>
      <left style="thin">
        <color indexed="64"/>
      </left>
      <right/>
      <top style="medium">
        <color indexed="64"/>
      </top>
      <bottom style="dotted">
        <color indexed="64"/>
      </bottom>
      <diagonal/>
    </border>
    <border>
      <left style="thin">
        <color indexed="64"/>
      </left>
      <right/>
      <top style="thin">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dotted">
        <color indexed="64"/>
      </bottom>
      <diagonal/>
    </border>
    <border>
      <left/>
      <right/>
      <top style="dotted">
        <color indexed="64"/>
      </top>
      <bottom style="thin">
        <color indexed="64"/>
      </bottom>
      <diagonal/>
    </border>
    <border>
      <left/>
      <right/>
      <top/>
      <bottom style="dotted">
        <color indexed="64"/>
      </bottom>
      <diagonal/>
    </border>
    <border>
      <left/>
      <right style="thin">
        <color indexed="64"/>
      </right>
      <top style="dotted">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dashed">
        <color indexed="64"/>
      </bottom>
      <diagonal/>
    </border>
    <border>
      <left/>
      <right style="thin">
        <color indexed="64"/>
      </right>
      <top style="dashed">
        <color indexed="64"/>
      </top>
      <bottom style="medium">
        <color indexed="64"/>
      </bottom>
      <diagonal/>
    </border>
    <border>
      <left style="thin">
        <color indexed="64"/>
      </left>
      <right/>
      <top style="dotted">
        <color indexed="64"/>
      </top>
      <bottom style="medium">
        <color indexed="64"/>
      </bottom>
      <diagonal/>
    </border>
    <border>
      <left/>
      <right style="double">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thin">
        <color indexed="64"/>
      </top>
      <bottom style="medium">
        <color indexed="64"/>
      </bottom>
      <diagonal/>
    </border>
    <border>
      <left/>
      <right style="double">
        <color indexed="64"/>
      </right>
      <top style="medium">
        <color indexed="64"/>
      </top>
      <bottom/>
      <diagonal/>
    </border>
    <border>
      <left/>
      <right style="double">
        <color indexed="64"/>
      </right>
      <top/>
      <bottom style="medium">
        <color indexed="64"/>
      </bottom>
      <diagonal/>
    </border>
    <border>
      <left/>
      <right style="double">
        <color indexed="64"/>
      </right>
      <top style="thin">
        <color indexed="64"/>
      </top>
      <bottom style="medium">
        <color indexed="64"/>
      </bottom>
      <diagonal/>
    </border>
    <border>
      <left style="double">
        <color indexed="64"/>
      </left>
      <right/>
      <top style="medium">
        <color indexed="64"/>
      </top>
      <bottom style="medium">
        <color indexed="64"/>
      </bottom>
      <diagonal/>
    </border>
    <border>
      <left style="medium">
        <color indexed="64"/>
      </left>
      <right/>
      <top style="hair">
        <color indexed="64"/>
      </top>
      <bottom style="hair">
        <color indexed="64"/>
      </bottom>
      <diagonal/>
    </border>
    <border>
      <left style="medium">
        <color indexed="64"/>
      </left>
      <right/>
      <top style="hair">
        <color indexed="64"/>
      </top>
      <bottom style="double">
        <color indexed="64"/>
      </bottom>
      <diagonal/>
    </border>
    <border>
      <left style="medium">
        <color indexed="64"/>
      </left>
      <right/>
      <top style="hair">
        <color indexed="64"/>
      </top>
      <bottom style="medium">
        <color indexed="64"/>
      </bottom>
      <diagonal/>
    </border>
    <border>
      <left/>
      <right/>
      <top style="hair">
        <color indexed="64"/>
      </top>
      <bottom style="hair">
        <color indexed="64"/>
      </bottom>
      <diagonal/>
    </border>
    <border>
      <left/>
      <right/>
      <top style="hair">
        <color indexed="64"/>
      </top>
      <bottom style="double">
        <color indexed="64"/>
      </bottom>
      <diagonal/>
    </border>
    <border>
      <left/>
      <right/>
      <top style="hair">
        <color indexed="64"/>
      </top>
      <bottom style="medium">
        <color indexed="64"/>
      </bottom>
      <diagonal/>
    </border>
    <border>
      <left/>
      <right/>
      <top/>
      <bottom style="double">
        <color indexed="64"/>
      </bottom>
      <diagonal/>
    </border>
    <border>
      <left/>
      <right style="medium">
        <color indexed="64"/>
      </right>
      <top/>
      <bottom style="double">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medium">
        <color indexed="64"/>
      </bottom>
      <diagonal/>
    </border>
    <border diagonalDown="1">
      <left style="thin">
        <color indexed="64"/>
      </left>
      <right/>
      <top style="thin">
        <color indexed="64"/>
      </top>
      <bottom style="dashed">
        <color indexed="64"/>
      </bottom>
      <diagonal style="thin">
        <color indexed="64"/>
      </diagonal>
    </border>
    <border diagonalDown="1">
      <left style="thin">
        <color indexed="64"/>
      </left>
      <right/>
      <top style="dashed">
        <color indexed="64"/>
      </top>
      <bottom style="dashed">
        <color indexed="64"/>
      </bottom>
      <diagonal style="thin">
        <color indexed="64"/>
      </diagonal>
    </border>
    <border diagonalDown="1">
      <left style="thin">
        <color indexed="64"/>
      </left>
      <right/>
      <top style="dashed">
        <color indexed="64"/>
      </top>
      <bottom style="thin">
        <color indexed="64"/>
      </bottom>
      <diagonal style="thin">
        <color indexed="64"/>
      </diagonal>
    </border>
    <border>
      <left style="thin">
        <color indexed="64"/>
      </left>
      <right/>
      <top/>
      <bottom style="dashed">
        <color indexed="64"/>
      </bottom>
      <diagonal/>
    </border>
    <border>
      <left style="thin">
        <color indexed="64"/>
      </left>
      <right/>
      <top style="dashed">
        <color indexed="64"/>
      </top>
      <bottom/>
      <diagonal/>
    </border>
    <border diagonalDown="1">
      <left/>
      <right/>
      <top style="thin">
        <color indexed="64"/>
      </top>
      <bottom style="dashed">
        <color indexed="64"/>
      </bottom>
      <diagonal style="thin">
        <color indexed="64"/>
      </diagonal>
    </border>
    <border diagonalDown="1">
      <left/>
      <right/>
      <top style="dashed">
        <color indexed="64"/>
      </top>
      <bottom style="dashed">
        <color indexed="64"/>
      </bottom>
      <diagonal style="thin">
        <color indexed="64"/>
      </diagonal>
    </border>
    <border diagonalDown="1">
      <left/>
      <right/>
      <top style="dashed">
        <color indexed="64"/>
      </top>
      <bottom style="thin">
        <color indexed="64"/>
      </bottom>
      <diagonal style="thin">
        <color indexed="64"/>
      </diagonal>
    </border>
    <border>
      <left/>
      <right/>
      <top/>
      <bottom style="dashed">
        <color indexed="64"/>
      </bottom>
      <diagonal/>
    </border>
    <border diagonalDown="1">
      <left/>
      <right style="thin">
        <color indexed="64"/>
      </right>
      <top style="thin">
        <color indexed="64"/>
      </top>
      <bottom style="dashed">
        <color indexed="64"/>
      </bottom>
      <diagonal style="thin">
        <color indexed="64"/>
      </diagonal>
    </border>
    <border diagonalDown="1">
      <left/>
      <right style="thin">
        <color indexed="64"/>
      </right>
      <top style="dashed">
        <color indexed="64"/>
      </top>
      <bottom style="dashed">
        <color indexed="64"/>
      </bottom>
      <diagonal style="thin">
        <color indexed="64"/>
      </diagonal>
    </border>
    <border diagonalDown="1">
      <left/>
      <right style="thin">
        <color indexed="64"/>
      </right>
      <top style="dashed">
        <color indexed="64"/>
      </top>
      <bottom style="thin">
        <color indexed="64"/>
      </bottom>
      <diagonal style="thin">
        <color indexed="64"/>
      </diagonal>
    </border>
    <border>
      <left/>
      <right style="thin">
        <color indexed="64"/>
      </right>
      <top/>
      <bottom style="dashed">
        <color indexed="64"/>
      </bottom>
      <diagonal/>
    </border>
    <border>
      <left/>
      <right style="thin">
        <color indexed="64"/>
      </right>
      <top style="dashed">
        <color indexed="64"/>
      </top>
      <bottom/>
      <diagonal/>
    </border>
    <border>
      <left style="thin">
        <color indexed="64"/>
      </left>
      <right style="thin">
        <color indexed="64"/>
      </right>
      <top style="medium">
        <color indexed="64"/>
      </top>
      <bottom/>
      <diagonal/>
    </border>
    <border diagonalDown="1">
      <left style="thin">
        <color indexed="64"/>
      </left>
      <right/>
      <top/>
      <bottom style="dashed">
        <color indexed="64"/>
      </bottom>
      <diagonal style="thin">
        <color indexed="64"/>
      </diagonal>
    </border>
    <border diagonalDown="1">
      <left style="thin">
        <color indexed="64"/>
      </left>
      <right/>
      <top style="dashed">
        <color indexed="64"/>
      </top>
      <bottom style="medium">
        <color indexed="64"/>
      </bottom>
      <diagonal style="thin">
        <color indexed="64"/>
      </diagonal>
    </border>
    <border diagonalDown="1">
      <left/>
      <right/>
      <top/>
      <bottom style="dashed">
        <color indexed="64"/>
      </bottom>
      <diagonal style="thin">
        <color indexed="64"/>
      </diagonal>
    </border>
    <border diagonalDown="1">
      <left/>
      <right/>
      <top style="dashed">
        <color indexed="64"/>
      </top>
      <bottom style="medium">
        <color indexed="64"/>
      </bottom>
      <diagonal style="thin">
        <color indexed="64"/>
      </diagonal>
    </border>
    <border diagonalDown="1">
      <left/>
      <right style="thin">
        <color indexed="64"/>
      </right>
      <top/>
      <bottom style="dashed">
        <color indexed="64"/>
      </bottom>
      <diagonal style="thin">
        <color indexed="64"/>
      </diagonal>
    </border>
    <border diagonalDown="1">
      <left/>
      <right style="thin">
        <color indexed="64"/>
      </right>
      <top style="dashed">
        <color indexed="64"/>
      </top>
      <bottom style="medium">
        <color indexed="64"/>
      </bottom>
      <diagonal style="thin">
        <color indexed="64"/>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85">
    <xf numFmtId="0" fontId="0" fillId="0" borderId="0"/>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2" fillId="8" borderId="0" applyNumberFormat="0" applyBorder="0" applyAlignment="0" applyProtection="0"/>
    <xf numFmtId="0" fontId="2" fillId="7" borderId="0" applyNumberFormat="0" applyBorder="0" applyAlignment="0" applyProtection="0"/>
    <xf numFmtId="0" fontId="2" fillId="9" borderId="0" applyNumberFormat="0" applyBorder="0" applyAlignment="0" applyProtection="0"/>
    <xf numFmtId="0" fontId="2" fillId="8"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 fillId="5" borderId="0" applyNumberFormat="0" applyBorder="0" applyAlignment="0" applyProtection="0">
      <alignment vertical="center"/>
    </xf>
    <xf numFmtId="0" fontId="1" fillId="10" borderId="0" applyNumberFormat="0" applyBorder="0" applyAlignment="0" applyProtection="0">
      <alignment vertical="center"/>
    </xf>
    <xf numFmtId="0" fontId="1" fillId="13" borderId="0" applyNumberFormat="0" applyBorder="0" applyAlignment="0" applyProtection="0">
      <alignment vertical="center"/>
    </xf>
    <xf numFmtId="0" fontId="2" fillId="14" borderId="0" applyNumberFormat="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4" borderId="0" applyNumberFormat="0" applyBorder="0" applyAlignment="0" applyProtection="0"/>
    <xf numFmtId="0" fontId="2" fillId="10" borderId="0" applyNumberFormat="0" applyBorder="0" applyAlignment="0" applyProtection="0"/>
    <xf numFmtId="0" fontId="2" fillId="7" borderId="0" applyNumberFormat="0" applyBorder="0" applyAlignment="0" applyProtection="0"/>
    <xf numFmtId="0" fontId="3" fillId="16" borderId="0" applyNumberFormat="0" applyBorder="0" applyAlignment="0" applyProtection="0">
      <alignment vertical="center"/>
    </xf>
    <xf numFmtId="0" fontId="3" fillId="11"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4" fillId="18"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7" borderId="0" applyNumberFormat="0" applyBorder="0" applyAlignment="0" applyProtection="0"/>
    <xf numFmtId="0" fontId="5" fillId="15"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23" borderId="0" applyNumberFormat="0" applyBorder="0" applyAlignment="0" applyProtection="0">
      <alignment vertical="center"/>
    </xf>
    <xf numFmtId="0" fontId="6" fillId="0" borderId="0" applyNumberFormat="0" applyFill="0" applyBorder="0" applyAlignment="0" applyProtection="0">
      <alignment vertical="center"/>
    </xf>
    <xf numFmtId="0" fontId="7" fillId="24" borderId="1" applyNumberFormat="0" applyAlignment="0" applyProtection="0">
      <alignment vertical="center"/>
    </xf>
    <xf numFmtId="0" fontId="8"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0" fontId="10" fillId="9" borderId="2" applyNumberFormat="0" applyFont="0" applyAlignment="0" applyProtection="0">
      <alignment vertical="center"/>
    </xf>
    <xf numFmtId="0" fontId="11" fillId="0" borderId="3" applyNumberFormat="0" applyFill="0" applyAlignment="0" applyProtection="0">
      <alignment vertical="center"/>
    </xf>
    <xf numFmtId="0" fontId="12" fillId="7" borderId="4" applyNumberFormat="0" applyAlignment="0" applyProtection="0">
      <alignment vertical="center"/>
    </xf>
    <xf numFmtId="0" fontId="13" fillId="14" borderId="5" applyNumberFormat="0" applyAlignment="0" applyProtection="0">
      <alignment vertical="center"/>
    </xf>
    <xf numFmtId="0" fontId="14" fillId="0" borderId="6" applyNumberFormat="0" applyFill="0" applyAlignment="0" applyProtection="0"/>
    <xf numFmtId="0" fontId="15" fillId="3" borderId="0" applyNumberFormat="0" applyBorder="0" applyAlignment="0" applyProtection="0">
      <alignment vertical="center"/>
    </xf>
    <xf numFmtId="0" fontId="16" fillId="15" borderId="0" applyNumberFormat="0" applyBorder="0" applyAlignment="0" applyProtection="0"/>
    <xf numFmtId="38" fontId="10" fillId="0" borderId="0" applyFont="0" applyFill="0" applyBorder="0" applyAlignment="0" applyProtection="0">
      <alignment vertical="center"/>
    </xf>
    <xf numFmtId="0" fontId="10" fillId="0" borderId="0"/>
    <xf numFmtId="0" fontId="10" fillId="0" borderId="0"/>
    <xf numFmtId="0" fontId="17" fillId="0" borderId="0">
      <alignment vertical="center"/>
    </xf>
    <xf numFmtId="0" fontId="17" fillId="0" borderId="0">
      <alignment vertical="center"/>
    </xf>
    <xf numFmtId="0" fontId="10" fillId="0" borderId="0"/>
    <xf numFmtId="0" fontId="17" fillId="0" borderId="0">
      <alignment vertical="center"/>
    </xf>
    <xf numFmtId="0" fontId="1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7" fillId="0" borderId="0">
      <alignment vertical="center"/>
    </xf>
    <xf numFmtId="0" fontId="18" fillId="0" borderId="0"/>
    <xf numFmtId="0" fontId="10" fillId="0" borderId="0">
      <alignment vertical="center"/>
    </xf>
    <xf numFmtId="0" fontId="10" fillId="0" borderId="0"/>
    <xf numFmtId="0" fontId="10" fillId="0" borderId="0">
      <alignment vertical="center"/>
    </xf>
    <xf numFmtId="0" fontId="19" fillId="0" borderId="0"/>
    <xf numFmtId="0" fontId="20" fillId="4"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14" borderId="4" applyNumberForma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6" fontId="27" fillId="0" borderId="0" applyFont="0" applyFill="0" applyBorder="0" applyAlignment="0" applyProtection="0"/>
    <xf numFmtId="0" fontId="28" fillId="0" borderId="10" applyNumberFormat="0" applyFill="0" applyAlignment="0" applyProtection="0">
      <alignment vertical="center"/>
    </xf>
  </cellStyleXfs>
  <cellXfs count="1202">
    <xf numFmtId="0" fontId="0" fillId="0" borderId="0" xfId="0"/>
    <xf numFmtId="0" fontId="30" fillId="0" borderId="0" xfId="0" applyFont="1" applyAlignment="1">
      <alignment vertical="center"/>
    </xf>
    <xf numFmtId="0" fontId="31" fillId="0" borderId="0" xfId="0" applyFont="1" applyAlignment="1">
      <alignment vertical="center"/>
    </xf>
    <xf numFmtId="0" fontId="32" fillId="0" borderId="0" xfId="0" applyFont="1" applyAlignment="1">
      <alignment vertical="center"/>
    </xf>
    <xf numFmtId="0" fontId="30" fillId="0" borderId="0" xfId="0" applyFont="1" applyAlignment="1">
      <alignment horizontal="center" vertical="center"/>
    </xf>
    <xf numFmtId="0" fontId="33" fillId="0" borderId="0" xfId="0" applyFont="1" applyAlignment="1">
      <alignment vertical="center"/>
    </xf>
    <xf numFmtId="0" fontId="35" fillId="0" borderId="0" xfId="0" applyFont="1" applyAlignment="1">
      <alignment vertical="center"/>
    </xf>
    <xf numFmtId="0" fontId="34" fillId="0" borderId="0" xfId="0" applyFont="1" applyAlignment="1">
      <alignment horizontal="left" vertical="center"/>
    </xf>
    <xf numFmtId="0" fontId="30" fillId="0" borderId="0" xfId="0" applyFont="1" applyAlignment="1">
      <alignment horizontal="center" vertical="center" shrinkToFit="1"/>
    </xf>
    <xf numFmtId="0" fontId="36" fillId="0" borderId="0" xfId="0" applyFont="1" applyAlignment="1">
      <alignment horizontal="center" vertical="center" shrinkToFit="1"/>
    </xf>
    <xf numFmtId="0" fontId="37" fillId="0" borderId="0" xfId="0" applyFont="1" applyAlignment="1">
      <alignment horizontal="center" vertical="center"/>
    </xf>
    <xf numFmtId="0" fontId="30" fillId="0" borderId="11" xfId="0" applyFont="1" applyBorder="1" applyAlignment="1">
      <alignment vertical="center"/>
    </xf>
    <xf numFmtId="0" fontId="30" fillId="0" borderId="0" xfId="0" applyFont="1" applyAlignment="1">
      <alignment horizontal="right" vertical="center"/>
    </xf>
    <xf numFmtId="0" fontId="30" fillId="0" borderId="15" xfId="0" applyFont="1" applyBorder="1" applyAlignment="1">
      <alignment vertical="center"/>
    </xf>
    <xf numFmtId="0" fontId="38" fillId="0" borderId="0" xfId="0" applyFont="1" applyAlignment="1">
      <alignment horizontal="center" vertical="center"/>
    </xf>
    <xf numFmtId="0" fontId="30" fillId="0" borderId="16" xfId="0" applyFont="1" applyBorder="1" applyAlignment="1">
      <alignment vertical="center"/>
    </xf>
    <xf numFmtId="0" fontId="30" fillId="0" borderId="0" xfId="0" applyFont="1" applyAlignment="1">
      <alignment horizontal="left" vertical="center" shrinkToFit="1"/>
    </xf>
    <xf numFmtId="0" fontId="30" fillId="0" borderId="20" xfId="0" applyFont="1" applyBorder="1" applyAlignment="1">
      <alignment horizontal="center" vertical="center" shrinkToFit="1"/>
    </xf>
    <xf numFmtId="176" fontId="30" fillId="0" borderId="21" xfId="0" applyNumberFormat="1" applyFont="1" applyBorder="1" applyAlignment="1">
      <alignment horizontal="center" vertical="center" shrinkToFit="1"/>
    </xf>
    <xf numFmtId="176" fontId="30" fillId="0" borderId="22" xfId="0" applyNumberFormat="1" applyFont="1" applyBorder="1" applyAlignment="1">
      <alignment horizontal="center" vertical="center" shrinkToFit="1"/>
    </xf>
    <xf numFmtId="176" fontId="30" fillId="0" borderId="23" xfId="0" applyNumberFormat="1" applyFont="1" applyBorder="1" applyAlignment="1">
      <alignment horizontal="center" vertical="center" shrinkToFit="1"/>
    </xf>
    <xf numFmtId="177" fontId="30" fillId="0" borderId="0" xfId="0" applyNumberFormat="1" applyFont="1" applyAlignment="1">
      <alignment horizontal="center" vertical="center" shrinkToFit="1"/>
    </xf>
    <xf numFmtId="177" fontId="30" fillId="0" borderId="0" xfId="0" applyNumberFormat="1" applyFont="1" applyAlignment="1">
      <alignment vertical="center"/>
    </xf>
    <xf numFmtId="0" fontId="30" fillId="0" borderId="24" xfId="0" applyFont="1" applyBorder="1" applyAlignment="1">
      <alignment horizontal="center" vertical="center" shrinkToFit="1"/>
    </xf>
    <xf numFmtId="0" fontId="30" fillId="0" borderId="28" xfId="0" applyFont="1" applyBorder="1" applyAlignment="1">
      <alignment horizontal="center" vertical="center" shrinkToFit="1"/>
    </xf>
    <xf numFmtId="177" fontId="30" fillId="0" borderId="29" xfId="0" applyNumberFormat="1" applyFont="1" applyBorder="1" applyAlignment="1">
      <alignment horizontal="center" vertical="center" shrinkToFit="1"/>
    </xf>
    <xf numFmtId="177" fontId="30" fillId="0" borderId="30" xfId="0" applyNumberFormat="1" applyFont="1" applyBorder="1" applyAlignment="1">
      <alignment horizontal="center" vertical="center" shrinkToFit="1"/>
    </xf>
    <xf numFmtId="0" fontId="30" fillId="0" borderId="30" xfId="0" applyFont="1" applyBorder="1" applyAlignment="1">
      <alignment horizontal="center" vertical="center" shrinkToFit="1"/>
    </xf>
    <xf numFmtId="0" fontId="30" fillId="0" borderId="31" xfId="0" applyFont="1" applyBorder="1" applyAlignment="1">
      <alignment horizontal="center" vertical="center" shrinkToFit="1"/>
    </xf>
    <xf numFmtId="0" fontId="30" fillId="0" borderId="11" xfId="0" applyFont="1" applyBorder="1" applyAlignment="1">
      <alignment horizontal="center" vertical="center"/>
    </xf>
    <xf numFmtId="176" fontId="30" fillId="0" borderId="34" xfId="0" applyNumberFormat="1" applyFont="1" applyBorder="1" applyAlignment="1">
      <alignment horizontal="center" vertical="center" shrinkToFit="1"/>
    </xf>
    <xf numFmtId="176" fontId="30" fillId="0" borderId="35" xfId="0" applyNumberFormat="1" applyFont="1" applyBorder="1" applyAlignment="1">
      <alignment horizontal="center" vertical="center" shrinkToFit="1"/>
    </xf>
    <xf numFmtId="176" fontId="30" fillId="0" borderId="36" xfId="0" applyNumberFormat="1" applyFont="1" applyBorder="1" applyAlignment="1">
      <alignment horizontal="center" vertical="center" shrinkToFit="1"/>
    </xf>
    <xf numFmtId="0" fontId="30" fillId="0" borderId="40" xfId="0" applyFont="1" applyBorder="1" applyAlignment="1">
      <alignment horizontal="center" vertical="center" shrinkToFit="1"/>
    </xf>
    <xf numFmtId="177" fontId="30" fillId="0" borderId="41" xfId="0" applyNumberFormat="1" applyFont="1" applyBorder="1" applyAlignment="1">
      <alignment horizontal="center" vertical="center" shrinkToFit="1"/>
    </xf>
    <xf numFmtId="177" fontId="30" fillId="0" borderId="42" xfId="0" applyNumberFormat="1" applyFont="1" applyBorder="1" applyAlignment="1">
      <alignment horizontal="center" vertical="center" shrinkToFit="1"/>
    </xf>
    <xf numFmtId="177" fontId="30" fillId="0" borderId="43" xfId="0" applyNumberFormat="1" applyFont="1" applyBorder="1" applyAlignment="1">
      <alignment horizontal="center" vertical="center" shrinkToFit="1"/>
    </xf>
    <xf numFmtId="0" fontId="30" fillId="0" borderId="41" xfId="0" applyFont="1" applyBorder="1" applyAlignment="1">
      <alignment horizontal="center" vertical="center" shrinkToFit="1"/>
    </xf>
    <xf numFmtId="0" fontId="30" fillId="0" borderId="43" xfId="0" applyFont="1" applyBorder="1" applyAlignment="1">
      <alignment horizontal="center" vertical="center" shrinkToFit="1"/>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0" fillId="25" borderId="0" xfId="0" applyFill="1" applyAlignment="1">
      <alignment vertical="center"/>
    </xf>
    <xf numFmtId="0" fontId="0" fillId="26" borderId="0" xfId="0" applyFill="1" applyAlignment="1">
      <alignment vertical="center"/>
    </xf>
    <xf numFmtId="0" fontId="0" fillId="27" borderId="0" xfId="0" applyFill="1" applyAlignment="1">
      <alignment vertical="center"/>
    </xf>
    <xf numFmtId="0" fontId="62" fillId="0" borderId="0" xfId="0" applyFont="1" applyAlignment="1">
      <alignment vertical="center"/>
    </xf>
    <xf numFmtId="0" fontId="63" fillId="0" borderId="0" xfId="0" applyFont="1" applyAlignment="1">
      <alignment vertical="center"/>
    </xf>
    <xf numFmtId="0" fontId="64" fillId="0" borderId="0" xfId="0" applyFont="1" applyAlignment="1">
      <alignment vertical="center"/>
    </xf>
    <xf numFmtId="0" fontId="65" fillId="0" borderId="0" xfId="0" applyFont="1" applyAlignment="1">
      <alignment vertical="center"/>
    </xf>
    <xf numFmtId="0" fontId="63" fillId="0" borderId="0" xfId="0" applyFont="1" applyAlignment="1">
      <alignment horizontal="center" vertical="center"/>
    </xf>
    <xf numFmtId="176" fontId="67" fillId="0" borderId="0" xfId="0" applyNumberFormat="1" applyFont="1" applyAlignment="1">
      <alignment horizontal="center" vertical="center"/>
    </xf>
    <xf numFmtId="176" fontId="67" fillId="0" borderId="0" xfId="0" applyNumberFormat="1" applyFont="1" applyAlignment="1">
      <alignment vertical="center"/>
    </xf>
    <xf numFmtId="0" fontId="62" fillId="0" borderId="0" xfId="0" applyFont="1" applyAlignment="1">
      <alignment horizontal="center" vertical="center"/>
    </xf>
    <xf numFmtId="176" fontId="63" fillId="0" borderId="0" xfId="0" applyNumberFormat="1" applyFont="1" applyAlignment="1">
      <alignment vertical="center"/>
    </xf>
    <xf numFmtId="0" fontId="67" fillId="0" borderId="0" xfId="0" applyFont="1" applyAlignment="1">
      <alignment vertical="center" wrapText="1"/>
    </xf>
    <xf numFmtId="0" fontId="0" fillId="0" borderId="32" xfId="0" applyBorder="1"/>
    <xf numFmtId="0" fontId="0" fillId="0" borderId="55" xfId="0" applyBorder="1"/>
    <xf numFmtId="0" fontId="0" fillId="0" borderId="96" xfId="0" applyBorder="1"/>
    <xf numFmtId="0" fontId="67" fillId="0" borderId="0" xfId="0" applyFont="1" applyAlignment="1">
      <alignment horizontal="center" vertical="center"/>
    </xf>
    <xf numFmtId="0" fontId="0" fillId="0" borderId="93" xfId="0" applyBorder="1"/>
    <xf numFmtId="0" fontId="0" fillId="0" borderId="115" xfId="0" applyBorder="1"/>
    <xf numFmtId="0" fontId="0" fillId="0" borderId="97" xfId="0" applyBorder="1"/>
    <xf numFmtId="0" fontId="0" fillId="0" borderId="48" xfId="0" applyBorder="1"/>
    <xf numFmtId="0" fontId="69" fillId="0" borderId="92" xfId="0" applyFont="1" applyBorder="1" applyAlignment="1">
      <alignment vertical="center"/>
    </xf>
    <xf numFmtId="0" fontId="69" fillId="0" borderId="0" xfId="0" applyFont="1" applyAlignment="1">
      <alignment vertical="center"/>
    </xf>
    <xf numFmtId="0" fontId="67" fillId="0" borderId="77" xfId="0" applyFont="1" applyBorder="1" applyAlignment="1">
      <alignment vertical="center" shrinkToFit="1"/>
    </xf>
    <xf numFmtId="0" fontId="67" fillId="0" borderId="0" xfId="0" applyFont="1" applyAlignment="1">
      <alignment vertical="center" shrinkToFit="1"/>
    </xf>
    <xf numFmtId="0" fontId="67" fillId="0" borderId="82" xfId="0" applyFont="1" applyBorder="1" applyAlignment="1">
      <alignment vertical="center" shrinkToFit="1"/>
    </xf>
    <xf numFmtId="0" fontId="67" fillId="0" borderId="0" xfId="0" applyFont="1" applyAlignment="1">
      <alignment vertical="center"/>
    </xf>
    <xf numFmtId="0" fontId="67" fillId="0" borderId="0" xfId="0" applyFont="1"/>
    <xf numFmtId="0" fontId="70" fillId="0" borderId="0" xfId="0" applyFont="1" applyAlignment="1">
      <alignment vertical="top" textRotation="255" shrinkToFit="1"/>
    </xf>
    <xf numFmtId="0" fontId="0" fillId="0" borderId="0" xfId="0" applyAlignment="1">
      <alignment shrinkToFit="1"/>
    </xf>
    <xf numFmtId="0" fontId="66" fillId="0" borderId="0" xfId="0" applyFont="1" applyAlignment="1">
      <alignment vertical="center" textRotation="255" shrinkToFit="1"/>
    </xf>
    <xf numFmtId="0" fontId="68" fillId="0" borderId="0" xfId="0" applyFont="1" applyAlignment="1">
      <alignment vertical="center" shrinkToFit="1"/>
    </xf>
    <xf numFmtId="0" fontId="68" fillId="0" borderId="0" xfId="0" applyFont="1" applyAlignment="1">
      <alignment vertical="center"/>
    </xf>
    <xf numFmtId="0" fontId="71" fillId="0" borderId="0" xfId="0" applyFont="1" applyAlignment="1">
      <alignment vertical="center"/>
    </xf>
    <xf numFmtId="0" fontId="62" fillId="0" borderId="0" xfId="0" applyFont="1" applyAlignment="1">
      <alignment horizontal="left" vertical="center"/>
    </xf>
    <xf numFmtId="0" fontId="62" fillId="0" borderId="0" xfId="0" applyFont="1" applyAlignment="1">
      <alignment vertical="center" wrapText="1"/>
    </xf>
    <xf numFmtId="0" fontId="0" fillId="0" borderId="12" xfId="0" applyBorder="1" applyAlignment="1">
      <alignment horizontal="center" vertical="center"/>
    </xf>
    <xf numFmtId="0" fontId="0" fillId="0" borderId="148" xfId="0" applyBorder="1" applyAlignment="1">
      <alignment vertical="center"/>
    </xf>
    <xf numFmtId="0" fontId="62" fillId="0" borderId="149" xfId="0" applyFont="1" applyBorder="1" applyAlignment="1">
      <alignment horizontal="left" vertical="center" shrinkToFit="1"/>
    </xf>
    <xf numFmtId="0" fontId="0" fillId="0" borderId="149" xfId="0" applyBorder="1" applyAlignment="1">
      <alignment horizontal="left" vertical="center" shrinkToFit="1"/>
    </xf>
    <xf numFmtId="0" fontId="0" fillId="0" borderId="67" xfId="0" applyBorder="1" applyAlignment="1">
      <alignment horizontal="left" vertical="center" shrinkToFit="1"/>
    </xf>
    <xf numFmtId="0" fontId="10" fillId="0" borderId="58" xfId="56" applyBorder="1" applyAlignment="1">
      <alignment horizontal="center" vertical="center"/>
    </xf>
    <xf numFmtId="0" fontId="10" fillId="0" borderId="59" xfId="56" applyBorder="1" applyAlignment="1">
      <alignment horizontal="center" vertical="center"/>
    </xf>
    <xf numFmtId="0" fontId="10" fillId="0" borderId="60" xfId="56" applyBorder="1" applyAlignment="1">
      <alignment horizontal="center" vertical="center"/>
    </xf>
    <xf numFmtId="0" fontId="10" fillId="0" borderId="17" xfId="56" applyBorder="1" applyAlignment="1">
      <alignment horizontal="center" vertical="center"/>
    </xf>
    <xf numFmtId="0" fontId="10" fillId="26" borderId="15" xfId="56" applyFill="1" applyBorder="1" applyAlignment="1">
      <alignment horizontal="center" vertical="center"/>
    </xf>
    <xf numFmtId="0" fontId="10" fillId="26" borderId="33" xfId="56" applyFill="1" applyBorder="1" applyAlignment="1">
      <alignment horizontal="center" vertical="center"/>
    </xf>
    <xf numFmtId="0" fontId="10" fillId="0" borderId="15" xfId="56" applyBorder="1" applyAlignment="1">
      <alignment horizontal="center" vertical="center"/>
    </xf>
    <xf numFmtId="0" fontId="10" fillId="0" borderId="33" xfId="56" applyBorder="1" applyAlignment="1">
      <alignment horizontal="center" vertical="center"/>
    </xf>
    <xf numFmtId="0" fontId="10" fillId="0" borderId="66" xfId="56" applyBorder="1" applyAlignment="1">
      <alignment horizontal="center" vertical="center"/>
    </xf>
    <xf numFmtId="0" fontId="10" fillId="0" borderId="149" xfId="56" applyBorder="1" applyAlignment="1">
      <alignment horizontal="center" vertical="center"/>
    </xf>
    <xf numFmtId="0" fontId="10" fillId="0" borderId="67" xfId="56" applyBorder="1" applyAlignment="1">
      <alignment horizontal="center" vertical="center"/>
    </xf>
    <xf numFmtId="0" fontId="10" fillId="0" borderId="151" xfId="56" applyBorder="1" applyAlignment="1">
      <alignment horizontal="center" vertical="center"/>
    </xf>
    <xf numFmtId="0" fontId="10" fillId="0" borderId="147" xfId="56" applyBorder="1" applyAlignment="1">
      <alignment horizontal="center" vertical="center"/>
    </xf>
    <xf numFmtId="0" fontId="10" fillId="0" borderId="152" xfId="56" applyBorder="1" applyAlignment="1">
      <alignment horizontal="center" vertical="center"/>
    </xf>
    <xf numFmtId="0" fontId="17" fillId="0" borderId="0" xfId="61" applyAlignment="1">
      <alignment horizontal="center" vertical="center"/>
    </xf>
    <xf numFmtId="0" fontId="17" fillId="0" borderId="0" xfId="61" applyAlignment="1">
      <alignment horizontal="left" vertical="center"/>
    </xf>
    <xf numFmtId="0" fontId="74" fillId="0" borderId="0" xfId="70" applyFont="1" applyAlignment="1">
      <alignment vertical="center"/>
    </xf>
    <xf numFmtId="0" fontId="75" fillId="0" borderId="0" xfId="70" applyFont="1" applyAlignment="1">
      <alignment horizontal="center" vertical="center"/>
    </xf>
    <xf numFmtId="0" fontId="76" fillId="0" borderId="0" xfId="70" applyFont="1" applyAlignment="1">
      <alignment vertical="center"/>
    </xf>
    <xf numFmtId="0" fontId="75" fillId="0" borderId="153" xfId="70" applyFont="1" applyBorder="1" applyAlignment="1">
      <alignment horizontal="center" vertical="center"/>
    </xf>
    <xf numFmtId="0" fontId="75" fillId="0" borderId="146" xfId="70" applyFont="1" applyBorder="1" applyAlignment="1">
      <alignment horizontal="center" vertical="center"/>
    </xf>
    <xf numFmtId="0" fontId="75" fillId="0" borderId="147" xfId="70" applyFont="1" applyBorder="1" applyAlignment="1">
      <alignment horizontal="center" vertical="center"/>
    </xf>
    <xf numFmtId="0" fontId="75" fillId="0" borderId="152" xfId="70" applyFont="1" applyBorder="1" applyAlignment="1">
      <alignment horizontal="center" vertical="center"/>
    </xf>
    <xf numFmtId="0" fontId="74" fillId="0" borderId="0" xfId="70" applyFont="1" applyAlignment="1">
      <alignment horizontal="center" vertical="center"/>
    </xf>
    <xf numFmtId="0" fontId="75" fillId="0" borderId="154" xfId="70" applyFont="1" applyBorder="1" applyAlignment="1">
      <alignment horizontal="center" vertical="center"/>
    </xf>
    <xf numFmtId="0" fontId="75" fillId="0" borderId="63" xfId="70" applyFont="1" applyBorder="1" applyAlignment="1">
      <alignment horizontal="center" vertical="center"/>
    </xf>
    <xf numFmtId="0" fontId="75" fillId="0" borderId="64" xfId="70" applyFont="1" applyBorder="1" applyAlignment="1">
      <alignment horizontal="center" vertical="center"/>
    </xf>
    <xf numFmtId="0" fontId="75" fillId="0" borderId="18" xfId="70" applyFont="1" applyBorder="1" applyAlignment="1">
      <alignment horizontal="center" vertical="center" shrinkToFit="1"/>
    </xf>
    <xf numFmtId="0" fontId="75" fillId="0" borderId="15" xfId="70" applyFont="1" applyBorder="1" applyAlignment="1">
      <alignment horizontal="center" vertical="center" shrinkToFit="1"/>
    </xf>
    <xf numFmtId="0" fontId="75" fillId="0" borderId="15" xfId="70" applyFont="1" applyBorder="1" applyAlignment="1">
      <alignment horizontal="center" vertical="center"/>
    </xf>
    <xf numFmtId="0" fontId="75" fillId="0" borderId="33" xfId="70" applyFont="1" applyBorder="1" applyAlignment="1">
      <alignment horizontal="center" vertical="center" shrinkToFit="1"/>
    </xf>
    <xf numFmtId="0" fontId="77" fillId="0" borderId="0" xfId="70" applyFont="1"/>
    <xf numFmtId="0" fontId="75" fillId="0" borderId="18" xfId="70" applyFont="1" applyBorder="1" applyAlignment="1">
      <alignment vertical="center" shrinkToFit="1"/>
    </xf>
    <xf numFmtId="0" fontId="75" fillId="0" borderId="15" xfId="70" applyFont="1" applyBorder="1" applyAlignment="1">
      <alignment vertical="center" shrinkToFit="1"/>
    </xf>
    <xf numFmtId="0" fontId="75" fillId="0" borderId="119" xfId="70" applyFont="1" applyBorder="1" applyAlignment="1">
      <alignment vertical="center" shrinkToFit="1"/>
    </xf>
    <xf numFmtId="0" fontId="75" fillId="0" borderId="33" xfId="70" applyFont="1" applyBorder="1" applyAlignment="1">
      <alignment vertical="center" shrinkToFit="1"/>
    </xf>
    <xf numFmtId="0" fontId="75" fillId="0" borderId="155" xfId="70" applyFont="1" applyBorder="1" applyAlignment="1">
      <alignment horizontal="center" vertical="center"/>
    </xf>
    <xf numFmtId="0" fontId="75" fillId="0" borderId="150" xfId="70" applyFont="1" applyBorder="1" applyAlignment="1">
      <alignment horizontal="left" vertical="center" shrinkToFit="1"/>
    </xf>
    <xf numFmtId="0" fontId="75" fillId="0" borderId="149" xfId="70" applyFont="1" applyBorder="1" applyAlignment="1">
      <alignment horizontal="left" vertical="center" shrinkToFit="1"/>
    </xf>
    <xf numFmtId="0" fontId="75" fillId="0" borderId="149" xfId="70" applyFont="1" applyBorder="1" applyAlignment="1">
      <alignment horizontal="left" vertical="center"/>
    </xf>
    <xf numFmtId="0" fontId="75" fillId="0" borderId="156" xfId="70" applyFont="1" applyBorder="1" applyAlignment="1">
      <alignment horizontal="left" vertical="center"/>
    </xf>
    <xf numFmtId="0" fontId="75" fillId="0" borderId="67" xfId="70" applyFont="1" applyBorder="1" applyAlignment="1">
      <alignment horizontal="left" vertical="center" shrinkToFit="1"/>
    </xf>
    <xf numFmtId="0" fontId="75" fillId="0" borderId="0" xfId="70" applyFont="1" applyAlignment="1">
      <alignment horizontal="center" vertical="center" wrapText="1"/>
    </xf>
    <xf numFmtId="0" fontId="75" fillId="0" borderId="0" xfId="70" applyFont="1" applyAlignment="1">
      <alignment horizontal="center" vertical="center" shrinkToFit="1"/>
    </xf>
    <xf numFmtId="0" fontId="83" fillId="0" borderId="0" xfId="74" applyFont="1" applyAlignment="1">
      <alignment horizontal="center" vertical="center"/>
    </xf>
    <xf numFmtId="0" fontId="17" fillId="0" borderId="0" xfId="71" applyFont="1">
      <alignment vertical="center"/>
    </xf>
    <xf numFmtId="0" fontId="84" fillId="0" borderId="0" xfId="74" applyFont="1" applyAlignment="1">
      <alignment horizontal="center" vertical="center"/>
    </xf>
    <xf numFmtId="0" fontId="86" fillId="0" borderId="0" xfId="72" applyFont="1" applyAlignment="1">
      <alignment horizontal="center" vertical="center"/>
    </xf>
    <xf numFmtId="0" fontId="86" fillId="0" borderId="0" xfId="72" applyFont="1" applyAlignment="1">
      <alignment vertical="center"/>
    </xf>
    <xf numFmtId="0" fontId="84" fillId="0" borderId="0" xfId="71" applyFont="1">
      <alignment vertical="center"/>
    </xf>
    <xf numFmtId="0" fontId="83" fillId="0" borderId="0" xfId="74" applyFont="1" applyAlignment="1">
      <alignment horizontal="center" vertical="center" shrinkToFit="1"/>
    </xf>
    <xf numFmtId="20" fontId="84" fillId="0" borderId="0" xfId="71" applyNumberFormat="1" applyFont="1">
      <alignment vertical="center"/>
    </xf>
    <xf numFmtId="0" fontId="83" fillId="0" borderId="123" xfId="74" applyFont="1" applyBorder="1" applyAlignment="1">
      <alignment horizontal="center" vertical="center" shrinkToFit="1"/>
    </xf>
    <xf numFmtId="0" fontId="87" fillId="0" borderId="0" xfId="74" applyFont="1" applyAlignment="1">
      <alignment horizontal="left" vertical="center"/>
    </xf>
    <xf numFmtId="0" fontId="86" fillId="0" borderId="0" xfId="72" applyFont="1" applyAlignment="1">
      <alignment vertical="center" shrinkToFit="1"/>
    </xf>
    <xf numFmtId="0" fontId="86" fillId="0" borderId="50" xfId="72" applyFont="1" applyBorder="1" applyAlignment="1">
      <alignment horizontal="center" vertical="center"/>
    </xf>
    <xf numFmtId="0" fontId="83" fillId="0" borderId="0" xfId="74" applyFont="1" applyAlignment="1">
      <alignment vertical="center" shrinkToFit="1"/>
    </xf>
    <xf numFmtId="0" fontId="84" fillId="0" borderId="0" xfId="74" applyFont="1" applyAlignment="1">
      <alignment vertical="center" shrinkToFit="1"/>
    </xf>
    <xf numFmtId="0" fontId="83" fillId="34" borderId="80" xfId="74" applyFont="1" applyFill="1" applyBorder="1" applyAlignment="1">
      <alignment horizontal="center" vertical="center" shrinkToFit="1"/>
    </xf>
    <xf numFmtId="0" fontId="83" fillId="34" borderId="0" xfId="74" applyFont="1" applyFill="1" applyAlignment="1">
      <alignment horizontal="center" vertical="center" shrinkToFit="1"/>
    </xf>
    <xf numFmtId="0" fontId="83" fillId="0" borderId="176" xfId="74" applyFont="1" applyBorder="1" applyAlignment="1">
      <alignment horizontal="center" vertical="center" shrinkToFit="1"/>
    </xf>
    <xf numFmtId="0" fontId="83" fillId="0" borderId="80" xfId="74" applyFont="1" applyBorder="1" applyAlignment="1">
      <alignment horizontal="center" vertical="center" shrinkToFit="1"/>
    </xf>
    <xf numFmtId="0" fontId="83" fillId="0" borderId="55" xfId="74" applyFont="1" applyBorder="1" applyAlignment="1">
      <alignment horizontal="center" vertical="center" shrinkToFit="1"/>
    </xf>
    <xf numFmtId="0" fontId="86" fillId="0" borderId="20" xfId="72" applyFont="1" applyBorder="1" applyAlignment="1">
      <alignment vertical="center"/>
    </xf>
    <xf numFmtId="0" fontId="90" fillId="34" borderId="80" xfId="74" applyFont="1" applyFill="1" applyBorder="1" applyAlignment="1">
      <alignment horizontal="center" vertical="center" shrinkToFit="1"/>
    </xf>
    <xf numFmtId="0" fontId="90" fillId="0" borderId="0" xfId="74" applyFont="1" applyAlignment="1">
      <alignment horizontal="center" vertical="center" shrinkToFit="1"/>
    </xf>
    <xf numFmtId="0" fontId="90" fillId="0" borderId="55" xfId="74" applyFont="1" applyBorder="1" applyAlignment="1">
      <alignment horizontal="center" vertical="center" shrinkToFit="1"/>
    </xf>
    <xf numFmtId="0" fontId="86" fillId="0" borderId="50" xfId="72" applyFont="1" applyBorder="1" applyAlignment="1">
      <alignment vertical="center"/>
    </xf>
    <xf numFmtId="0" fontId="83" fillId="0" borderId="0" xfId="74" applyFont="1" applyAlignment="1">
      <alignment horizontal="right" vertical="center"/>
    </xf>
    <xf numFmtId="0" fontId="83" fillId="34" borderId="141" xfId="74" applyFont="1" applyFill="1" applyBorder="1" applyAlignment="1">
      <alignment horizontal="center" vertical="center" shrinkToFit="1"/>
    </xf>
    <xf numFmtId="0" fontId="17" fillId="34" borderId="135" xfId="74" applyFont="1" applyFill="1" applyBorder="1" applyAlignment="1">
      <alignment horizontal="center" vertical="center" shrinkToFit="1"/>
    </xf>
    <xf numFmtId="0" fontId="83" fillId="0" borderId="181" xfId="74" applyFont="1" applyBorder="1" applyAlignment="1">
      <alignment horizontal="center" vertical="center" shrinkToFit="1"/>
    </xf>
    <xf numFmtId="0" fontId="83" fillId="0" borderId="135" xfId="74" applyFont="1" applyBorder="1" applyAlignment="1">
      <alignment horizontal="center" vertical="center" shrinkToFit="1"/>
    </xf>
    <xf numFmtId="0" fontId="83" fillId="0" borderId="57" xfId="74" applyFont="1" applyBorder="1" applyAlignment="1">
      <alignment horizontal="center" vertical="center" shrinkToFit="1"/>
    </xf>
    <xf numFmtId="0" fontId="84" fillId="0" borderId="183" xfId="74" applyFont="1" applyBorder="1" applyAlignment="1">
      <alignment horizontal="center" vertical="center" shrinkToFit="1"/>
    </xf>
    <xf numFmtId="0" fontId="83" fillId="0" borderId="15" xfId="74" applyFont="1" applyBorder="1" applyAlignment="1">
      <alignment horizontal="center" vertical="center"/>
    </xf>
    <xf numFmtId="0" fontId="83" fillId="0" borderId="184" xfId="74" applyFont="1" applyBorder="1" applyAlignment="1">
      <alignment horizontal="center" vertical="center" shrinkToFit="1"/>
    </xf>
    <xf numFmtId="0" fontId="83" fillId="34" borderId="122" xfId="74" applyFont="1" applyFill="1" applyBorder="1" applyAlignment="1">
      <alignment horizontal="center" vertical="center" shrinkToFit="1"/>
    </xf>
    <xf numFmtId="0" fontId="83" fillId="34" borderId="123" xfId="74" applyFont="1" applyFill="1" applyBorder="1" applyAlignment="1">
      <alignment horizontal="center" vertical="center" shrinkToFit="1"/>
    </xf>
    <xf numFmtId="0" fontId="83" fillId="0" borderId="185" xfId="74" applyFont="1" applyBorder="1" applyAlignment="1">
      <alignment horizontal="center" vertical="center" shrinkToFit="1"/>
    </xf>
    <xf numFmtId="0" fontId="83" fillId="0" borderId="172" xfId="74" applyFont="1" applyBorder="1" applyAlignment="1" applyProtection="1">
      <alignment horizontal="center" vertical="center" shrinkToFit="1"/>
      <protection locked="0"/>
    </xf>
    <xf numFmtId="0" fontId="83" fillId="0" borderId="15" xfId="74" applyFont="1" applyBorder="1" applyAlignment="1" applyProtection="1">
      <alignment horizontal="center" vertical="center"/>
      <protection locked="0"/>
    </xf>
    <xf numFmtId="0" fontId="83" fillId="0" borderId="186" xfId="74" applyFont="1" applyBorder="1" applyAlignment="1">
      <alignment horizontal="center" vertical="center" shrinkToFit="1"/>
    </xf>
    <xf numFmtId="0" fontId="83" fillId="34" borderId="79" xfId="74" applyFont="1" applyFill="1" applyBorder="1" applyAlignment="1">
      <alignment horizontal="center" vertical="center" shrinkToFit="1"/>
    </xf>
    <xf numFmtId="0" fontId="86" fillId="0" borderId="20" xfId="72" applyFont="1" applyBorder="1" applyAlignment="1">
      <alignment horizontal="center" vertical="center"/>
    </xf>
    <xf numFmtId="0" fontId="84" fillId="0" borderId="0" xfId="74" applyFont="1" applyAlignment="1">
      <alignment horizontal="center" vertical="center" shrinkToFit="1"/>
    </xf>
    <xf numFmtId="0" fontId="83" fillId="0" borderId="188" xfId="74" applyFont="1" applyBorder="1" applyAlignment="1">
      <alignment horizontal="center" vertical="center" shrinkToFit="1"/>
    </xf>
    <xf numFmtId="0" fontId="83" fillId="34" borderId="134" xfId="74" applyFont="1" applyFill="1" applyBorder="1" applyAlignment="1">
      <alignment horizontal="center" vertical="center" shrinkToFit="1"/>
    </xf>
    <xf numFmtId="0" fontId="83" fillId="34" borderId="135" xfId="74" applyFont="1" applyFill="1" applyBorder="1" applyAlignment="1">
      <alignment horizontal="center" vertical="center" shrinkToFit="1"/>
    </xf>
    <xf numFmtId="0" fontId="83" fillId="0" borderId="57" xfId="74" applyFont="1" applyBorder="1" applyAlignment="1" applyProtection="1">
      <alignment horizontal="center" vertical="center" shrinkToFit="1"/>
      <protection locked="0"/>
    </xf>
    <xf numFmtId="0" fontId="91" fillId="0" borderId="15" xfId="74" applyFont="1" applyBorder="1" applyAlignment="1">
      <alignment horizontal="center" vertical="center"/>
    </xf>
    <xf numFmtId="0" fontId="83" fillId="0" borderId="123" xfId="74" applyFont="1" applyBorder="1" applyAlignment="1" applyProtection="1">
      <alignment horizontal="center" vertical="center" shrinkToFit="1"/>
      <protection locked="0"/>
    </xf>
    <xf numFmtId="0" fontId="83" fillId="34" borderId="172" xfId="74" applyFont="1" applyFill="1" applyBorder="1" applyAlignment="1">
      <alignment horizontal="center" vertical="center" shrinkToFit="1"/>
    </xf>
    <xf numFmtId="0" fontId="90" fillId="0" borderId="189" xfId="74" applyFont="1" applyBorder="1" applyAlignment="1">
      <alignment horizontal="center" vertical="center" shrinkToFit="1"/>
    </xf>
    <xf numFmtId="0" fontId="83" fillId="0" borderId="190" xfId="74" applyFont="1" applyBorder="1" applyAlignment="1">
      <alignment horizontal="center" vertical="center" shrinkToFit="1"/>
    </xf>
    <xf numFmtId="0" fontId="90" fillId="34" borderId="55" xfId="74" applyFont="1" applyFill="1" applyBorder="1" applyAlignment="1">
      <alignment horizontal="center" vertical="center" shrinkToFit="1"/>
    </xf>
    <xf numFmtId="0" fontId="86" fillId="0" borderId="187" xfId="72" applyFont="1" applyBorder="1" applyAlignment="1">
      <alignment vertical="center"/>
    </xf>
    <xf numFmtId="0" fontId="83" fillId="0" borderId="135" xfId="74" applyFont="1" applyBorder="1" applyAlignment="1" applyProtection="1">
      <alignment horizontal="center" vertical="center" shrinkToFit="1"/>
      <protection locked="0"/>
    </xf>
    <xf numFmtId="0" fontId="83" fillId="34" borderId="57" xfId="74" applyFont="1" applyFill="1" applyBorder="1" applyAlignment="1">
      <alignment horizontal="center" vertical="center" shrinkToFit="1"/>
    </xf>
    <xf numFmtId="0" fontId="83" fillId="0" borderId="187" xfId="74" applyFont="1" applyBorder="1" applyAlignment="1">
      <alignment horizontal="center" vertical="center" shrinkToFit="1"/>
    </xf>
    <xf numFmtId="0" fontId="83" fillId="0" borderId="0" xfId="74" applyFont="1" applyAlignment="1">
      <alignment vertical="center"/>
    </xf>
    <xf numFmtId="0" fontId="83" fillId="0" borderId="16" xfId="74" applyFont="1" applyBorder="1" applyAlignment="1">
      <alignment horizontal="center" vertical="center" wrapText="1" shrinkToFit="1"/>
    </xf>
    <xf numFmtId="0" fontId="83" fillId="0" borderId="16" xfId="74" applyFont="1" applyBorder="1" applyAlignment="1">
      <alignment horizontal="center" vertical="center" shrinkToFit="1"/>
    </xf>
    <xf numFmtId="0" fontId="17" fillId="0" borderId="0" xfId="74" applyFont="1" applyAlignment="1">
      <alignment horizontal="center" vertical="center" shrinkToFit="1"/>
    </xf>
    <xf numFmtId="0" fontId="17" fillId="0" borderId="0" xfId="71" applyFont="1" applyAlignment="1">
      <alignment vertical="center" shrinkToFit="1"/>
    </xf>
    <xf numFmtId="0" fontId="85" fillId="0" borderId="0" xfId="72" applyFont="1" applyAlignment="1">
      <alignment vertical="center"/>
    </xf>
    <xf numFmtId="0" fontId="93" fillId="0" borderId="0" xfId="56" applyFont="1" applyAlignment="1">
      <alignment horizontal="center" vertical="center" shrinkToFit="1"/>
    </xf>
    <xf numFmtId="0" fontId="67" fillId="0" borderId="0" xfId="56" applyFont="1" applyAlignment="1">
      <alignment horizontal="center" vertical="center" shrinkToFit="1"/>
    </xf>
    <xf numFmtId="0" fontId="94" fillId="0" borderId="0" xfId="56" applyFont="1" applyAlignment="1">
      <alignment horizontal="left" vertical="center"/>
    </xf>
    <xf numFmtId="0" fontId="67" fillId="0" borderId="41" xfId="56" applyFont="1" applyBorder="1" applyAlignment="1">
      <alignment horizontal="center" vertical="center" shrinkToFit="1"/>
    </xf>
    <xf numFmtId="0" fontId="67" fillId="0" borderId="42" xfId="56" applyFont="1" applyBorder="1" applyAlignment="1">
      <alignment horizontal="center" vertical="center" wrapText="1" shrinkToFit="1"/>
    </xf>
    <xf numFmtId="0" fontId="67" fillId="0" borderId="43" xfId="56" applyFont="1" applyBorder="1" applyAlignment="1">
      <alignment horizontal="center" vertical="center" shrinkToFit="1"/>
    </xf>
    <xf numFmtId="0" fontId="84" fillId="0" borderId="94" xfId="58" applyFont="1" applyBorder="1" applyAlignment="1">
      <alignment horizontal="center" vertical="center"/>
    </xf>
    <xf numFmtId="0" fontId="84" fillId="0" borderId="203" xfId="58" applyFont="1" applyBorder="1" applyAlignment="1">
      <alignment horizontal="center" vertical="center"/>
    </xf>
    <xf numFmtId="0" fontId="84" fillId="0" borderId="204" xfId="58" applyFont="1" applyBorder="1" applyAlignment="1">
      <alignment horizontal="center" vertical="center"/>
    </xf>
    <xf numFmtId="20" fontId="84" fillId="0" borderId="203" xfId="58" applyNumberFormat="1" applyFont="1" applyBorder="1" applyAlignment="1">
      <alignment horizontal="center" vertical="center"/>
    </xf>
    <xf numFmtId="20" fontId="84" fillId="36" borderId="203" xfId="58" applyNumberFormat="1" applyFont="1" applyFill="1" applyBorder="1" applyAlignment="1">
      <alignment horizontal="center" vertical="center"/>
    </xf>
    <xf numFmtId="20" fontId="84" fillId="36" borderId="205" xfId="58" applyNumberFormat="1" applyFont="1" applyFill="1" applyBorder="1" applyAlignment="1">
      <alignment horizontal="center" vertical="center"/>
    </xf>
    <xf numFmtId="0" fontId="67" fillId="29" borderId="0" xfId="0" applyFont="1" applyFill="1" applyAlignment="1">
      <alignment horizontal="center" vertical="center"/>
    </xf>
    <xf numFmtId="0" fontId="67" fillId="0" borderId="69" xfId="0" applyFont="1" applyBorder="1" applyAlignment="1">
      <alignment horizontal="center" vertical="center"/>
    </xf>
    <xf numFmtId="0" fontId="67" fillId="0" borderId="70" xfId="0" applyFont="1" applyBorder="1" applyAlignment="1">
      <alignment horizontal="center" vertical="center"/>
    </xf>
    <xf numFmtId="0" fontId="67" fillId="0" borderId="71" xfId="0" applyFont="1" applyBorder="1" applyAlignment="1">
      <alignment horizontal="center" vertical="center"/>
    </xf>
    <xf numFmtId="0" fontId="67" fillId="26" borderId="101" xfId="58" applyFont="1" applyFill="1" applyBorder="1" applyAlignment="1">
      <alignment horizontal="center" vertical="center"/>
    </xf>
    <xf numFmtId="0" fontId="67" fillId="26" borderId="206" xfId="58" applyFont="1" applyFill="1" applyBorder="1" applyAlignment="1">
      <alignment horizontal="center" vertical="center"/>
    </xf>
    <xf numFmtId="0" fontId="67" fillId="26" borderId="207" xfId="58" applyFont="1" applyFill="1" applyBorder="1" applyAlignment="1">
      <alignment horizontal="center" vertical="center"/>
    </xf>
    <xf numFmtId="0" fontId="84" fillId="0" borderId="91" xfId="58" applyFont="1" applyBorder="1" applyAlignment="1">
      <alignment horizontal="center" vertical="center"/>
    </xf>
    <xf numFmtId="0" fontId="84" fillId="26" borderId="206" xfId="58" applyFont="1" applyFill="1" applyBorder="1" applyAlignment="1">
      <alignment horizontal="center" vertical="center"/>
    </xf>
    <xf numFmtId="0" fontId="84" fillId="26" borderId="208" xfId="58" applyFont="1" applyFill="1" applyBorder="1" applyAlignment="1">
      <alignment horizontal="center" vertical="center"/>
    </xf>
    <xf numFmtId="0" fontId="67" fillId="26" borderId="101" xfId="56" applyFont="1" applyFill="1" applyBorder="1" applyAlignment="1">
      <alignment horizontal="center" vertical="center" shrinkToFit="1"/>
    </xf>
    <xf numFmtId="0" fontId="67" fillId="26" borderId="206" xfId="56" applyFont="1" applyFill="1" applyBorder="1" applyAlignment="1">
      <alignment horizontal="center" vertical="center" shrinkToFit="1"/>
    </xf>
    <xf numFmtId="0" fontId="67" fillId="26" borderId="207" xfId="56" applyFont="1" applyFill="1" applyBorder="1" applyAlignment="1">
      <alignment horizontal="center" vertical="center" shrinkToFit="1"/>
    </xf>
    <xf numFmtId="0" fontId="84" fillId="0" borderId="206" xfId="58" applyFont="1" applyBorder="1" applyAlignment="1">
      <alignment horizontal="center" vertical="center"/>
    </xf>
    <xf numFmtId="0" fontId="84" fillId="0" borderId="208" xfId="58" applyFont="1" applyBorder="1" applyAlignment="1">
      <alignment horizontal="center" vertical="center"/>
    </xf>
    <xf numFmtId="0" fontId="67" fillId="0" borderId="0" xfId="0" applyFont="1" applyAlignment="1">
      <alignment horizontal="left" vertical="center"/>
    </xf>
    <xf numFmtId="0" fontId="67" fillId="0" borderId="79" xfId="56" applyFont="1" applyBorder="1" applyAlignment="1">
      <alignment horizontal="center" vertical="center" shrinkToFit="1"/>
    </xf>
    <xf numFmtId="0" fontId="67" fillId="0" borderId="101" xfId="56" applyFont="1" applyBorder="1" applyAlignment="1">
      <alignment horizontal="center" vertical="center" shrinkToFit="1"/>
    </xf>
    <xf numFmtId="0" fontId="67" fillId="0" borderId="206" xfId="56" applyFont="1" applyBorder="1" applyAlignment="1">
      <alignment horizontal="center" vertical="center" shrinkToFit="1"/>
    </xf>
    <xf numFmtId="0" fontId="67" fillId="0" borderId="207" xfId="56" applyFont="1" applyBorder="1" applyAlignment="1">
      <alignment horizontal="center" vertical="center" shrinkToFit="1"/>
    </xf>
    <xf numFmtId="0" fontId="84" fillId="37" borderId="206" xfId="58" applyFont="1" applyFill="1" applyBorder="1" applyAlignment="1">
      <alignment horizontal="center" vertical="center" shrinkToFit="1"/>
    </xf>
    <xf numFmtId="0" fontId="84" fillId="37" borderId="208" xfId="58" applyFont="1" applyFill="1" applyBorder="1" applyAlignment="1">
      <alignment horizontal="center" vertical="center" shrinkToFit="1"/>
    </xf>
    <xf numFmtId="0" fontId="84" fillId="35" borderId="103" xfId="58" applyFont="1" applyFill="1" applyBorder="1" applyAlignment="1">
      <alignment horizontal="center" vertical="center"/>
    </xf>
    <xf numFmtId="0" fontId="84" fillId="35" borderId="104" xfId="58" applyFont="1" applyFill="1" applyBorder="1" applyAlignment="1">
      <alignment horizontal="center" vertical="center"/>
    </xf>
    <xf numFmtId="20" fontId="84" fillId="0" borderId="211" xfId="58" applyNumberFormat="1" applyFont="1" applyBorder="1" applyAlignment="1">
      <alignment horizontal="center" vertical="center"/>
    </xf>
    <xf numFmtId="20" fontId="84" fillId="36" borderId="211" xfId="58" applyNumberFormat="1" applyFont="1" applyFill="1" applyBorder="1" applyAlignment="1">
      <alignment horizontal="center" vertical="center"/>
    </xf>
    <xf numFmtId="20" fontId="84" fillId="36" borderId="212" xfId="58" applyNumberFormat="1" applyFont="1" applyFill="1" applyBorder="1" applyAlignment="1">
      <alignment horizontal="center" vertical="center"/>
    </xf>
    <xf numFmtId="0" fontId="93" fillId="0" borderId="0" xfId="56" applyFont="1" applyAlignment="1">
      <alignment vertical="center" shrinkToFit="1"/>
    </xf>
    <xf numFmtId="0" fontId="95" fillId="0" borderId="0" xfId="73" applyFont="1">
      <alignment vertical="center"/>
    </xf>
    <xf numFmtId="0" fontId="67" fillId="0" borderId="55" xfId="56" applyFont="1" applyBorder="1" applyAlignment="1">
      <alignment horizontal="center" vertical="center" shrinkToFit="1"/>
    </xf>
    <xf numFmtId="0" fontId="83" fillId="0" borderId="51" xfId="74" applyFont="1" applyBorder="1" applyAlignment="1">
      <alignment horizontal="center" vertical="center"/>
    </xf>
    <xf numFmtId="0" fontId="83" fillId="0" borderId="17" xfId="74" applyFont="1" applyBorder="1" applyAlignment="1" applyProtection="1">
      <alignment horizontal="center" vertical="center"/>
      <protection locked="0"/>
    </xf>
    <xf numFmtId="0" fontId="67" fillId="0" borderId="33" xfId="56" applyFont="1" applyBorder="1" applyAlignment="1">
      <alignment horizontal="center" vertical="center" shrinkToFit="1"/>
    </xf>
    <xf numFmtId="0" fontId="83" fillId="0" borderId="66" xfId="74" applyFont="1" applyBorder="1" applyAlignment="1" applyProtection="1">
      <alignment horizontal="center" vertical="center"/>
      <protection locked="0"/>
    </xf>
    <xf numFmtId="0" fontId="67" fillId="0" borderId="67" xfId="56" applyFont="1" applyBorder="1" applyAlignment="1">
      <alignment horizontal="center" vertical="center" shrinkToFit="1"/>
    </xf>
    <xf numFmtId="0" fontId="67" fillId="39" borderId="0" xfId="0" applyFont="1" applyFill="1" applyAlignment="1">
      <alignment horizontal="center" vertical="center"/>
    </xf>
    <xf numFmtId="0" fontId="97" fillId="0" borderId="0" xfId="56" applyFont="1" applyAlignment="1">
      <alignment horizontal="left" vertical="center"/>
    </xf>
    <xf numFmtId="0" fontId="99" fillId="0" borderId="0" xfId="0" applyFont="1" applyAlignment="1">
      <alignment vertical="center"/>
    </xf>
    <xf numFmtId="0" fontId="98" fillId="38" borderId="0" xfId="58" applyFont="1" applyFill="1">
      <alignment vertical="center"/>
    </xf>
    <xf numFmtId="0" fontId="38" fillId="0" borderId="0" xfId="0" applyFont="1" applyAlignment="1">
      <alignment vertical="center"/>
    </xf>
    <xf numFmtId="0" fontId="38" fillId="0" borderId="0" xfId="0" applyFont="1" applyAlignment="1">
      <alignment vertical="center" wrapText="1"/>
    </xf>
    <xf numFmtId="176" fontId="30" fillId="0" borderId="25" xfId="0" applyNumberFormat="1" applyFont="1" applyBorder="1" applyAlignment="1">
      <alignment horizontal="center" vertical="center" shrinkToFit="1"/>
    </xf>
    <xf numFmtId="176" fontId="30" fillId="0" borderId="26" xfId="0" quotePrefix="1" applyNumberFormat="1" applyFont="1" applyBorder="1" applyAlignment="1">
      <alignment horizontal="center" vertical="center" shrinkToFit="1"/>
    </xf>
    <xf numFmtId="176" fontId="30" fillId="0" borderId="25" xfId="0" quotePrefix="1" applyNumberFormat="1" applyFont="1" applyBorder="1" applyAlignment="1">
      <alignment horizontal="center" vertical="center" shrinkToFit="1"/>
    </xf>
    <xf numFmtId="176" fontId="30" fillId="0" borderId="27" xfId="0" applyNumberFormat="1" applyFont="1" applyBorder="1" applyAlignment="1">
      <alignment horizontal="center" vertical="center" shrinkToFit="1"/>
    </xf>
    <xf numFmtId="176" fontId="30" fillId="0" borderId="39" xfId="0" applyNumberFormat="1" applyFont="1" applyBorder="1" applyAlignment="1">
      <alignment horizontal="center" vertical="center" shrinkToFit="1"/>
    </xf>
    <xf numFmtId="0" fontId="108" fillId="0" borderId="0" xfId="58" applyFont="1">
      <alignment vertical="center"/>
    </xf>
    <xf numFmtId="0" fontId="112" fillId="0" borderId="0" xfId="0" applyFont="1" applyAlignment="1">
      <alignment horizontal="right" vertical="center"/>
    </xf>
    <xf numFmtId="0" fontId="113" fillId="0" borderId="0" xfId="0" applyFont="1" applyAlignment="1">
      <alignment vertical="center"/>
    </xf>
    <xf numFmtId="0" fontId="114" fillId="0" borderId="0" xfId="0" applyFont="1" applyAlignment="1">
      <alignment horizontal="right" vertical="center"/>
    </xf>
    <xf numFmtId="0" fontId="113" fillId="0" borderId="0" xfId="0" applyFont="1" applyAlignment="1">
      <alignment horizontal="right" vertical="center"/>
    </xf>
    <xf numFmtId="0" fontId="115" fillId="0" borderId="0" xfId="0" applyFont="1" applyAlignment="1">
      <alignment horizontal="right" vertical="center"/>
    </xf>
    <xf numFmtId="0" fontId="115" fillId="0" borderId="0" xfId="0" applyFont="1" applyAlignment="1">
      <alignment vertical="center"/>
    </xf>
    <xf numFmtId="0" fontId="113" fillId="0" borderId="0" xfId="0" applyFont="1" applyAlignment="1">
      <alignment horizontal="right"/>
    </xf>
    <xf numFmtId="0" fontId="113" fillId="0" borderId="0" xfId="0" applyFont="1"/>
    <xf numFmtId="0" fontId="116" fillId="0" borderId="0" xfId="0" applyFont="1" applyAlignment="1">
      <alignment vertical="center"/>
    </xf>
    <xf numFmtId="176" fontId="30" fillId="0" borderId="37" xfId="0" applyNumberFormat="1" applyFont="1" applyBorder="1" applyAlignment="1">
      <alignment horizontal="center" vertical="center" shrinkToFit="1"/>
    </xf>
    <xf numFmtId="176" fontId="30" fillId="0" borderId="38" xfId="0" applyNumberFormat="1" applyFont="1" applyBorder="1" applyAlignment="1">
      <alignment horizontal="center" vertical="center" shrinkToFit="1"/>
    </xf>
    <xf numFmtId="176" fontId="30" fillId="0" borderId="37" xfId="0" quotePrefix="1" applyNumberFormat="1" applyFont="1" applyBorder="1" applyAlignment="1">
      <alignment horizontal="center" vertical="center" shrinkToFit="1"/>
    </xf>
    <xf numFmtId="0" fontId="117" fillId="0" borderId="0" xfId="0" applyFont="1" applyAlignment="1">
      <alignment vertical="center"/>
    </xf>
    <xf numFmtId="0" fontId="30" fillId="0" borderId="17" xfId="0" applyFont="1" applyBorder="1" applyAlignment="1">
      <alignment horizontal="left" vertical="center" shrinkToFit="1"/>
    </xf>
    <xf numFmtId="0" fontId="30" fillId="0" borderId="15" xfId="0" applyFont="1" applyBorder="1" applyAlignment="1">
      <alignment horizontal="left" vertical="center" shrinkToFit="1"/>
    </xf>
    <xf numFmtId="179" fontId="114" fillId="0" borderId="0" xfId="0" applyNumberFormat="1" applyFont="1" applyAlignment="1">
      <alignment vertical="center"/>
    </xf>
    <xf numFmtId="0" fontId="113" fillId="0" borderId="0" xfId="0" applyFont="1" applyAlignment="1">
      <alignment horizontal="center" vertical="center"/>
    </xf>
    <xf numFmtId="180" fontId="120" fillId="0" borderId="92" xfId="0" applyNumberFormat="1" applyFont="1" applyBorder="1" applyAlignment="1">
      <alignment vertical="center" wrapText="1"/>
    </xf>
    <xf numFmtId="0" fontId="120" fillId="0" borderId="91" xfId="0" applyFont="1" applyBorder="1" applyAlignment="1">
      <alignment vertical="center" wrapText="1"/>
    </xf>
    <xf numFmtId="0" fontId="120" fillId="0" borderId="92" xfId="0" applyFont="1" applyBorder="1" applyAlignment="1">
      <alignment vertical="center" wrapText="1"/>
    </xf>
    <xf numFmtId="0" fontId="120" fillId="0" borderId="0" xfId="0" applyFont="1" applyAlignment="1">
      <alignment vertical="center" wrapText="1"/>
    </xf>
    <xf numFmtId="0" fontId="121" fillId="0" borderId="0" xfId="0" applyFont="1"/>
    <xf numFmtId="0" fontId="46" fillId="0" borderId="0" xfId="67" applyFont="1">
      <alignment vertical="center"/>
    </xf>
    <xf numFmtId="0" fontId="40" fillId="0" borderId="0" xfId="67" applyFont="1">
      <alignment vertical="center"/>
    </xf>
    <xf numFmtId="0" fontId="47" fillId="0" borderId="0" xfId="67" applyFont="1" applyAlignment="1">
      <alignment horizontal="center" vertical="distributed" wrapText="1"/>
    </xf>
    <xf numFmtId="0" fontId="47" fillId="0" borderId="0" xfId="67" applyFont="1" applyAlignment="1">
      <alignment vertical="distributed" wrapText="1"/>
    </xf>
    <xf numFmtId="0" fontId="61" fillId="0" borderId="0" xfId="67" applyFont="1" applyAlignment="1">
      <alignment vertical="distributed"/>
    </xf>
    <xf numFmtId="0" fontId="41" fillId="0" borderId="0" xfId="67" applyFont="1">
      <alignment vertical="center"/>
    </xf>
    <xf numFmtId="0" fontId="41" fillId="0" borderId="0" xfId="67" applyFont="1" applyAlignment="1">
      <alignment vertical="center" shrinkToFit="1"/>
    </xf>
    <xf numFmtId="0" fontId="42" fillId="0" borderId="0" xfId="59" applyFont="1">
      <alignment vertical="center"/>
    </xf>
    <xf numFmtId="0" fontId="42" fillId="0" borderId="0" xfId="59" applyFont="1" applyAlignment="1">
      <alignment horizontal="center" vertical="center"/>
    </xf>
    <xf numFmtId="0" fontId="42" fillId="0" borderId="0" xfId="59" applyFont="1" applyAlignment="1">
      <alignment horizontal="left" vertical="center"/>
    </xf>
    <xf numFmtId="0" fontId="56" fillId="0" borderId="87" xfId="59" applyFont="1" applyBorder="1" applyAlignment="1">
      <alignment vertical="center" wrapText="1" shrinkToFit="1"/>
    </xf>
    <xf numFmtId="0" fontId="56" fillId="0" borderId="0" xfId="59" applyFont="1" applyAlignment="1">
      <alignment vertical="center" wrapText="1" shrinkToFit="1"/>
    </xf>
    <xf numFmtId="0" fontId="39" fillId="0" borderId="0" xfId="67" applyFont="1">
      <alignment vertical="center"/>
    </xf>
    <xf numFmtId="0" fontId="54" fillId="0" borderId="0" xfId="67" applyFont="1">
      <alignment vertical="center"/>
    </xf>
    <xf numFmtId="0" fontId="55" fillId="0" borderId="0" xfId="67" applyFont="1">
      <alignment vertical="center"/>
    </xf>
    <xf numFmtId="0" fontId="49" fillId="0" borderId="0" xfId="66" applyFont="1">
      <alignment vertical="center"/>
    </xf>
    <xf numFmtId="0" fontId="39" fillId="0" borderId="0" xfId="66" applyFont="1">
      <alignment vertical="center"/>
    </xf>
    <xf numFmtId="0" fontId="52" fillId="0" borderId="0" xfId="66" applyFont="1">
      <alignment vertical="center"/>
    </xf>
    <xf numFmtId="0" fontId="51" fillId="0" borderId="0" xfId="63" quotePrefix="1" applyFont="1" applyAlignment="1">
      <alignment horizontal="center" vertical="center"/>
    </xf>
    <xf numFmtId="0" fontId="51" fillId="0" borderId="0" xfId="63" applyFont="1" applyAlignment="1">
      <alignment horizontal="center" vertical="center"/>
    </xf>
    <xf numFmtId="0" fontId="51" fillId="0" borderId="0" xfId="63" applyFont="1">
      <alignment vertical="center"/>
    </xf>
    <xf numFmtId="0" fontId="43" fillId="0" borderId="0" xfId="63" applyFont="1">
      <alignment vertical="center"/>
    </xf>
    <xf numFmtId="0" fontId="57" fillId="0" borderId="0" xfId="63" applyFont="1">
      <alignment vertical="center"/>
    </xf>
    <xf numFmtId="0" fontId="43" fillId="0" borderId="0" xfId="63" applyFont="1" applyAlignment="1">
      <alignment vertical="center" shrinkToFit="1"/>
    </xf>
    <xf numFmtId="0" fontId="51" fillId="0" borderId="0" xfId="66" applyFont="1">
      <alignment vertical="center"/>
    </xf>
    <xf numFmtId="0" fontId="39" fillId="0" borderId="0" xfId="63" applyFont="1" applyAlignment="1">
      <alignment vertical="top"/>
    </xf>
    <xf numFmtId="0" fontId="44" fillId="0" borderId="0" xfId="66" applyFont="1" applyAlignment="1">
      <alignment vertical="distributed" wrapText="1"/>
    </xf>
    <xf numFmtId="0" fontId="51" fillId="0" borderId="0" xfId="63" quotePrefix="1" applyFont="1">
      <alignment vertical="center"/>
    </xf>
    <xf numFmtId="0" fontId="44" fillId="0" borderId="0" xfId="66" applyFont="1" applyAlignment="1">
      <alignment vertical="top"/>
    </xf>
    <xf numFmtId="0" fontId="58" fillId="0" borderId="0" xfId="66" applyFont="1">
      <alignment vertical="center"/>
    </xf>
    <xf numFmtId="0" fontId="53" fillId="0" borderId="0" xfId="66" applyFont="1">
      <alignment vertical="center"/>
    </xf>
    <xf numFmtId="0" fontId="44" fillId="0" borderId="0" xfId="66" applyFont="1" applyAlignment="1">
      <alignment horizontal="center" vertical="top"/>
    </xf>
    <xf numFmtId="0" fontId="39" fillId="0" borderId="0" xfId="66" applyFont="1" applyAlignment="1">
      <alignment vertical="distributed"/>
    </xf>
    <xf numFmtId="0" fontId="60" fillId="0" borderId="0" xfId="66" applyFont="1">
      <alignment vertical="center"/>
    </xf>
    <xf numFmtId="0" fontId="44" fillId="0" borderId="0" xfId="66" applyFont="1">
      <alignment vertical="center"/>
    </xf>
    <xf numFmtId="0" fontId="43" fillId="0" borderId="0" xfId="63" applyFont="1" applyAlignment="1">
      <alignment vertical="distributed" wrapText="1"/>
    </xf>
    <xf numFmtId="0" fontId="40" fillId="0" borderId="0" xfId="66" applyFont="1">
      <alignment vertical="center"/>
    </xf>
    <xf numFmtId="0" fontId="45" fillId="0" borderId="0" xfId="66" applyFont="1">
      <alignment vertical="center"/>
    </xf>
    <xf numFmtId="0" fontId="44" fillId="0" borderId="0" xfId="0" applyFont="1" applyAlignment="1">
      <alignment vertical="center"/>
    </xf>
    <xf numFmtId="0" fontId="44" fillId="0" borderId="0" xfId="63" applyFont="1" applyAlignment="1">
      <alignment vertical="center" shrinkToFit="1"/>
    </xf>
    <xf numFmtId="0" fontId="43" fillId="0" borderId="0" xfId="67" applyFont="1">
      <alignment vertical="center"/>
    </xf>
    <xf numFmtId="0" fontId="43" fillId="0" borderId="0" xfId="67" applyFont="1" applyAlignment="1">
      <alignment vertical="distributed" wrapText="1"/>
    </xf>
    <xf numFmtId="0" fontId="107" fillId="0" borderId="0" xfId="63" applyFont="1">
      <alignment vertical="center"/>
    </xf>
    <xf numFmtId="0" fontId="115" fillId="0" borderId="0" xfId="0" applyFont="1" applyAlignment="1">
      <alignment horizontal="right"/>
    </xf>
    <xf numFmtId="0" fontId="113" fillId="0" borderId="0" xfId="0" applyFont="1" applyAlignment="1">
      <alignment horizontal="right" shrinkToFit="1"/>
    </xf>
    <xf numFmtId="0" fontId="113" fillId="0" borderId="0" xfId="0" applyFont="1" applyAlignment="1">
      <alignment horizontal="center" vertical="center" shrinkToFit="1"/>
    </xf>
    <xf numFmtId="0" fontId="113" fillId="0" borderId="0" xfId="0" applyFont="1" applyAlignment="1">
      <alignment horizontal="right" vertical="center" shrinkToFit="1"/>
    </xf>
    <xf numFmtId="0" fontId="123" fillId="0" borderId="0" xfId="0" applyFont="1" applyAlignment="1">
      <alignment vertical="center"/>
    </xf>
    <xf numFmtId="0" fontId="124" fillId="0" borderId="0" xfId="0" applyFont="1" applyAlignment="1">
      <alignment vertical="center"/>
    </xf>
    <xf numFmtId="0" fontId="123" fillId="0" borderId="15" xfId="0" applyFont="1" applyBorder="1" applyAlignment="1">
      <alignment vertical="center"/>
    </xf>
    <xf numFmtId="0" fontId="123" fillId="0" borderId="63" xfId="0" applyFont="1" applyBorder="1" applyAlignment="1">
      <alignment vertical="center"/>
    </xf>
    <xf numFmtId="0" fontId="123" fillId="0" borderId="124" xfId="0" applyFont="1" applyBorder="1" applyAlignment="1">
      <alignment horizontal="right" vertical="center" shrinkToFit="1"/>
    </xf>
    <xf numFmtId="0" fontId="123" fillId="0" borderId="131" xfId="0" applyFont="1" applyBorder="1" applyAlignment="1">
      <alignment horizontal="center" vertical="center" shrinkToFit="1"/>
    </xf>
    <xf numFmtId="0" fontId="123" fillId="0" borderId="15" xfId="0" applyFont="1" applyBorder="1" applyAlignment="1">
      <alignment horizontal="right" vertical="center"/>
    </xf>
    <xf numFmtId="0" fontId="123" fillId="0" borderId="63" xfId="0" applyFont="1" applyBorder="1" applyAlignment="1">
      <alignment horizontal="center" vertical="center"/>
    </xf>
    <xf numFmtId="0" fontId="126" fillId="0" borderId="126" xfId="0" applyFont="1" applyBorder="1" applyAlignment="1">
      <alignment horizontal="right" vertical="center" shrinkToFit="1"/>
    </xf>
    <xf numFmtId="0" fontId="126" fillId="0" borderId="79" xfId="0" applyFont="1" applyBorder="1" applyAlignment="1">
      <alignment horizontal="center" vertical="center" wrapText="1" shrinkToFit="1"/>
    </xf>
    <xf numFmtId="0" fontId="126" fillId="0" borderId="134" xfId="0" applyFont="1" applyBorder="1" applyAlignment="1">
      <alignment horizontal="left" vertical="center" shrinkToFit="1"/>
    </xf>
    <xf numFmtId="0" fontId="126" fillId="0" borderId="122" xfId="0" applyFont="1" applyBorder="1" applyAlignment="1">
      <alignment vertical="center" shrinkToFit="1"/>
    </xf>
    <xf numFmtId="0" fontId="126" fillId="0" borderId="138" xfId="0" applyFont="1" applyBorder="1" applyAlignment="1">
      <alignment vertical="center" shrinkToFit="1"/>
    </xf>
    <xf numFmtId="0" fontId="126" fillId="0" borderId="0" xfId="0" applyFont="1" applyAlignment="1">
      <alignment vertical="center"/>
    </xf>
    <xf numFmtId="0" fontId="126" fillId="0" borderId="127" xfId="0" applyFont="1" applyBorder="1" applyAlignment="1">
      <alignment horizontal="right" vertical="center" shrinkToFit="1"/>
    </xf>
    <xf numFmtId="0" fontId="126" fillId="0" borderId="80" xfId="0" applyFont="1" applyBorder="1" applyAlignment="1">
      <alignment horizontal="center" vertical="center"/>
    </xf>
    <xf numFmtId="0" fontId="126" fillId="0" borderId="135" xfId="0" applyFont="1" applyBorder="1" applyAlignment="1">
      <alignment horizontal="left" vertical="center" shrinkToFit="1"/>
    </xf>
    <xf numFmtId="0" fontId="126" fillId="0" borderId="123" xfId="0" applyFont="1" applyBorder="1" applyAlignment="1">
      <alignment vertical="center" shrinkToFit="1"/>
    </xf>
    <xf numFmtId="0" fontId="126" fillId="0" borderId="139" xfId="0" applyFont="1" applyBorder="1" applyAlignment="1">
      <alignment vertical="center" shrinkToFit="1"/>
    </xf>
    <xf numFmtId="0" fontId="126" fillId="0" borderId="79" xfId="0" applyFont="1" applyBorder="1" applyAlignment="1">
      <alignment horizontal="center" vertical="center" shrinkToFit="1"/>
    </xf>
    <xf numFmtId="0" fontId="123" fillId="0" borderId="118" xfId="0" applyFont="1" applyBorder="1" applyAlignment="1">
      <alignment vertical="center"/>
    </xf>
    <xf numFmtId="0" fontId="123" fillId="0" borderId="131" xfId="0" applyFont="1" applyBorder="1" applyAlignment="1">
      <alignment vertical="center" shrinkToFit="1"/>
    </xf>
    <xf numFmtId="0" fontId="123" fillId="0" borderId="0" xfId="0" applyFont="1" applyAlignment="1">
      <alignment vertical="center" shrinkToFit="1"/>
    </xf>
    <xf numFmtId="0" fontId="123" fillId="0" borderId="122" xfId="0" applyFont="1" applyBorder="1" applyAlignment="1">
      <alignment vertical="center" shrinkToFit="1"/>
    </xf>
    <xf numFmtId="0" fontId="123" fillId="0" borderId="138" xfId="0" applyFont="1" applyBorder="1" applyAlignment="1">
      <alignment vertical="center" shrinkToFit="1"/>
    </xf>
    <xf numFmtId="0" fontId="123" fillId="0" borderId="18" xfId="0" applyFont="1" applyBorder="1" applyAlignment="1">
      <alignment horizontal="center" vertical="center"/>
    </xf>
    <xf numFmtId="0" fontId="123" fillId="0" borderId="123" xfId="0" applyFont="1" applyBorder="1" applyAlignment="1">
      <alignment vertical="center" shrinkToFit="1"/>
    </xf>
    <xf numFmtId="0" fontId="123" fillId="0" borderId="139" xfId="0" applyFont="1" applyBorder="1" applyAlignment="1">
      <alignment vertical="center" shrinkToFit="1"/>
    </xf>
    <xf numFmtId="0" fontId="123" fillId="0" borderId="0" xfId="0" applyFont="1" applyAlignment="1">
      <alignment horizontal="right" vertical="center"/>
    </xf>
    <xf numFmtId="0" fontId="123" fillId="0" borderId="15" xfId="0" applyFont="1" applyBorder="1" applyAlignment="1">
      <alignment horizontal="center" vertical="center"/>
    </xf>
    <xf numFmtId="0" fontId="127" fillId="0" borderId="121" xfId="0" applyFont="1" applyBorder="1" applyAlignment="1">
      <alignment horizontal="center" vertical="center"/>
    </xf>
    <xf numFmtId="0" fontId="123" fillId="0" borderId="130" xfId="0" applyFont="1" applyBorder="1" applyAlignment="1">
      <alignment vertical="center"/>
    </xf>
    <xf numFmtId="0" fontId="123" fillId="0" borderId="0" xfId="0" applyFont="1" applyAlignment="1">
      <alignment horizontal="center" vertical="center"/>
    </xf>
    <xf numFmtId="0" fontId="123" fillId="0" borderId="141" xfId="0" applyFont="1" applyBorder="1" applyAlignment="1">
      <alignment vertical="center"/>
    </xf>
    <xf numFmtId="0" fontId="127" fillId="0" borderId="144" xfId="0" applyFont="1" applyBorder="1" applyAlignment="1">
      <alignment horizontal="center" vertical="center"/>
    </xf>
    <xf numFmtId="0" fontId="123" fillId="0" borderId="135" xfId="0" applyFont="1" applyBorder="1" applyAlignment="1">
      <alignment horizontal="center" vertical="center"/>
    </xf>
    <xf numFmtId="0" fontId="123" fillId="0" borderId="59" xfId="0" applyFont="1" applyBorder="1" applyAlignment="1">
      <alignment horizontal="center" vertical="center"/>
    </xf>
    <xf numFmtId="0" fontId="123" fillId="0" borderId="0" xfId="0" applyFont="1"/>
    <xf numFmtId="0" fontId="128" fillId="0" borderId="0" xfId="0" applyFont="1" applyAlignment="1">
      <alignment vertical="center"/>
    </xf>
    <xf numFmtId="0" fontId="75" fillId="0" borderId="123" xfId="70" applyFont="1" applyBorder="1" applyAlignment="1">
      <alignment horizontal="center" vertical="center"/>
    </xf>
    <xf numFmtId="0" fontId="30" fillId="0" borderId="33" xfId="0" applyFont="1" applyBorder="1" applyAlignment="1">
      <alignment horizontal="left" vertical="center" shrinkToFit="1"/>
    </xf>
    <xf numFmtId="0" fontId="30" fillId="0" borderId="19" xfId="0" applyFont="1" applyBorder="1" applyAlignment="1">
      <alignment horizontal="left" vertical="center" shrinkToFit="1"/>
    </xf>
    <xf numFmtId="0" fontId="30" fillId="0" borderId="16" xfId="0" applyFont="1" applyBorder="1" applyAlignment="1">
      <alignment horizontal="left" vertical="center" shrinkToFit="1"/>
    </xf>
    <xf numFmtId="0" fontId="30" fillId="0" borderId="18" xfId="0" applyFont="1" applyBorder="1" applyAlignment="1">
      <alignment horizontal="left" vertical="center" shrinkToFit="1"/>
    </xf>
    <xf numFmtId="0" fontId="31" fillId="0" borderId="15" xfId="0" applyFont="1" applyBorder="1" applyAlignment="1">
      <alignment horizontal="center" vertical="center"/>
    </xf>
    <xf numFmtId="0" fontId="109" fillId="0" borderId="15" xfId="0" applyFont="1" applyBorder="1" applyAlignment="1">
      <alignment horizontal="center" vertical="center"/>
    </xf>
    <xf numFmtId="0" fontId="30" fillId="0" borderId="0" xfId="0" applyFont="1" applyAlignment="1">
      <alignment horizontal="right" vertical="center" shrinkToFit="1"/>
    </xf>
    <xf numFmtId="0" fontId="38" fillId="0" borderId="15" xfId="0" applyFont="1" applyBorder="1" applyAlignment="1">
      <alignment horizontal="center" vertical="center"/>
    </xf>
    <xf numFmtId="0" fontId="30" fillId="25" borderId="0" xfId="0" applyFont="1" applyFill="1" applyAlignment="1">
      <alignment vertical="center"/>
    </xf>
    <xf numFmtId="0" fontId="30" fillId="27" borderId="0" xfId="0" applyFont="1" applyFill="1" applyAlignment="1">
      <alignment vertical="center"/>
    </xf>
    <xf numFmtId="0" fontId="30" fillId="26" borderId="0" xfId="0" applyFont="1" applyFill="1" applyAlignment="1">
      <alignment vertical="center"/>
    </xf>
    <xf numFmtId="0" fontId="0" fillId="34" borderId="0" xfId="0" applyFill="1" applyAlignment="1">
      <alignment vertical="center"/>
    </xf>
    <xf numFmtId="0" fontId="75" fillId="0" borderId="0" xfId="70" applyFont="1" applyAlignment="1">
      <alignment vertical="center"/>
    </xf>
    <xf numFmtId="56" fontId="30" fillId="0" borderId="16" xfId="0" applyNumberFormat="1" applyFont="1" applyBorder="1" applyAlignment="1">
      <alignment horizontal="left" vertical="center" shrinkToFit="1"/>
    </xf>
    <xf numFmtId="0" fontId="0" fillId="38" borderId="0" xfId="0" applyFill="1" applyAlignment="1">
      <alignment vertical="center"/>
    </xf>
    <xf numFmtId="0" fontId="74" fillId="38" borderId="0" xfId="70" applyFont="1" applyFill="1" applyAlignment="1">
      <alignment vertical="center"/>
    </xf>
    <xf numFmtId="0" fontId="133" fillId="0" borderId="0" xfId="70" applyFont="1" applyAlignment="1">
      <alignment horizontal="center" vertical="center" shrinkToFit="1"/>
    </xf>
    <xf numFmtId="56" fontId="30" fillId="0" borderId="17" xfId="0" applyNumberFormat="1" applyFont="1" applyBorder="1" applyAlignment="1">
      <alignment horizontal="left" vertical="center" shrinkToFit="1"/>
    </xf>
    <xf numFmtId="0" fontId="134" fillId="0" borderId="0" xfId="0" applyFont="1" applyAlignment="1">
      <alignment vertical="center"/>
    </xf>
    <xf numFmtId="0" fontId="0" fillId="38" borderId="0" xfId="0" applyFill="1"/>
    <xf numFmtId="0" fontId="62" fillId="38" borderId="0" xfId="0" applyFont="1" applyFill="1" applyAlignment="1">
      <alignment vertical="center"/>
    </xf>
    <xf numFmtId="176" fontId="135" fillId="0" borderId="27" xfId="0" quotePrefix="1" applyNumberFormat="1" applyFont="1" applyBorder="1" applyAlignment="1">
      <alignment horizontal="center" vertical="center" shrinkToFit="1"/>
    </xf>
    <xf numFmtId="176" fontId="124" fillId="0" borderId="38" xfId="0" applyNumberFormat="1" applyFont="1" applyBorder="1" applyAlignment="1">
      <alignment horizontal="center" vertical="center" shrinkToFit="1"/>
    </xf>
    <xf numFmtId="0" fontId="136" fillId="0" borderId="0" xfId="0" applyFont="1" applyAlignment="1">
      <alignment vertical="center"/>
    </xf>
    <xf numFmtId="0" fontId="138" fillId="0" borderId="0" xfId="74" applyFont="1" applyAlignment="1">
      <alignment horizontal="right" vertical="center"/>
    </xf>
    <xf numFmtId="0" fontId="140" fillId="0" borderId="0" xfId="74" applyFont="1" applyAlignment="1">
      <alignment horizontal="right" vertical="center"/>
    </xf>
    <xf numFmtId="0" fontId="0" fillId="0" borderId="147" xfId="56" applyFont="1" applyBorder="1" applyAlignment="1">
      <alignment horizontal="center" vertical="center"/>
    </xf>
    <xf numFmtId="0" fontId="0" fillId="26" borderId="15" xfId="56" applyFont="1" applyFill="1" applyBorder="1" applyAlignment="1">
      <alignment horizontal="center" vertical="center"/>
    </xf>
    <xf numFmtId="0" fontId="145" fillId="0" borderId="55" xfId="74" applyFont="1" applyBorder="1" applyAlignment="1">
      <alignment horizontal="center" vertical="center" shrinkToFit="1"/>
    </xf>
    <xf numFmtId="0" fontId="146" fillId="0" borderId="55" xfId="74" applyFont="1" applyBorder="1" applyAlignment="1">
      <alignment horizontal="center" vertical="center" shrinkToFit="1"/>
    </xf>
    <xf numFmtId="0" fontId="145" fillId="0" borderId="57" xfId="74" applyFont="1" applyBorder="1" applyAlignment="1">
      <alignment horizontal="center" vertical="center" shrinkToFit="1"/>
    </xf>
    <xf numFmtId="0" fontId="145" fillId="0" borderId="172" xfId="74" applyFont="1" applyBorder="1" applyAlignment="1" applyProtection="1">
      <alignment horizontal="center" vertical="center" shrinkToFit="1"/>
      <protection locked="0"/>
    </xf>
    <xf numFmtId="0" fontId="145" fillId="0" borderId="57" xfId="74" applyFont="1" applyBorder="1" applyAlignment="1" applyProtection="1">
      <alignment horizontal="center" vertical="center" shrinkToFit="1"/>
      <protection locked="0"/>
    </xf>
    <xf numFmtId="0" fontId="145" fillId="34" borderId="172" xfId="74" applyFont="1" applyFill="1" applyBorder="1" applyAlignment="1">
      <alignment horizontal="center" vertical="center" shrinkToFit="1"/>
    </xf>
    <xf numFmtId="0" fontId="146" fillId="34" borderId="55" xfId="74" applyFont="1" applyFill="1" applyBorder="1" applyAlignment="1">
      <alignment horizontal="center" vertical="center" shrinkToFit="1"/>
    </xf>
    <xf numFmtId="0" fontId="145" fillId="34" borderId="57" xfId="74" applyFont="1" applyFill="1" applyBorder="1" applyAlignment="1">
      <alignment horizontal="center" vertical="center" shrinkToFit="1"/>
    </xf>
    <xf numFmtId="0" fontId="145" fillId="0" borderId="135" xfId="74" applyFont="1" applyBorder="1" applyAlignment="1">
      <alignment horizontal="center" vertical="center" shrinkToFit="1"/>
    </xf>
    <xf numFmtId="0" fontId="145" fillId="0" borderId="185" xfId="74" applyFont="1" applyBorder="1" applyAlignment="1">
      <alignment horizontal="center" vertical="center" shrinkToFit="1"/>
    </xf>
    <xf numFmtId="0" fontId="145" fillId="0" borderId="190" xfId="74" applyFont="1" applyBorder="1" applyAlignment="1">
      <alignment horizontal="center" vertical="center" shrinkToFit="1"/>
    </xf>
    <xf numFmtId="0" fontId="145" fillId="0" borderId="181" xfId="74" applyFont="1" applyBorder="1" applyAlignment="1">
      <alignment horizontal="center" vertical="center" shrinkToFit="1"/>
    </xf>
    <xf numFmtId="0" fontId="145" fillId="0" borderId="123" xfId="74" applyFont="1" applyBorder="1" applyAlignment="1" applyProtection="1">
      <alignment horizontal="center" vertical="center" shrinkToFit="1"/>
      <protection locked="0"/>
    </xf>
    <xf numFmtId="0" fontId="146" fillId="0" borderId="0" xfId="74" applyFont="1" applyAlignment="1">
      <alignment horizontal="center" vertical="center" shrinkToFit="1"/>
    </xf>
    <xf numFmtId="0" fontId="145" fillId="0" borderId="135" xfId="74" applyFont="1" applyBorder="1" applyAlignment="1" applyProtection="1">
      <alignment horizontal="center" vertical="center" shrinkToFit="1"/>
      <protection locked="0"/>
    </xf>
    <xf numFmtId="0" fontId="145" fillId="34" borderId="122" xfId="74" applyFont="1" applyFill="1" applyBorder="1" applyAlignment="1">
      <alignment horizontal="center" vertical="center" shrinkToFit="1"/>
    </xf>
    <xf numFmtId="0" fontId="145" fillId="34" borderId="79" xfId="74" applyFont="1" applyFill="1" applyBorder="1" applyAlignment="1">
      <alignment horizontal="center" vertical="center" shrinkToFit="1"/>
    </xf>
    <xf numFmtId="0" fontId="145" fillId="34" borderId="134" xfId="74" applyFont="1" applyFill="1" applyBorder="1" applyAlignment="1">
      <alignment horizontal="center" vertical="center" shrinkToFit="1"/>
    </xf>
    <xf numFmtId="0" fontId="147" fillId="0" borderId="0" xfId="0" applyFont="1"/>
    <xf numFmtId="0" fontId="0" fillId="25" borderId="149" xfId="0" applyFill="1" applyBorder="1" applyAlignment="1">
      <alignment horizontal="left" vertical="center" shrinkToFit="1"/>
    </xf>
    <xf numFmtId="0" fontId="0" fillId="25" borderId="150" xfId="0" applyFill="1" applyBorder="1" applyAlignment="1">
      <alignment horizontal="left" vertical="center" shrinkToFit="1"/>
    </xf>
    <xf numFmtId="0" fontId="62" fillId="25" borderId="149" xfId="0" applyFont="1" applyFill="1" applyBorder="1" applyAlignment="1">
      <alignment horizontal="left" vertical="center" shrinkToFit="1"/>
    </xf>
    <xf numFmtId="0" fontId="124" fillId="0" borderId="15" xfId="0" applyFont="1" applyBorder="1" applyAlignment="1">
      <alignment horizontal="right" vertical="center"/>
    </xf>
    <xf numFmtId="0" fontId="124" fillId="0" borderId="119" xfId="0" applyFont="1" applyBorder="1" applyAlignment="1">
      <alignment horizontal="right" vertical="center"/>
    </xf>
    <xf numFmtId="0" fontId="132" fillId="0" borderId="15" xfId="0" applyFont="1" applyBorder="1" applyAlignment="1">
      <alignment horizontal="center" vertical="center"/>
    </xf>
    <xf numFmtId="0" fontId="117" fillId="0" borderId="0" xfId="0" applyFont="1" applyAlignment="1">
      <alignment horizontal="center" vertical="center"/>
    </xf>
    <xf numFmtId="0" fontId="37" fillId="0" borderId="0" xfId="0" applyFont="1" applyAlignment="1">
      <alignment horizontal="center" vertical="center"/>
    </xf>
    <xf numFmtId="0" fontId="109" fillId="0" borderId="15" xfId="0" applyFont="1" applyBorder="1" applyAlignment="1">
      <alignment horizontal="center" vertical="center" wrapText="1"/>
    </xf>
    <xf numFmtId="0" fontId="109" fillId="0" borderId="15" xfId="0" applyFont="1" applyBorder="1" applyAlignment="1">
      <alignment horizontal="center" vertical="center"/>
    </xf>
    <xf numFmtId="0" fontId="30" fillId="0" borderId="0" xfId="0" applyFont="1" applyAlignment="1">
      <alignment horizontal="center" vertical="center"/>
    </xf>
    <xf numFmtId="0" fontId="30" fillId="0" borderId="32" xfId="0" applyFont="1" applyBorder="1" applyAlignment="1">
      <alignment horizontal="center" vertical="center"/>
    </xf>
    <xf numFmtId="0" fontId="30" fillId="0" borderId="15" xfId="0" applyFont="1" applyBorder="1" applyAlignment="1">
      <alignment horizontal="center" vertical="center"/>
    </xf>
    <xf numFmtId="0" fontId="30" fillId="0" borderId="12" xfId="0" applyFont="1" applyBorder="1" applyAlignment="1">
      <alignment horizontal="center" vertical="center"/>
    </xf>
    <xf numFmtId="0" fontId="30" fillId="0" borderId="13" xfId="0" applyFont="1" applyBorder="1" applyAlignment="1">
      <alignment horizontal="center" vertical="center"/>
    </xf>
    <xf numFmtId="0" fontId="30" fillId="0" borderId="14" xfId="0" applyFont="1" applyBorder="1" applyAlignment="1">
      <alignment horizontal="center" vertical="center"/>
    </xf>
    <xf numFmtId="0" fontId="30" fillId="0" borderId="12" xfId="0" applyFont="1" applyBorder="1" applyAlignment="1">
      <alignment horizontal="center" vertical="center" wrapText="1"/>
    </xf>
    <xf numFmtId="0" fontId="30" fillId="0" borderId="13" xfId="0" applyFont="1" applyBorder="1" applyAlignment="1">
      <alignment horizontal="center" vertical="center" wrapText="1"/>
    </xf>
    <xf numFmtId="0" fontId="30" fillId="0" borderId="14" xfId="0" applyFont="1" applyBorder="1" applyAlignment="1">
      <alignment horizontal="center" vertical="center" wrapText="1"/>
    </xf>
    <xf numFmtId="0" fontId="132" fillId="0" borderId="15" xfId="0" applyFont="1" applyBorder="1" applyAlignment="1">
      <alignment horizontal="center" vertical="center" wrapText="1"/>
    </xf>
    <xf numFmtId="0" fontId="51" fillId="0" borderId="0" xfId="63" quotePrefix="1" applyFont="1" applyAlignment="1">
      <alignment horizontal="center" vertical="center"/>
    </xf>
    <xf numFmtId="0" fontId="51" fillId="0" borderId="0" xfId="63" applyFont="1" applyAlignment="1">
      <alignment horizontal="center" vertical="center"/>
    </xf>
    <xf numFmtId="0" fontId="39" fillId="0" borderId="0" xfId="63" applyFont="1" applyAlignment="1">
      <alignment horizontal="center" vertical="center" shrinkToFit="1"/>
    </xf>
    <xf numFmtId="0" fontId="39" fillId="0" borderId="0" xfId="66" applyFont="1" applyAlignment="1">
      <alignment horizontal="center" vertical="center"/>
    </xf>
    <xf numFmtId="0" fontId="59" fillId="0" borderId="73" xfId="59" applyFont="1" applyBorder="1" applyAlignment="1">
      <alignment horizontal="left" vertical="center" wrapText="1" shrinkToFit="1"/>
    </xf>
    <xf numFmtId="0" fontId="59" fillId="0" borderId="74" xfId="59" applyFont="1" applyBorder="1" applyAlignment="1">
      <alignment horizontal="left" vertical="center" wrapText="1" shrinkToFit="1"/>
    </xf>
    <xf numFmtId="0" fontId="56" fillId="0" borderId="73" xfId="59" applyFont="1" applyBorder="1" applyAlignment="1">
      <alignment horizontal="center" vertical="center" shrinkToFit="1"/>
    </xf>
    <xf numFmtId="0" fontId="56" fillId="0" borderId="74" xfId="59" applyFont="1" applyBorder="1" applyAlignment="1">
      <alignment horizontal="center" vertical="center" shrinkToFit="1"/>
    </xf>
    <xf numFmtId="0" fontId="39" fillId="0" borderId="0" xfId="58" applyFont="1" applyAlignment="1">
      <alignment horizontal="left" vertical="center" shrinkToFit="1"/>
    </xf>
    <xf numFmtId="0" fontId="39" fillId="0" borderId="0" xfId="66" applyFont="1" applyAlignment="1">
      <alignment horizontal="left" vertical="center"/>
    </xf>
    <xf numFmtId="0" fontId="53" fillId="0" borderId="0" xfId="66" applyFont="1" applyAlignment="1">
      <alignment vertical="center" shrinkToFit="1"/>
    </xf>
    <xf numFmtId="0" fontId="56" fillId="0" borderId="74" xfId="59" applyFont="1" applyBorder="1" applyAlignment="1">
      <alignment horizontal="left" vertical="center" wrapText="1" shrinkToFit="1"/>
    </xf>
    <xf numFmtId="0" fontId="56" fillId="0" borderId="89" xfId="59" applyFont="1" applyBorder="1" applyAlignment="1">
      <alignment horizontal="left" vertical="center" wrapText="1" shrinkToFit="1"/>
    </xf>
    <xf numFmtId="0" fontId="56" fillId="0" borderId="75" xfId="59" applyFont="1" applyBorder="1" applyAlignment="1">
      <alignment horizontal="left" vertical="center" wrapText="1" shrinkToFit="1"/>
    </xf>
    <xf numFmtId="0" fontId="56" fillId="0" borderId="90" xfId="59" applyFont="1" applyBorder="1" applyAlignment="1">
      <alignment horizontal="left" vertical="center" wrapText="1" shrinkToFit="1"/>
    </xf>
    <xf numFmtId="0" fontId="44" fillId="0" borderId="0" xfId="66" applyFont="1" applyAlignment="1">
      <alignment horizontal="left" vertical="center" wrapText="1"/>
    </xf>
    <xf numFmtId="0" fontId="44" fillId="0" borderId="0" xfId="63" applyFont="1" applyAlignment="1">
      <alignment horizontal="left" vertical="distributed" wrapText="1"/>
    </xf>
    <xf numFmtId="0" fontId="42" fillId="0" borderId="0" xfId="58" applyFont="1" applyAlignment="1">
      <alignment horizontal="center" vertical="center"/>
    </xf>
    <xf numFmtId="0" fontId="43" fillId="0" borderId="0" xfId="63" applyFont="1" applyAlignment="1">
      <alignment horizontal="left" vertical="top" wrapText="1"/>
    </xf>
    <xf numFmtId="0" fontId="118" fillId="0" borderId="0" xfId="66" applyFont="1" applyAlignment="1">
      <alignment horizontal="left" vertical="top" wrapText="1"/>
    </xf>
    <xf numFmtId="0" fontId="44" fillId="0" borderId="0" xfId="66" applyFont="1" applyAlignment="1">
      <alignment horizontal="left" vertical="top" wrapText="1"/>
    </xf>
    <xf numFmtId="0" fontId="44" fillId="0" borderId="0" xfId="66" applyFont="1" applyAlignment="1">
      <alignment horizontal="left" vertical="distributed"/>
    </xf>
    <xf numFmtId="0" fontId="39" fillId="0" borderId="0" xfId="63" applyFont="1" applyAlignment="1">
      <alignment vertical="center" shrinkToFit="1"/>
    </xf>
    <xf numFmtId="0" fontId="10" fillId="0" borderId="0" xfId="63" applyAlignment="1">
      <alignment vertical="center" shrinkToFit="1"/>
    </xf>
    <xf numFmtId="0" fontId="40" fillId="0" borderId="0" xfId="58" applyFont="1" applyAlignment="1">
      <alignment horizontal="left" vertical="center" shrinkToFit="1"/>
    </xf>
    <xf numFmtId="0" fontId="56" fillId="0" borderId="72" xfId="59" applyFont="1" applyBorder="1" applyAlignment="1">
      <alignment horizontal="center" vertical="center" shrinkToFit="1"/>
    </xf>
    <xf numFmtId="0" fontId="56" fillId="0" borderId="76" xfId="59" applyFont="1" applyBorder="1" applyAlignment="1">
      <alignment horizontal="center" vertical="center" shrinkToFit="1"/>
    </xf>
    <xf numFmtId="0" fontId="42" fillId="0" borderId="69" xfId="59" applyFont="1" applyBorder="1" applyAlignment="1">
      <alignment horizontal="center" vertical="center" shrinkToFit="1"/>
    </xf>
    <xf numFmtId="0" fontId="42" fillId="0" borderId="73" xfId="59" applyFont="1" applyBorder="1" applyAlignment="1">
      <alignment horizontal="center" vertical="center" shrinkToFit="1"/>
    </xf>
    <xf numFmtId="0" fontId="42" fillId="0" borderId="70" xfId="59" applyFont="1" applyBorder="1" applyAlignment="1">
      <alignment horizontal="center" vertical="center" shrinkToFit="1"/>
    </xf>
    <xf numFmtId="0" fontId="42" fillId="0" borderId="74" xfId="59" applyFont="1" applyBorder="1" applyAlignment="1">
      <alignment horizontal="center" vertical="center" shrinkToFit="1"/>
    </xf>
    <xf numFmtId="0" fontId="42" fillId="0" borderId="71" xfId="59" applyFont="1" applyBorder="1" applyAlignment="1">
      <alignment horizontal="center" vertical="center" shrinkToFit="1"/>
    </xf>
    <xf numFmtId="0" fontId="42" fillId="0" borderId="75" xfId="59" applyFont="1" applyBorder="1" applyAlignment="1">
      <alignment horizontal="center" vertical="center" shrinkToFit="1"/>
    </xf>
    <xf numFmtId="180" fontId="42" fillId="0" borderId="76" xfId="59" applyNumberFormat="1" applyFont="1" applyBorder="1" applyAlignment="1">
      <alignment horizontal="center" vertical="center" shrinkToFit="1"/>
    </xf>
    <xf numFmtId="180" fontId="42" fillId="0" borderId="79" xfId="59" applyNumberFormat="1" applyFont="1" applyBorder="1" applyAlignment="1">
      <alignment horizontal="center" vertical="center" shrinkToFit="1"/>
    </xf>
    <xf numFmtId="180" fontId="42" fillId="0" borderId="81" xfId="59" applyNumberFormat="1" applyFont="1" applyBorder="1" applyAlignment="1">
      <alignment horizontal="center" vertical="center" shrinkToFit="1"/>
    </xf>
    <xf numFmtId="180" fontId="42" fillId="0" borderId="77" xfId="59" applyNumberFormat="1" applyFont="1" applyBorder="1" applyAlignment="1">
      <alignment horizontal="center" vertical="center" shrinkToFit="1"/>
    </xf>
    <xf numFmtId="180" fontId="42" fillId="0" borderId="0" xfId="59" applyNumberFormat="1" applyFont="1" applyAlignment="1">
      <alignment horizontal="center" vertical="center" shrinkToFit="1"/>
    </xf>
    <xf numFmtId="180" fontId="42" fillId="0" borderId="82" xfId="59" applyNumberFormat="1" applyFont="1" applyBorder="1" applyAlignment="1">
      <alignment horizontal="center" vertical="center" shrinkToFit="1"/>
    </xf>
    <xf numFmtId="180" fontId="42" fillId="0" borderId="78" xfId="59" applyNumberFormat="1" applyFont="1" applyBorder="1" applyAlignment="1">
      <alignment horizontal="center" vertical="center" shrinkToFit="1"/>
    </xf>
    <xf numFmtId="180" fontId="42" fillId="0" borderId="80" xfId="59" applyNumberFormat="1" applyFont="1" applyBorder="1" applyAlignment="1">
      <alignment horizontal="center" vertical="center" shrinkToFit="1"/>
    </xf>
    <xf numFmtId="180" fontId="42" fillId="0" borderId="83" xfId="59" applyNumberFormat="1" applyFont="1" applyBorder="1" applyAlignment="1">
      <alignment horizontal="center" vertical="center" shrinkToFit="1"/>
    </xf>
    <xf numFmtId="0" fontId="56" fillId="0" borderId="84" xfId="59" applyFont="1" applyBorder="1" applyAlignment="1">
      <alignment horizontal="center" vertical="center" shrinkToFit="1"/>
    </xf>
    <xf numFmtId="0" fontId="56" fillId="0" borderId="85" xfId="59" applyFont="1" applyBorder="1" applyAlignment="1">
      <alignment horizontal="center" vertical="center" shrinkToFit="1"/>
    </xf>
    <xf numFmtId="0" fontId="56" fillId="0" borderId="73" xfId="59" applyFont="1" applyBorder="1" applyAlignment="1">
      <alignment horizontal="left" vertical="center" wrapText="1" shrinkToFit="1"/>
    </xf>
    <xf numFmtId="0" fontId="56" fillId="0" borderId="88" xfId="59" applyFont="1" applyBorder="1" applyAlignment="1">
      <alignment horizontal="left" vertical="center" wrapText="1" shrinkToFit="1"/>
    </xf>
    <xf numFmtId="0" fontId="56" fillId="0" borderId="75" xfId="59" applyFont="1" applyBorder="1" applyAlignment="1">
      <alignment horizontal="center" vertical="center" shrinkToFit="1"/>
    </xf>
    <xf numFmtId="0" fontId="56" fillId="0" borderId="86" xfId="59" applyFont="1" applyBorder="1" applyAlignment="1">
      <alignment horizontal="center" vertical="center" shrinkToFit="1"/>
    </xf>
    <xf numFmtId="0" fontId="42" fillId="0" borderId="0" xfId="59" applyFont="1" applyAlignment="1">
      <alignment horizontal="center" vertical="center"/>
    </xf>
    <xf numFmtId="0" fontId="42" fillId="0" borderId="68" xfId="59" applyFont="1" applyBorder="1" applyAlignment="1">
      <alignment horizontal="center" vertical="center" shrinkToFit="1"/>
    </xf>
    <xf numFmtId="0" fontId="42" fillId="0" borderId="72" xfId="59" applyFont="1" applyBorder="1" applyAlignment="1">
      <alignment horizontal="center" vertical="center" shrinkToFit="1"/>
    </xf>
    <xf numFmtId="180" fontId="42" fillId="0" borderId="161" xfId="59" applyNumberFormat="1" applyFont="1" applyBorder="1" applyAlignment="1">
      <alignment horizontal="center" vertical="center" shrinkToFit="1"/>
    </xf>
    <xf numFmtId="180" fontId="42" fillId="0" borderId="53" xfId="59" applyNumberFormat="1" applyFont="1" applyBorder="1" applyAlignment="1">
      <alignment horizontal="center" vertical="center" shrinkToFit="1"/>
    </xf>
    <xf numFmtId="180" fontId="42" fillId="0" borderId="160" xfId="59" applyNumberFormat="1" applyFont="1" applyBorder="1" applyAlignment="1">
      <alignment horizontal="center" vertical="center" shrinkToFit="1"/>
    </xf>
    <xf numFmtId="0" fontId="43" fillId="0" borderId="0" xfId="63" applyFont="1" applyAlignment="1">
      <alignment horizontal="center" vertical="center" shrinkToFit="1"/>
    </xf>
    <xf numFmtId="0" fontId="44" fillId="0" borderId="0" xfId="63" applyFont="1" applyAlignment="1">
      <alignment vertical="distributed" wrapText="1"/>
    </xf>
    <xf numFmtId="0" fontId="122" fillId="0" borderId="0" xfId="0" applyFont="1" applyAlignment="1">
      <alignment horizontal="left" vertical="distributed" wrapText="1"/>
    </xf>
    <xf numFmtId="0" fontId="46" fillId="0" borderId="0" xfId="67" applyFont="1" applyAlignment="1">
      <alignment horizontal="left" vertical="center"/>
    </xf>
    <xf numFmtId="0" fontId="48" fillId="0" borderId="0" xfId="59" applyFont="1" applyAlignment="1">
      <alignment horizontal="center" vertical="center" shrinkToFit="1"/>
    </xf>
    <xf numFmtId="0" fontId="41" fillId="0" borderId="0" xfId="67" applyFont="1" applyAlignment="1">
      <alignment horizontal="center" vertical="center"/>
    </xf>
    <xf numFmtId="0" fontId="41" fillId="0" borderId="0" xfId="64" applyFont="1" applyAlignment="1">
      <alignment horizontal="center" vertical="center" shrinkToFit="1"/>
    </xf>
    <xf numFmtId="0" fontId="41" fillId="0" borderId="0" xfId="67" applyFont="1" applyAlignment="1">
      <alignment horizontal="left" vertical="center" shrinkToFit="1"/>
    </xf>
    <xf numFmtId="0" fontId="47" fillId="0" borderId="0" xfId="67" applyFont="1" applyAlignment="1">
      <alignment horizontal="center" vertical="distributed" wrapText="1"/>
    </xf>
    <xf numFmtId="20" fontId="50" fillId="0" borderId="0" xfId="67" applyNumberFormat="1" applyFont="1" applyAlignment="1">
      <alignment horizontal="center" vertical="center" shrinkToFit="1"/>
    </xf>
    <xf numFmtId="180" fontId="120" fillId="0" borderId="0" xfId="0" applyNumberFormat="1" applyFont="1" applyAlignment="1">
      <alignment horizontal="center" vertical="center" wrapText="1"/>
    </xf>
    <xf numFmtId="0" fontId="120" fillId="0" borderId="0" xfId="0" applyFont="1" applyAlignment="1">
      <alignment horizontal="center" vertical="center" wrapText="1"/>
    </xf>
    <xf numFmtId="180" fontId="120" fillId="0" borderId="32" xfId="0" applyNumberFormat="1" applyFont="1" applyBorder="1" applyAlignment="1">
      <alignment horizontal="center" vertical="center" wrapText="1"/>
    </xf>
    <xf numFmtId="0" fontId="120" fillId="0" borderId="32" xfId="0" applyFont="1" applyBorder="1" applyAlignment="1">
      <alignment horizontal="center" vertical="center" wrapText="1"/>
    </xf>
    <xf numFmtId="0" fontId="131" fillId="25" borderId="102" xfId="0" applyFont="1" applyFill="1" applyBorder="1" applyAlignment="1">
      <alignment horizontal="right" vertical="center" textRotation="180" shrinkToFit="1"/>
    </xf>
    <xf numFmtId="0" fontId="131" fillId="25" borderId="111" xfId="0" applyFont="1" applyFill="1" applyBorder="1" applyAlignment="1">
      <alignment horizontal="right" vertical="center" textRotation="180" shrinkToFit="1"/>
    </xf>
    <xf numFmtId="0" fontId="131" fillId="25" borderId="103" xfId="0" applyFont="1" applyFill="1" applyBorder="1" applyAlignment="1">
      <alignment horizontal="right" vertical="center" textRotation="180" shrinkToFit="1"/>
    </xf>
    <xf numFmtId="0" fontId="131" fillId="25" borderId="112" xfId="0" applyFont="1" applyFill="1" applyBorder="1" applyAlignment="1">
      <alignment horizontal="right" vertical="center" textRotation="180" shrinkToFit="1"/>
    </xf>
    <xf numFmtId="0" fontId="131" fillId="25" borderId="104" xfId="0" applyFont="1" applyFill="1" applyBorder="1" applyAlignment="1">
      <alignment horizontal="right" vertical="center" textRotation="180" shrinkToFit="1"/>
    </xf>
    <xf numFmtId="0" fontId="131" fillId="25" borderId="113" xfId="0" applyFont="1" applyFill="1" applyBorder="1" applyAlignment="1">
      <alignment horizontal="right" vertical="center" textRotation="180" shrinkToFit="1"/>
    </xf>
    <xf numFmtId="0" fontId="131" fillId="29" borderId="98" xfId="0" applyFont="1" applyFill="1" applyBorder="1" applyAlignment="1">
      <alignment horizontal="right" vertical="center" textRotation="180" shrinkToFit="1"/>
    </xf>
    <xf numFmtId="0" fontId="131" fillId="29" borderId="102" xfId="0" applyFont="1" applyFill="1" applyBorder="1" applyAlignment="1">
      <alignment horizontal="right" vertical="center" textRotation="180" shrinkToFit="1"/>
    </xf>
    <xf numFmtId="0" fontId="131" fillId="29" borderId="99" xfId="0" applyFont="1" applyFill="1" applyBorder="1" applyAlignment="1">
      <alignment horizontal="right" vertical="center" textRotation="180" shrinkToFit="1"/>
    </xf>
    <xf numFmtId="0" fontId="131" fillId="29" borderId="103" xfId="0" applyFont="1" applyFill="1" applyBorder="1" applyAlignment="1">
      <alignment horizontal="right" vertical="center" textRotation="180" shrinkToFit="1"/>
    </xf>
    <xf numFmtId="0" fontId="131" fillId="29" borderId="100" xfId="0" applyFont="1" applyFill="1" applyBorder="1" applyAlignment="1">
      <alignment horizontal="right" vertical="center" textRotation="180" shrinkToFit="1"/>
    </xf>
    <xf numFmtId="0" fontId="131" fillId="29" borderId="104" xfId="0" applyFont="1" applyFill="1" applyBorder="1" applyAlignment="1">
      <alignment horizontal="right" vertical="center" textRotation="180" shrinkToFit="1"/>
    </xf>
    <xf numFmtId="0" fontId="131" fillId="0" borderId="102" xfId="0" applyFont="1" applyBorder="1" applyAlignment="1">
      <alignment horizontal="right" vertical="center" textRotation="180" shrinkToFit="1"/>
    </xf>
    <xf numFmtId="0" fontId="131" fillId="0" borderId="103" xfId="0" applyFont="1" applyBorder="1" applyAlignment="1">
      <alignment horizontal="right" vertical="center" textRotation="180" shrinkToFit="1"/>
    </xf>
    <xf numFmtId="0" fontId="131" fillId="0" borderId="104" xfId="0" applyFont="1" applyBorder="1" applyAlignment="1">
      <alignment horizontal="right" vertical="center" textRotation="180" shrinkToFit="1"/>
    </xf>
    <xf numFmtId="0" fontId="130" fillId="25" borderId="107" xfId="0" applyFont="1" applyFill="1" applyBorder="1" applyAlignment="1">
      <alignment horizontal="right" vertical="top" textRotation="180" shrinkToFit="1"/>
    </xf>
    <xf numFmtId="0" fontId="130" fillId="25" borderId="92" xfId="0" applyFont="1" applyFill="1" applyBorder="1" applyAlignment="1">
      <alignment horizontal="right" vertical="top" textRotation="180" shrinkToFit="1"/>
    </xf>
    <xf numFmtId="0" fontId="130" fillId="25" borderId="110" xfId="0" applyFont="1" applyFill="1" applyBorder="1" applyAlignment="1">
      <alignment horizontal="right" vertical="top" textRotation="180" shrinkToFit="1"/>
    </xf>
    <xf numFmtId="0" fontId="130" fillId="25" borderId="77" xfId="0" applyFont="1" applyFill="1" applyBorder="1" applyAlignment="1">
      <alignment horizontal="right" vertical="top" textRotation="180" shrinkToFit="1"/>
    </xf>
    <xf numFmtId="0" fontId="130" fillId="25" borderId="0" xfId="0" applyFont="1" applyFill="1" applyAlignment="1">
      <alignment horizontal="right" vertical="top" textRotation="180" shrinkToFit="1"/>
    </xf>
    <xf numFmtId="0" fontId="130" fillId="25" borderId="32" xfId="0" applyFont="1" applyFill="1" applyBorder="1" applyAlignment="1">
      <alignment horizontal="right" vertical="top" textRotation="180" shrinkToFit="1"/>
    </xf>
    <xf numFmtId="0" fontId="130" fillId="25" borderId="108" xfId="0" applyFont="1" applyFill="1" applyBorder="1" applyAlignment="1">
      <alignment horizontal="right" vertical="top" textRotation="180" shrinkToFit="1"/>
    </xf>
    <xf numFmtId="0" fontId="130" fillId="25" borderId="91" xfId="0" applyFont="1" applyFill="1" applyBorder="1" applyAlignment="1">
      <alignment horizontal="right" vertical="top" textRotation="180" shrinkToFit="1"/>
    </xf>
    <xf numFmtId="0" fontId="130" fillId="25" borderId="93" xfId="0" applyFont="1" applyFill="1" applyBorder="1" applyAlignment="1">
      <alignment horizontal="right" vertical="top" textRotation="180" shrinkToFit="1"/>
    </xf>
    <xf numFmtId="0" fontId="130" fillId="29" borderId="95" xfId="0" applyFont="1" applyFill="1" applyBorder="1" applyAlignment="1">
      <alignment horizontal="right" vertical="top" textRotation="180" shrinkToFit="1"/>
    </xf>
    <xf numFmtId="0" fontId="130" fillId="29" borderId="92" xfId="0" applyFont="1" applyFill="1" applyBorder="1" applyAlignment="1">
      <alignment horizontal="right" vertical="top" textRotation="180" shrinkToFit="1"/>
    </xf>
    <xf numFmtId="0" fontId="130" fillId="29" borderId="105" xfId="0" applyFont="1" applyFill="1" applyBorder="1" applyAlignment="1">
      <alignment horizontal="right" vertical="top" textRotation="180" shrinkToFit="1"/>
    </xf>
    <xf numFmtId="0" fontId="130" fillId="29" borderId="96" xfId="0" applyFont="1" applyFill="1" applyBorder="1" applyAlignment="1">
      <alignment horizontal="right" vertical="top" textRotation="180" shrinkToFit="1"/>
    </xf>
    <xf numFmtId="0" fontId="130" fillId="29" borderId="0" xfId="0" applyFont="1" applyFill="1" applyAlignment="1">
      <alignment horizontal="right" vertical="top" textRotation="180" shrinkToFit="1"/>
    </xf>
    <xf numFmtId="0" fontId="130" fillId="29" borderId="82" xfId="0" applyFont="1" applyFill="1" applyBorder="1" applyAlignment="1">
      <alignment horizontal="right" vertical="top" textRotation="180" shrinkToFit="1"/>
    </xf>
    <xf numFmtId="0" fontId="130" fillId="29" borderId="97" xfId="0" applyFont="1" applyFill="1" applyBorder="1" applyAlignment="1">
      <alignment horizontal="right" vertical="top" textRotation="180" shrinkToFit="1"/>
    </xf>
    <xf numFmtId="0" fontId="130" fillId="29" borderId="91" xfId="0" applyFont="1" applyFill="1" applyBorder="1" applyAlignment="1">
      <alignment horizontal="right" vertical="top" textRotation="180" shrinkToFit="1"/>
    </xf>
    <xf numFmtId="0" fontId="130" fillId="29" borderId="106" xfId="0" applyFont="1" applyFill="1" applyBorder="1" applyAlignment="1">
      <alignment horizontal="right" vertical="top" textRotation="180" shrinkToFit="1"/>
    </xf>
    <xf numFmtId="0" fontId="130" fillId="0" borderId="107" xfId="0" applyFont="1" applyBorder="1" applyAlignment="1">
      <alignment horizontal="right" vertical="top" textRotation="180" shrinkToFit="1"/>
    </xf>
    <xf numFmtId="0" fontId="130" fillId="0" borderId="92" xfId="0" applyFont="1" applyBorder="1" applyAlignment="1">
      <alignment horizontal="right" vertical="top" textRotation="180" shrinkToFit="1"/>
    </xf>
    <xf numFmtId="0" fontId="130" fillId="0" borderId="105" xfId="0" applyFont="1" applyBorder="1" applyAlignment="1">
      <alignment horizontal="right" vertical="top" textRotation="180" shrinkToFit="1"/>
    </xf>
    <xf numFmtId="0" fontId="130" fillId="0" borderId="77" xfId="0" applyFont="1" applyBorder="1" applyAlignment="1">
      <alignment horizontal="right" vertical="top" textRotation="180" shrinkToFit="1"/>
    </xf>
    <xf numFmtId="0" fontId="130" fillId="0" borderId="0" xfId="0" applyFont="1" applyAlignment="1">
      <alignment horizontal="right" vertical="top" textRotation="180" shrinkToFit="1"/>
    </xf>
    <xf numFmtId="0" fontId="130" fillId="0" borderId="82" xfId="0" applyFont="1" applyBorder="1" applyAlignment="1">
      <alignment horizontal="right" vertical="top" textRotation="180" shrinkToFit="1"/>
    </xf>
    <xf numFmtId="0" fontId="130" fillId="0" borderId="108" xfId="0" applyFont="1" applyBorder="1" applyAlignment="1">
      <alignment horizontal="right" vertical="top" textRotation="180" shrinkToFit="1"/>
    </xf>
    <xf numFmtId="0" fontId="130" fillId="0" borderId="91" xfId="0" applyFont="1" applyBorder="1" applyAlignment="1">
      <alignment horizontal="right" vertical="top" textRotation="180" shrinkToFit="1"/>
    </xf>
    <xf numFmtId="0" fontId="130" fillId="0" borderId="106" xfId="0" applyFont="1" applyBorder="1" applyAlignment="1">
      <alignment horizontal="right" vertical="top" textRotation="180" shrinkToFit="1"/>
    </xf>
    <xf numFmtId="0" fontId="130" fillId="32" borderId="107" xfId="0" applyFont="1" applyFill="1" applyBorder="1" applyAlignment="1">
      <alignment horizontal="right" vertical="top" textRotation="180" shrinkToFit="1"/>
    </xf>
    <xf numFmtId="0" fontId="130" fillId="32" borderId="92" xfId="0" applyFont="1" applyFill="1" applyBorder="1" applyAlignment="1">
      <alignment horizontal="right" vertical="top" textRotation="180" shrinkToFit="1"/>
    </xf>
    <xf numFmtId="0" fontId="130" fillId="32" borderId="110" xfId="0" applyFont="1" applyFill="1" applyBorder="1" applyAlignment="1">
      <alignment horizontal="right" vertical="top" textRotation="180" shrinkToFit="1"/>
    </xf>
    <xf numFmtId="0" fontId="130" fillId="32" borderId="77" xfId="0" applyFont="1" applyFill="1" applyBorder="1" applyAlignment="1">
      <alignment horizontal="right" vertical="top" textRotation="180" shrinkToFit="1"/>
    </xf>
    <xf numFmtId="0" fontId="130" fillId="32" borderId="0" xfId="0" applyFont="1" applyFill="1" applyAlignment="1">
      <alignment horizontal="right" vertical="top" textRotation="180" shrinkToFit="1"/>
    </xf>
    <xf numFmtId="0" fontId="130" fillId="32" borderId="32" xfId="0" applyFont="1" applyFill="1" applyBorder="1" applyAlignment="1">
      <alignment horizontal="right" vertical="top" textRotation="180" shrinkToFit="1"/>
    </xf>
    <xf numFmtId="0" fontId="130" fillId="32" borderId="108" xfId="0" applyFont="1" applyFill="1" applyBorder="1" applyAlignment="1">
      <alignment horizontal="right" vertical="top" textRotation="180" shrinkToFit="1"/>
    </xf>
    <xf numFmtId="0" fontId="130" fillId="32" borderId="91" xfId="0" applyFont="1" applyFill="1" applyBorder="1" applyAlignment="1">
      <alignment horizontal="right" vertical="top" textRotation="180" shrinkToFit="1"/>
    </xf>
    <xf numFmtId="0" fontId="130" fillId="32" borderId="93" xfId="0" applyFont="1" applyFill="1" applyBorder="1" applyAlignment="1">
      <alignment horizontal="right" vertical="top" textRotation="180" shrinkToFit="1"/>
    </xf>
    <xf numFmtId="0" fontId="131" fillId="32" borderId="102" xfId="0" applyFont="1" applyFill="1" applyBorder="1" applyAlignment="1">
      <alignment horizontal="right" vertical="center" textRotation="180" shrinkToFit="1"/>
    </xf>
    <xf numFmtId="0" fontId="131" fillId="32" borderId="111" xfId="0" applyFont="1" applyFill="1" applyBorder="1" applyAlignment="1">
      <alignment horizontal="right" vertical="center" textRotation="180" shrinkToFit="1"/>
    </xf>
    <xf numFmtId="0" fontId="131" fillId="32" borderId="103" xfId="0" applyFont="1" applyFill="1" applyBorder="1" applyAlignment="1">
      <alignment horizontal="right" vertical="center" textRotation="180" shrinkToFit="1"/>
    </xf>
    <xf numFmtId="0" fontId="131" fillId="32" borderId="112" xfId="0" applyFont="1" applyFill="1" applyBorder="1" applyAlignment="1">
      <alignment horizontal="right" vertical="center" textRotation="180" shrinkToFit="1"/>
    </xf>
    <xf numFmtId="0" fontId="131" fillId="32" borderId="104" xfId="0" applyFont="1" applyFill="1" applyBorder="1" applyAlignment="1">
      <alignment horizontal="right" vertical="center" textRotation="180" shrinkToFit="1"/>
    </xf>
    <xf numFmtId="0" fontId="131" fillId="32" borderId="113" xfId="0" applyFont="1" applyFill="1" applyBorder="1" applyAlignment="1">
      <alignment horizontal="right" vertical="center" textRotation="180" shrinkToFit="1"/>
    </xf>
    <xf numFmtId="0" fontId="67" fillId="0" borderId="74" xfId="0" applyFont="1" applyBorder="1" applyAlignment="1">
      <alignment horizontal="center" vertical="center"/>
    </xf>
    <xf numFmtId="0" fontId="67" fillId="0" borderId="74" xfId="0" applyFont="1" applyBorder="1" applyAlignment="1">
      <alignment horizontal="center" vertical="center" shrinkToFit="1"/>
    </xf>
    <xf numFmtId="0" fontId="69" fillId="0" borderId="92" xfId="0" applyFont="1" applyBorder="1" applyAlignment="1">
      <alignment horizontal="left" vertical="center"/>
    </xf>
    <xf numFmtId="0" fontId="69" fillId="0" borderId="0" xfId="0" applyFont="1" applyAlignment="1">
      <alignment horizontal="left" vertical="center"/>
    </xf>
    <xf numFmtId="0" fontId="67" fillId="28" borderId="94" xfId="0" applyFont="1" applyFill="1" applyBorder="1" applyAlignment="1">
      <alignment horizontal="center"/>
    </xf>
    <xf numFmtId="0" fontId="67" fillId="28" borderId="101" xfId="0" applyFont="1" applyFill="1" applyBorder="1" applyAlignment="1">
      <alignment horizontal="center"/>
    </xf>
    <xf numFmtId="0" fontId="67" fillId="28" borderId="109" xfId="0" applyFont="1" applyFill="1" applyBorder="1" applyAlignment="1">
      <alignment horizontal="center"/>
    </xf>
    <xf numFmtId="0" fontId="68" fillId="0" borderId="47" xfId="0" applyFont="1" applyBorder="1" applyAlignment="1">
      <alignment horizontal="center" vertical="center" shrinkToFit="1"/>
    </xf>
    <xf numFmtId="0" fontId="68" fillId="0" borderId="51" xfId="0" applyFont="1" applyBorder="1" applyAlignment="1">
      <alignment horizontal="center" vertical="center" shrinkToFit="1"/>
    </xf>
    <xf numFmtId="0" fontId="68" fillId="0" borderId="114" xfId="0" applyFont="1" applyBorder="1" applyAlignment="1">
      <alignment horizontal="center" vertical="center" shrinkToFit="1"/>
    </xf>
    <xf numFmtId="0" fontId="68" fillId="0" borderId="49" xfId="0" applyFont="1" applyBorder="1" applyAlignment="1">
      <alignment horizontal="center" vertical="center" shrinkToFit="1"/>
    </xf>
    <xf numFmtId="0" fontId="68" fillId="0" borderId="80" xfId="0" applyFont="1" applyBorder="1" applyAlignment="1">
      <alignment horizontal="center" vertical="center" shrinkToFit="1"/>
    </xf>
    <xf numFmtId="0" fontId="68" fillId="0" borderId="29" xfId="0" applyFont="1" applyBorder="1" applyAlignment="1">
      <alignment horizontal="center" vertical="center" shrinkToFit="1"/>
    </xf>
    <xf numFmtId="0" fontId="67" fillId="30" borderId="94" xfId="0" applyFont="1" applyFill="1" applyBorder="1" applyAlignment="1">
      <alignment horizontal="center"/>
    </xf>
    <xf numFmtId="0" fontId="67" fillId="30" borderId="101" xfId="0" applyFont="1" applyFill="1" applyBorder="1" applyAlignment="1">
      <alignment horizontal="center"/>
    </xf>
    <xf numFmtId="0" fontId="68" fillId="0" borderId="48" xfId="0" applyFont="1" applyBorder="1" applyAlignment="1">
      <alignment horizontal="center" vertical="center" shrinkToFit="1"/>
    </xf>
    <xf numFmtId="0" fontId="68" fillId="0" borderId="55" xfId="0" applyFont="1" applyBorder="1" applyAlignment="1">
      <alignment horizontal="center" vertical="center" shrinkToFit="1"/>
    </xf>
    <xf numFmtId="0" fontId="68" fillId="0" borderId="115" xfId="0" applyFont="1" applyBorder="1" applyAlignment="1">
      <alignment horizontal="center" vertical="center" shrinkToFit="1"/>
    </xf>
    <xf numFmtId="0" fontId="67" fillId="0" borderId="32" xfId="0" applyFont="1" applyBorder="1" applyAlignment="1">
      <alignment horizontal="center" vertical="center"/>
    </xf>
    <xf numFmtId="0" fontId="67" fillId="0" borderId="93" xfId="0" applyFont="1" applyBorder="1" applyAlignment="1">
      <alignment horizontal="center" vertical="center"/>
    </xf>
    <xf numFmtId="0" fontId="68" fillId="0" borderId="42" xfId="0" applyFont="1" applyBorder="1" applyAlignment="1">
      <alignment horizontal="center" vertical="center"/>
    </xf>
    <xf numFmtId="0" fontId="68" fillId="0" borderId="43" xfId="0" applyFont="1" applyBorder="1" applyAlignment="1">
      <alignment horizontal="center" vertical="center"/>
    </xf>
    <xf numFmtId="0" fontId="67" fillId="0" borderId="32" xfId="0" applyFont="1" applyBorder="1" applyAlignment="1">
      <alignment horizontal="center" vertical="center" wrapText="1"/>
    </xf>
    <xf numFmtId="0" fontId="67" fillId="33" borderId="101" xfId="0" applyFont="1" applyFill="1" applyBorder="1" applyAlignment="1">
      <alignment horizontal="center"/>
    </xf>
    <xf numFmtId="0" fontId="67" fillId="33" borderId="109" xfId="0" applyFont="1" applyFill="1" applyBorder="1" applyAlignment="1">
      <alignment horizontal="center"/>
    </xf>
    <xf numFmtId="0" fontId="67" fillId="29" borderId="101" xfId="0" applyFont="1" applyFill="1" applyBorder="1" applyAlignment="1">
      <alignment horizontal="center"/>
    </xf>
    <xf numFmtId="0" fontId="67" fillId="29" borderId="109" xfId="0" applyFont="1" applyFill="1" applyBorder="1" applyAlignment="1">
      <alignment horizontal="center"/>
    </xf>
    <xf numFmtId="0" fontId="67" fillId="29" borderId="94" xfId="0" applyFont="1" applyFill="1" applyBorder="1" applyAlignment="1">
      <alignment horizontal="center"/>
    </xf>
    <xf numFmtId="0" fontId="67" fillId="33" borderId="94" xfId="0" applyFont="1" applyFill="1" applyBorder="1" applyAlignment="1">
      <alignment horizontal="center"/>
    </xf>
    <xf numFmtId="0" fontId="67" fillId="30" borderId="109" xfId="0" applyFont="1" applyFill="1" applyBorder="1" applyAlignment="1">
      <alignment horizontal="center"/>
    </xf>
    <xf numFmtId="0" fontId="130" fillId="31" borderId="107" xfId="0" applyFont="1" applyFill="1" applyBorder="1" applyAlignment="1">
      <alignment horizontal="right" vertical="top" textRotation="180" shrinkToFit="1"/>
    </xf>
    <xf numFmtId="0" fontId="130" fillId="31" borderId="92" xfId="0" applyFont="1" applyFill="1" applyBorder="1" applyAlignment="1">
      <alignment horizontal="right" vertical="top" textRotation="180" shrinkToFit="1"/>
    </xf>
    <xf numFmtId="0" fontId="130" fillId="31" borderId="110" xfId="0" applyFont="1" applyFill="1" applyBorder="1" applyAlignment="1">
      <alignment horizontal="right" vertical="top" textRotation="180" shrinkToFit="1"/>
    </xf>
    <xf numFmtId="0" fontId="130" fillId="31" borderId="77" xfId="0" applyFont="1" applyFill="1" applyBorder="1" applyAlignment="1">
      <alignment horizontal="right" vertical="top" textRotation="180" shrinkToFit="1"/>
    </xf>
    <xf numFmtId="0" fontId="130" fillId="31" borderId="0" xfId="0" applyFont="1" applyFill="1" applyAlignment="1">
      <alignment horizontal="right" vertical="top" textRotation="180" shrinkToFit="1"/>
    </xf>
    <xf numFmtId="0" fontId="130" fillId="31" borderId="32" xfId="0" applyFont="1" applyFill="1" applyBorder="1" applyAlignment="1">
      <alignment horizontal="right" vertical="top" textRotation="180" shrinkToFit="1"/>
    </xf>
    <xf numFmtId="0" fontId="130" fillId="31" borderId="108" xfId="0" applyFont="1" applyFill="1" applyBorder="1" applyAlignment="1">
      <alignment horizontal="right" vertical="top" textRotation="180" shrinkToFit="1"/>
    </xf>
    <xf numFmtId="0" fontId="130" fillId="31" borderId="91" xfId="0" applyFont="1" applyFill="1" applyBorder="1" applyAlignment="1">
      <alignment horizontal="right" vertical="top" textRotation="180" shrinkToFit="1"/>
    </xf>
    <xf numFmtId="0" fontId="130" fillId="31" borderId="93" xfId="0" applyFont="1" applyFill="1" applyBorder="1" applyAlignment="1">
      <alignment horizontal="right" vertical="top" textRotation="180" shrinkToFit="1"/>
    </xf>
    <xf numFmtId="0" fontId="69" fillId="0" borderId="0" xfId="0" applyFont="1" applyAlignment="1">
      <alignment horizontal="center" vertical="center"/>
    </xf>
    <xf numFmtId="0" fontId="67" fillId="0" borderId="77" xfId="0" applyFont="1" applyBorder="1" applyAlignment="1">
      <alignment horizontal="center" vertical="center"/>
    </xf>
    <xf numFmtId="0" fontId="67" fillId="0" borderId="0" xfId="0" applyFont="1" applyAlignment="1">
      <alignment horizontal="center" vertical="center"/>
    </xf>
    <xf numFmtId="0" fontId="67" fillId="0" borderId="108" xfId="0" applyFont="1" applyBorder="1" applyAlignment="1">
      <alignment horizontal="center" vertical="center"/>
    </xf>
    <xf numFmtId="0" fontId="67" fillId="0" borderId="91" xfId="0" applyFont="1" applyBorder="1" applyAlignment="1">
      <alignment horizontal="center" vertical="center"/>
    </xf>
    <xf numFmtId="0" fontId="67" fillId="25" borderId="0" xfId="0" applyFont="1" applyFill="1" applyAlignment="1">
      <alignment horizontal="center" vertical="center"/>
    </xf>
    <xf numFmtId="0" fontId="67" fillId="25" borderId="82" xfId="0" applyFont="1" applyFill="1" applyBorder="1" applyAlignment="1">
      <alignment horizontal="center" vertical="center"/>
    </xf>
    <xf numFmtId="0" fontId="67" fillId="25" borderId="91" xfId="0" applyFont="1" applyFill="1" applyBorder="1" applyAlignment="1">
      <alignment horizontal="center" vertical="center"/>
    </xf>
    <xf numFmtId="0" fontId="67" fillId="25" borderId="106" xfId="0" applyFont="1" applyFill="1" applyBorder="1" applyAlignment="1">
      <alignment horizontal="center" vertical="center"/>
    </xf>
    <xf numFmtId="0" fontId="67" fillId="32" borderId="0" xfId="0" applyFont="1" applyFill="1" applyAlignment="1">
      <alignment horizontal="center" vertical="center"/>
    </xf>
    <xf numFmtId="0" fontId="67" fillId="32" borderId="82" xfId="0" applyFont="1" applyFill="1" applyBorder="1" applyAlignment="1">
      <alignment horizontal="center" vertical="center"/>
    </xf>
    <xf numFmtId="0" fontId="67" fillId="32" borderId="91" xfId="0" applyFont="1" applyFill="1" applyBorder="1" applyAlignment="1">
      <alignment horizontal="center" vertical="center"/>
    </xf>
    <xf numFmtId="0" fontId="67" fillId="32" borderId="106" xfId="0" applyFont="1" applyFill="1" applyBorder="1" applyAlignment="1">
      <alignment horizontal="center" vertical="center"/>
    </xf>
    <xf numFmtId="0" fontId="67" fillId="0" borderId="107" xfId="0" applyFont="1" applyBorder="1" applyAlignment="1">
      <alignment horizontal="center" vertical="center"/>
    </xf>
    <xf numFmtId="0" fontId="67" fillId="0" borderId="92" xfId="0" applyFont="1" applyBorder="1" applyAlignment="1">
      <alignment horizontal="center" vertical="center"/>
    </xf>
    <xf numFmtId="0" fontId="67" fillId="0" borderId="105" xfId="0" applyFont="1" applyBorder="1" applyAlignment="1">
      <alignment horizontal="center" vertical="center"/>
    </xf>
    <xf numFmtId="0" fontId="81" fillId="0" borderId="107" xfId="0" applyFont="1" applyBorder="1" applyAlignment="1">
      <alignment horizontal="center" vertical="center" wrapText="1"/>
    </xf>
    <xf numFmtId="0" fontId="144" fillId="0" borderId="92" xfId="0" applyFont="1" applyBorder="1" applyAlignment="1">
      <alignment horizontal="center" vertical="center" wrapText="1"/>
    </xf>
    <xf numFmtId="0" fontId="144" fillId="0" borderId="105" xfId="0" applyFont="1" applyBorder="1" applyAlignment="1">
      <alignment horizontal="center" vertical="center" wrapText="1"/>
    </xf>
    <xf numFmtId="0" fontId="144" fillId="0" borderId="77" xfId="0" applyFont="1" applyBorder="1" applyAlignment="1">
      <alignment horizontal="center" vertical="center" wrapText="1"/>
    </xf>
    <xf numFmtId="0" fontId="144" fillId="0" borderId="0" xfId="0" applyFont="1" applyAlignment="1">
      <alignment horizontal="center" vertical="center" wrapText="1"/>
    </xf>
    <xf numFmtId="0" fontId="144" fillId="0" borderId="82" xfId="0" applyFont="1" applyBorder="1" applyAlignment="1">
      <alignment horizontal="center" vertical="center" wrapText="1"/>
    </xf>
    <xf numFmtId="0" fontId="144" fillId="0" borderId="108" xfId="0" applyFont="1" applyBorder="1" applyAlignment="1">
      <alignment horizontal="center" vertical="center" wrapText="1"/>
    </xf>
    <xf numFmtId="0" fontId="144" fillId="0" borderId="91" xfId="0" applyFont="1" applyBorder="1" applyAlignment="1">
      <alignment horizontal="center" vertical="center" wrapText="1"/>
    </xf>
    <xf numFmtId="0" fontId="144" fillId="0" borderId="106" xfId="0" applyFont="1" applyBorder="1" applyAlignment="1">
      <alignment horizontal="center" vertical="center" wrapText="1"/>
    </xf>
    <xf numFmtId="0" fontId="67" fillId="0" borderId="107" xfId="0" applyFont="1" applyBorder="1" applyAlignment="1">
      <alignment horizontal="center" vertical="center" shrinkToFit="1"/>
    </xf>
    <xf numFmtId="0" fontId="67" fillId="0" borderId="92" xfId="0" applyFont="1" applyBorder="1" applyAlignment="1">
      <alignment horizontal="center" vertical="center" shrinkToFit="1"/>
    </xf>
    <xf numFmtId="0" fontId="67" fillId="0" borderId="105" xfId="0" applyFont="1" applyBorder="1" applyAlignment="1">
      <alignment horizontal="center" vertical="center" shrinkToFit="1"/>
    </xf>
    <xf numFmtId="0" fontId="67" fillId="0" borderId="77" xfId="0" applyFont="1" applyBorder="1" applyAlignment="1">
      <alignment horizontal="center" vertical="center" shrinkToFit="1"/>
    </xf>
    <xf numFmtId="0" fontId="67" fillId="0" borderId="0" xfId="0" applyFont="1" applyAlignment="1">
      <alignment horizontal="center" vertical="center" shrinkToFit="1"/>
    </xf>
    <xf numFmtId="0" fontId="67" fillId="0" borderId="82" xfId="0" applyFont="1" applyBorder="1" applyAlignment="1">
      <alignment horizontal="center" vertical="center" shrinkToFit="1"/>
    </xf>
    <xf numFmtId="0" fontId="67" fillId="0" borderId="108" xfId="0" applyFont="1" applyBorder="1" applyAlignment="1">
      <alignment horizontal="center" vertical="center" shrinkToFit="1"/>
    </xf>
    <xf numFmtId="0" fontId="67" fillId="0" borderId="91" xfId="0" applyFont="1" applyBorder="1" applyAlignment="1">
      <alignment horizontal="center" vertical="center" shrinkToFit="1"/>
    </xf>
    <xf numFmtId="0" fontId="67" fillId="0" borderId="106" xfId="0" applyFont="1" applyBorder="1" applyAlignment="1">
      <alignment horizontal="center" vertical="center" shrinkToFit="1"/>
    </xf>
    <xf numFmtId="0" fontId="69" fillId="0" borderId="77" xfId="0" applyFont="1" applyBorder="1" applyAlignment="1">
      <alignment horizontal="center" vertical="center"/>
    </xf>
    <xf numFmtId="0" fontId="69" fillId="0" borderId="82" xfId="0" applyFont="1" applyBorder="1" applyAlignment="1">
      <alignment horizontal="center" vertical="center"/>
    </xf>
    <xf numFmtId="0" fontId="63" fillId="0" borderId="107" xfId="0" applyFont="1" applyBorder="1" applyAlignment="1">
      <alignment horizontal="center" vertical="center"/>
    </xf>
    <xf numFmtId="0" fontId="63" fillId="0" borderId="92" xfId="0" applyFont="1" applyBorder="1" applyAlignment="1">
      <alignment horizontal="center" vertical="center"/>
    </xf>
    <xf numFmtId="0" fontId="63" fillId="0" borderId="105" xfId="0" applyFont="1" applyBorder="1" applyAlignment="1">
      <alignment horizontal="center" vertical="center"/>
    </xf>
    <xf numFmtId="0" fontId="63" fillId="0" borderId="108" xfId="0" applyFont="1" applyBorder="1" applyAlignment="1">
      <alignment horizontal="center" vertical="center"/>
    </xf>
    <xf numFmtId="0" fontId="63" fillId="0" borderId="91" xfId="0" applyFont="1" applyBorder="1" applyAlignment="1">
      <alignment horizontal="center" vertical="center"/>
    </xf>
    <xf numFmtId="0" fontId="63" fillId="0" borderId="106" xfId="0" applyFont="1" applyBorder="1" applyAlignment="1">
      <alignment horizontal="center" vertical="center"/>
    </xf>
    <xf numFmtId="0" fontId="86" fillId="0" borderId="0" xfId="0" applyFont="1" applyAlignment="1">
      <alignment horizontal="center" vertical="center"/>
    </xf>
    <xf numFmtId="0" fontId="148" fillId="0" borderId="0" xfId="0" applyFont="1" applyAlignment="1">
      <alignment horizontal="center" vertical="center"/>
    </xf>
    <xf numFmtId="0" fontId="67" fillId="0" borderId="106" xfId="0" applyFont="1" applyBorder="1" applyAlignment="1">
      <alignment horizontal="center" vertical="center"/>
    </xf>
    <xf numFmtId="0" fontId="67" fillId="0" borderId="107" xfId="0" applyFont="1" applyBorder="1" applyAlignment="1">
      <alignment horizontal="center" vertical="center" wrapText="1"/>
    </xf>
    <xf numFmtId="0" fontId="0" fillId="0" borderId="92" xfId="0" applyBorder="1"/>
    <xf numFmtId="0" fontId="0" fillId="0" borderId="105" xfId="0" applyBorder="1"/>
    <xf numFmtId="0" fontId="0" fillId="0" borderId="77" xfId="0" applyBorder="1"/>
    <xf numFmtId="0" fontId="0" fillId="0" borderId="0" xfId="0"/>
    <xf numFmtId="0" fontId="0" fillId="0" borderId="82" xfId="0" applyBorder="1"/>
    <xf numFmtId="0" fontId="0" fillId="0" borderId="108" xfId="0" applyBorder="1"/>
    <xf numFmtId="0" fontId="0" fillId="0" borderId="91" xfId="0" applyBorder="1"/>
    <xf numFmtId="0" fontId="0" fillId="0" borderId="106" xfId="0" applyBorder="1"/>
    <xf numFmtId="0" fontId="63" fillId="0" borderId="102" xfId="0" applyFont="1" applyBorder="1" applyAlignment="1">
      <alignment horizontal="center" vertical="center"/>
    </xf>
    <xf numFmtId="0" fontId="63" fillId="0" borderId="116" xfId="0" applyFont="1" applyBorder="1" applyAlignment="1">
      <alignment horizontal="center" vertical="center"/>
    </xf>
    <xf numFmtId="0" fontId="67" fillId="0" borderId="82" xfId="0" applyFont="1" applyBorder="1" applyAlignment="1">
      <alignment horizontal="center" vertical="center"/>
    </xf>
    <xf numFmtId="0" fontId="63" fillId="0" borderId="0" xfId="0" applyFont="1" applyAlignment="1">
      <alignment horizontal="center" vertical="center" shrinkToFit="1"/>
    </xf>
    <xf numFmtId="0" fontId="63" fillId="0" borderId="0" xfId="0" applyFont="1" applyAlignment="1">
      <alignment horizontal="center" vertical="center"/>
    </xf>
    <xf numFmtId="0" fontId="63" fillId="26" borderId="0" xfId="0" applyFont="1" applyFill="1" applyAlignment="1">
      <alignment vertical="center" shrinkToFit="1"/>
    </xf>
    <xf numFmtId="0" fontId="65" fillId="0" borderId="0" xfId="0" applyFont="1" applyAlignment="1">
      <alignment horizontal="center" vertical="center"/>
    </xf>
    <xf numFmtId="0" fontId="149" fillId="0" borderId="0" xfId="0" applyFont="1" applyAlignment="1">
      <alignment horizontal="center" vertical="center"/>
    </xf>
    <xf numFmtId="0" fontId="149" fillId="0" borderId="0" xfId="0" applyFont="1" applyAlignment="1">
      <alignment vertical="center"/>
    </xf>
    <xf numFmtId="0" fontId="63" fillId="25" borderId="0" xfId="0" applyFont="1" applyFill="1" applyAlignment="1">
      <alignment vertical="center" shrinkToFit="1"/>
    </xf>
    <xf numFmtId="0" fontId="63" fillId="27" borderId="0" xfId="0" applyFont="1" applyFill="1" applyAlignment="1">
      <alignment vertical="center" shrinkToFit="1"/>
    </xf>
    <xf numFmtId="180" fontId="114" fillId="0" borderId="0" xfId="0" applyNumberFormat="1" applyFont="1" applyAlignment="1">
      <alignment horizontal="center" vertical="center"/>
    </xf>
    <xf numFmtId="179" fontId="114" fillId="0" borderId="0" xfId="0" applyNumberFormat="1" applyFont="1" applyAlignment="1">
      <alignment horizontal="center" vertical="center"/>
    </xf>
    <xf numFmtId="0" fontId="124" fillId="0" borderId="15" xfId="0" applyFont="1" applyBorder="1" applyAlignment="1">
      <alignment horizontal="right" vertical="center"/>
    </xf>
    <xf numFmtId="0" fontId="123" fillId="0" borderId="63" xfId="0" applyFont="1" applyBorder="1" applyAlignment="1">
      <alignment horizontal="center" vertical="center" wrapText="1"/>
    </xf>
    <xf numFmtId="0" fontId="123" fillId="0" borderId="63" xfId="0" applyFont="1" applyBorder="1" applyAlignment="1">
      <alignment horizontal="center" vertical="center"/>
    </xf>
    <xf numFmtId="0" fontId="123" fillId="0" borderId="130" xfId="0" applyFont="1" applyBorder="1" applyAlignment="1">
      <alignment horizontal="center" vertical="center"/>
    </xf>
    <xf numFmtId="0" fontId="123" fillId="0" borderId="0" xfId="0" applyFont="1" applyAlignment="1">
      <alignment horizontal="center" vertical="center"/>
    </xf>
    <xf numFmtId="0" fontId="123" fillId="0" borderId="127" xfId="0" applyFont="1" applyBorder="1" applyAlignment="1">
      <alignment horizontal="center" vertical="center"/>
    </xf>
    <xf numFmtId="0" fontId="123" fillId="0" borderId="80" xfId="0" applyFont="1" applyBorder="1" applyAlignment="1">
      <alignment horizontal="center" vertical="center"/>
    </xf>
    <xf numFmtId="0" fontId="123" fillId="0" borderId="141" xfId="0" applyFont="1" applyBorder="1" applyAlignment="1">
      <alignment horizontal="center" vertical="center"/>
    </xf>
    <xf numFmtId="0" fontId="123" fillId="0" borderId="135" xfId="0" applyFont="1" applyBorder="1" applyAlignment="1">
      <alignment horizontal="center" vertical="center"/>
    </xf>
    <xf numFmtId="0" fontId="123" fillId="0" borderId="117" xfId="0" applyFont="1" applyBorder="1" applyAlignment="1">
      <alignment horizontal="center" vertical="center"/>
    </xf>
    <xf numFmtId="0" fontId="123" fillId="0" borderId="119" xfId="0" applyFont="1" applyBorder="1" applyAlignment="1">
      <alignment horizontal="center" vertical="center"/>
    </xf>
    <xf numFmtId="0" fontId="123" fillId="0" borderId="18" xfId="0" applyFont="1" applyBorder="1" applyAlignment="1">
      <alignment horizontal="center" vertical="center"/>
    </xf>
    <xf numFmtId="0" fontId="124" fillId="0" borderId="117" xfId="0" applyFont="1" applyBorder="1" applyAlignment="1">
      <alignment horizontal="right" vertical="center"/>
    </xf>
    <xf numFmtId="0" fontId="124" fillId="0" borderId="119" xfId="0" applyFont="1" applyBorder="1" applyAlignment="1">
      <alignment horizontal="right" vertical="center"/>
    </xf>
    <xf numFmtId="0" fontId="124" fillId="0" borderId="18" xfId="0" applyFont="1" applyBorder="1" applyAlignment="1">
      <alignment horizontal="right" vertical="center"/>
    </xf>
    <xf numFmtId="0" fontId="123" fillId="0" borderId="122" xfId="0" applyFont="1" applyBorder="1" applyAlignment="1">
      <alignment horizontal="center" vertical="center"/>
    </xf>
    <xf numFmtId="0" fontId="123" fillId="0" borderId="87" xfId="0" applyFont="1" applyBorder="1" applyAlignment="1">
      <alignment horizontal="center" vertical="center"/>
    </xf>
    <xf numFmtId="0" fontId="123" fillId="0" borderId="123" xfId="0" applyFont="1" applyBorder="1" applyAlignment="1">
      <alignment horizontal="center" vertical="center"/>
    </xf>
    <xf numFmtId="0" fontId="123" fillId="0" borderId="126" xfId="0" applyFont="1" applyBorder="1" applyAlignment="1">
      <alignment horizontal="center" vertical="center"/>
    </xf>
    <xf numFmtId="0" fontId="123" fillId="0" borderId="79" xfId="0" applyFont="1" applyBorder="1" applyAlignment="1">
      <alignment horizontal="center" vertical="center"/>
    </xf>
    <xf numFmtId="0" fontId="123" fillId="0" borderId="134" xfId="0" applyFont="1" applyBorder="1" applyAlignment="1">
      <alignment horizontal="center" vertical="center"/>
    </xf>
    <xf numFmtId="0" fontId="123" fillId="0" borderId="125" xfId="0" applyFont="1" applyBorder="1" applyAlignment="1">
      <alignment horizontal="center" vertical="center"/>
    </xf>
    <xf numFmtId="0" fontId="123" fillId="0" borderId="53" xfId="0" applyFont="1" applyBorder="1" applyAlignment="1">
      <alignment horizontal="center" vertical="center"/>
    </xf>
    <xf numFmtId="0" fontId="123" fillId="0" borderId="137" xfId="0" applyFont="1" applyBorder="1" applyAlignment="1">
      <alignment horizontal="center" vertical="center"/>
    </xf>
    <xf numFmtId="0" fontId="123" fillId="0" borderId="117" xfId="0" applyFont="1" applyBorder="1" applyAlignment="1">
      <alignment horizontal="right" vertical="center"/>
    </xf>
    <xf numFmtId="0" fontId="123" fillId="0" borderId="18" xfId="0" applyFont="1" applyBorder="1" applyAlignment="1">
      <alignment horizontal="right" vertical="center"/>
    </xf>
    <xf numFmtId="0" fontId="126" fillId="0" borderId="117" xfId="0" applyFont="1" applyBorder="1" applyAlignment="1">
      <alignment horizontal="center" vertical="center"/>
    </xf>
    <xf numFmtId="0" fontId="126" fillId="0" borderId="18" xfId="0" applyFont="1" applyBorder="1" applyAlignment="1">
      <alignment horizontal="center" vertical="center"/>
    </xf>
    <xf numFmtId="0" fontId="126" fillId="0" borderId="122" xfId="0" applyFont="1" applyBorder="1" applyAlignment="1">
      <alignment horizontal="center" vertical="center"/>
    </xf>
    <xf numFmtId="0" fontId="126" fillId="0" borderId="123" xfId="0" applyFont="1" applyBorder="1" applyAlignment="1">
      <alignment horizontal="center" vertical="center"/>
    </xf>
    <xf numFmtId="0" fontId="123" fillId="0" borderId="128" xfId="0" applyFont="1" applyBorder="1" applyAlignment="1">
      <alignment horizontal="center" vertical="center"/>
    </xf>
    <xf numFmtId="0" fontId="123" fillId="0" borderId="132" xfId="0" applyFont="1" applyBorder="1" applyAlignment="1">
      <alignment horizontal="center" vertical="center"/>
    </xf>
    <xf numFmtId="0" fontId="123" fillId="0" borderId="142" xfId="0" applyFont="1" applyBorder="1" applyAlignment="1">
      <alignment horizontal="center" vertical="center"/>
    </xf>
    <xf numFmtId="0" fontId="126" fillId="0" borderId="120" xfId="0" applyFont="1" applyBorder="1" applyAlignment="1">
      <alignment horizontal="center" vertical="center"/>
    </xf>
    <xf numFmtId="0" fontId="126" fillId="0" borderId="121" xfId="0" applyFont="1" applyBorder="1" applyAlignment="1">
      <alignment horizontal="center" vertical="center"/>
    </xf>
    <xf numFmtId="0" fontId="123" fillId="0" borderId="131" xfId="0" applyFont="1" applyBorder="1" applyAlignment="1">
      <alignment horizontal="left" vertical="center" shrinkToFit="1"/>
    </xf>
    <xf numFmtId="0" fontId="123" fillId="0" borderId="136" xfId="0" applyFont="1" applyBorder="1" applyAlignment="1">
      <alignment horizontal="left" vertical="center" shrinkToFit="1"/>
    </xf>
    <xf numFmtId="0" fontId="125" fillId="0" borderId="126" xfId="0" applyFont="1" applyBorder="1" applyAlignment="1">
      <alignment horizontal="center" vertical="center" shrinkToFit="1"/>
    </xf>
    <xf numFmtId="0" fontId="125" fillId="0" borderId="79" xfId="0" applyFont="1" applyBorder="1" applyAlignment="1">
      <alignment horizontal="center" vertical="center" shrinkToFit="1"/>
    </xf>
    <xf numFmtId="0" fontId="125" fillId="0" borderId="134" xfId="0" applyFont="1" applyBorder="1" applyAlignment="1">
      <alignment horizontal="center" vertical="center" shrinkToFit="1"/>
    </xf>
    <xf numFmtId="0" fontId="123" fillId="0" borderId="120" xfId="0" applyFont="1" applyBorder="1" applyAlignment="1">
      <alignment horizontal="center" vertical="center"/>
    </xf>
    <xf numFmtId="0" fontId="125" fillId="0" borderId="140" xfId="0" applyFont="1" applyBorder="1" applyAlignment="1">
      <alignment horizontal="center" vertical="center"/>
    </xf>
    <xf numFmtId="0" fontId="125" fillId="0" borderId="134" xfId="0" applyFont="1" applyBorder="1" applyAlignment="1">
      <alignment horizontal="center" vertical="center"/>
    </xf>
    <xf numFmtId="0" fontId="125" fillId="0" borderId="117" xfId="0" applyFont="1" applyBorder="1" applyAlignment="1">
      <alignment horizontal="center" vertical="center"/>
    </xf>
    <xf numFmtId="0" fontId="123" fillId="0" borderId="129" xfId="0" applyFont="1" applyBorder="1" applyAlignment="1">
      <alignment horizontal="center" vertical="center"/>
    </xf>
    <xf numFmtId="0" fontId="123" fillId="0" borderId="133" xfId="0" applyFont="1" applyBorder="1" applyAlignment="1">
      <alignment horizontal="center" vertical="center"/>
    </xf>
    <xf numFmtId="0" fontId="123" fillId="0" borderId="143" xfId="0" applyFont="1" applyBorder="1" applyAlignment="1">
      <alignment horizontal="center" vertical="center"/>
    </xf>
    <xf numFmtId="182" fontId="123" fillId="0" borderId="0" xfId="0" applyNumberFormat="1" applyFont="1" applyAlignment="1">
      <alignment horizontal="left" vertical="center"/>
    </xf>
    <xf numFmtId="183" fontId="123" fillId="0" borderId="0" xfId="0" applyNumberFormat="1" applyFont="1" applyAlignment="1">
      <alignment horizontal="left" vertical="center"/>
    </xf>
    <xf numFmtId="0" fontId="125" fillId="0" borderId="125" xfId="0" applyFont="1" applyBorder="1" applyAlignment="1">
      <alignment horizontal="center" vertical="center" shrinkToFit="1"/>
    </xf>
    <xf numFmtId="0" fontId="125" fillId="0" borderId="53" xfId="0" applyFont="1" applyBorder="1" applyAlignment="1">
      <alignment horizontal="center" vertical="center" shrinkToFit="1"/>
    </xf>
    <xf numFmtId="0" fontId="125" fillId="0" borderId="59" xfId="0" applyFont="1" applyBorder="1" applyAlignment="1">
      <alignment horizontal="center" vertical="center" shrinkToFit="1"/>
    </xf>
    <xf numFmtId="0" fontId="125" fillId="0" borderId="125" xfId="0" applyFont="1" applyBorder="1" applyAlignment="1">
      <alignment horizontal="center" vertical="center"/>
    </xf>
    <xf numFmtId="0" fontId="125" fillId="0" borderId="53" xfId="0" applyFont="1" applyBorder="1" applyAlignment="1">
      <alignment horizontal="center" vertical="center"/>
    </xf>
    <xf numFmtId="0" fontId="125" fillId="0" borderId="59" xfId="0" applyFont="1" applyBorder="1" applyAlignment="1">
      <alignment horizontal="center" vertical="center"/>
    </xf>
    <xf numFmtId="181" fontId="123" fillId="0" borderId="0" xfId="0" applyNumberFormat="1" applyFont="1" applyAlignment="1">
      <alignment horizontal="left" vertical="center"/>
    </xf>
    <xf numFmtId="0" fontId="62" fillId="0" borderId="13" xfId="0" applyFont="1" applyBorder="1" applyAlignment="1">
      <alignment horizontal="center" vertical="center"/>
    </xf>
    <xf numFmtId="0" fontId="62" fillId="0" borderId="14" xfId="0" applyFont="1" applyBorder="1" applyAlignment="1">
      <alignment horizontal="center" vertical="center"/>
    </xf>
    <xf numFmtId="0" fontId="67" fillId="0" borderId="15" xfId="56" applyFont="1" applyBorder="1" applyAlignment="1">
      <alignment horizontal="center" vertical="center"/>
    </xf>
    <xf numFmtId="0" fontId="83" fillId="0" borderId="59" xfId="74" applyFont="1" applyBorder="1" applyAlignment="1">
      <alignment horizontal="left" vertical="center" shrinkToFit="1"/>
    </xf>
    <xf numFmtId="0" fontId="83" fillId="0" borderId="60" xfId="74" applyFont="1" applyBorder="1" applyAlignment="1">
      <alignment horizontal="left" vertical="center" shrinkToFit="1"/>
    </xf>
    <xf numFmtId="0" fontId="83" fillId="35" borderId="122" xfId="74" applyFont="1" applyFill="1" applyBorder="1" applyAlignment="1">
      <alignment horizontal="center" vertical="center" shrinkToFit="1"/>
    </xf>
    <xf numFmtId="0" fontId="83" fillId="35" borderId="134" xfId="74" applyFont="1" applyFill="1" applyBorder="1" applyAlignment="1">
      <alignment horizontal="center" vertical="center" shrinkToFit="1"/>
    </xf>
    <xf numFmtId="0" fontId="83" fillId="35" borderId="172" xfId="74" applyFont="1" applyFill="1" applyBorder="1" applyAlignment="1">
      <alignment horizontal="center" vertical="center" shrinkToFit="1"/>
    </xf>
    <xf numFmtId="0" fontId="83" fillId="35" borderId="57" xfId="74" applyFont="1" applyFill="1" applyBorder="1" applyAlignment="1">
      <alignment horizontal="center" vertical="center" shrinkToFit="1"/>
    </xf>
    <xf numFmtId="0" fontId="90" fillId="35" borderId="63" xfId="74" applyFont="1" applyFill="1" applyBorder="1" applyAlignment="1">
      <alignment horizontal="right" vertical="center" shrinkToFit="1"/>
    </xf>
    <xf numFmtId="0" fontId="90" fillId="35" borderId="64" xfId="74" applyFont="1" applyFill="1" applyBorder="1" applyAlignment="1">
      <alignment horizontal="right" vertical="center" shrinkToFit="1"/>
    </xf>
    <xf numFmtId="0" fontId="83" fillId="35" borderId="134" xfId="74" applyFont="1" applyFill="1" applyBorder="1" applyAlignment="1">
      <alignment horizontal="left" vertical="center" shrinkToFit="1"/>
    </xf>
    <xf numFmtId="0" fontId="83" fillId="35" borderId="57" xfId="74" applyFont="1" applyFill="1" applyBorder="1" applyAlignment="1">
      <alignment horizontal="left" vertical="center" shrinkToFit="1"/>
    </xf>
    <xf numFmtId="0" fontId="92" fillId="0" borderId="15" xfId="74" applyFont="1" applyBorder="1" applyAlignment="1" applyProtection="1">
      <alignment horizontal="center" vertical="center" shrinkToFit="1"/>
      <protection locked="0"/>
    </xf>
    <xf numFmtId="0" fontId="92" fillId="0" borderId="149" xfId="74" applyFont="1" applyBorder="1" applyAlignment="1" applyProtection="1">
      <alignment horizontal="center" vertical="center" shrinkToFit="1"/>
      <protection locked="0"/>
    </xf>
    <xf numFmtId="0" fontId="92" fillId="0" borderId="33" xfId="74" applyFont="1" applyBorder="1" applyAlignment="1" applyProtection="1">
      <alignment horizontal="center" vertical="center" shrinkToFit="1"/>
      <protection locked="0"/>
    </xf>
    <xf numFmtId="0" fontId="92" fillId="0" borderId="67" xfId="74" applyFont="1" applyBorder="1" applyAlignment="1" applyProtection="1">
      <alignment horizontal="center" vertical="center" shrinkToFit="1"/>
      <protection locked="0"/>
    </xf>
    <xf numFmtId="0" fontId="83" fillId="35" borderId="135" xfId="74" applyFont="1" applyFill="1" applyBorder="1" applyAlignment="1">
      <alignment horizontal="left" vertical="center" shrinkToFit="1"/>
    </xf>
    <xf numFmtId="0" fontId="86" fillId="0" borderId="145" xfId="71" applyFont="1" applyBorder="1" applyAlignment="1">
      <alignment horizontal="center" vertical="center" shrinkToFit="1"/>
    </xf>
    <xf numFmtId="0" fontId="86" fillId="0" borderId="14" xfId="71" applyFont="1" applyBorder="1" applyAlignment="1">
      <alignment horizontal="center" vertical="center" shrinkToFit="1"/>
    </xf>
    <xf numFmtId="0" fontId="83" fillId="0" borderId="134" xfId="74" applyFont="1" applyBorder="1" applyAlignment="1">
      <alignment horizontal="center" vertical="center" shrinkToFit="1"/>
    </xf>
    <xf numFmtId="0" fontId="83" fillId="0" borderId="57" xfId="74" applyFont="1" applyBorder="1" applyAlignment="1">
      <alignment horizontal="center" vertical="center" shrinkToFit="1"/>
    </xf>
    <xf numFmtId="0" fontId="83" fillId="0" borderId="117" xfId="74" applyFont="1" applyBorder="1" applyAlignment="1">
      <alignment horizontal="center" vertical="center" shrinkToFit="1"/>
    </xf>
    <xf numFmtId="0" fontId="83" fillId="0" borderId="19" xfId="74" applyFont="1" applyBorder="1" applyAlignment="1">
      <alignment horizontal="center" vertical="center" shrinkToFit="1"/>
    </xf>
    <xf numFmtId="0" fontId="90" fillId="0" borderId="63" xfId="74" applyFont="1" applyBorder="1" applyAlignment="1">
      <alignment horizontal="right" vertical="center" shrinkToFit="1"/>
    </xf>
    <xf numFmtId="0" fontId="90" fillId="0" borderId="64" xfId="74" applyFont="1" applyBorder="1" applyAlignment="1">
      <alignment horizontal="right" vertical="center" shrinkToFit="1"/>
    </xf>
    <xf numFmtId="0" fontId="83" fillId="0" borderId="135" xfId="74" applyFont="1" applyBorder="1" applyAlignment="1">
      <alignment horizontal="center" vertical="center" shrinkToFit="1"/>
    </xf>
    <xf numFmtId="0" fontId="83" fillId="0" borderId="18" xfId="74" applyFont="1" applyBorder="1" applyAlignment="1">
      <alignment horizontal="center" vertical="center" shrinkToFit="1"/>
    </xf>
    <xf numFmtId="0" fontId="83" fillId="35" borderId="123" xfId="74" applyFont="1" applyFill="1" applyBorder="1" applyAlignment="1">
      <alignment horizontal="center" vertical="center" shrinkToFit="1"/>
    </xf>
    <xf numFmtId="0" fontId="83" fillId="35" borderId="135" xfId="74" applyFont="1" applyFill="1" applyBorder="1" applyAlignment="1">
      <alignment horizontal="center" vertical="center" shrinkToFit="1"/>
    </xf>
    <xf numFmtId="0" fontId="86" fillId="0" borderId="146" xfId="71" applyFont="1" applyBorder="1" applyAlignment="1">
      <alignment horizontal="center" vertical="center" shrinkToFit="1"/>
    </xf>
    <xf numFmtId="0" fontId="83" fillId="0" borderId="122" xfId="74" applyFont="1" applyBorder="1" applyAlignment="1">
      <alignment horizontal="center" vertical="center" shrinkToFit="1"/>
    </xf>
    <xf numFmtId="0" fontId="83" fillId="0" borderId="171" xfId="74" applyFont="1" applyBorder="1" applyAlignment="1">
      <alignment horizontal="center" vertical="center" shrinkToFit="1"/>
    </xf>
    <xf numFmtId="0" fontId="83" fillId="0" borderId="123" xfId="74" applyFont="1" applyBorder="1" applyAlignment="1">
      <alignment horizontal="center" vertical="center" shrinkToFit="1"/>
    </xf>
    <xf numFmtId="0" fontId="83" fillId="0" borderId="29" xfId="74" applyFont="1" applyBorder="1" applyAlignment="1">
      <alignment horizontal="center" vertical="center" shrinkToFit="1"/>
    </xf>
    <xf numFmtId="0" fontId="86" fillId="0" borderId="12" xfId="71" applyFont="1" applyBorder="1" applyAlignment="1">
      <alignment horizontal="center" vertical="center" shrinkToFit="1"/>
    </xf>
    <xf numFmtId="0" fontId="83" fillId="0" borderId="141" xfId="74" applyFont="1" applyBorder="1" applyAlignment="1">
      <alignment horizontal="center" vertical="center" shrinkToFit="1"/>
    </xf>
    <xf numFmtId="0" fontId="83" fillId="0" borderId="119" xfId="74" applyFont="1" applyBorder="1" applyAlignment="1">
      <alignment horizontal="center" vertical="center" shrinkToFit="1"/>
    </xf>
    <xf numFmtId="0" fontId="90" fillId="0" borderId="123" xfId="74" applyFont="1" applyBorder="1" applyAlignment="1">
      <alignment horizontal="right" vertical="center" shrinkToFit="1"/>
    </xf>
    <xf numFmtId="0" fontId="83" fillId="0" borderId="135" xfId="74" applyFont="1" applyBorder="1" applyAlignment="1">
      <alignment horizontal="left" vertical="center" shrinkToFit="1"/>
    </xf>
    <xf numFmtId="0" fontId="83" fillId="35" borderId="87" xfId="74" applyFont="1" applyFill="1" applyBorder="1" applyAlignment="1">
      <alignment horizontal="center" vertical="center" shrinkToFit="1"/>
    </xf>
    <xf numFmtId="0" fontId="83" fillId="35" borderId="141" xfId="74" applyFont="1" applyFill="1" applyBorder="1" applyAlignment="1">
      <alignment horizontal="center" vertical="center" shrinkToFit="1"/>
    </xf>
    <xf numFmtId="0" fontId="90" fillId="35" borderId="123" xfId="74" applyFont="1" applyFill="1" applyBorder="1" applyAlignment="1">
      <alignment horizontal="right" vertical="center" shrinkToFit="1"/>
    </xf>
    <xf numFmtId="0" fontId="83" fillId="35" borderId="141" xfId="74" applyFont="1" applyFill="1" applyBorder="1" applyAlignment="1">
      <alignment horizontal="left" vertical="center" shrinkToFit="1"/>
    </xf>
    <xf numFmtId="0" fontId="92" fillId="0" borderId="18" xfId="74" applyFont="1" applyBorder="1" applyAlignment="1" applyProtection="1">
      <alignment horizontal="center" vertical="center" shrinkToFit="1"/>
      <protection locked="0"/>
    </xf>
    <xf numFmtId="0" fontId="92" fillId="0" borderId="150" xfId="74" applyFont="1" applyBorder="1" applyAlignment="1" applyProtection="1">
      <alignment horizontal="center" vertical="center" shrinkToFit="1"/>
      <protection locked="0"/>
    </xf>
    <xf numFmtId="0" fontId="84" fillId="0" borderId="47" xfId="71" applyFont="1" applyBorder="1" applyAlignment="1">
      <alignment horizontal="center" vertical="center"/>
    </xf>
    <xf numFmtId="0" fontId="84" fillId="0" borderId="48" xfId="71" applyFont="1" applyBorder="1" applyAlignment="1">
      <alignment horizontal="center" vertical="center"/>
    </xf>
    <xf numFmtId="20" fontId="84" fillId="0" borderId="51" xfId="71" applyNumberFormat="1" applyFont="1" applyBorder="1" applyAlignment="1">
      <alignment horizontal="center" vertical="center"/>
    </xf>
    <xf numFmtId="20" fontId="84" fillId="0" borderId="55" xfId="71" applyNumberFormat="1" applyFont="1" applyBorder="1" applyAlignment="1">
      <alignment horizontal="center" vertical="center"/>
    </xf>
    <xf numFmtId="0" fontId="84" fillId="0" borderId="175" xfId="74" applyFont="1" applyBorder="1" applyAlignment="1">
      <alignment horizontal="center" vertical="center" shrinkToFit="1"/>
    </xf>
    <xf numFmtId="0" fontId="84" fillId="0" borderId="178" xfId="74" applyFont="1" applyBorder="1" applyAlignment="1">
      <alignment horizontal="center" vertical="center" shrinkToFit="1"/>
    </xf>
    <xf numFmtId="0" fontId="84" fillId="0" borderId="180" xfId="74" applyFont="1" applyBorder="1" applyAlignment="1">
      <alignment horizontal="center" vertical="center" shrinkToFit="1"/>
    </xf>
    <xf numFmtId="0" fontId="84" fillId="0" borderId="183" xfId="74" applyFont="1" applyBorder="1" applyAlignment="1">
      <alignment horizontal="center" vertical="center" shrinkToFit="1"/>
    </xf>
    <xf numFmtId="0" fontId="84" fillId="0" borderId="191" xfId="74" applyFont="1" applyBorder="1" applyAlignment="1">
      <alignment horizontal="center" vertical="center" shrinkToFit="1"/>
    </xf>
    <xf numFmtId="0" fontId="86" fillId="0" borderId="172" xfId="72" applyFont="1" applyBorder="1" applyAlignment="1">
      <alignment horizontal="center" vertical="center" shrinkToFit="1"/>
    </xf>
    <xf numFmtId="0" fontId="86" fillId="0" borderId="55" xfId="72" applyFont="1" applyBorder="1" applyAlignment="1">
      <alignment horizontal="center" vertical="center" shrinkToFit="1"/>
    </xf>
    <xf numFmtId="0" fontId="86" fillId="0" borderId="115" xfId="72" applyFont="1" applyBorder="1" applyAlignment="1">
      <alignment horizontal="center" vertical="center" shrinkToFit="1"/>
    </xf>
    <xf numFmtId="0" fontId="83" fillId="0" borderId="172" xfId="74" applyFont="1" applyBorder="1" applyAlignment="1">
      <alignment horizontal="center" vertical="center" shrinkToFit="1"/>
    </xf>
    <xf numFmtId="0" fontId="83" fillId="0" borderId="115" xfId="74" applyFont="1" applyBorder="1" applyAlignment="1">
      <alignment horizontal="center" vertical="center" shrinkToFit="1"/>
    </xf>
    <xf numFmtId="0" fontId="86" fillId="0" borderId="11" xfId="74" applyFont="1" applyBorder="1" applyAlignment="1" applyProtection="1">
      <alignment horizontal="center" vertical="center" shrinkToFit="1"/>
      <protection locked="0"/>
    </xf>
    <xf numFmtId="0" fontId="86" fillId="0" borderId="16" xfId="74" applyFont="1" applyBorder="1" applyAlignment="1" applyProtection="1">
      <alignment horizontal="center" vertical="center" shrinkToFit="1"/>
      <protection locked="0"/>
    </xf>
    <xf numFmtId="0" fontId="83" fillId="0" borderId="173" xfId="74" applyFont="1" applyBorder="1" applyAlignment="1">
      <alignment horizontal="center" vertical="center" wrapText="1" shrinkToFit="1"/>
    </xf>
    <xf numFmtId="0" fontId="83" fillId="0" borderId="187" xfId="74" applyFont="1" applyBorder="1" applyAlignment="1">
      <alignment horizontal="center" vertical="center" shrinkToFit="1"/>
    </xf>
    <xf numFmtId="0" fontId="83" fillId="35" borderId="173" xfId="74" applyFont="1" applyFill="1" applyBorder="1" applyAlignment="1">
      <alignment horizontal="center" vertical="center" wrapText="1" shrinkToFit="1"/>
    </xf>
    <xf numFmtId="0" fontId="83" fillId="35" borderId="187" xfId="74" applyFont="1" applyFill="1" applyBorder="1" applyAlignment="1">
      <alignment horizontal="center" vertical="center" shrinkToFit="1"/>
    </xf>
    <xf numFmtId="0" fontId="83" fillId="0" borderId="16" xfId="74" applyFont="1" applyBorder="1" applyAlignment="1">
      <alignment horizontal="center" vertical="center" wrapText="1" shrinkToFit="1"/>
    </xf>
    <xf numFmtId="0" fontId="83" fillId="0" borderId="192" xfId="74" applyFont="1" applyBorder="1" applyAlignment="1">
      <alignment horizontal="center" vertical="center" shrinkToFit="1"/>
    </xf>
    <xf numFmtId="0" fontId="83" fillId="0" borderId="61" xfId="74" applyFont="1" applyBorder="1" applyAlignment="1">
      <alignment horizontal="center" vertical="center" shrinkToFit="1"/>
    </xf>
    <xf numFmtId="0" fontId="83" fillId="0" borderId="114" xfId="74" applyFont="1" applyBorder="1" applyAlignment="1">
      <alignment horizontal="center" vertical="center" shrinkToFit="1"/>
    </xf>
    <xf numFmtId="0" fontId="87" fillId="0" borderId="50" xfId="74" applyFont="1" applyBorder="1" applyAlignment="1">
      <alignment horizontal="center" vertical="center" shrinkToFit="1"/>
    </xf>
    <xf numFmtId="0" fontId="87" fillId="0" borderId="20" xfId="74" applyFont="1" applyBorder="1" applyAlignment="1">
      <alignment horizontal="center" vertical="center" shrinkToFit="1"/>
    </xf>
    <xf numFmtId="0" fontId="87" fillId="0" borderId="24" xfId="74" applyFont="1" applyBorder="1" applyAlignment="1">
      <alignment horizontal="center" vertical="center" shrinkToFit="1"/>
    </xf>
    <xf numFmtId="0" fontId="84" fillId="0" borderId="194" xfId="74" applyFont="1" applyBorder="1" applyAlignment="1">
      <alignment horizontal="center" vertical="center" shrinkToFit="1"/>
    </xf>
    <xf numFmtId="0" fontId="84" fillId="0" borderId="195" xfId="74" applyFont="1" applyBorder="1" applyAlignment="1">
      <alignment horizontal="center" vertical="center" shrinkToFit="1"/>
    </xf>
    <xf numFmtId="0" fontId="83" fillId="0" borderId="174" xfId="74" applyFont="1" applyBorder="1" applyAlignment="1">
      <alignment horizontal="center" vertical="center" shrinkToFit="1"/>
    </xf>
    <xf numFmtId="0" fontId="83" fillId="0" borderId="177" xfId="74" applyFont="1" applyBorder="1" applyAlignment="1">
      <alignment horizontal="center" vertical="center" shrinkToFit="1"/>
    </xf>
    <xf numFmtId="0" fontId="86" fillId="0" borderId="179" xfId="72" applyFont="1" applyBorder="1" applyAlignment="1">
      <alignment horizontal="center" vertical="center" shrinkToFit="1"/>
    </xf>
    <xf numFmtId="0" fontId="86" fillId="0" borderId="182" xfId="72" applyFont="1" applyBorder="1" applyAlignment="1">
      <alignment horizontal="center" vertical="center" shrinkToFit="1"/>
    </xf>
    <xf numFmtId="0" fontId="86" fillId="0" borderId="184" xfId="72" applyFont="1" applyBorder="1" applyAlignment="1">
      <alignment horizontal="center" vertical="center" shrinkToFit="1"/>
    </xf>
    <xf numFmtId="0" fontId="86" fillId="0" borderId="188" xfId="72" applyFont="1" applyBorder="1" applyAlignment="1">
      <alignment horizontal="center" vertical="center" shrinkToFit="1"/>
    </xf>
    <xf numFmtId="0" fontId="86" fillId="0" borderId="61" xfId="72" applyFont="1" applyBorder="1" applyAlignment="1">
      <alignment horizontal="center" vertical="center" shrinkToFit="1"/>
    </xf>
    <xf numFmtId="0" fontId="86" fillId="0" borderId="51" xfId="72" applyFont="1" applyBorder="1" applyAlignment="1">
      <alignment horizontal="center" vertical="center" shrinkToFit="1"/>
    </xf>
    <xf numFmtId="0" fontId="86" fillId="0" borderId="114" xfId="72" applyFont="1" applyBorder="1" applyAlignment="1">
      <alignment horizontal="center" vertical="center" shrinkToFit="1"/>
    </xf>
    <xf numFmtId="0" fontId="83" fillId="0" borderId="193" xfId="74" applyFont="1" applyBorder="1" applyAlignment="1">
      <alignment horizontal="center" vertical="center" shrinkToFit="1"/>
    </xf>
    <xf numFmtId="0" fontId="86" fillId="0" borderId="11" xfId="72" applyFont="1" applyBorder="1" applyAlignment="1">
      <alignment horizontal="center" vertical="center"/>
    </xf>
    <xf numFmtId="0" fontId="86" fillId="0" borderId="16" xfId="72" applyFont="1" applyBorder="1" applyAlignment="1">
      <alignment horizontal="center" vertical="center"/>
    </xf>
    <xf numFmtId="0" fontId="86" fillId="0" borderId="173" xfId="72" applyFont="1" applyBorder="1" applyAlignment="1">
      <alignment horizontal="center" vertical="center"/>
    </xf>
    <xf numFmtId="0" fontId="86" fillId="0" borderId="20" xfId="72" applyFont="1" applyBorder="1" applyAlignment="1">
      <alignment horizontal="center" vertical="center"/>
    </xf>
    <xf numFmtId="0" fontId="86" fillId="0" borderId="24" xfId="72" applyFont="1" applyBorder="1" applyAlignment="1">
      <alignment horizontal="center" vertical="center"/>
    </xf>
    <xf numFmtId="0" fontId="86" fillId="0" borderId="147" xfId="72" applyFont="1" applyBorder="1" applyAlignment="1">
      <alignment horizontal="center" vertical="center" shrinkToFit="1"/>
    </xf>
    <xf numFmtId="0" fontId="86" fillId="0" borderId="15" xfId="72" applyFont="1" applyBorder="1" applyAlignment="1">
      <alignment horizontal="center" vertical="center" shrinkToFit="1"/>
    </xf>
    <xf numFmtId="0" fontId="86" fillId="0" borderId="149" xfId="72" applyFont="1" applyBorder="1" applyAlignment="1">
      <alignment horizontal="center" vertical="center" shrinkToFit="1"/>
    </xf>
    <xf numFmtId="0" fontId="86" fillId="0" borderId="53" xfId="72" applyFont="1" applyBorder="1" applyAlignment="1">
      <alignment horizontal="center" vertical="center" shrinkToFit="1"/>
    </xf>
    <xf numFmtId="0" fontId="86" fillId="0" borderId="59" xfId="72" applyFont="1" applyBorder="1" applyAlignment="1">
      <alignment horizontal="center" vertical="center" shrinkToFit="1"/>
    </xf>
    <xf numFmtId="0" fontId="86" fillId="0" borderId="152" xfId="72" applyFont="1" applyBorder="1" applyAlignment="1">
      <alignment horizontal="center" vertical="center" shrinkToFit="1"/>
    </xf>
    <xf numFmtId="0" fontId="86" fillId="0" borderId="33" xfId="72" applyFont="1" applyBorder="1" applyAlignment="1">
      <alignment horizontal="center" vertical="center" shrinkToFit="1"/>
    </xf>
    <xf numFmtId="0" fontId="86" fillId="0" borderId="67" xfId="72" applyFont="1" applyBorder="1" applyAlignment="1">
      <alignment horizontal="center" vertical="center" shrinkToFit="1"/>
    </xf>
    <xf numFmtId="0" fontId="86" fillId="0" borderId="54" xfId="72" applyFont="1" applyBorder="1" applyAlignment="1">
      <alignment horizontal="center" vertical="center" shrinkToFit="1"/>
    </xf>
    <xf numFmtId="0" fontId="86" fillId="0" borderId="60" xfId="72" applyFont="1" applyBorder="1" applyAlignment="1">
      <alignment horizontal="center" vertical="center" shrinkToFit="1"/>
    </xf>
    <xf numFmtId="0" fontId="86" fillId="0" borderId="0" xfId="72" applyFont="1" applyAlignment="1">
      <alignment horizontal="center" vertical="center"/>
    </xf>
    <xf numFmtId="0" fontId="86" fillId="0" borderId="157" xfId="72" applyFont="1" applyBorder="1" applyAlignment="1">
      <alignment horizontal="center" vertical="center"/>
    </xf>
    <xf numFmtId="0" fontId="86" fillId="0" borderId="79" xfId="72" applyFont="1" applyBorder="1" applyAlignment="1">
      <alignment horizontal="center" vertical="center"/>
    </xf>
    <xf numFmtId="0" fontId="86" fillId="0" borderId="171" xfId="72" applyFont="1" applyBorder="1" applyAlignment="1">
      <alignment horizontal="center" vertical="center"/>
    </xf>
    <xf numFmtId="0" fontId="86" fillId="0" borderId="96" xfId="72" applyFont="1" applyBorder="1" applyAlignment="1">
      <alignment horizontal="center" vertical="center"/>
    </xf>
    <xf numFmtId="0" fontId="86" fillId="0" borderId="32" xfId="72" applyFont="1" applyBorder="1" applyAlignment="1">
      <alignment horizontal="center" vertical="center"/>
    </xf>
    <xf numFmtId="0" fontId="86" fillId="0" borderId="48" xfId="72" applyFont="1" applyBorder="1" applyAlignment="1">
      <alignment horizontal="center" vertical="center"/>
    </xf>
    <xf numFmtId="0" fontId="86" fillId="0" borderId="55" xfId="72" applyFont="1" applyBorder="1" applyAlignment="1">
      <alignment horizontal="center" vertical="center"/>
    </xf>
    <xf numFmtId="0" fontId="86" fillId="0" borderId="115" xfId="72" applyFont="1" applyBorder="1" applyAlignment="1">
      <alignment horizontal="center" vertical="center"/>
    </xf>
    <xf numFmtId="0" fontId="86" fillId="0" borderId="147" xfId="72" applyFont="1" applyBorder="1" applyAlignment="1">
      <alignment horizontal="center" vertical="center"/>
    </xf>
    <xf numFmtId="0" fontId="86" fillId="0" borderId="15" xfId="72" applyFont="1" applyBorder="1" applyAlignment="1">
      <alignment horizontal="center" vertical="center"/>
    </xf>
    <xf numFmtId="0" fontId="86" fillId="0" borderId="149" xfId="72" applyFont="1" applyBorder="1" applyAlignment="1">
      <alignment horizontal="center" vertical="center"/>
    </xf>
    <xf numFmtId="20" fontId="89" fillId="0" borderId="50" xfId="72" applyNumberFormat="1" applyFont="1" applyBorder="1" applyAlignment="1">
      <alignment horizontal="center" vertical="center"/>
    </xf>
    <xf numFmtId="0" fontId="89" fillId="0" borderId="20" xfId="72" applyFont="1" applyBorder="1" applyAlignment="1">
      <alignment horizontal="center" vertical="center"/>
    </xf>
    <xf numFmtId="0" fontId="89" fillId="0" borderId="187" xfId="72" applyFont="1" applyBorder="1" applyAlignment="1">
      <alignment horizontal="center" vertical="center"/>
    </xf>
    <xf numFmtId="20" fontId="89" fillId="0" borderId="20" xfId="72" applyNumberFormat="1" applyFont="1" applyBorder="1" applyAlignment="1">
      <alignment horizontal="center" vertical="center"/>
    </xf>
    <xf numFmtId="0" fontId="89" fillId="0" borderId="24" xfId="72" applyFont="1" applyBorder="1" applyAlignment="1">
      <alignment horizontal="center" vertical="center"/>
    </xf>
    <xf numFmtId="0" fontId="86" fillId="0" borderId="18" xfId="72" applyFont="1" applyBorder="1" applyAlignment="1">
      <alignment horizontal="center" vertical="center" shrinkToFit="1"/>
    </xf>
    <xf numFmtId="0" fontId="86" fillId="0" borderId="150" xfId="72" applyFont="1" applyBorder="1" applyAlignment="1">
      <alignment horizontal="center" vertical="center" shrinkToFit="1"/>
    </xf>
    <xf numFmtId="0" fontId="86" fillId="0" borderId="80" xfId="72" applyFont="1" applyBorder="1" applyAlignment="1">
      <alignment horizontal="center" vertical="center" shrinkToFit="1"/>
    </xf>
    <xf numFmtId="0" fontId="86" fillId="0" borderId="135" xfId="72" applyFont="1" applyBorder="1" applyAlignment="1">
      <alignment horizontal="center" vertical="center" shrinkToFit="1"/>
    </xf>
    <xf numFmtId="0" fontId="85" fillId="0" borderId="0" xfId="72" applyFont="1" applyAlignment="1">
      <alignment horizontal="center" vertical="center"/>
    </xf>
    <xf numFmtId="0" fontId="86" fillId="0" borderId="151" xfId="72" applyFont="1" applyBorder="1" applyAlignment="1">
      <alignment horizontal="center" vertical="center"/>
    </xf>
    <xf numFmtId="0" fontId="86" fillId="0" borderId="17" xfId="72" applyFont="1" applyBorder="1" applyAlignment="1">
      <alignment horizontal="center" vertical="center"/>
    </xf>
    <xf numFmtId="0" fontId="86" fillId="0" borderId="66" xfId="72" applyFont="1" applyBorder="1" applyAlignment="1">
      <alignment horizontal="center" vertical="center"/>
    </xf>
    <xf numFmtId="0" fontId="88" fillId="0" borderId="50" xfId="72" applyFont="1" applyBorder="1" applyAlignment="1">
      <alignment horizontal="center" vertical="center"/>
    </xf>
    <xf numFmtId="0" fontId="88" fillId="0" borderId="20" xfId="72" applyFont="1" applyBorder="1" applyAlignment="1">
      <alignment horizontal="center" vertical="center"/>
    </xf>
    <xf numFmtId="0" fontId="88" fillId="0" borderId="24" xfId="72" applyFont="1" applyBorder="1" applyAlignment="1">
      <alignment horizontal="center" vertical="center"/>
    </xf>
    <xf numFmtId="0" fontId="87" fillId="0" borderId="11" xfId="72" applyFont="1" applyBorder="1" applyAlignment="1">
      <alignment horizontal="center" vertical="center"/>
    </xf>
    <xf numFmtId="0" fontId="87" fillId="0" borderId="16" xfId="72" applyFont="1" applyBorder="1" applyAlignment="1">
      <alignment horizontal="center" vertical="center"/>
    </xf>
    <xf numFmtId="0" fontId="87" fillId="0" borderId="192" xfId="72" applyFont="1" applyBorder="1" applyAlignment="1">
      <alignment horizontal="center" vertical="center"/>
    </xf>
    <xf numFmtId="0" fontId="87" fillId="0" borderId="187" xfId="72" applyFont="1" applyBorder="1" applyAlignment="1">
      <alignment horizontal="center" vertical="center"/>
    </xf>
    <xf numFmtId="0" fontId="146" fillId="35" borderId="63" xfId="74" applyFont="1" applyFill="1" applyBorder="1" applyAlignment="1">
      <alignment horizontal="right" vertical="center" shrinkToFit="1"/>
    </xf>
    <xf numFmtId="0" fontId="146" fillId="35" borderId="64" xfId="74" applyFont="1" applyFill="1" applyBorder="1" applyAlignment="1">
      <alignment horizontal="right" vertical="center" shrinkToFit="1"/>
    </xf>
    <xf numFmtId="0" fontId="145" fillId="35" borderId="134" xfId="74" applyFont="1" applyFill="1" applyBorder="1" applyAlignment="1">
      <alignment horizontal="left" vertical="center" shrinkToFit="1"/>
    </xf>
    <xf numFmtId="0" fontId="145" fillId="35" borderId="57" xfId="74" applyFont="1" applyFill="1" applyBorder="1" applyAlignment="1">
      <alignment horizontal="left" vertical="center" shrinkToFit="1"/>
    </xf>
    <xf numFmtId="0" fontId="143" fillId="0" borderId="15" xfId="74" applyFont="1" applyBorder="1" applyAlignment="1" applyProtection="1">
      <alignment horizontal="center" vertical="center" shrinkToFit="1"/>
      <protection locked="0"/>
    </xf>
    <xf numFmtId="0" fontId="143" fillId="0" borderId="149" xfId="74" applyFont="1" applyBorder="1" applyAlignment="1" applyProtection="1">
      <alignment horizontal="center" vertical="center" shrinkToFit="1"/>
      <protection locked="0"/>
    </xf>
    <xf numFmtId="0" fontId="143" fillId="0" borderId="33" xfId="74" applyFont="1" applyBorder="1" applyAlignment="1" applyProtection="1">
      <alignment horizontal="center" vertical="center" shrinkToFit="1"/>
      <protection locked="0"/>
    </xf>
    <xf numFmtId="0" fontId="143" fillId="0" borderId="67" xfId="74" applyFont="1" applyBorder="1" applyAlignment="1" applyProtection="1">
      <alignment horizontal="center" vertical="center" shrinkToFit="1"/>
      <protection locked="0"/>
    </xf>
    <xf numFmtId="0" fontId="145" fillId="0" borderId="19" xfId="74" applyFont="1" applyBorder="1" applyAlignment="1">
      <alignment horizontal="center" vertical="center" shrinkToFit="1"/>
    </xf>
    <xf numFmtId="0" fontId="146" fillId="0" borderId="64" xfId="74" applyFont="1" applyBorder="1" applyAlignment="1">
      <alignment horizontal="right" vertical="center" shrinkToFit="1"/>
    </xf>
    <xf numFmtId="0" fontId="145" fillId="0" borderId="60" xfId="74" applyFont="1" applyBorder="1" applyAlignment="1">
      <alignment horizontal="left" vertical="center" shrinkToFit="1"/>
    </xf>
    <xf numFmtId="0" fontId="145" fillId="35" borderId="122" xfId="74" applyFont="1" applyFill="1" applyBorder="1" applyAlignment="1">
      <alignment horizontal="center" vertical="center" shrinkToFit="1"/>
    </xf>
    <xf numFmtId="0" fontId="145" fillId="35" borderId="134" xfId="74" applyFont="1" applyFill="1" applyBorder="1" applyAlignment="1">
      <alignment horizontal="center" vertical="center" shrinkToFit="1"/>
    </xf>
    <xf numFmtId="0" fontId="145" fillId="35" borderId="172" xfId="74" applyFont="1" applyFill="1" applyBorder="1" applyAlignment="1">
      <alignment horizontal="center" vertical="center" shrinkToFit="1"/>
    </xf>
    <xf numFmtId="0" fontId="145" fillId="35" borderId="57" xfId="74" applyFont="1" applyFill="1" applyBorder="1" applyAlignment="1">
      <alignment horizontal="center" vertical="center" shrinkToFit="1"/>
    </xf>
    <xf numFmtId="0" fontId="145" fillId="0" borderId="57" xfId="74" applyFont="1" applyBorder="1" applyAlignment="1">
      <alignment horizontal="center" vertical="center" shrinkToFit="1"/>
    </xf>
    <xf numFmtId="0" fontId="139" fillId="0" borderId="15" xfId="74" applyFont="1" applyBorder="1" applyAlignment="1" applyProtection="1">
      <alignment horizontal="center" vertical="center" shrinkToFit="1"/>
      <protection locked="0"/>
    </xf>
    <xf numFmtId="0" fontId="139" fillId="0" borderId="149" xfId="74" applyFont="1" applyBorder="1" applyAlignment="1" applyProtection="1">
      <alignment horizontal="center" vertical="center" shrinkToFit="1"/>
      <protection locked="0"/>
    </xf>
    <xf numFmtId="0" fontId="141" fillId="0" borderId="18" xfId="74" applyFont="1" applyBorder="1" applyAlignment="1" applyProtection="1">
      <alignment horizontal="center" vertical="center" shrinkToFit="1"/>
      <protection locked="0"/>
    </xf>
    <xf numFmtId="0" fontId="139" fillId="0" borderId="150" xfId="74" applyFont="1" applyBorder="1" applyAlignment="1" applyProtection="1">
      <alignment horizontal="center" vertical="center" shrinkToFit="1"/>
      <protection locked="0"/>
    </xf>
    <xf numFmtId="0" fontId="142" fillId="0" borderId="15" xfId="74" applyFont="1" applyBorder="1" applyAlignment="1" applyProtection="1">
      <alignment horizontal="center" vertical="center" shrinkToFit="1"/>
      <protection locked="0"/>
    </xf>
    <xf numFmtId="0" fontId="141" fillId="0" borderId="15" xfId="74" applyFont="1" applyBorder="1" applyAlignment="1" applyProtection="1">
      <alignment horizontal="center" vertical="center" shrinkToFit="1"/>
      <protection locked="0"/>
    </xf>
    <xf numFmtId="0" fontId="139" fillId="0" borderId="33" xfId="74" applyFont="1" applyBorder="1" applyAlignment="1" applyProtection="1">
      <alignment horizontal="center" vertical="center" shrinkToFit="1"/>
      <protection locked="0"/>
    </xf>
    <xf numFmtId="0" fontId="139" fillId="0" borderId="67" xfId="74" applyFont="1" applyBorder="1" applyAlignment="1" applyProtection="1">
      <alignment horizontal="center" vertical="center" shrinkToFit="1"/>
      <protection locked="0"/>
    </xf>
    <xf numFmtId="0" fontId="86" fillId="0" borderId="199" xfId="72" applyFont="1" applyBorder="1" applyAlignment="1">
      <alignment horizontal="center" vertical="center" shrinkToFit="1"/>
    </xf>
    <xf numFmtId="0" fontId="137" fillId="0" borderId="195" xfId="74" applyFont="1" applyBorder="1" applyAlignment="1">
      <alignment horizontal="center" vertical="center" shrinkToFit="1"/>
    </xf>
    <xf numFmtId="0" fontId="137" fillId="0" borderId="183" xfId="74" applyFont="1" applyBorder="1" applyAlignment="1">
      <alignment horizontal="center" vertical="center" shrinkToFit="1"/>
    </xf>
    <xf numFmtId="0" fontId="137" fillId="0" borderId="191" xfId="74" applyFont="1" applyBorder="1" applyAlignment="1">
      <alignment horizontal="center" vertical="center" shrinkToFit="1"/>
    </xf>
    <xf numFmtId="0" fontId="86" fillId="0" borderId="200" xfId="72" applyFont="1" applyBorder="1" applyAlignment="1">
      <alignment horizontal="center" vertical="center" shrinkToFit="1"/>
    </xf>
    <xf numFmtId="0" fontId="86" fillId="0" borderId="196" xfId="72" applyFont="1" applyBorder="1" applyAlignment="1">
      <alignment horizontal="center" vertical="center"/>
    </xf>
    <xf numFmtId="0" fontId="86" fillId="0" borderId="50" xfId="72" applyFont="1" applyBorder="1" applyAlignment="1">
      <alignment horizontal="center" vertical="center"/>
    </xf>
    <xf numFmtId="0" fontId="86" fillId="0" borderId="144" xfId="72" applyFont="1" applyBorder="1" applyAlignment="1">
      <alignment horizontal="center" vertical="center" shrinkToFit="1"/>
    </xf>
    <xf numFmtId="0" fontId="86" fillId="0" borderId="63" xfId="72" applyFont="1" applyBorder="1" applyAlignment="1">
      <alignment horizontal="center" vertical="center" shrinkToFit="1"/>
    </xf>
    <xf numFmtId="0" fontId="86" fillId="0" borderId="137" xfId="72" applyFont="1" applyBorder="1" applyAlignment="1">
      <alignment horizontal="center" vertical="center" shrinkToFit="1"/>
    </xf>
    <xf numFmtId="0" fontId="86" fillId="0" borderId="198" xfId="72" applyFont="1" applyBorder="1" applyAlignment="1">
      <alignment horizontal="center" vertical="center" shrinkToFit="1"/>
    </xf>
    <xf numFmtId="0" fontId="86" fillId="0" borderId="64" xfId="72" applyFont="1" applyBorder="1" applyAlignment="1">
      <alignment horizontal="center" vertical="center" shrinkToFit="1"/>
    </xf>
    <xf numFmtId="0" fontId="86" fillId="0" borderId="201" xfId="72" applyFont="1" applyBorder="1" applyAlignment="1">
      <alignment horizontal="center" vertical="center" shrinkToFit="1"/>
    </xf>
    <xf numFmtId="0" fontId="89" fillId="0" borderId="196" xfId="72" applyFont="1" applyBorder="1" applyAlignment="1">
      <alignment horizontal="center" vertical="center"/>
    </xf>
    <xf numFmtId="20" fontId="89" fillId="0" borderId="187" xfId="72" applyNumberFormat="1" applyFont="1" applyBorder="1" applyAlignment="1">
      <alignment horizontal="center" vertical="center"/>
    </xf>
    <xf numFmtId="20" fontId="89" fillId="0" borderId="173" xfId="72" applyNumberFormat="1" applyFont="1" applyBorder="1" applyAlignment="1">
      <alignment horizontal="center" vertical="center"/>
    </xf>
    <xf numFmtId="20" fontId="89" fillId="0" borderId="196" xfId="72" applyNumberFormat="1" applyFont="1" applyBorder="1" applyAlignment="1">
      <alignment horizontal="center" vertical="center"/>
    </xf>
    <xf numFmtId="20" fontId="89" fillId="0" borderId="202" xfId="72" applyNumberFormat="1" applyFont="1" applyBorder="1" applyAlignment="1">
      <alignment horizontal="center" vertical="center"/>
    </xf>
    <xf numFmtId="20" fontId="89" fillId="0" borderId="24" xfId="72" applyNumberFormat="1" applyFont="1" applyBorder="1" applyAlignment="1">
      <alignment horizontal="center" vertical="center"/>
    </xf>
    <xf numFmtId="0" fontId="86" fillId="0" borderId="121" xfId="72" applyFont="1" applyBorder="1" applyAlignment="1">
      <alignment horizontal="center" vertical="center" shrinkToFit="1"/>
    </xf>
    <xf numFmtId="0" fontId="86" fillId="0" borderId="123" xfId="72" applyFont="1" applyBorder="1" applyAlignment="1">
      <alignment horizontal="center" vertical="center" shrinkToFit="1"/>
    </xf>
    <xf numFmtId="0" fontId="86" fillId="0" borderId="139" xfId="72" applyFont="1" applyBorder="1" applyAlignment="1">
      <alignment horizontal="center" vertical="center" shrinkToFit="1"/>
    </xf>
    <xf numFmtId="0" fontId="88" fillId="0" borderId="196" xfId="72" applyFont="1" applyBorder="1" applyAlignment="1">
      <alignment horizontal="center" vertical="center"/>
    </xf>
    <xf numFmtId="0" fontId="87" fillId="0" borderId="197" xfId="72" applyFont="1" applyBorder="1" applyAlignment="1">
      <alignment horizontal="center" vertical="center"/>
    </xf>
    <xf numFmtId="0" fontId="67" fillId="0" borderId="0" xfId="56" applyFont="1" applyAlignment="1">
      <alignment horizontal="left" vertical="center" shrinkToFit="1"/>
    </xf>
    <xf numFmtId="0" fontId="83" fillId="0" borderId="47" xfId="74" applyFont="1" applyBorder="1" applyAlignment="1">
      <alignment horizontal="center" vertical="center"/>
    </xf>
    <xf numFmtId="0" fontId="83" fillId="0" borderId="51" xfId="74" applyFont="1" applyBorder="1" applyAlignment="1">
      <alignment horizontal="center" vertical="center"/>
    </xf>
    <xf numFmtId="0" fontId="83" fillId="0" borderId="48" xfId="74" applyFont="1" applyBorder="1" applyAlignment="1">
      <alignment horizontal="center" vertical="center"/>
    </xf>
    <xf numFmtId="0" fontId="83" fillId="0" borderId="55" xfId="74" applyFont="1" applyBorder="1" applyAlignment="1">
      <alignment horizontal="center" vertical="center"/>
    </xf>
    <xf numFmtId="0" fontId="83" fillId="0" borderId="17" xfId="74" applyFont="1" applyBorder="1" applyAlignment="1">
      <alignment horizontal="center" vertical="center"/>
    </xf>
    <xf numFmtId="0" fontId="83" fillId="0" borderId="33" xfId="74" applyFont="1" applyBorder="1" applyAlignment="1">
      <alignment horizontal="center" vertical="center"/>
    </xf>
    <xf numFmtId="0" fontId="91" fillId="0" borderId="17" xfId="74" applyFont="1" applyBorder="1" applyAlignment="1">
      <alignment horizontal="center" vertical="center" wrapText="1"/>
    </xf>
    <xf numFmtId="0" fontId="91" fillId="0" borderId="33" xfId="74" applyFont="1" applyBorder="1" applyAlignment="1">
      <alignment horizontal="center" vertical="center"/>
    </xf>
    <xf numFmtId="0" fontId="91" fillId="0" borderId="227" xfId="74" applyFont="1" applyBorder="1" applyAlignment="1">
      <alignment horizontal="center" vertical="center"/>
    </xf>
    <xf numFmtId="0" fontId="91" fillId="0" borderId="19" xfId="74" applyFont="1" applyBorder="1" applyAlignment="1">
      <alignment horizontal="center" vertical="center"/>
    </xf>
    <xf numFmtId="0" fontId="68" fillId="0" borderId="18" xfId="74" applyFont="1" applyBorder="1" applyAlignment="1">
      <alignment horizontal="center" vertical="center" shrinkToFit="1"/>
    </xf>
    <xf numFmtId="0" fontId="68" fillId="0" borderId="15" xfId="74" applyFont="1" applyBorder="1" applyAlignment="1">
      <alignment horizontal="center" vertical="center" shrinkToFit="1"/>
    </xf>
    <xf numFmtId="0" fontId="68" fillId="0" borderId="33" xfId="74" applyFont="1" applyBorder="1" applyAlignment="1">
      <alignment horizontal="center" vertical="center" shrinkToFit="1"/>
    </xf>
    <xf numFmtId="0" fontId="67" fillId="0" borderId="96" xfId="56" applyFont="1" applyBorder="1" applyAlignment="1">
      <alignment horizontal="center" vertical="center" shrinkToFit="1"/>
    </xf>
    <xf numFmtId="0" fontId="67" fillId="0" borderId="0" xfId="56" applyFont="1" applyAlignment="1">
      <alignment horizontal="center" vertical="center" shrinkToFit="1"/>
    </xf>
    <xf numFmtId="0" fontId="67" fillId="0" borderId="48" xfId="56" applyFont="1" applyBorder="1" applyAlignment="1">
      <alignment horizontal="center" vertical="center" shrinkToFit="1"/>
    </xf>
    <xf numFmtId="0" fontId="67" fillId="0" borderId="55" xfId="56" applyFont="1" applyBorder="1" applyAlignment="1">
      <alignment horizontal="center" vertical="center" shrinkToFit="1"/>
    </xf>
    <xf numFmtId="178" fontId="82" fillId="0" borderId="18" xfId="74" applyNumberFormat="1" applyFont="1" applyBorder="1" applyAlignment="1">
      <alignment horizontal="center" vertical="center" shrinkToFit="1"/>
    </xf>
    <xf numFmtId="178" fontId="82" fillId="0" borderId="15" xfId="74" applyNumberFormat="1" applyFont="1" applyBorder="1" applyAlignment="1">
      <alignment horizontal="center" vertical="center" shrinkToFit="1"/>
    </xf>
    <xf numFmtId="178" fontId="82" fillId="0" borderId="33" xfId="74" applyNumberFormat="1" applyFont="1" applyBorder="1" applyAlignment="1">
      <alignment horizontal="center" vertical="center" shrinkToFit="1"/>
    </xf>
    <xf numFmtId="178" fontId="96" fillId="38" borderId="234" xfId="56" applyNumberFormat="1" applyFont="1" applyFill="1" applyBorder="1" applyAlignment="1">
      <alignment horizontal="center" vertical="center" shrinkToFit="1"/>
    </xf>
    <xf numFmtId="178" fontId="96" fillId="38" borderId="156" xfId="56" applyNumberFormat="1" applyFont="1" applyFill="1" applyBorder="1" applyAlignment="1">
      <alignment horizontal="center" vertical="center" shrinkToFit="1"/>
    </xf>
    <xf numFmtId="178" fontId="96" fillId="38" borderId="235" xfId="56" applyNumberFormat="1" applyFont="1" applyFill="1" applyBorder="1" applyAlignment="1">
      <alignment horizontal="center" vertical="center" shrinkToFit="1"/>
    </xf>
    <xf numFmtId="0" fontId="68" fillId="0" borderId="217" xfId="56" applyFont="1" applyBorder="1" applyAlignment="1">
      <alignment horizontal="center" vertical="center" shrinkToFit="1"/>
    </xf>
    <xf numFmtId="0" fontId="68" fillId="0" borderId="118" xfId="56" applyFont="1" applyBorder="1" applyAlignment="1">
      <alignment horizontal="center" vertical="center" shrinkToFit="1"/>
    </xf>
    <xf numFmtId="0" fontId="68" fillId="0" borderId="216" xfId="56" applyFont="1" applyBorder="1" applyAlignment="1">
      <alignment horizontal="center" vertical="center" shrinkToFit="1"/>
    </xf>
    <xf numFmtId="0" fontId="68" fillId="0" borderId="221" xfId="56" applyFont="1" applyBorder="1" applyAlignment="1">
      <alignment horizontal="center" vertical="center" shrinkToFit="1"/>
    </xf>
    <xf numFmtId="0" fontId="68" fillId="0" borderId="226" xfId="56" applyFont="1" applyBorder="1" applyAlignment="1">
      <alignment horizontal="center" vertical="center" shrinkToFit="1"/>
    </xf>
    <xf numFmtId="0" fontId="68" fillId="0" borderId="225" xfId="56" applyFont="1" applyBorder="1" applyAlignment="1">
      <alignment horizontal="center" vertical="center" shrinkToFit="1"/>
    </xf>
    <xf numFmtId="0" fontId="68" fillId="0" borderId="172" xfId="56" applyFont="1" applyBorder="1" applyAlignment="1">
      <alignment horizontal="center" vertical="center" shrinkToFit="1"/>
    </xf>
    <xf numFmtId="0" fontId="68" fillId="0" borderId="57" xfId="56" applyFont="1" applyBorder="1" applyAlignment="1">
      <alignment horizontal="center" vertical="center" shrinkToFit="1"/>
    </xf>
    <xf numFmtId="0" fontId="68" fillId="0" borderId="122" xfId="56" applyFont="1" applyBorder="1" applyAlignment="1">
      <alignment horizontal="center" vertical="center" shrinkToFit="1"/>
    </xf>
    <xf numFmtId="0" fontId="68" fillId="0" borderId="79" xfId="56" applyFont="1" applyBorder="1" applyAlignment="1">
      <alignment horizontal="center" vertical="center" shrinkToFit="1"/>
    </xf>
    <xf numFmtId="0" fontId="68" fillId="0" borderId="134" xfId="56" applyFont="1" applyBorder="1" applyAlignment="1">
      <alignment horizontal="center" vertical="center" shrinkToFit="1"/>
    </xf>
    <xf numFmtId="0" fontId="68" fillId="0" borderId="228" xfId="56" applyFont="1" applyBorder="1" applyAlignment="1">
      <alignment horizontal="center" vertical="center" shrinkToFit="1"/>
    </xf>
    <xf numFmtId="0" fontId="68" fillId="0" borderId="230" xfId="56" applyFont="1" applyBorder="1" applyAlignment="1">
      <alignment horizontal="center" vertical="center" shrinkToFit="1"/>
    </xf>
    <xf numFmtId="0" fontId="68" fillId="0" borderId="232" xfId="56" applyFont="1" applyBorder="1" applyAlignment="1">
      <alignment horizontal="center" vertical="center" shrinkToFit="1"/>
    </xf>
    <xf numFmtId="0" fontId="68" fillId="0" borderId="214" xfId="56" applyFont="1" applyBorder="1" applyAlignment="1">
      <alignment horizontal="center" vertical="center" shrinkToFit="1"/>
    </xf>
    <xf numFmtId="0" fontId="68" fillId="0" borderId="219" xfId="56" applyFont="1" applyBorder="1" applyAlignment="1">
      <alignment horizontal="center" vertical="center" shrinkToFit="1"/>
    </xf>
    <xf numFmtId="0" fontId="68" fillId="0" borderId="223" xfId="56" applyFont="1" applyBorder="1" applyAlignment="1">
      <alignment horizontal="center" vertical="center" shrinkToFit="1"/>
    </xf>
    <xf numFmtId="0" fontId="68" fillId="0" borderId="229" xfId="56" applyFont="1" applyBorder="1" applyAlignment="1">
      <alignment horizontal="center" vertical="center" shrinkToFit="1"/>
    </xf>
    <xf numFmtId="0" fontId="68" fillId="0" borderId="231" xfId="56" applyFont="1" applyBorder="1" applyAlignment="1">
      <alignment horizontal="center" vertical="center" shrinkToFit="1"/>
    </xf>
    <xf numFmtId="0" fontId="68" fillId="0" borderId="233" xfId="56" applyFont="1" applyBorder="1" applyAlignment="1">
      <alignment horizontal="center" vertical="center" shrinkToFit="1"/>
    </xf>
    <xf numFmtId="178" fontId="96" fillId="38" borderId="150" xfId="56" applyNumberFormat="1" applyFont="1" applyFill="1" applyBorder="1" applyAlignment="1">
      <alignment horizontal="center" vertical="center" shrinkToFit="1"/>
    </xf>
    <xf numFmtId="0" fontId="67" fillId="0" borderId="80" xfId="56" applyFont="1" applyBorder="1" applyAlignment="1">
      <alignment horizontal="center" vertical="center" shrinkToFit="1"/>
    </xf>
    <xf numFmtId="0" fontId="68" fillId="0" borderId="123" xfId="56" applyFont="1" applyBorder="1" applyAlignment="1">
      <alignment horizontal="center" vertical="center" shrinkToFit="1"/>
    </xf>
    <xf numFmtId="0" fontId="68" fillId="0" borderId="135" xfId="56" applyFont="1" applyBorder="1" applyAlignment="1">
      <alignment horizontal="center" vertical="center" shrinkToFit="1"/>
    </xf>
    <xf numFmtId="0" fontId="67" fillId="0" borderId="157" xfId="56" applyFont="1" applyBorder="1" applyAlignment="1">
      <alignment horizontal="center" vertical="center" shrinkToFit="1"/>
    </xf>
    <xf numFmtId="0" fontId="67" fillId="0" borderId="79" xfId="56" applyFont="1" applyBorder="1" applyAlignment="1">
      <alignment horizontal="center" vertical="center" shrinkToFit="1"/>
    </xf>
    <xf numFmtId="0" fontId="67" fillId="0" borderId="49" xfId="56" applyFont="1" applyBorder="1" applyAlignment="1">
      <alignment horizontal="center" vertical="center" shrinkToFit="1"/>
    </xf>
    <xf numFmtId="0" fontId="68" fillId="0" borderId="218" xfId="56" applyFont="1" applyBorder="1" applyAlignment="1">
      <alignment horizontal="center" vertical="center" shrinkToFit="1"/>
    </xf>
    <xf numFmtId="0" fontId="68" fillId="0" borderId="220" xfId="56" applyFont="1" applyBorder="1" applyAlignment="1">
      <alignment horizontal="center" vertical="center" shrinkToFit="1"/>
    </xf>
    <xf numFmtId="0" fontId="67" fillId="0" borderId="17" xfId="56" applyFont="1" applyBorder="1" applyAlignment="1">
      <alignment horizontal="center" vertical="center" wrapText="1" shrinkToFit="1"/>
    </xf>
    <xf numFmtId="0" fontId="67" fillId="0" borderId="17" xfId="56" applyFont="1" applyBorder="1" applyAlignment="1">
      <alignment horizontal="center" vertical="center" shrinkToFit="1"/>
    </xf>
    <xf numFmtId="0" fontId="67" fillId="0" borderId="15" xfId="56" applyFont="1" applyBorder="1" applyAlignment="1">
      <alignment horizontal="center" vertical="center" shrinkToFit="1"/>
    </xf>
    <xf numFmtId="0" fontId="67" fillId="38" borderId="148" xfId="56" applyFont="1" applyFill="1" applyBorder="1" applyAlignment="1">
      <alignment horizontal="center" vertical="center" wrapText="1" shrinkToFit="1"/>
    </xf>
    <xf numFmtId="0" fontId="67" fillId="38" borderId="156" xfId="56" applyFont="1" applyFill="1" applyBorder="1" applyAlignment="1">
      <alignment horizontal="center" vertical="center" wrapText="1" shrinkToFit="1"/>
    </xf>
    <xf numFmtId="0" fontId="67" fillId="38" borderId="150" xfId="56" applyFont="1" applyFill="1" applyBorder="1" applyAlignment="1">
      <alignment horizontal="center" vertical="center" wrapText="1" shrinkToFit="1"/>
    </xf>
    <xf numFmtId="0" fontId="68" fillId="0" borderId="213" xfId="56" applyFont="1" applyBorder="1" applyAlignment="1">
      <alignment horizontal="center" vertical="center" shrinkToFit="1"/>
    </xf>
    <xf numFmtId="0" fontId="68" fillId="0" borderId="222" xfId="56" applyFont="1" applyBorder="1" applyAlignment="1">
      <alignment horizontal="center" vertical="center" shrinkToFit="1"/>
    </xf>
    <xf numFmtId="0" fontId="68" fillId="0" borderId="215" xfId="56" applyFont="1" applyBorder="1" applyAlignment="1">
      <alignment horizontal="center" vertical="center" shrinkToFit="1"/>
    </xf>
    <xf numFmtId="0" fontId="68" fillId="0" borderId="224" xfId="56" applyFont="1" applyBorder="1" applyAlignment="1">
      <alignment horizontal="center" vertical="center" shrinkToFit="1"/>
    </xf>
    <xf numFmtId="0" fontId="67" fillId="0" borderId="47" xfId="56" applyFont="1" applyBorder="1" applyAlignment="1">
      <alignment horizontal="center" vertical="center" shrinkToFit="1"/>
    </xf>
    <xf numFmtId="0" fontId="67" fillId="0" borderId="51" xfId="56" applyFont="1" applyBorder="1" applyAlignment="1">
      <alignment horizontal="center" vertical="center" shrinkToFit="1"/>
    </xf>
    <xf numFmtId="0" fontId="67" fillId="0" borderId="56" xfId="56" applyFont="1" applyBorder="1" applyAlignment="1">
      <alignment horizontal="center" vertical="center" shrinkToFit="1"/>
    </xf>
    <xf numFmtId="0" fontId="67" fillId="0" borderId="141" xfId="56" applyFont="1" applyBorder="1" applyAlignment="1">
      <alignment horizontal="center" vertical="center" shrinkToFit="1"/>
    </xf>
    <xf numFmtId="0" fontId="67" fillId="0" borderId="135" xfId="56" applyFont="1" applyBorder="1" applyAlignment="1">
      <alignment horizontal="center" vertical="center" shrinkToFit="1"/>
    </xf>
    <xf numFmtId="0" fontId="93" fillId="0" borderId="0" xfId="56" applyFont="1" applyAlignment="1">
      <alignment horizontal="center" vertical="center" shrinkToFit="1"/>
    </xf>
    <xf numFmtId="0" fontId="67" fillId="29" borderId="0" xfId="0" applyFont="1" applyFill="1" applyAlignment="1">
      <alignment horizontal="center" vertical="center"/>
    </xf>
    <xf numFmtId="0" fontId="67" fillId="0" borderId="0" xfId="0" applyFont="1" applyAlignment="1">
      <alignment horizontal="left" vertical="center"/>
    </xf>
    <xf numFmtId="0" fontId="67" fillId="29" borderId="80" xfId="0" applyFont="1" applyFill="1" applyBorder="1" applyAlignment="1">
      <alignment horizontal="center" vertical="center"/>
    </xf>
    <xf numFmtId="0" fontId="67" fillId="0" borderId="15" xfId="56" applyFont="1" applyBorder="1" applyAlignment="1">
      <alignment horizontal="center" vertical="center" wrapText="1" shrinkToFit="1"/>
    </xf>
    <xf numFmtId="0" fontId="67" fillId="0" borderId="122" xfId="56" applyFont="1" applyBorder="1" applyAlignment="1">
      <alignment horizontal="center" vertical="center" shrinkToFit="1"/>
    </xf>
    <xf numFmtId="0" fontId="67" fillId="0" borderId="87" xfId="56" applyFont="1" applyBorder="1" applyAlignment="1">
      <alignment horizontal="center" vertical="center" shrinkToFit="1"/>
    </xf>
    <xf numFmtId="0" fontId="93" fillId="26" borderId="79" xfId="56" applyFont="1" applyFill="1" applyBorder="1" applyAlignment="1">
      <alignment horizontal="center" vertical="center" shrinkToFit="1"/>
    </xf>
    <xf numFmtId="0" fontId="93" fillId="26" borderId="0" xfId="56" applyFont="1" applyFill="1" applyAlignment="1">
      <alignment horizontal="center" vertical="center" shrinkToFit="1"/>
    </xf>
    <xf numFmtId="0" fontId="67" fillId="0" borderId="134" xfId="56" applyFont="1" applyBorder="1" applyAlignment="1">
      <alignment horizontal="center" vertical="center" shrinkToFit="1"/>
    </xf>
    <xf numFmtId="0" fontId="67" fillId="0" borderId="117" xfId="56" applyFont="1" applyBorder="1" applyAlignment="1">
      <alignment horizontal="center" vertical="center" wrapText="1" shrinkToFit="1"/>
    </xf>
    <xf numFmtId="0" fontId="67" fillId="0" borderId="119" xfId="56" applyFont="1" applyBorder="1" applyAlignment="1">
      <alignment horizontal="center" vertical="center" shrinkToFit="1"/>
    </xf>
    <xf numFmtId="0" fontId="67" fillId="0" borderId="19" xfId="56" applyFont="1" applyBorder="1" applyAlignment="1">
      <alignment horizontal="center" vertical="center" shrinkToFit="1"/>
    </xf>
    <xf numFmtId="0" fontId="67" fillId="0" borderId="122" xfId="56" applyFont="1" applyBorder="1" applyAlignment="1">
      <alignment horizontal="center" vertical="center" wrapText="1" shrinkToFit="1"/>
    </xf>
    <xf numFmtId="0" fontId="67" fillId="0" borderId="87" xfId="56" applyFont="1" applyBorder="1" applyAlignment="1">
      <alignment horizontal="center" vertical="center" wrapText="1" shrinkToFit="1"/>
    </xf>
    <xf numFmtId="0" fontId="67" fillId="0" borderId="172" xfId="56" applyFont="1" applyBorder="1" applyAlignment="1">
      <alignment horizontal="center" vertical="center" wrapText="1" shrinkToFit="1"/>
    </xf>
    <xf numFmtId="0" fontId="93" fillId="26" borderId="55" xfId="56" applyFont="1" applyFill="1" applyBorder="1" applyAlignment="1">
      <alignment horizontal="center" vertical="center" shrinkToFit="1"/>
    </xf>
    <xf numFmtId="0" fontId="67" fillId="0" borderId="57" xfId="56" applyFont="1" applyBorder="1" applyAlignment="1">
      <alignment horizontal="center" vertical="center" shrinkToFit="1"/>
    </xf>
    <xf numFmtId="0" fontId="67" fillId="0" borderId="209" xfId="56" applyFont="1" applyBorder="1" applyAlignment="1">
      <alignment horizontal="center" vertical="center" shrinkToFit="1"/>
    </xf>
    <xf numFmtId="0" fontId="67" fillId="0" borderId="209" xfId="56" applyFont="1" applyBorder="1" applyAlignment="1">
      <alignment horizontal="left" vertical="center" shrinkToFit="1"/>
    </xf>
    <xf numFmtId="0" fontId="67" fillId="0" borderId="210" xfId="56" applyFont="1" applyBorder="1" applyAlignment="1">
      <alignment horizontal="left" vertical="center" shrinkToFit="1"/>
    </xf>
    <xf numFmtId="0" fontId="67" fillId="0" borderId="123" xfId="56" applyFont="1" applyBorder="1" applyAlignment="1">
      <alignment horizontal="center" vertical="center" shrinkToFit="1"/>
    </xf>
    <xf numFmtId="0" fontId="67" fillId="0" borderId="32" xfId="56" applyFont="1" applyBorder="1" applyAlignment="1">
      <alignment horizontal="left" vertical="center" shrinkToFit="1"/>
    </xf>
    <xf numFmtId="0" fontId="95" fillId="26" borderId="43" xfId="56" applyFont="1" applyFill="1" applyBorder="1" applyAlignment="1">
      <alignment horizontal="center" vertical="center" shrinkToFit="1"/>
    </xf>
    <xf numFmtId="0" fontId="67" fillId="0" borderId="50" xfId="56" applyFont="1" applyBorder="1" applyAlignment="1">
      <alignment horizontal="center" vertical="center" shrinkToFit="1"/>
    </xf>
    <xf numFmtId="0" fontId="67" fillId="0" borderId="20" xfId="56" applyFont="1" applyBorder="1" applyAlignment="1">
      <alignment horizontal="center" vertical="center" shrinkToFit="1"/>
    </xf>
    <xf numFmtId="0" fontId="67" fillId="0" borderId="24" xfId="56" applyFont="1" applyBorder="1" applyAlignment="1">
      <alignment horizontal="center" vertical="center" shrinkToFit="1"/>
    </xf>
    <xf numFmtId="0" fontId="67" fillId="26" borderId="43" xfId="56" applyFont="1" applyFill="1" applyBorder="1" applyAlignment="1">
      <alignment horizontal="center" vertical="center" shrinkToFit="1"/>
    </xf>
    <xf numFmtId="0" fontId="67" fillId="0" borderId="51" xfId="56" applyFont="1" applyBorder="1" applyAlignment="1">
      <alignment horizontal="left" vertical="center" shrinkToFit="1"/>
    </xf>
    <xf numFmtId="0" fontId="67" fillId="0" borderId="114" xfId="56" applyFont="1" applyBorder="1" applyAlignment="1">
      <alignment horizontal="left" vertical="center" shrinkToFit="1"/>
    </xf>
    <xf numFmtId="0" fontId="95" fillId="26" borderId="41" xfId="56" applyFont="1" applyFill="1" applyBorder="1" applyAlignment="1">
      <alignment horizontal="center" vertical="center" shrinkToFit="1"/>
    </xf>
    <xf numFmtId="0" fontId="67" fillId="0" borderId="41" xfId="56" applyFont="1" applyBorder="1" applyAlignment="1">
      <alignment horizontal="center" vertical="center" shrinkToFit="1"/>
    </xf>
    <xf numFmtId="0" fontId="67" fillId="26" borderId="41" xfId="56" applyFont="1" applyFill="1" applyBorder="1" applyAlignment="1">
      <alignment horizontal="center" vertical="center" shrinkToFit="1"/>
    </xf>
    <xf numFmtId="0" fontId="95" fillId="26" borderId="42" xfId="56" applyFont="1" applyFill="1" applyBorder="1" applyAlignment="1">
      <alignment horizontal="center" vertical="center" shrinkToFit="1"/>
    </xf>
    <xf numFmtId="0" fontId="67" fillId="26" borderId="42" xfId="56" applyFont="1" applyFill="1" applyBorder="1" applyAlignment="1">
      <alignment horizontal="center" vertical="center" shrinkToFit="1"/>
    </xf>
    <xf numFmtId="0" fontId="67" fillId="0" borderId="172" xfId="56" applyFont="1" applyBorder="1" applyAlignment="1">
      <alignment horizontal="center" vertical="center" shrinkToFit="1"/>
    </xf>
    <xf numFmtId="0" fontId="67" fillId="0" borderId="89" xfId="0" applyFont="1" applyBorder="1" applyAlignment="1">
      <alignment horizontal="center" vertical="center"/>
    </xf>
    <xf numFmtId="0" fontId="67" fillId="0" borderId="75" xfId="0" applyFont="1" applyBorder="1" applyAlignment="1">
      <alignment horizontal="center" vertical="center"/>
    </xf>
    <xf numFmtId="0" fontId="67" fillId="0" borderId="90" xfId="0" applyFont="1" applyBorder="1" applyAlignment="1">
      <alignment horizontal="center" vertical="center"/>
    </xf>
    <xf numFmtId="0" fontId="67" fillId="0" borderId="73" xfId="0" applyFont="1" applyBorder="1" applyAlignment="1">
      <alignment horizontal="center" vertical="center"/>
    </xf>
    <xf numFmtId="0" fontId="67" fillId="0" borderId="88" xfId="0" applyFont="1" applyBorder="1" applyAlignment="1">
      <alignment horizontal="center" vertical="center"/>
    </xf>
    <xf numFmtId="0" fontId="67" fillId="0" borderId="102" xfId="0" applyFont="1" applyBorder="1" applyAlignment="1">
      <alignment horizontal="center" vertical="center"/>
    </xf>
    <xf numFmtId="0" fontId="67" fillId="0" borderId="116" xfId="0" applyFont="1" applyBorder="1" applyAlignment="1">
      <alignment horizontal="center" vertical="center"/>
    </xf>
    <xf numFmtId="0" fontId="67" fillId="0" borderId="107" xfId="0" applyFont="1" applyBorder="1" applyAlignment="1">
      <alignment vertical="center"/>
    </xf>
    <xf numFmtId="0" fontId="67" fillId="0" borderId="92" xfId="0" applyFont="1" applyBorder="1" applyAlignment="1">
      <alignment vertical="center"/>
    </xf>
    <xf numFmtId="0" fontId="67" fillId="0" borderId="105" xfId="0" applyFont="1" applyBorder="1" applyAlignment="1">
      <alignment vertical="center"/>
    </xf>
    <xf numFmtId="0" fontId="67" fillId="0" borderId="108" xfId="0" applyFont="1" applyBorder="1" applyAlignment="1">
      <alignment vertical="center"/>
    </xf>
    <xf numFmtId="0" fontId="67" fillId="0" borderId="91" xfId="0" applyFont="1" applyBorder="1" applyAlignment="1">
      <alignment vertical="center"/>
    </xf>
    <xf numFmtId="0" fontId="67" fillId="0" borderId="106" xfId="0" applyFont="1" applyBorder="1" applyAlignment="1">
      <alignment vertical="center"/>
    </xf>
    <xf numFmtId="0" fontId="0" fillId="0" borderId="92" xfId="0" applyBorder="1" applyAlignment="1">
      <alignment shrinkToFit="1"/>
    </xf>
    <xf numFmtId="0" fontId="0" fillId="0" borderId="105" xfId="0" applyBorder="1" applyAlignment="1">
      <alignment shrinkToFit="1"/>
    </xf>
    <xf numFmtId="0" fontId="0" fillId="0" borderId="77" xfId="0" applyBorder="1" applyAlignment="1">
      <alignment shrinkToFit="1"/>
    </xf>
    <xf numFmtId="0" fontId="0" fillId="0" borderId="0" xfId="0" applyAlignment="1">
      <alignment shrinkToFit="1"/>
    </xf>
    <xf numFmtId="0" fontId="0" fillId="0" borderId="82" xfId="0" applyBorder="1" applyAlignment="1">
      <alignment shrinkToFit="1"/>
    </xf>
    <xf numFmtId="0" fontId="0" fillId="0" borderId="108" xfId="0" applyBorder="1" applyAlignment="1">
      <alignment shrinkToFit="1"/>
    </xf>
    <xf numFmtId="0" fontId="0" fillId="0" borderId="91" xfId="0" applyBorder="1" applyAlignment="1">
      <alignment shrinkToFit="1"/>
    </xf>
    <xf numFmtId="0" fontId="147" fillId="0" borderId="91" xfId="0" applyFont="1" applyBorder="1" applyAlignment="1">
      <alignment shrinkToFit="1"/>
    </xf>
    <xf numFmtId="0" fontId="147" fillId="0" borderId="106" xfId="0" applyFont="1" applyBorder="1" applyAlignment="1">
      <alignment shrinkToFit="1"/>
    </xf>
    <xf numFmtId="20" fontId="124" fillId="0" borderId="119" xfId="0" applyNumberFormat="1" applyFont="1" applyBorder="1" applyAlignment="1">
      <alignment horizontal="right" vertical="center"/>
    </xf>
    <xf numFmtId="0" fontId="78" fillId="0" borderId="55" xfId="0" applyFont="1" applyFill="1" applyBorder="1" applyAlignment="1">
      <alignment horizontal="center" vertical="center"/>
    </xf>
    <xf numFmtId="0" fontId="80" fillId="0" borderId="55" xfId="0" applyFont="1" applyFill="1" applyBorder="1" applyAlignment="1">
      <alignment horizontal="center" vertical="center"/>
    </xf>
    <xf numFmtId="0" fontId="61" fillId="0" borderId="55" xfId="0" applyFont="1" applyFill="1" applyBorder="1" applyAlignment="1">
      <alignment horizontal="center" vertical="center"/>
    </xf>
    <xf numFmtId="0" fontId="61" fillId="0" borderId="55" xfId="0" quotePrefix="1" applyFont="1" applyFill="1" applyBorder="1" applyAlignment="1">
      <alignment horizontal="center" vertical="center"/>
    </xf>
    <xf numFmtId="0" fontId="0" fillId="0" borderId="0" xfId="0" applyFill="1" applyAlignment="1">
      <alignment horizontal="center" vertical="center"/>
    </xf>
    <xf numFmtId="0" fontId="0" fillId="0" borderId="55" xfId="0" applyFill="1" applyBorder="1" applyAlignment="1">
      <alignment horizontal="center" vertical="center"/>
    </xf>
    <xf numFmtId="0" fontId="69" fillId="0" borderId="47" xfId="0" applyFont="1" applyFill="1" applyBorder="1" applyAlignment="1">
      <alignment horizontal="center" vertical="center" shrinkToFit="1"/>
    </xf>
    <xf numFmtId="0" fontId="69" fillId="0" borderId="56" xfId="0" applyFont="1" applyFill="1" applyBorder="1" applyAlignment="1">
      <alignment horizontal="center" vertical="center" shrinkToFit="1"/>
    </xf>
    <xf numFmtId="0" fontId="81" fillId="0" borderId="61" xfId="0" applyFont="1" applyFill="1" applyBorder="1" applyAlignment="1">
      <alignment horizontal="center" vertical="center" wrapText="1" shrinkToFit="1"/>
    </xf>
    <xf numFmtId="0" fontId="81" fillId="0" borderId="51" xfId="0" applyFont="1" applyFill="1" applyBorder="1" applyAlignment="1">
      <alignment horizontal="center" vertical="center" shrinkToFit="1"/>
    </xf>
    <xf numFmtId="0" fontId="81" fillId="0" borderId="56" xfId="0" applyFont="1" applyFill="1" applyBorder="1" applyAlignment="1">
      <alignment horizontal="center" vertical="center" shrinkToFit="1"/>
    </xf>
    <xf numFmtId="0" fontId="69" fillId="0" borderId="62" xfId="0" applyFont="1" applyFill="1" applyBorder="1" applyAlignment="1">
      <alignment horizontal="center" vertical="center" shrinkToFit="1"/>
    </xf>
    <xf numFmtId="0" fontId="69" fillId="0" borderId="52" xfId="0" applyFont="1" applyFill="1" applyBorder="1" applyAlignment="1">
      <alignment horizontal="center" vertical="center" shrinkToFit="1"/>
    </xf>
    <xf numFmtId="0" fontId="69" fillId="0" borderId="58" xfId="0" applyFont="1" applyFill="1" applyBorder="1" applyAlignment="1">
      <alignment horizontal="center" vertical="center" shrinkToFit="1"/>
    </xf>
    <xf numFmtId="0" fontId="81" fillId="0" borderId="61" xfId="0" applyFont="1" applyFill="1" applyBorder="1" applyAlignment="1">
      <alignment horizontal="center" vertical="center" shrinkToFit="1"/>
    </xf>
    <xf numFmtId="0" fontId="81" fillId="0" borderId="51" xfId="0" applyFont="1" applyFill="1" applyBorder="1" applyAlignment="1">
      <alignment horizontal="center" vertical="center" shrinkToFit="1"/>
    </xf>
    <xf numFmtId="0" fontId="81" fillId="0" borderId="56" xfId="0" applyFont="1" applyFill="1" applyBorder="1" applyAlignment="1">
      <alignment horizontal="center" vertical="center" shrinkToFit="1"/>
    </xf>
    <xf numFmtId="0" fontId="69" fillId="0" borderId="61" xfId="0" applyFont="1" applyFill="1" applyBorder="1" applyAlignment="1">
      <alignment horizontal="center" vertical="center" shrinkToFit="1"/>
    </xf>
    <xf numFmtId="0" fontId="69" fillId="0" borderId="170" xfId="0" applyFont="1" applyFill="1" applyBorder="1" applyAlignment="1">
      <alignment horizontal="center" vertical="center" shrinkToFit="1"/>
    </xf>
    <xf numFmtId="0" fontId="69" fillId="0" borderId="51" xfId="0" applyFont="1" applyFill="1" applyBorder="1" applyAlignment="1">
      <alignment horizontal="center" vertical="center" shrinkToFit="1"/>
    </xf>
    <xf numFmtId="0" fontId="69" fillId="0" borderId="114" xfId="0" applyFont="1" applyFill="1" applyBorder="1" applyAlignment="1">
      <alignment horizontal="center" vertical="center" shrinkToFit="1"/>
    </xf>
    <xf numFmtId="0" fontId="69" fillId="0" borderId="96" xfId="0" applyFont="1" applyFill="1" applyBorder="1" applyAlignment="1">
      <alignment horizontal="center" vertical="center" shrinkToFit="1"/>
    </xf>
    <xf numFmtId="0" fontId="69" fillId="0" borderId="0" xfId="0" applyFont="1" applyFill="1" applyAlignment="1">
      <alignment horizontal="center" vertical="center" shrinkToFit="1"/>
    </xf>
    <xf numFmtId="0" fontId="81" fillId="0" borderId="87" xfId="0" applyFont="1" applyFill="1" applyBorder="1" applyAlignment="1">
      <alignment horizontal="center" vertical="center" shrinkToFit="1"/>
    </xf>
    <xf numFmtId="0" fontId="81" fillId="0" borderId="0" xfId="0" applyFont="1" applyFill="1" applyAlignment="1">
      <alignment horizontal="center" vertical="center" shrinkToFit="1"/>
    </xf>
    <xf numFmtId="0" fontId="81" fillId="0" borderId="141" xfId="0" applyFont="1" applyFill="1" applyBorder="1" applyAlignment="1">
      <alignment horizontal="center" vertical="center" shrinkToFit="1"/>
    </xf>
    <xf numFmtId="0" fontId="69" fillId="0" borderId="122" xfId="0" applyFont="1" applyFill="1" applyBorder="1" applyAlignment="1">
      <alignment horizontal="center" vertical="center" shrinkToFit="1"/>
    </xf>
    <xf numFmtId="0" fontId="69" fillId="0" borderId="134" xfId="0" applyFont="1" applyFill="1" applyBorder="1" applyAlignment="1">
      <alignment horizontal="center" vertical="center" shrinkToFit="1"/>
    </xf>
    <xf numFmtId="184" fontId="81" fillId="0" borderId="87" xfId="0" applyNumberFormat="1" applyFont="1" applyFill="1" applyBorder="1" applyAlignment="1">
      <alignment horizontal="center" vertical="center" shrinkToFit="1"/>
    </xf>
    <xf numFmtId="184" fontId="81" fillId="0" borderId="0" xfId="0" applyNumberFormat="1" applyFont="1" applyFill="1" applyAlignment="1">
      <alignment horizontal="center" vertical="center" shrinkToFit="1"/>
    </xf>
    <xf numFmtId="184" fontId="81" fillId="0" borderId="141" xfId="0" applyNumberFormat="1" applyFont="1" applyFill="1" applyBorder="1" applyAlignment="1">
      <alignment horizontal="center" vertical="center" shrinkToFit="1"/>
    </xf>
    <xf numFmtId="0" fontId="69" fillId="0" borderId="123" xfId="0" applyFont="1" applyFill="1" applyBorder="1" applyAlignment="1">
      <alignment horizontal="center" vertical="center" shrinkToFit="1"/>
    </xf>
    <xf numFmtId="0" fontId="69" fillId="0" borderId="78" xfId="0" applyFont="1" applyFill="1" applyBorder="1" applyAlignment="1">
      <alignment horizontal="center" vertical="center" shrinkToFit="1"/>
    </xf>
    <xf numFmtId="0" fontId="69" fillId="0" borderId="135" xfId="0" applyFont="1" applyFill="1" applyBorder="1" applyAlignment="1">
      <alignment horizontal="center" vertical="center" shrinkToFit="1"/>
    </xf>
    <xf numFmtId="0" fontId="69" fillId="0" borderId="87" xfId="0" applyFont="1" applyFill="1" applyBorder="1" applyAlignment="1">
      <alignment horizontal="center" vertical="center" shrinkToFit="1"/>
    </xf>
    <xf numFmtId="0" fontId="69" fillId="0" borderId="77" xfId="0" applyFont="1" applyFill="1" applyBorder="1" applyAlignment="1">
      <alignment horizontal="center" vertical="center" shrinkToFit="1"/>
    </xf>
    <xf numFmtId="0" fontId="69" fillId="0" borderId="32" xfId="0" applyFont="1" applyFill="1" applyBorder="1" applyAlignment="1">
      <alignment horizontal="center" vertical="center" shrinkToFit="1"/>
    </xf>
    <xf numFmtId="0" fontId="69" fillId="0" borderId="49" xfId="0" applyFont="1" applyFill="1" applyBorder="1" applyAlignment="1">
      <alignment horizontal="center" vertical="center" shrinkToFit="1"/>
    </xf>
    <xf numFmtId="0" fontId="81" fillId="0" borderId="123" xfId="0" applyFont="1" applyFill="1" applyBorder="1" applyAlignment="1">
      <alignment horizontal="center" vertical="center" shrinkToFit="1"/>
    </xf>
    <xf numFmtId="0" fontId="81" fillId="0" borderId="80" xfId="0" applyFont="1" applyFill="1" applyBorder="1" applyAlignment="1">
      <alignment horizontal="center" vertical="center" shrinkToFit="1"/>
    </xf>
    <xf numFmtId="0" fontId="81" fillId="0" borderId="135" xfId="0" applyFont="1" applyFill="1" applyBorder="1" applyAlignment="1">
      <alignment horizontal="center" vertical="center" shrinkToFit="1"/>
    </xf>
    <xf numFmtId="0" fontId="69" fillId="0" borderId="123" xfId="0" applyFont="1" applyFill="1" applyBorder="1" applyAlignment="1">
      <alignment horizontal="center" vertical="center" shrinkToFit="1"/>
    </xf>
    <xf numFmtId="0" fontId="69" fillId="0" borderId="161" xfId="0" applyFont="1" applyFill="1" applyBorder="1" applyAlignment="1">
      <alignment horizontal="center" vertical="center" shrinkToFit="1"/>
    </xf>
    <xf numFmtId="0" fontId="69" fillId="0" borderId="59" xfId="0" applyFont="1" applyFill="1" applyBorder="1" applyAlignment="1">
      <alignment horizontal="center" vertical="center" shrinkToFit="1"/>
    </xf>
    <xf numFmtId="0" fontId="69" fillId="0" borderId="80" xfId="0" applyFont="1" applyFill="1" applyBorder="1" applyAlignment="1">
      <alignment horizontal="center" vertical="center" shrinkToFit="1"/>
    </xf>
    <xf numFmtId="0" fontId="69" fillId="0" borderId="29" xfId="0" applyFont="1" applyFill="1" applyBorder="1" applyAlignment="1">
      <alignment horizontal="center" vertical="center" shrinkToFit="1"/>
    </xf>
    <xf numFmtId="0" fontId="69" fillId="0" borderId="157" xfId="0" applyFont="1" applyFill="1" applyBorder="1" applyAlignment="1">
      <alignment horizontal="center" vertical="center" shrinkToFit="1"/>
    </xf>
    <xf numFmtId="0" fontId="73" fillId="0" borderId="122" xfId="0" applyFont="1" applyFill="1" applyBorder="1" applyAlignment="1">
      <alignment horizontal="center" vertical="center" wrapText="1" shrinkToFit="1"/>
    </xf>
    <xf numFmtId="0" fontId="73" fillId="0" borderId="79" xfId="0" applyFont="1" applyFill="1" applyBorder="1" applyAlignment="1">
      <alignment horizontal="center" vertical="center" shrinkToFit="1"/>
    </xf>
    <xf numFmtId="0" fontId="73" fillId="0" borderId="134" xfId="0" applyFont="1" applyFill="1" applyBorder="1" applyAlignment="1">
      <alignment horizontal="center" vertical="center" shrinkToFit="1"/>
    </xf>
    <xf numFmtId="0" fontId="69" fillId="0" borderId="68" xfId="0" applyFont="1" applyFill="1" applyBorder="1" applyAlignment="1">
      <alignment horizontal="center" vertical="center" shrinkToFit="1"/>
    </xf>
    <xf numFmtId="0" fontId="69" fillId="0" borderId="134" xfId="0" applyFont="1" applyFill="1" applyBorder="1" applyAlignment="1">
      <alignment horizontal="center" vertical="center" shrinkToFit="1"/>
    </xf>
    <xf numFmtId="0" fontId="69" fillId="0" borderId="63" xfId="0" applyFont="1" applyFill="1" applyBorder="1" applyAlignment="1">
      <alignment horizontal="center" vertical="center" shrinkToFit="1"/>
    </xf>
    <xf numFmtId="0" fontId="69" fillId="0" borderId="160" xfId="0" applyFont="1" applyFill="1" applyBorder="1" applyAlignment="1">
      <alignment horizontal="center" vertical="center" shrinkToFit="1"/>
    </xf>
    <xf numFmtId="0" fontId="69" fillId="0" borderId="160" xfId="0" applyFont="1" applyFill="1" applyBorder="1" applyAlignment="1">
      <alignment horizontal="center" vertical="center" shrinkToFit="1"/>
    </xf>
    <xf numFmtId="0" fontId="69" fillId="0" borderId="162" xfId="0" applyFont="1" applyFill="1" applyBorder="1" applyAlignment="1">
      <alignment horizontal="center" vertical="center" shrinkToFit="1"/>
    </xf>
    <xf numFmtId="0" fontId="69" fillId="0" borderId="163" xfId="0" applyFont="1" applyFill="1" applyBorder="1" applyAlignment="1">
      <alignment horizontal="center" vertical="center" shrinkToFit="1"/>
    </xf>
    <xf numFmtId="0" fontId="69" fillId="0" borderId="122" xfId="0" applyFont="1" applyFill="1" applyBorder="1" applyAlignment="1">
      <alignment horizontal="center" vertical="center" shrinkToFit="1"/>
    </xf>
    <xf numFmtId="0" fontId="69" fillId="0" borderId="164" xfId="0" applyFont="1" applyFill="1" applyBorder="1" applyAlignment="1">
      <alignment horizontal="center" vertical="center" shrinkToFit="1"/>
    </xf>
    <xf numFmtId="0" fontId="69" fillId="0" borderId="167" xfId="0" applyFont="1" applyFill="1" applyBorder="1" applyAlignment="1">
      <alignment horizontal="center" vertical="center" shrinkToFit="1"/>
    </xf>
    <xf numFmtId="0" fontId="69" fillId="0" borderId="79" xfId="0" applyFont="1" applyFill="1" applyBorder="1" applyAlignment="1">
      <alignment vertical="center"/>
    </xf>
    <xf numFmtId="0" fontId="69" fillId="0" borderId="0" xfId="0" applyFont="1" applyFill="1" applyAlignment="1">
      <alignment vertical="center"/>
    </xf>
    <xf numFmtId="0" fontId="69" fillId="0" borderId="81" xfId="0" applyFont="1" applyFill="1" applyBorder="1" applyAlignment="1">
      <alignment vertical="center"/>
    </xf>
    <xf numFmtId="0" fontId="69" fillId="0" borderId="76" xfId="0" applyFont="1" applyFill="1" applyBorder="1" applyAlignment="1">
      <alignment vertical="center"/>
    </xf>
    <xf numFmtId="0" fontId="69" fillId="0" borderId="171" xfId="0" applyFont="1" applyFill="1" applyBorder="1" applyAlignment="1">
      <alignment vertical="center"/>
    </xf>
    <xf numFmtId="0" fontId="69" fillId="0" borderId="141" xfId="0" applyFont="1" applyFill="1" applyBorder="1" applyAlignment="1">
      <alignment horizontal="center" vertical="center" shrinkToFit="1"/>
    </xf>
    <xf numFmtId="0" fontId="73" fillId="0" borderId="87" xfId="0" applyFont="1" applyFill="1" applyBorder="1" applyAlignment="1">
      <alignment horizontal="center" vertical="center" shrinkToFit="1"/>
    </xf>
    <xf numFmtId="0" fontId="73" fillId="0" borderId="0" xfId="0" applyFont="1" applyFill="1" applyAlignment="1">
      <alignment horizontal="center" vertical="center" shrinkToFit="1"/>
    </xf>
    <xf numFmtId="0" fontId="73" fillId="0" borderId="141" xfId="0" applyFont="1" applyFill="1" applyBorder="1" applyAlignment="1">
      <alignment horizontal="center" vertical="center" shrinkToFit="1"/>
    </xf>
    <xf numFmtId="0" fontId="69" fillId="0" borderId="158" xfId="0" applyFont="1" applyFill="1" applyBorder="1" applyAlignment="1">
      <alignment horizontal="center" vertical="center" shrinkToFit="1"/>
    </xf>
    <xf numFmtId="0" fontId="69" fillId="0" borderId="141" xfId="0" applyFont="1" applyFill="1" applyBorder="1" applyAlignment="1">
      <alignment horizontal="center" vertical="center" shrinkToFit="1"/>
    </xf>
    <xf numFmtId="0" fontId="69" fillId="0" borderId="53" xfId="0" applyFont="1" applyFill="1" applyBorder="1" applyAlignment="1">
      <alignment horizontal="center" vertical="center" shrinkToFit="1"/>
    </xf>
    <xf numFmtId="0" fontId="69" fillId="0" borderId="59" xfId="0" applyFont="1" applyFill="1" applyBorder="1" applyAlignment="1">
      <alignment horizontal="center" vertical="center" shrinkToFit="1"/>
    </xf>
    <xf numFmtId="0" fontId="69" fillId="0" borderId="165" xfId="0" applyFont="1" applyFill="1" applyBorder="1" applyAlignment="1">
      <alignment horizontal="center" vertical="center" shrinkToFit="1"/>
    </xf>
    <xf numFmtId="0" fontId="69" fillId="0" borderId="168" xfId="0" applyFont="1" applyFill="1" applyBorder="1" applyAlignment="1">
      <alignment horizontal="center" vertical="center" shrinkToFit="1"/>
    </xf>
    <xf numFmtId="0" fontId="69" fillId="0" borderId="77" xfId="0" applyFont="1" applyFill="1" applyBorder="1" applyAlignment="1">
      <alignment horizontal="center" vertical="center"/>
    </xf>
    <xf numFmtId="0" fontId="69" fillId="0" borderId="0" xfId="0" applyFont="1" applyFill="1" applyAlignment="1">
      <alignment horizontal="center" vertical="center"/>
    </xf>
    <xf numFmtId="0" fontId="69" fillId="0" borderId="82" xfId="0" applyFont="1" applyFill="1" applyBorder="1" applyAlignment="1">
      <alignment horizontal="center" vertical="center"/>
    </xf>
    <xf numFmtId="0" fontId="69" fillId="0" borderId="32" xfId="0" applyFont="1" applyFill="1" applyBorder="1" applyAlignment="1">
      <alignment horizontal="center" vertical="center"/>
    </xf>
    <xf numFmtId="0" fontId="73" fillId="0" borderId="123" xfId="0" applyFont="1" applyFill="1" applyBorder="1" applyAlignment="1">
      <alignment horizontal="center" vertical="center" shrinkToFit="1"/>
    </xf>
    <xf numFmtId="0" fontId="73" fillId="0" borderId="80" xfId="0" applyFont="1" applyFill="1" applyBorder="1" applyAlignment="1">
      <alignment horizontal="center" vertical="center" shrinkToFit="1"/>
    </xf>
    <xf numFmtId="0" fontId="73" fillId="0" borderId="135" xfId="0" applyFont="1" applyFill="1" applyBorder="1" applyAlignment="1">
      <alignment horizontal="center" vertical="center" shrinkToFit="1"/>
    </xf>
    <xf numFmtId="0" fontId="69" fillId="0" borderId="159" xfId="0" applyFont="1" applyFill="1" applyBorder="1" applyAlignment="1">
      <alignment horizontal="center" vertical="center" shrinkToFit="1"/>
    </xf>
    <xf numFmtId="0" fontId="69" fillId="0" borderId="135" xfId="0" applyFont="1" applyFill="1" applyBorder="1" applyAlignment="1">
      <alignment horizontal="center" vertical="center" shrinkToFit="1"/>
    </xf>
    <xf numFmtId="0" fontId="69" fillId="0" borderId="166" xfId="0" applyFont="1" applyFill="1" applyBorder="1" applyAlignment="1">
      <alignment horizontal="center" vertical="center" shrinkToFit="1"/>
    </xf>
    <xf numFmtId="0" fontId="69" fillId="0" borderId="169" xfId="0" applyFont="1" applyFill="1" applyBorder="1" applyAlignment="1">
      <alignment horizontal="center" vertical="center" shrinkToFit="1"/>
    </xf>
    <xf numFmtId="0" fontId="69" fillId="0" borderId="80" xfId="0" applyFont="1" applyFill="1" applyBorder="1" applyAlignment="1">
      <alignment vertical="center"/>
    </xf>
    <xf numFmtId="0" fontId="69" fillId="0" borderId="83" xfId="0" applyFont="1" applyFill="1" applyBorder="1" applyAlignment="1">
      <alignment vertical="center"/>
    </xf>
    <xf numFmtId="0" fontId="69" fillId="0" borderId="78" xfId="0" applyFont="1" applyFill="1" applyBorder="1" applyAlignment="1">
      <alignment horizontal="center" vertical="center"/>
    </xf>
    <xf numFmtId="0" fontId="69" fillId="0" borderId="80" xfId="0" applyFont="1" applyFill="1" applyBorder="1" applyAlignment="1">
      <alignment horizontal="center" vertical="center"/>
    </xf>
    <xf numFmtId="0" fontId="69" fillId="0" borderId="83" xfId="0" applyFont="1" applyFill="1" applyBorder="1" applyAlignment="1">
      <alignment horizontal="center" vertical="center"/>
    </xf>
    <xf numFmtId="0" fontId="69" fillId="0" borderId="78" xfId="0" applyFont="1" applyFill="1" applyBorder="1" applyAlignment="1">
      <alignment vertical="center"/>
    </xf>
    <xf numFmtId="0" fontId="69" fillId="0" borderId="29" xfId="0" applyFont="1" applyFill="1" applyBorder="1" applyAlignment="1">
      <alignment vertical="center"/>
    </xf>
    <xf numFmtId="0" fontId="69" fillId="0" borderId="79" xfId="0" applyFont="1" applyFill="1" applyBorder="1" applyAlignment="1">
      <alignment horizontal="center" vertical="center" shrinkToFit="1"/>
    </xf>
    <xf numFmtId="0" fontId="69" fillId="0" borderId="79" xfId="0" applyFont="1" applyFill="1" applyBorder="1" applyAlignment="1">
      <alignment horizontal="center" vertical="center" shrinkToFit="1"/>
    </xf>
    <xf numFmtId="0" fontId="82" fillId="0" borderId="117" xfId="0" applyFont="1" applyFill="1" applyBorder="1" applyAlignment="1">
      <alignment horizontal="center" vertical="center"/>
    </xf>
    <xf numFmtId="0" fontId="69" fillId="0" borderId="15" xfId="0" applyFont="1" applyFill="1" applyBorder="1" applyAlignment="1">
      <alignment horizontal="center" vertical="center" shrinkToFit="1"/>
    </xf>
    <xf numFmtId="0" fontId="69" fillId="0" borderId="0" xfId="0" applyFont="1" applyFill="1" applyAlignment="1">
      <alignment horizontal="center" vertical="center" shrinkToFit="1"/>
    </xf>
    <xf numFmtId="0" fontId="69" fillId="0" borderId="171" xfId="0" applyFont="1" applyFill="1" applyBorder="1" applyAlignment="1">
      <alignment horizontal="center" vertical="center" shrinkToFit="1"/>
    </xf>
    <xf numFmtId="0" fontId="69" fillId="0" borderId="96" xfId="0" applyFont="1" applyFill="1" applyBorder="1" applyAlignment="1">
      <alignment horizontal="center" vertical="center" shrinkToFit="1"/>
    </xf>
    <xf numFmtId="0" fontId="61" fillId="0" borderId="0" xfId="0" applyFont="1" applyFill="1" applyAlignment="1">
      <alignment horizontal="center" vertical="center" shrinkToFit="1"/>
    </xf>
    <xf numFmtId="0" fontId="82" fillId="0" borderId="119" xfId="0" applyFont="1" applyFill="1" applyBorder="1" applyAlignment="1">
      <alignment horizontal="center" vertical="center"/>
    </xf>
    <xf numFmtId="0" fontId="69" fillId="0" borderId="49" xfId="0" applyFont="1" applyFill="1" applyBorder="1" applyAlignment="1">
      <alignment horizontal="center" vertical="center" shrinkToFit="1"/>
    </xf>
    <xf numFmtId="0" fontId="69" fillId="0" borderId="80" xfId="0" applyFont="1" applyFill="1" applyBorder="1" applyAlignment="1">
      <alignment horizontal="center" vertical="center" shrinkToFit="1"/>
    </xf>
    <xf numFmtId="0" fontId="69" fillId="0" borderId="29" xfId="0" applyFont="1" applyFill="1" applyBorder="1" applyAlignment="1">
      <alignment horizontal="center" vertical="center" shrinkToFit="1"/>
    </xf>
    <xf numFmtId="0" fontId="69" fillId="0" borderId="45" xfId="0" applyFont="1" applyFill="1" applyBorder="1" applyAlignment="1">
      <alignment horizontal="center" vertical="center" shrinkToFit="1"/>
    </xf>
    <xf numFmtId="0" fontId="69" fillId="0" borderId="63" xfId="0" applyFont="1" applyFill="1" applyBorder="1" applyAlignment="1">
      <alignment horizontal="center" vertical="center" shrinkToFit="1"/>
    </xf>
    <xf numFmtId="0" fontId="69" fillId="0" borderId="15" xfId="0" applyFont="1" applyFill="1" applyBorder="1" applyAlignment="1">
      <alignment horizontal="center" vertical="center" shrinkToFit="1"/>
    </xf>
    <xf numFmtId="0" fontId="69" fillId="0" borderId="30" xfId="0" applyFont="1" applyFill="1" applyBorder="1" applyAlignment="1">
      <alignment horizontal="center" vertical="center" shrinkToFit="1"/>
    </xf>
    <xf numFmtId="0" fontId="69" fillId="0" borderId="117" xfId="0" applyFont="1" applyFill="1" applyBorder="1" applyAlignment="1">
      <alignment horizontal="center" vertical="center" shrinkToFit="1"/>
    </xf>
    <xf numFmtId="0" fontId="82" fillId="0" borderId="18" xfId="0" applyFont="1" applyFill="1" applyBorder="1" applyAlignment="1">
      <alignment horizontal="center" vertical="center"/>
    </xf>
    <xf numFmtId="0" fontId="69" fillId="0" borderId="157" xfId="0" applyFont="1" applyFill="1" applyBorder="1" applyAlignment="1">
      <alignment horizontal="center" vertical="center" shrinkToFit="1"/>
    </xf>
    <xf numFmtId="0" fontId="69" fillId="0" borderId="171" xfId="0" applyFont="1" applyFill="1" applyBorder="1" applyAlignment="1">
      <alignment horizontal="center" vertical="center" shrinkToFit="1"/>
    </xf>
    <xf numFmtId="0" fontId="69" fillId="0" borderId="117" xfId="0" applyFont="1" applyFill="1" applyBorder="1" applyAlignment="1">
      <alignment horizontal="center" vertical="center" shrinkToFit="1"/>
    </xf>
    <xf numFmtId="0" fontId="69" fillId="0" borderId="87" xfId="0" applyFont="1" applyFill="1" applyBorder="1" applyAlignment="1">
      <alignment horizontal="center" vertical="center" shrinkToFit="1"/>
    </xf>
    <xf numFmtId="0" fontId="69" fillId="0" borderId="119" xfId="0" applyFont="1" applyFill="1" applyBorder="1" applyAlignment="1">
      <alignment horizontal="center" vertical="center" shrinkToFit="1"/>
    </xf>
    <xf numFmtId="0" fontId="69" fillId="0" borderId="18" xfId="0" applyFont="1" applyFill="1" applyBorder="1" applyAlignment="1">
      <alignment horizontal="center" vertical="center" shrinkToFit="1"/>
    </xf>
    <xf numFmtId="0" fontId="69" fillId="0" borderId="18" xfId="0" applyFont="1" applyFill="1" applyBorder="1" applyAlignment="1">
      <alignment horizontal="center" vertical="center" shrinkToFit="1"/>
    </xf>
    <xf numFmtId="0" fontId="69" fillId="0" borderId="45" xfId="0" applyFont="1" applyFill="1" applyBorder="1" applyAlignment="1">
      <alignment horizontal="center" vertical="center"/>
    </xf>
    <xf numFmtId="0" fontId="69" fillId="0" borderId="59" xfId="0" applyFont="1" applyFill="1" applyBorder="1" applyAlignment="1">
      <alignment horizontal="center" vertical="center"/>
    </xf>
    <xf numFmtId="0" fontId="69" fillId="0" borderId="0" xfId="0" applyFont="1" applyFill="1" applyAlignment="1">
      <alignment horizontal="center" vertical="center"/>
    </xf>
    <xf numFmtId="0" fontId="69" fillId="0" borderId="15" xfId="0" applyFont="1" applyFill="1" applyBorder="1" applyAlignment="1">
      <alignment horizontal="center" vertical="center"/>
    </xf>
    <xf numFmtId="0" fontId="69" fillId="0" borderId="63" xfId="0" applyFont="1" applyFill="1" applyBorder="1" applyAlignment="1">
      <alignment horizontal="center" vertical="center"/>
    </xf>
    <xf numFmtId="0" fontId="69" fillId="0" borderId="53" xfId="0" applyFont="1" applyFill="1" applyBorder="1" applyAlignment="1">
      <alignment horizontal="center" vertical="center"/>
    </xf>
    <xf numFmtId="0" fontId="69" fillId="0" borderId="59" xfId="0" applyFont="1" applyFill="1" applyBorder="1" applyAlignment="1">
      <alignment horizontal="center" vertical="center"/>
    </xf>
    <xf numFmtId="0" fontId="69" fillId="0" borderId="15" xfId="56" applyFont="1" applyFill="1" applyBorder="1" applyAlignment="1">
      <alignment horizontal="center" vertical="center"/>
    </xf>
    <xf numFmtId="0" fontId="69" fillId="0" borderId="149" xfId="0" applyFont="1" applyFill="1" applyBorder="1" applyAlignment="1">
      <alignment horizontal="center" vertical="center"/>
    </xf>
    <xf numFmtId="0" fontId="69" fillId="0" borderId="53" xfId="0" applyFont="1" applyFill="1" applyBorder="1" applyAlignment="1">
      <alignment horizontal="center" vertical="center"/>
    </xf>
    <xf numFmtId="0" fontId="69" fillId="0" borderId="53" xfId="0" applyFont="1" applyFill="1" applyBorder="1" applyAlignment="1">
      <alignment horizontal="center" vertical="center" shrinkToFit="1"/>
    </xf>
    <xf numFmtId="0" fontId="69" fillId="0" borderId="135" xfId="0" applyFont="1" applyFill="1" applyBorder="1" applyAlignment="1">
      <alignment horizontal="center" vertical="center"/>
    </xf>
    <xf numFmtId="0" fontId="69" fillId="0" borderId="49" xfId="0" applyFont="1" applyFill="1" applyBorder="1" applyAlignment="1">
      <alignment horizontal="center" vertical="center"/>
    </xf>
    <xf numFmtId="0" fontId="69" fillId="0" borderId="141" xfId="0" applyFont="1" applyFill="1" applyBorder="1" applyAlignment="1">
      <alignment horizontal="center" vertical="center"/>
    </xf>
    <xf numFmtId="0" fontId="69" fillId="0" borderId="80" xfId="0" applyFont="1" applyFill="1" applyBorder="1" applyAlignment="1">
      <alignment horizontal="center" vertical="center"/>
    </xf>
    <xf numFmtId="0" fontId="69" fillId="0" borderId="29" xfId="0" applyFont="1" applyFill="1" applyBorder="1" applyAlignment="1">
      <alignment horizontal="center" vertical="center"/>
    </xf>
    <xf numFmtId="0" fontId="69" fillId="0" borderId="47" xfId="0" applyFont="1" applyFill="1" applyBorder="1" applyAlignment="1">
      <alignment horizontal="center" vertical="center" shrinkToFit="1"/>
    </xf>
    <xf numFmtId="0" fontId="69" fillId="0" borderId="51" xfId="0" applyFont="1" applyFill="1" applyBorder="1" applyAlignment="1">
      <alignment horizontal="center" vertical="center" shrinkToFit="1"/>
    </xf>
    <xf numFmtId="0" fontId="81" fillId="0" borderId="51" xfId="0" applyFont="1" applyFill="1" applyBorder="1" applyAlignment="1">
      <alignment horizontal="center" vertical="center" wrapText="1" shrinkToFit="1"/>
    </xf>
    <xf numFmtId="0" fontId="69" fillId="0" borderId="114" xfId="0" applyFont="1" applyFill="1" applyBorder="1" applyAlignment="1">
      <alignment horizontal="center" vertical="center" shrinkToFit="1"/>
    </xf>
    <xf numFmtId="0" fontId="69" fillId="0" borderId="48" xfId="0" applyFont="1" applyFill="1" applyBorder="1" applyAlignment="1">
      <alignment horizontal="center" vertical="center" shrinkToFit="1"/>
    </xf>
    <xf numFmtId="0" fontId="69" fillId="0" borderId="55" xfId="0" applyFont="1" applyFill="1" applyBorder="1" applyAlignment="1">
      <alignment horizontal="center" vertical="center" shrinkToFit="1"/>
    </xf>
    <xf numFmtId="0" fontId="69" fillId="0" borderId="55" xfId="0" applyFont="1" applyFill="1" applyBorder="1" applyAlignment="1">
      <alignment horizontal="center" vertical="center" shrinkToFit="1"/>
    </xf>
    <xf numFmtId="0" fontId="81" fillId="0" borderId="55" xfId="0" applyFont="1" applyFill="1" applyBorder="1" applyAlignment="1">
      <alignment horizontal="center" vertical="center" wrapText="1" shrinkToFit="1"/>
    </xf>
    <xf numFmtId="0" fontId="81" fillId="0" borderId="0" xfId="0" applyFont="1" applyFill="1" applyAlignment="1">
      <alignment horizontal="center" vertical="center" wrapText="1" shrinkToFit="1"/>
    </xf>
    <xf numFmtId="0" fontId="69" fillId="0" borderId="32" xfId="0" applyFont="1" applyFill="1" applyBorder="1" applyAlignment="1">
      <alignment horizontal="center" vertical="center" shrinkToFit="1"/>
    </xf>
    <xf numFmtId="0" fontId="69" fillId="0" borderId="114" xfId="0" applyFont="1" applyFill="1" applyBorder="1" applyAlignment="1">
      <alignment horizontal="center" vertical="center"/>
    </xf>
    <xf numFmtId="0" fontId="69" fillId="0" borderId="32" xfId="0" applyFont="1" applyFill="1" applyBorder="1" applyAlignment="1">
      <alignment horizontal="center" vertical="center"/>
    </xf>
    <xf numFmtId="0" fontId="69" fillId="0" borderId="115" xfId="0" applyFont="1" applyFill="1" applyBorder="1" applyAlignment="1">
      <alignment horizontal="center" vertical="center"/>
    </xf>
    <xf numFmtId="0" fontId="81" fillId="0" borderId="123" xfId="0" applyFont="1" applyFill="1" applyBorder="1" applyAlignment="1">
      <alignment horizontal="center" vertical="center" wrapText="1" shrinkToFit="1"/>
    </xf>
    <xf numFmtId="0" fontId="69" fillId="0" borderId="45" xfId="0" applyFont="1" applyFill="1" applyBorder="1" applyAlignment="1">
      <alignment horizontal="center" vertical="center" shrinkToFit="1"/>
    </xf>
    <xf numFmtId="0" fontId="69" fillId="0" borderId="30" xfId="0" applyFont="1" applyFill="1" applyBorder="1" applyAlignment="1">
      <alignment horizontal="center" vertical="center" shrinkToFit="1"/>
    </xf>
    <xf numFmtId="0" fontId="79" fillId="0" borderId="46" xfId="0" applyFont="1" applyFill="1" applyBorder="1" applyAlignment="1">
      <alignment horizontal="center" vertical="center" shrinkToFit="1"/>
    </xf>
    <xf numFmtId="0" fontId="79" fillId="0" borderId="54" xfId="0" applyFont="1" applyFill="1" applyBorder="1" applyAlignment="1">
      <alignment horizontal="center" vertical="center" shrinkToFit="1"/>
    </xf>
    <xf numFmtId="0" fontId="69" fillId="0" borderId="54" xfId="0" applyFont="1" applyFill="1" applyBorder="1" applyAlignment="1">
      <alignment horizontal="center" vertical="center" shrinkToFit="1"/>
    </xf>
    <xf numFmtId="0" fontId="69" fillId="0" borderId="54" xfId="0" applyFont="1" applyFill="1" applyBorder="1" applyAlignment="1">
      <alignment horizontal="center" vertical="center" shrinkToFit="1"/>
    </xf>
    <xf numFmtId="0" fontId="69" fillId="0" borderId="31" xfId="0" applyFont="1" applyFill="1" applyBorder="1" applyAlignment="1">
      <alignment horizontal="center" vertical="center" shrinkToFit="1"/>
    </xf>
    <xf numFmtId="0" fontId="0" fillId="0" borderId="51" xfId="0" applyFill="1" applyBorder="1" applyAlignment="1">
      <alignment vertical="center" shrinkToFit="1"/>
    </xf>
    <xf numFmtId="0" fontId="0" fillId="0" borderId="0" xfId="0" applyFill="1" applyAlignment="1">
      <alignment vertical="center" shrinkToFit="1"/>
    </xf>
    <xf numFmtId="0" fontId="0" fillId="0" borderId="20" xfId="0" applyFill="1" applyBorder="1" applyAlignment="1">
      <alignment horizontal="center" vertical="center"/>
    </xf>
    <xf numFmtId="0" fontId="69" fillId="0" borderId="44" xfId="0" applyFont="1" applyFill="1" applyBorder="1" applyAlignment="1">
      <alignment horizontal="center" vertical="center"/>
    </xf>
    <xf numFmtId="0" fontId="69" fillId="0" borderId="52" xfId="0" applyFont="1" applyFill="1" applyBorder="1" applyAlignment="1">
      <alignment horizontal="center" vertical="center"/>
    </xf>
    <xf numFmtId="0" fontId="69" fillId="0" borderId="52" xfId="0" applyFont="1" applyFill="1" applyBorder="1" applyAlignment="1">
      <alignment horizontal="center" vertical="center"/>
    </xf>
    <xf numFmtId="0" fontId="69" fillId="0" borderId="65" xfId="0" applyFont="1" applyFill="1" applyBorder="1" applyAlignment="1">
      <alignment horizontal="center" vertical="center"/>
    </xf>
    <xf numFmtId="0" fontId="0" fillId="0" borderId="157" xfId="0" applyFill="1" applyBorder="1" applyAlignment="1">
      <alignment horizontal="center" vertical="center" wrapText="1"/>
    </xf>
    <xf numFmtId="0" fontId="0" fillId="0" borderId="79" xfId="0" applyFill="1" applyBorder="1" applyAlignment="1">
      <alignment horizontal="center" vertical="center"/>
    </xf>
    <xf numFmtId="0" fontId="0" fillId="0" borderId="171" xfId="0" applyFill="1" applyBorder="1" applyAlignment="1">
      <alignment horizontal="center" vertical="center"/>
    </xf>
    <xf numFmtId="0" fontId="0" fillId="0" borderId="96" xfId="0" applyFill="1" applyBorder="1" applyAlignment="1">
      <alignment horizontal="center" vertical="center"/>
    </xf>
    <xf numFmtId="0" fontId="0" fillId="0" borderId="32" xfId="0" applyFill="1" applyBorder="1" applyAlignment="1">
      <alignment horizontal="center" vertical="center"/>
    </xf>
    <xf numFmtId="0" fontId="0" fillId="0" borderId="48" xfId="0" applyFill="1" applyBorder="1" applyAlignment="1">
      <alignment horizontal="center" vertical="center"/>
    </xf>
    <xf numFmtId="0" fontId="0" fillId="0" borderId="115" xfId="0" applyFill="1" applyBorder="1" applyAlignment="1">
      <alignment horizontal="center" vertical="center"/>
    </xf>
    <xf numFmtId="0" fontId="69" fillId="0" borderId="15" xfId="56" applyFont="1" applyFill="1" applyBorder="1" applyAlignment="1">
      <alignment horizontal="center" vertical="center"/>
    </xf>
    <xf numFmtId="0" fontId="69" fillId="0" borderId="63" xfId="56" applyFont="1" applyFill="1" applyBorder="1" applyAlignment="1">
      <alignment horizontal="center" vertical="center"/>
    </xf>
    <xf numFmtId="0" fontId="67" fillId="0" borderId="15" xfId="56" applyFont="1" applyFill="1" applyBorder="1" applyAlignment="1">
      <alignment horizontal="center" vertical="center"/>
    </xf>
    <xf numFmtId="0" fontId="67" fillId="0" borderId="122" xfId="56" applyFont="1" applyFill="1" applyBorder="1" applyAlignment="1">
      <alignment horizontal="center" vertical="center"/>
    </xf>
    <xf numFmtId="0" fontId="67" fillId="0" borderId="79" xfId="56" applyFont="1" applyFill="1" applyBorder="1" applyAlignment="1">
      <alignment horizontal="center" vertical="center"/>
    </xf>
    <xf numFmtId="0" fontId="67" fillId="0" borderId="134" xfId="56" applyFont="1" applyFill="1" applyBorder="1" applyAlignment="1">
      <alignment horizontal="center" vertical="center"/>
    </xf>
    <xf numFmtId="0" fontId="67" fillId="0" borderId="87" xfId="56" applyFont="1" applyFill="1" applyBorder="1" applyAlignment="1">
      <alignment horizontal="center" vertical="center"/>
    </xf>
    <xf numFmtId="0" fontId="67" fillId="0" borderId="0" xfId="0" applyFont="1" applyFill="1" applyAlignment="1">
      <alignment horizontal="center" vertical="center"/>
    </xf>
    <xf numFmtId="0" fontId="67" fillId="0" borderId="141" xfId="56" applyFont="1" applyFill="1" applyBorder="1" applyAlignment="1">
      <alignment horizontal="center" vertical="center"/>
    </xf>
    <xf numFmtId="0" fontId="67" fillId="0" borderId="123" xfId="56" applyFont="1" applyFill="1" applyBorder="1" applyAlignment="1">
      <alignment horizontal="center" vertical="center"/>
    </xf>
    <xf numFmtId="0" fontId="67" fillId="0" borderId="80" xfId="56" applyFont="1" applyFill="1" applyBorder="1" applyAlignment="1">
      <alignment horizontal="center" vertical="center"/>
    </xf>
    <xf numFmtId="0" fontId="67" fillId="0" borderId="135" xfId="56" applyFont="1" applyFill="1" applyBorder="1" applyAlignment="1">
      <alignment horizontal="center" vertical="center"/>
    </xf>
    <xf numFmtId="0" fontId="0" fillId="0" borderId="0" xfId="0" applyFill="1" applyAlignment="1">
      <alignment vertical="center"/>
    </xf>
    <xf numFmtId="0" fontId="69" fillId="0" borderId="96" xfId="0" applyFont="1" applyFill="1" applyBorder="1" applyAlignment="1">
      <alignment horizontal="left" vertical="center"/>
    </xf>
    <xf numFmtId="0" fontId="69" fillId="0" borderId="96" xfId="0" applyFont="1" applyFill="1" applyBorder="1" applyAlignment="1">
      <alignment horizontal="center" vertical="center"/>
    </xf>
  </cellXfs>
  <cellStyles count="8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20% - アクセント1" xfId="7" xr:uid="{00000000-0005-0000-0000-000006000000}"/>
    <cellStyle name="20% - アクセント2" xfId="8" xr:uid="{00000000-0005-0000-0000-000007000000}"/>
    <cellStyle name="20% - アクセント3" xfId="9" xr:uid="{00000000-0005-0000-0000-000008000000}"/>
    <cellStyle name="20% - アクセント4" xfId="10" xr:uid="{00000000-0005-0000-0000-000009000000}"/>
    <cellStyle name="20% - アクセント5" xfId="11" xr:uid="{00000000-0005-0000-0000-00000A000000}"/>
    <cellStyle name="20% - アクセント6" xfId="12" xr:uid="{00000000-0005-0000-0000-00000B000000}"/>
    <cellStyle name="40% - アクセント 1" xfId="13" builtinId="31" customBuiltin="1"/>
    <cellStyle name="40% - アクセント 2" xfId="14" builtinId="35" customBuiltin="1"/>
    <cellStyle name="40% - アクセント 3" xfId="15" builtinId="39" customBuiltin="1"/>
    <cellStyle name="40% - アクセント 4" xfId="16" builtinId="43" customBuiltin="1"/>
    <cellStyle name="40% - アクセント 5" xfId="17" builtinId="47" customBuiltin="1"/>
    <cellStyle name="40% - アクセント 6" xfId="18" builtinId="51" customBuiltin="1"/>
    <cellStyle name="40% - アクセント1" xfId="19" xr:uid="{00000000-0005-0000-0000-000012000000}"/>
    <cellStyle name="40% - アクセント2" xfId="20" xr:uid="{00000000-0005-0000-0000-000013000000}"/>
    <cellStyle name="40% - アクセント3" xfId="21" xr:uid="{00000000-0005-0000-0000-000014000000}"/>
    <cellStyle name="40% - アクセント4" xfId="22" xr:uid="{00000000-0005-0000-0000-000015000000}"/>
    <cellStyle name="40% - アクセント5" xfId="23" xr:uid="{00000000-0005-0000-0000-000016000000}"/>
    <cellStyle name="40% - アクセント6" xfId="24" xr:uid="{00000000-0005-0000-0000-000017000000}"/>
    <cellStyle name="60% - アクセント 1" xfId="25" builtinId="32" customBuiltin="1"/>
    <cellStyle name="60% - アクセント 2" xfId="26" builtinId="36" customBuiltin="1"/>
    <cellStyle name="60% - アクセント 3" xfId="27" builtinId="40" customBuiltin="1"/>
    <cellStyle name="60% - アクセント 4" xfId="28" builtinId="44" customBuiltin="1"/>
    <cellStyle name="60% - アクセント 5" xfId="29" builtinId="48" customBuiltin="1"/>
    <cellStyle name="60% - アクセント 6" xfId="30" builtinId="52" customBuiltin="1"/>
    <cellStyle name="60% - アクセント1" xfId="31" xr:uid="{00000000-0005-0000-0000-00001E000000}"/>
    <cellStyle name="60% - アクセント2" xfId="32" xr:uid="{00000000-0005-0000-0000-00001F000000}"/>
    <cellStyle name="60% - アクセント3" xfId="33" xr:uid="{00000000-0005-0000-0000-000020000000}"/>
    <cellStyle name="60% - アクセント4" xfId="34" xr:uid="{00000000-0005-0000-0000-000021000000}"/>
    <cellStyle name="60% - アクセント5" xfId="35" xr:uid="{00000000-0005-0000-0000-000022000000}"/>
    <cellStyle name="60% - アクセント6" xfId="36" xr:uid="{00000000-0005-0000-0000-000023000000}"/>
    <cellStyle name="アクセント 1" xfId="38" builtinId="29" customBuiltin="1"/>
    <cellStyle name="アクセント 2" xfId="39" builtinId="33" customBuiltin="1"/>
    <cellStyle name="アクセント 3" xfId="40" builtinId="37" customBuiltin="1"/>
    <cellStyle name="アクセント 4" xfId="41" builtinId="41" customBuiltin="1"/>
    <cellStyle name="アクセント 5" xfId="42" builtinId="45" customBuiltin="1"/>
    <cellStyle name="アクセント 6" xfId="43" builtinId="49" customBuiltin="1"/>
    <cellStyle name="タイトル" xfId="44" builtinId="15" customBuiltin="1"/>
    <cellStyle name="チェック セル" xfId="45" builtinId="23" customBuiltin="1"/>
    <cellStyle name="どちらでもない" xfId="37" builtinId="28" customBuiltin="1"/>
    <cellStyle name="ハイパーリンク 2" xfId="46" xr:uid="{00000000-0005-0000-0000-00002D000000}"/>
    <cellStyle name="ハイパーリンク 3" xfId="47" xr:uid="{00000000-0005-0000-0000-00002E000000}"/>
    <cellStyle name="メモ" xfId="48" builtinId="10" customBuiltin="1"/>
    <cellStyle name="リンク セル" xfId="49" builtinId="24" customBuiltin="1"/>
    <cellStyle name="悪い" xfId="53" builtinId="27" customBuiltin="1"/>
    <cellStyle name="計算" xfId="80" builtinId="22" customBuiltin="1"/>
    <cellStyle name="警告文" xfId="82" builtinId="11" customBuiltin="1"/>
    <cellStyle name="桁区切り 2" xfId="55" xr:uid="{00000000-0005-0000-0000-000036000000}"/>
    <cellStyle name="見出し 1" xfId="76" builtinId="16" customBuiltin="1"/>
    <cellStyle name="見出し 2" xfId="77" builtinId="17" customBuiltin="1"/>
    <cellStyle name="見出し 3" xfId="78" builtinId="18" customBuiltin="1"/>
    <cellStyle name="見出し 4" xfId="79" builtinId="19" customBuiltin="1"/>
    <cellStyle name="合計" xfId="52" xr:uid="{00000000-0005-0000-0000-000033000000}"/>
    <cellStyle name="集計" xfId="84" builtinId="25" customBuiltin="1"/>
    <cellStyle name="出力" xfId="51" builtinId="21" customBuiltin="1"/>
    <cellStyle name="説明文" xfId="81" builtinId="53" customBuiltin="1"/>
    <cellStyle name="通貨 2" xfId="83" xr:uid="{00000000-0005-0000-0000-000053000000}"/>
    <cellStyle name="入力" xfId="50" builtinId="20" customBuiltin="1"/>
    <cellStyle name="標準" xfId="0" builtinId="0"/>
    <cellStyle name="標準 2" xfId="56" xr:uid="{00000000-0005-0000-0000-000038000000}"/>
    <cellStyle name="標準 2 2" xfId="57" xr:uid="{00000000-0005-0000-0000-000039000000}"/>
    <cellStyle name="標準 2 3" xfId="58" xr:uid="{00000000-0005-0000-0000-00003A000000}"/>
    <cellStyle name="標準 2 3 2" xfId="59" xr:uid="{00000000-0005-0000-0000-00003B000000}"/>
    <cellStyle name="標準 2_参加申込書" xfId="60" xr:uid="{00000000-0005-0000-0000-00003C000000}"/>
    <cellStyle name="標準 3" xfId="61" xr:uid="{00000000-0005-0000-0000-00003D000000}"/>
    <cellStyle name="標準 3 2" xfId="62" xr:uid="{00000000-0005-0000-0000-00003E000000}"/>
    <cellStyle name="標準 4" xfId="63" xr:uid="{00000000-0005-0000-0000-00003F000000}"/>
    <cellStyle name="標準 4 2" xfId="64" xr:uid="{00000000-0005-0000-0000-000040000000}"/>
    <cellStyle name="標準 5" xfId="65" xr:uid="{00000000-0005-0000-0000-000041000000}"/>
    <cellStyle name="標準 6" xfId="66" xr:uid="{00000000-0005-0000-0000-000042000000}"/>
    <cellStyle name="標準 6 2" xfId="67" xr:uid="{00000000-0005-0000-0000-000043000000}"/>
    <cellStyle name="標準 7" xfId="68" xr:uid="{00000000-0005-0000-0000-000044000000}"/>
    <cellStyle name="標準 8" xfId="69" xr:uid="{00000000-0005-0000-0000-000045000000}"/>
    <cellStyle name="標準 9" xfId="70" xr:uid="{00000000-0005-0000-0000-000046000000}"/>
    <cellStyle name="標準_２０００年度春ﾘｰｸﾞ成績表" xfId="74" xr:uid="{00000000-0005-0000-0000-00004A000000}"/>
    <cellStyle name="標準_結果報告用紙_３７全少抽選会資料" xfId="73" xr:uid="{00000000-0005-0000-0000-000049000000}"/>
    <cellStyle name="標準_組み合わせ作成" xfId="72" xr:uid="{00000000-0005-0000-0000-000048000000}"/>
    <cellStyle name="標準_予選" xfId="71" xr:uid="{00000000-0005-0000-0000-000047000000}"/>
    <cellStyle name="普通" xfId="54" xr:uid="{00000000-0005-0000-0000-000035000000}"/>
    <cellStyle name="良い" xfId="75" builtinId="26" customBuiltin="1"/>
  </cellStyles>
  <dxfs count="12">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
      <fill>
        <gradientFill>
          <stop position="0">
            <color rgb="FFFFFF00"/>
          </stop>
          <stop position="1">
            <color rgb="FFFF0000"/>
          </stop>
        </gradientFill>
      </fill>
    </dxf>
    <dxf>
      <fill>
        <patternFill>
          <bgColor rgb="FFFFFF00"/>
        </patternFill>
      </fill>
    </dxf>
    <dxf>
      <fill>
        <patternFill>
          <bgColor rgb="FFFF0000"/>
        </patternFill>
      </fill>
    </dxf>
  </dxfs>
  <tableStyles count="0" defaultTableStyle="TableStyleMedium9" defaultPivotStyle="PivotStyleLight16"/>
  <colors>
    <mruColors>
      <color rgb="FFFFCCFF"/>
      <color rgb="FFFFFF99"/>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http://ord.yahoo.co.jp/o/image/SIG=12ol0k0fp/EXP=1453533587;_ylc=X3IDMgRmc3QDMARpZHgDMARvaWQDQU5kOUdjVDFSbzg4TDZoMzFGQmpCamljWDB5Y3BQUS13aWZYV0Z5X1VmWkwyRVZsdGdGMG16ckJTWFlScUt3BHADNDRLMTQ0T0Q0NEtyNDRPODQ0T1U0NE9ENDRPQgRwb3MDNzQEc2VjA3NodwRzbGsDcmk-/**http:/www.hereisfree.com/content1/pic/zip/20102223213321877801.jp" TargetMode="External"/></Relationships>
</file>

<file path=xl/drawings/drawing1.xml><?xml version="1.0" encoding="utf-8"?>
<xdr:wsDr xmlns:xdr="http://schemas.openxmlformats.org/drawingml/2006/spreadsheetDrawing" xmlns:a="http://schemas.openxmlformats.org/drawingml/2006/main">
  <xdr:twoCellAnchor editAs="oneCell">
    <xdr:from>
      <xdr:col>37</xdr:col>
      <xdr:colOff>0</xdr:colOff>
      <xdr:row>112</xdr:row>
      <xdr:rowOff>0</xdr:rowOff>
    </xdr:from>
    <xdr:to>
      <xdr:col>38</xdr:col>
      <xdr:colOff>95249</xdr:colOff>
      <xdr:row>113</xdr:row>
      <xdr:rowOff>59688</xdr:rowOff>
    </xdr:to>
    <xdr:sp macro="" textlink="">
      <xdr:nvSpPr>
        <xdr:cNvPr id="2" name="AutoShape 342" descr="http://ord.yahoo.co.jp/o/image/SIG=12ol0k0fp/EXP=1453533587;_ylc=X3IDMgRmc3QDMARpZHgDMARvaWQDQU5kOUdjVDFSbzg4TDZoMzFGQmpCamljWDB5Y3BQUS13aWZYV0Z5X1VmWkwyRVZsdGdGMG16ckJTWFlScUt3BHADNDRLMTQ0T0Q0NEtyNDRPODQ0T1U0NE9ENDRPQgRwb3MDNzQEc2VjA3NodwRzbGsDcmk-/**http%3a/www.hereisfree.com/content1/pic/zip/20102223213321877801.jpg">
          <a:extLst>
            <a:ext uri="{FF2B5EF4-FFF2-40B4-BE49-F238E27FC236}">
              <a16:creationId xmlns:a16="http://schemas.microsoft.com/office/drawing/2014/main" id="{00000000-0008-0000-0300-000002000000}"/>
            </a:ext>
          </a:extLst>
        </xdr:cNvPr>
        <xdr:cNvSpPr>
          <a:spLocks noChangeAspect="1" noChangeArrowheads="1"/>
        </xdr:cNvSpPr>
      </xdr:nvSpPr>
      <xdr:spPr>
        <a:xfrm>
          <a:off x="7953375" y="22592030"/>
          <a:ext cx="304800" cy="304800"/>
        </a:xfrm>
        <a:prstGeom prst="rect">
          <a:avLst/>
        </a:prstGeom>
        <a:noFill/>
        <a:ln>
          <a:noFill/>
        </a:ln>
      </xdr:spPr>
    </xdr:sp>
    <xdr:clientData/>
  </xdr:twoCellAnchor>
  <xdr:twoCellAnchor editAs="oneCell">
    <xdr:from>
      <xdr:col>37</xdr:col>
      <xdr:colOff>0</xdr:colOff>
      <xdr:row>112</xdr:row>
      <xdr:rowOff>0</xdr:rowOff>
    </xdr:from>
    <xdr:to>
      <xdr:col>38</xdr:col>
      <xdr:colOff>95249</xdr:colOff>
      <xdr:row>113</xdr:row>
      <xdr:rowOff>59688</xdr:rowOff>
    </xdr:to>
    <xdr:sp macro="" textlink="">
      <xdr:nvSpPr>
        <xdr:cNvPr id="3" name="AutoShape 343" descr="http://ord.yahoo.co.jp/o/image/SIG=12ol0k0fp/EXP=1453533587;_ylc=X3IDMgRmc3QDMARpZHgDMARvaWQDQU5kOUdjVDFSbzg4TDZoMzFGQmpCamljWDB5Y3BQUS13aWZYV0Z5X1VmWkwyRVZsdGdGMG16ckJTWFlScUt3BHADNDRLMTQ0T0Q0NEtyNDRPODQ0T1U0NE9ENDRPQgRwb3MDNzQEc2VjA3NodwRzbGsDcmk-/**http%3a/www.hereisfree.com/content1/pic/zip/20102223213321877801.jpg">
          <a:extLst>
            <a:ext uri="{FF2B5EF4-FFF2-40B4-BE49-F238E27FC236}">
              <a16:creationId xmlns:a16="http://schemas.microsoft.com/office/drawing/2014/main" id="{00000000-0008-0000-0300-000003000000}"/>
            </a:ext>
          </a:extLst>
        </xdr:cNvPr>
        <xdr:cNvSpPr>
          <a:spLocks noChangeAspect="1" noChangeArrowheads="1"/>
        </xdr:cNvSpPr>
      </xdr:nvSpPr>
      <xdr:spPr>
        <a:xfrm>
          <a:off x="7553325" y="22592030"/>
          <a:ext cx="304800" cy="304800"/>
        </a:xfrm>
        <a:prstGeom prst="rect">
          <a:avLst/>
        </a:prstGeom>
        <a:noFill/>
        <a:ln>
          <a:noFill/>
        </a:ln>
      </xdr:spPr>
    </xdr:sp>
    <xdr:clientData/>
  </xdr:twoCellAnchor>
  <xdr:twoCellAnchor editAs="oneCell">
    <xdr:from>
      <xdr:col>37</xdr:col>
      <xdr:colOff>0</xdr:colOff>
      <xdr:row>11</xdr:row>
      <xdr:rowOff>0</xdr:rowOff>
    </xdr:from>
    <xdr:to>
      <xdr:col>38</xdr:col>
      <xdr:colOff>97155</xdr:colOff>
      <xdr:row>11</xdr:row>
      <xdr:rowOff>304800</xdr:rowOff>
    </xdr:to>
    <xdr:sp macro="" textlink="">
      <xdr:nvSpPr>
        <xdr:cNvPr id="4" name="imgBoxImg" descr="クリックすると新しいウィンドウで開きます">
          <a:hlinkClick xmlns:r="http://schemas.openxmlformats.org/officeDocument/2006/relationships" r:id="rId1"/>
          <a:extLst>
            <a:ext uri="{FF2B5EF4-FFF2-40B4-BE49-F238E27FC236}">
              <a16:creationId xmlns:a16="http://schemas.microsoft.com/office/drawing/2014/main" id="{00000000-0008-0000-0300-000004000000}"/>
            </a:ext>
          </a:extLst>
        </xdr:cNvPr>
        <xdr:cNvSpPr>
          <a:spLocks noChangeAspect="1" noChangeArrowheads="1"/>
        </xdr:cNvSpPr>
      </xdr:nvSpPr>
      <xdr:spPr>
        <a:xfrm>
          <a:off x="8153400" y="2476500"/>
          <a:ext cx="304800" cy="304800"/>
        </a:xfrm>
        <a:prstGeom prst="rect">
          <a:avLst/>
        </a:prstGeom>
        <a:noFill/>
        <a:ln>
          <a:noFill/>
        </a:ln>
      </xdr:spPr>
    </xdr:sp>
    <xdr:clientData/>
  </xdr:twoCellAnchor>
  <xdr:twoCellAnchor editAs="oneCell">
    <xdr:from>
      <xdr:col>26</xdr:col>
      <xdr:colOff>66675</xdr:colOff>
      <xdr:row>0</xdr:row>
      <xdr:rowOff>146477</xdr:rowOff>
    </xdr:from>
    <xdr:to>
      <xdr:col>35</xdr:col>
      <xdr:colOff>79374</xdr:colOff>
      <xdr:row>3</xdr:row>
      <xdr:rowOff>92037</xdr:rowOff>
    </xdr:to>
    <xdr:pic>
      <xdr:nvPicPr>
        <xdr:cNvPr id="5" name="図 1">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2"/>
        <a:stretch>
          <a:fillRect/>
        </a:stretch>
      </xdr:blipFill>
      <xdr:spPr>
        <a:xfrm>
          <a:off x="4882092" y="146477"/>
          <a:ext cx="1637241" cy="669037"/>
        </a:xfrm>
        <a:prstGeom prst="rect">
          <a:avLst/>
        </a:prstGeom>
        <a:noFill/>
        <a:ln>
          <a:noFill/>
        </a:ln>
      </xdr:spPr>
    </xdr:pic>
    <xdr:clientData/>
  </xdr:twoCellAnchor>
  <xdr:twoCellAnchor editAs="oneCell">
    <xdr:from>
      <xdr:col>37</xdr:col>
      <xdr:colOff>0</xdr:colOff>
      <xdr:row>82</xdr:row>
      <xdr:rowOff>0</xdr:rowOff>
    </xdr:from>
    <xdr:to>
      <xdr:col>38</xdr:col>
      <xdr:colOff>95249</xdr:colOff>
      <xdr:row>83</xdr:row>
      <xdr:rowOff>136525</xdr:rowOff>
    </xdr:to>
    <xdr:sp macro="" textlink="">
      <xdr:nvSpPr>
        <xdr:cNvPr id="7" name="AutoShape 6" descr="http://ord.yahoo.co.jp/o/image/SIG=12ol0k0fp/EXP=1453533587;_ylc=X3IDMgRmc3QDMARpZHgDMARvaWQDQU5kOUdjVDFSbzg4TDZoMzFGQmpCamljWDB5Y3BQUS13aWZYV0Z5X1VmWkwyRVZsdGdGMG16ckJTWFlScUt3BHADNDRLMTQ0T0Q0NEtyNDRPODQ0T1U0NE9ENDRPQgRwb3MDNzQEc2VjA3NodwRzbGsDcmk-/**http%3a/www.hereisfree.com/content1/pic/zip/20102223213321877801.jpg">
          <a:extLst>
            <a:ext uri="{FF2B5EF4-FFF2-40B4-BE49-F238E27FC236}">
              <a16:creationId xmlns:a16="http://schemas.microsoft.com/office/drawing/2014/main" id="{00000000-0008-0000-0300-000007000000}"/>
            </a:ext>
          </a:extLst>
        </xdr:cNvPr>
        <xdr:cNvSpPr>
          <a:spLocks noChangeAspect="1" noChangeArrowheads="1"/>
        </xdr:cNvSpPr>
      </xdr:nvSpPr>
      <xdr:spPr>
        <a:xfrm>
          <a:off x="7953375" y="16392525"/>
          <a:ext cx="304800" cy="334645"/>
        </a:xfrm>
        <a:prstGeom prst="rect">
          <a:avLst/>
        </a:prstGeom>
        <a:noFill/>
        <a:ln>
          <a:noFill/>
        </a:ln>
      </xdr:spPr>
    </xdr:sp>
    <xdr:clientData/>
  </xdr:twoCellAnchor>
  <xdr:twoCellAnchor editAs="oneCell">
    <xdr:from>
      <xdr:col>37</xdr:col>
      <xdr:colOff>0</xdr:colOff>
      <xdr:row>88</xdr:row>
      <xdr:rowOff>0</xdr:rowOff>
    </xdr:from>
    <xdr:to>
      <xdr:col>38</xdr:col>
      <xdr:colOff>95249</xdr:colOff>
      <xdr:row>89</xdr:row>
      <xdr:rowOff>91440</xdr:rowOff>
    </xdr:to>
    <xdr:sp macro="" textlink="">
      <xdr:nvSpPr>
        <xdr:cNvPr id="8" name="AutoShape 7" descr="http://ord.yahoo.co.jp/o/image/SIG=12ol0k0fp/EXP=1453533587;_ylc=X3IDMgRmc3QDMARpZHgDMARvaWQDQU5kOUdjVDFSbzg4TDZoMzFGQmpCamljWDB5Y3BQUS13aWZYV0Z5X1VmWkwyRVZsdGdGMG16ckJTWFlScUt3BHADNDRLMTQ0T0Q0NEtyNDRPODQ0T1U0NE9ENDRPQgRwb3MDNzQEc2VjA3NodwRzbGsDcmk-/**http%3a/www.hereisfree.com/content1/pic/zip/20102223213321877801.jpg">
          <a:extLst>
            <a:ext uri="{FF2B5EF4-FFF2-40B4-BE49-F238E27FC236}">
              <a16:creationId xmlns:a16="http://schemas.microsoft.com/office/drawing/2014/main" id="{00000000-0008-0000-0300-000008000000}"/>
            </a:ext>
          </a:extLst>
        </xdr:cNvPr>
        <xdr:cNvSpPr>
          <a:spLocks noChangeAspect="1" noChangeArrowheads="1"/>
        </xdr:cNvSpPr>
      </xdr:nvSpPr>
      <xdr:spPr>
        <a:xfrm>
          <a:off x="7553325" y="17535525"/>
          <a:ext cx="304800" cy="304800"/>
        </a:xfrm>
        <a:prstGeom prst="rect">
          <a:avLst/>
        </a:prstGeom>
        <a:noFill/>
        <a:ln>
          <a:noFill/>
        </a:ln>
      </xdr:spPr>
    </xdr:sp>
    <xdr:clientData/>
  </xdr:twoCellAnchor>
  <xdr:twoCellAnchor editAs="oneCell">
    <xdr:from>
      <xdr:col>37</xdr:col>
      <xdr:colOff>0</xdr:colOff>
      <xdr:row>82</xdr:row>
      <xdr:rowOff>0</xdr:rowOff>
    </xdr:from>
    <xdr:to>
      <xdr:col>38</xdr:col>
      <xdr:colOff>95249</xdr:colOff>
      <xdr:row>83</xdr:row>
      <xdr:rowOff>114300</xdr:rowOff>
    </xdr:to>
    <xdr:sp macro="" textlink="">
      <xdr:nvSpPr>
        <xdr:cNvPr id="6" name="AutoShape 342" descr="http://ord.yahoo.co.jp/o/image/SIG=12ol0k0fp/EXP=1453533587;_ylc=X3IDMgRmc3QDMARpZHgDMARvaWQDQU5kOUdjVDFSbzg4TDZoMzFGQmpCamljWDB5Y3BQUS13aWZYV0Z5X1VmWkwyRVZsdGdGMG16ckJTWFlScUt3BHADNDRLMTQ0T0Q0NEtyNDRPODQ0T1U0NE9ENDRPQgRwb3MDNzQEc2VjA3NodwRzbGsDcmk-/**http%3a/www.hereisfree.com/content1/pic/zip/20102223213321877801.jpg">
          <a:extLst>
            <a:ext uri="{FF2B5EF4-FFF2-40B4-BE49-F238E27FC236}">
              <a16:creationId xmlns:a16="http://schemas.microsoft.com/office/drawing/2014/main" id="{92400B3A-BD34-4A46-9552-9EA32B6E9E14}"/>
            </a:ext>
          </a:extLst>
        </xdr:cNvPr>
        <xdr:cNvSpPr>
          <a:spLocks noChangeAspect="1" noChangeArrowheads="1"/>
        </xdr:cNvSpPr>
      </xdr:nvSpPr>
      <xdr:spPr>
        <a:xfrm>
          <a:off x="7321550" y="16363950"/>
          <a:ext cx="288925" cy="304800"/>
        </a:xfrm>
        <a:prstGeom prst="rect">
          <a:avLst/>
        </a:prstGeom>
        <a:noFill/>
        <a:ln>
          <a:noFill/>
        </a:ln>
      </xdr:spPr>
    </xdr:sp>
    <xdr:clientData/>
  </xdr:twoCellAnchor>
  <xdr:twoCellAnchor editAs="oneCell">
    <xdr:from>
      <xdr:col>37</xdr:col>
      <xdr:colOff>0</xdr:colOff>
      <xdr:row>88</xdr:row>
      <xdr:rowOff>0</xdr:rowOff>
    </xdr:from>
    <xdr:to>
      <xdr:col>38</xdr:col>
      <xdr:colOff>95249</xdr:colOff>
      <xdr:row>89</xdr:row>
      <xdr:rowOff>91440</xdr:rowOff>
    </xdr:to>
    <xdr:sp macro="" textlink="">
      <xdr:nvSpPr>
        <xdr:cNvPr id="10" name="AutoShape 343" descr="http://ord.yahoo.co.jp/o/image/SIG=12ol0k0fp/EXP=1453533587;_ylc=X3IDMgRmc3QDMARpZHgDMARvaWQDQU5kOUdjVDFSbzg4TDZoMzFGQmpCamljWDB5Y3BQUS13aWZYV0Z5X1VmWkwyRVZsdGdGMG16ckJTWFlScUt3BHADNDRLMTQ0T0Q0NEtyNDRPODQ0T1U0NE9ENDRPQgRwb3MDNzQEc2VjA3NodwRzbGsDcmk-/**http%3a/www.hereisfree.com/content1/pic/zip/20102223213321877801.jpg">
          <a:extLst>
            <a:ext uri="{FF2B5EF4-FFF2-40B4-BE49-F238E27FC236}">
              <a16:creationId xmlns:a16="http://schemas.microsoft.com/office/drawing/2014/main" id="{5895D219-F3DF-458C-8B7A-BDA05CDF8589}"/>
            </a:ext>
          </a:extLst>
        </xdr:cNvPr>
        <xdr:cNvSpPr>
          <a:spLocks noChangeAspect="1" noChangeArrowheads="1"/>
        </xdr:cNvSpPr>
      </xdr:nvSpPr>
      <xdr:spPr>
        <a:xfrm>
          <a:off x="6953250" y="17506950"/>
          <a:ext cx="288925" cy="304800"/>
        </a:xfrm>
        <a:prstGeom prst="rect">
          <a:avLst/>
        </a:prstGeom>
        <a:noFill/>
        <a:ln>
          <a:noFill/>
        </a:ln>
      </xdr:spPr>
    </xdr:sp>
    <xdr:clientData/>
  </xdr:twoCellAnchor>
  <xdr:twoCellAnchor editAs="oneCell">
    <xdr:from>
      <xdr:col>25</xdr:col>
      <xdr:colOff>61719</xdr:colOff>
      <xdr:row>113</xdr:row>
      <xdr:rowOff>96448</xdr:rowOff>
    </xdr:from>
    <xdr:to>
      <xdr:col>35</xdr:col>
      <xdr:colOff>21504</xdr:colOff>
      <xdr:row>116</xdr:row>
      <xdr:rowOff>179493</xdr:rowOff>
    </xdr:to>
    <xdr:pic>
      <xdr:nvPicPr>
        <xdr:cNvPr id="11" name="図 10">
          <a:extLst>
            <a:ext uri="{FF2B5EF4-FFF2-40B4-BE49-F238E27FC236}">
              <a16:creationId xmlns:a16="http://schemas.microsoft.com/office/drawing/2014/main" id="{981A92AC-1E31-49DF-8C17-6665D5FB81D7}"/>
            </a:ext>
          </a:extLst>
        </xdr:cNvPr>
        <xdr:cNvPicPr>
          <a:picLocks noChangeAspect="1"/>
        </xdr:cNvPicPr>
      </xdr:nvPicPr>
      <xdr:blipFill>
        <a:blip xmlns:r="http://schemas.openxmlformats.org/officeDocument/2006/relationships" r:embed="rId2"/>
        <a:stretch>
          <a:fillRect/>
        </a:stretch>
      </xdr:blipFill>
      <xdr:spPr>
        <a:xfrm>
          <a:off x="4691928" y="23162824"/>
          <a:ext cx="1765725" cy="723760"/>
        </a:xfrm>
        <a:prstGeom prst="rect">
          <a:avLst/>
        </a:prstGeom>
        <a:noFill/>
        <a:ln w="9525">
          <a:noFill/>
          <a:miter lim="800000"/>
          <a:headEnd/>
          <a:tailEnd/>
        </a:ln>
      </xdr:spPr>
    </xdr:pic>
    <xdr:clientData/>
  </xdr:twoCellAnchor>
  <xdr:twoCellAnchor editAs="oneCell">
    <xdr:from>
      <xdr:col>19</xdr:col>
      <xdr:colOff>130342</xdr:colOff>
      <xdr:row>113</xdr:row>
      <xdr:rowOff>96421</xdr:rowOff>
    </xdr:from>
    <xdr:to>
      <xdr:col>25</xdr:col>
      <xdr:colOff>94827</xdr:colOff>
      <xdr:row>116</xdr:row>
      <xdr:rowOff>173415</xdr:rowOff>
    </xdr:to>
    <xdr:pic>
      <xdr:nvPicPr>
        <xdr:cNvPr id="12" name="図 20">
          <a:extLst>
            <a:ext uri="{FF2B5EF4-FFF2-40B4-BE49-F238E27FC236}">
              <a16:creationId xmlns:a16="http://schemas.microsoft.com/office/drawing/2014/main" id="{F2E616A4-A551-4B67-919E-6B43A1E6355D}"/>
            </a:ext>
          </a:extLst>
        </xdr:cNvPr>
        <xdr:cNvPicPr>
          <a:picLocks noChangeAspect="1"/>
        </xdr:cNvPicPr>
      </xdr:nvPicPr>
      <xdr:blipFill>
        <a:blip xmlns:r="http://schemas.openxmlformats.org/officeDocument/2006/relationships" r:embed="rId3"/>
        <a:stretch>
          <a:fillRect/>
        </a:stretch>
      </xdr:blipFill>
      <xdr:spPr>
        <a:xfrm>
          <a:off x="3649301" y="23162797"/>
          <a:ext cx="1071925" cy="719614"/>
        </a:xfrm>
        <a:prstGeom prst="rect">
          <a:avLst/>
        </a:prstGeom>
        <a:noFill/>
        <a:ln w="9525">
          <a:noFill/>
          <a:miter lim="800000"/>
          <a:headEnd/>
          <a:tailEnd/>
        </a:ln>
      </xdr:spPr>
    </xdr:pic>
    <xdr:clientData/>
  </xdr:twoCellAnchor>
  <xdr:twoCellAnchor editAs="oneCell">
    <xdr:from>
      <xdr:col>27</xdr:col>
      <xdr:colOff>38100</xdr:colOff>
      <xdr:row>88</xdr:row>
      <xdr:rowOff>142875</xdr:rowOff>
    </xdr:from>
    <xdr:to>
      <xdr:col>35</xdr:col>
      <xdr:colOff>64694</xdr:colOff>
      <xdr:row>92</xdr:row>
      <xdr:rowOff>169545</xdr:rowOff>
    </xdr:to>
    <xdr:pic>
      <xdr:nvPicPr>
        <xdr:cNvPr id="9" name="図 21">
          <a:extLst>
            <a:ext uri="{FF2B5EF4-FFF2-40B4-BE49-F238E27FC236}">
              <a16:creationId xmlns:a16="http://schemas.microsoft.com/office/drawing/2014/main" id="{65811BD0-6297-41F0-A6ED-829E4F641AD5}"/>
            </a:ext>
          </a:extLst>
        </xdr:cNvPr>
        <xdr:cNvPicPr>
          <a:picLocks noChangeAspect="1"/>
        </xdr:cNvPicPr>
      </xdr:nvPicPr>
      <xdr:blipFill>
        <a:blip xmlns:r="http://schemas.openxmlformats.org/officeDocument/2006/relationships" r:embed="rId3"/>
        <a:stretch/>
      </xdr:blipFill>
      <xdr:spPr bwMode="auto">
        <a:xfrm>
          <a:off x="4667250" y="17659350"/>
          <a:ext cx="1360094" cy="86487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91</xdr:col>
      <xdr:colOff>0</xdr:colOff>
      <xdr:row>20</xdr:row>
      <xdr:rowOff>0</xdr:rowOff>
    </xdr:from>
    <xdr:to>
      <xdr:col>109</xdr:col>
      <xdr:colOff>0</xdr:colOff>
      <xdr:row>26</xdr:row>
      <xdr:rowOff>0</xdr:rowOff>
    </xdr:to>
    <xdr:grpSp>
      <xdr:nvGrpSpPr>
        <xdr:cNvPr id="61730" name="Group 87">
          <a:extLst>
            <a:ext uri="{FF2B5EF4-FFF2-40B4-BE49-F238E27FC236}">
              <a16:creationId xmlns:a16="http://schemas.microsoft.com/office/drawing/2014/main" id="{00000000-0008-0000-0500-000022F10000}"/>
            </a:ext>
          </a:extLst>
        </xdr:cNvPr>
        <xdr:cNvGrpSpPr/>
      </xdr:nvGrpSpPr>
      <xdr:grpSpPr>
        <a:xfrm>
          <a:off x="11323320" y="5120640"/>
          <a:ext cx="1920240" cy="1097280"/>
          <a:chOff x="427" y="610"/>
          <a:chExt cx="234" cy="111"/>
        </a:xfrm>
      </xdr:grpSpPr>
      <xdr:sp macro="" textlink="">
        <xdr:nvSpPr>
          <xdr:cNvPr id="61751" name="Line 88">
            <a:extLst>
              <a:ext uri="{FF2B5EF4-FFF2-40B4-BE49-F238E27FC236}">
                <a16:creationId xmlns:a16="http://schemas.microsoft.com/office/drawing/2014/main" id="{00000000-0008-0000-0500-000037F10000}"/>
              </a:ext>
            </a:extLst>
          </xdr:cNvPr>
          <xdr:cNvSpPr>
            <a:spLocks noChangeShapeType="1"/>
          </xdr:cNvSpPr>
        </xdr:nvSpPr>
        <xdr:spPr>
          <a:xfrm flipV="1">
            <a:off x="427" y="667"/>
            <a:ext cx="234" cy="0"/>
          </a:xfrm>
          <a:prstGeom prst="line">
            <a:avLst/>
          </a:prstGeom>
          <a:noFill/>
          <a:ln w="28575">
            <a:solidFill>
              <a:srgbClr val="000000"/>
            </a:solidFill>
            <a:round/>
            <a:headEnd/>
            <a:tailEnd/>
          </a:ln>
        </xdr:spPr>
      </xdr:sp>
      <xdr:sp macro="" textlink="">
        <xdr:nvSpPr>
          <xdr:cNvPr id="61752" name="Line 89">
            <a:extLst>
              <a:ext uri="{FF2B5EF4-FFF2-40B4-BE49-F238E27FC236}">
                <a16:creationId xmlns:a16="http://schemas.microsoft.com/office/drawing/2014/main" id="{00000000-0008-0000-0500-000038F10000}"/>
              </a:ext>
            </a:extLst>
          </xdr:cNvPr>
          <xdr:cNvSpPr>
            <a:spLocks noChangeShapeType="1"/>
          </xdr:cNvSpPr>
        </xdr:nvSpPr>
        <xdr:spPr>
          <a:xfrm>
            <a:off x="661" y="610"/>
            <a:ext cx="0" cy="57"/>
          </a:xfrm>
          <a:prstGeom prst="line">
            <a:avLst/>
          </a:prstGeom>
          <a:noFill/>
          <a:ln w="28575">
            <a:solidFill>
              <a:srgbClr val="000000"/>
            </a:solidFill>
            <a:round/>
            <a:headEnd/>
            <a:tailEnd/>
          </a:ln>
        </xdr:spPr>
      </xdr:sp>
      <xdr:sp macro="" textlink="">
        <xdr:nvSpPr>
          <xdr:cNvPr id="61753" name="Line 90">
            <a:extLst>
              <a:ext uri="{FF2B5EF4-FFF2-40B4-BE49-F238E27FC236}">
                <a16:creationId xmlns:a16="http://schemas.microsoft.com/office/drawing/2014/main" id="{00000000-0008-0000-0500-000039F10000}"/>
              </a:ext>
            </a:extLst>
          </xdr:cNvPr>
          <xdr:cNvSpPr>
            <a:spLocks noChangeShapeType="1"/>
          </xdr:cNvSpPr>
        </xdr:nvSpPr>
        <xdr:spPr>
          <a:xfrm flipH="1">
            <a:off x="427" y="667"/>
            <a:ext cx="0" cy="54"/>
          </a:xfrm>
          <a:prstGeom prst="line">
            <a:avLst/>
          </a:prstGeom>
          <a:noFill/>
          <a:ln w="28575">
            <a:solidFill>
              <a:srgbClr val="000000"/>
            </a:solidFill>
            <a:round/>
            <a:headEnd/>
            <a:tailEnd/>
          </a:ln>
        </xdr:spPr>
      </xdr:sp>
    </xdr:grpSp>
    <xdr:clientData/>
  </xdr:twoCellAnchor>
  <xdr:twoCellAnchor>
    <xdr:from>
      <xdr:col>37</xdr:col>
      <xdr:colOff>0</xdr:colOff>
      <xdr:row>20</xdr:row>
      <xdr:rowOff>0</xdr:rowOff>
    </xdr:from>
    <xdr:to>
      <xdr:col>55</xdr:col>
      <xdr:colOff>0</xdr:colOff>
      <xdr:row>26</xdr:row>
      <xdr:rowOff>0</xdr:rowOff>
    </xdr:to>
    <xdr:grpSp>
      <xdr:nvGrpSpPr>
        <xdr:cNvPr id="61731" name="Group 91">
          <a:extLst>
            <a:ext uri="{FF2B5EF4-FFF2-40B4-BE49-F238E27FC236}">
              <a16:creationId xmlns:a16="http://schemas.microsoft.com/office/drawing/2014/main" id="{00000000-0008-0000-0500-000023F10000}"/>
            </a:ext>
          </a:extLst>
        </xdr:cNvPr>
        <xdr:cNvGrpSpPr/>
      </xdr:nvGrpSpPr>
      <xdr:grpSpPr>
        <a:xfrm flipH="1">
          <a:off x="5562600" y="5120640"/>
          <a:ext cx="1920240" cy="1097280"/>
          <a:chOff x="427" y="610"/>
          <a:chExt cx="234" cy="111"/>
        </a:xfrm>
      </xdr:grpSpPr>
      <xdr:sp macro="" textlink="">
        <xdr:nvSpPr>
          <xdr:cNvPr id="61748" name="Line 92">
            <a:extLst>
              <a:ext uri="{FF2B5EF4-FFF2-40B4-BE49-F238E27FC236}">
                <a16:creationId xmlns:a16="http://schemas.microsoft.com/office/drawing/2014/main" id="{00000000-0008-0000-0500-000034F10000}"/>
              </a:ext>
            </a:extLst>
          </xdr:cNvPr>
          <xdr:cNvSpPr>
            <a:spLocks noChangeShapeType="1"/>
          </xdr:cNvSpPr>
        </xdr:nvSpPr>
        <xdr:spPr>
          <a:xfrm flipV="1">
            <a:off x="427" y="667"/>
            <a:ext cx="234" cy="0"/>
          </a:xfrm>
          <a:prstGeom prst="line">
            <a:avLst/>
          </a:prstGeom>
          <a:noFill/>
          <a:ln w="28575">
            <a:solidFill>
              <a:srgbClr val="000000"/>
            </a:solidFill>
            <a:round/>
            <a:headEnd/>
            <a:tailEnd/>
          </a:ln>
        </xdr:spPr>
      </xdr:sp>
      <xdr:sp macro="" textlink="">
        <xdr:nvSpPr>
          <xdr:cNvPr id="61749" name="Line 93">
            <a:extLst>
              <a:ext uri="{FF2B5EF4-FFF2-40B4-BE49-F238E27FC236}">
                <a16:creationId xmlns:a16="http://schemas.microsoft.com/office/drawing/2014/main" id="{00000000-0008-0000-0500-000035F10000}"/>
              </a:ext>
            </a:extLst>
          </xdr:cNvPr>
          <xdr:cNvSpPr>
            <a:spLocks noChangeShapeType="1"/>
          </xdr:cNvSpPr>
        </xdr:nvSpPr>
        <xdr:spPr>
          <a:xfrm>
            <a:off x="661" y="610"/>
            <a:ext cx="0" cy="57"/>
          </a:xfrm>
          <a:prstGeom prst="line">
            <a:avLst/>
          </a:prstGeom>
          <a:noFill/>
          <a:ln w="28575">
            <a:solidFill>
              <a:srgbClr val="000000"/>
            </a:solidFill>
            <a:round/>
            <a:headEnd/>
            <a:tailEnd/>
          </a:ln>
        </xdr:spPr>
      </xdr:sp>
      <xdr:sp macro="" textlink="">
        <xdr:nvSpPr>
          <xdr:cNvPr id="61750" name="Line 94">
            <a:extLst>
              <a:ext uri="{FF2B5EF4-FFF2-40B4-BE49-F238E27FC236}">
                <a16:creationId xmlns:a16="http://schemas.microsoft.com/office/drawing/2014/main" id="{00000000-0008-0000-0500-000036F10000}"/>
              </a:ext>
            </a:extLst>
          </xdr:cNvPr>
          <xdr:cNvSpPr>
            <a:spLocks noChangeShapeType="1"/>
          </xdr:cNvSpPr>
        </xdr:nvSpPr>
        <xdr:spPr>
          <a:xfrm flipH="1">
            <a:off x="427" y="667"/>
            <a:ext cx="0" cy="54"/>
          </a:xfrm>
          <a:prstGeom prst="line">
            <a:avLst/>
          </a:prstGeom>
          <a:noFill/>
          <a:ln w="28575">
            <a:solidFill>
              <a:srgbClr val="000000"/>
            </a:solidFill>
            <a:round/>
            <a:headEnd/>
            <a:tailEnd/>
          </a:ln>
        </xdr:spPr>
      </xdr:sp>
    </xdr:grpSp>
    <xdr:clientData/>
  </xdr:twoCellAnchor>
  <xdr:twoCellAnchor>
    <xdr:from>
      <xdr:col>109</xdr:col>
      <xdr:colOff>0</xdr:colOff>
      <xdr:row>20</xdr:row>
      <xdr:rowOff>0</xdr:rowOff>
    </xdr:from>
    <xdr:to>
      <xdr:col>127</xdr:col>
      <xdr:colOff>0</xdr:colOff>
      <xdr:row>26</xdr:row>
      <xdr:rowOff>0</xdr:rowOff>
    </xdr:to>
    <xdr:grpSp>
      <xdr:nvGrpSpPr>
        <xdr:cNvPr id="61732" name="Group 95">
          <a:extLst>
            <a:ext uri="{FF2B5EF4-FFF2-40B4-BE49-F238E27FC236}">
              <a16:creationId xmlns:a16="http://schemas.microsoft.com/office/drawing/2014/main" id="{00000000-0008-0000-0500-000024F10000}"/>
            </a:ext>
          </a:extLst>
        </xdr:cNvPr>
        <xdr:cNvGrpSpPr/>
      </xdr:nvGrpSpPr>
      <xdr:grpSpPr>
        <a:xfrm flipH="1">
          <a:off x="13243560" y="5120640"/>
          <a:ext cx="1920240" cy="1097280"/>
          <a:chOff x="427" y="610"/>
          <a:chExt cx="234" cy="111"/>
        </a:xfrm>
      </xdr:grpSpPr>
      <xdr:sp macro="" textlink="">
        <xdr:nvSpPr>
          <xdr:cNvPr id="61745" name="Line 96">
            <a:extLst>
              <a:ext uri="{FF2B5EF4-FFF2-40B4-BE49-F238E27FC236}">
                <a16:creationId xmlns:a16="http://schemas.microsoft.com/office/drawing/2014/main" id="{00000000-0008-0000-0500-000031F10000}"/>
              </a:ext>
            </a:extLst>
          </xdr:cNvPr>
          <xdr:cNvSpPr>
            <a:spLocks noChangeShapeType="1"/>
          </xdr:cNvSpPr>
        </xdr:nvSpPr>
        <xdr:spPr>
          <a:xfrm flipV="1">
            <a:off x="427" y="667"/>
            <a:ext cx="234" cy="0"/>
          </a:xfrm>
          <a:prstGeom prst="line">
            <a:avLst/>
          </a:prstGeom>
          <a:noFill/>
          <a:ln w="28575">
            <a:solidFill>
              <a:srgbClr val="FF0000"/>
            </a:solidFill>
            <a:round/>
            <a:headEnd/>
            <a:tailEnd/>
          </a:ln>
        </xdr:spPr>
      </xdr:sp>
      <xdr:sp macro="" textlink="">
        <xdr:nvSpPr>
          <xdr:cNvPr id="61746" name="Line 97">
            <a:extLst>
              <a:ext uri="{FF2B5EF4-FFF2-40B4-BE49-F238E27FC236}">
                <a16:creationId xmlns:a16="http://schemas.microsoft.com/office/drawing/2014/main" id="{00000000-0008-0000-0500-000032F10000}"/>
              </a:ext>
            </a:extLst>
          </xdr:cNvPr>
          <xdr:cNvSpPr>
            <a:spLocks noChangeShapeType="1"/>
          </xdr:cNvSpPr>
        </xdr:nvSpPr>
        <xdr:spPr>
          <a:xfrm>
            <a:off x="661" y="610"/>
            <a:ext cx="0" cy="57"/>
          </a:xfrm>
          <a:prstGeom prst="line">
            <a:avLst/>
          </a:prstGeom>
          <a:noFill/>
          <a:ln w="28575">
            <a:solidFill>
              <a:srgbClr val="FF0000"/>
            </a:solidFill>
            <a:round/>
            <a:headEnd/>
            <a:tailEnd/>
          </a:ln>
        </xdr:spPr>
      </xdr:sp>
      <xdr:sp macro="" textlink="">
        <xdr:nvSpPr>
          <xdr:cNvPr id="61747" name="Line 98">
            <a:extLst>
              <a:ext uri="{FF2B5EF4-FFF2-40B4-BE49-F238E27FC236}">
                <a16:creationId xmlns:a16="http://schemas.microsoft.com/office/drawing/2014/main" id="{00000000-0008-0000-0500-000033F10000}"/>
              </a:ext>
            </a:extLst>
          </xdr:cNvPr>
          <xdr:cNvSpPr>
            <a:spLocks noChangeShapeType="1"/>
          </xdr:cNvSpPr>
        </xdr:nvSpPr>
        <xdr:spPr>
          <a:xfrm flipH="1">
            <a:off x="427" y="667"/>
            <a:ext cx="0" cy="54"/>
          </a:xfrm>
          <a:prstGeom prst="line">
            <a:avLst/>
          </a:prstGeom>
          <a:noFill/>
          <a:ln w="28575">
            <a:solidFill>
              <a:srgbClr val="FF0000"/>
            </a:solidFill>
            <a:round/>
            <a:headEnd/>
            <a:tailEnd/>
          </a:ln>
        </xdr:spPr>
      </xdr:sp>
    </xdr:grpSp>
    <xdr:clientData/>
  </xdr:twoCellAnchor>
  <xdr:twoCellAnchor>
    <xdr:from>
      <xdr:col>73</xdr:col>
      <xdr:colOff>0</xdr:colOff>
      <xdr:row>11</xdr:row>
      <xdr:rowOff>0</xdr:rowOff>
    </xdr:from>
    <xdr:to>
      <xdr:col>109</xdr:col>
      <xdr:colOff>0</xdr:colOff>
      <xdr:row>17</xdr:row>
      <xdr:rowOff>0</xdr:rowOff>
    </xdr:to>
    <xdr:grpSp>
      <xdr:nvGrpSpPr>
        <xdr:cNvPr id="61734" name="Group 103">
          <a:extLst>
            <a:ext uri="{FF2B5EF4-FFF2-40B4-BE49-F238E27FC236}">
              <a16:creationId xmlns:a16="http://schemas.microsoft.com/office/drawing/2014/main" id="{00000000-0008-0000-0500-000026F10000}"/>
            </a:ext>
          </a:extLst>
        </xdr:cNvPr>
        <xdr:cNvGrpSpPr/>
      </xdr:nvGrpSpPr>
      <xdr:grpSpPr>
        <a:xfrm flipH="1">
          <a:off x="9403080" y="3474720"/>
          <a:ext cx="3840480" cy="1097280"/>
          <a:chOff x="427" y="610"/>
          <a:chExt cx="234" cy="111"/>
        </a:xfrm>
      </xdr:grpSpPr>
      <xdr:sp macro="" textlink="">
        <xdr:nvSpPr>
          <xdr:cNvPr id="61739" name="Line 104">
            <a:extLst>
              <a:ext uri="{FF2B5EF4-FFF2-40B4-BE49-F238E27FC236}">
                <a16:creationId xmlns:a16="http://schemas.microsoft.com/office/drawing/2014/main" id="{00000000-0008-0000-0500-00002BF10000}"/>
              </a:ext>
            </a:extLst>
          </xdr:cNvPr>
          <xdr:cNvSpPr>
            <a:spLocks noChangeShapeType="1"/>
          </xdr:cNvSpPr>
        </xdr:nvSpPr>
        <xdr:spPr>
          <a:xfrm flipV="1">
            <a:off x="427" y="667"/>
            <a:ext cx="234" cy="0"/>
          </a:xfrm>
          <a:prstGeom prst="line">
            <a:avLst/>
          </a:prstGeom>
          <a:noFill/>
          <a:ln w="28575">
            <a:solidFill>
              <a:srgbClr val="000000"/>
            </a:solidFill>
            <a:round/>
            <a:headEnd/>
            <a:tailEnd/>
          </a:ln>
        </xdr:spPr>
      </xdr:sp>
      <xdr:sp macro="" textlink="">
        <xdr:nvSpPr>
          <xdr:cNvPr id="61740" name="Line 105">
            <a:extLst>
              <a:ext uri="{FF2B5EF4-FFF2-40B4-BE49-F238E27FC236}">
                <a16:creationId xmlns:a16="http://schemas.microsoft.com/office/drawing/2014/main" id="{00000000-0008-0000-0500-00002CF10000}"/>
              </a:ext>
            </a:extLst>
          </xdr:cNvPr>
          <xdr:cNvSpPr>
            <a:spLocks noChangeShapeType="1"/>
          </xdr:cNvSpPr>
        </xdr:nvSpPr>
        <xdr:spPr>
          <a:xfrm>
            <a:off x="661" y="610"/>
            <a:ext cx="0" cy="57"/>
          </a:xfrm>
          <a:prstGeom prst="line">
            <a:avLst/>
          </a:prstGeom>
          <a:noFill/>
          <a:ln w="28575">
            <a:solidFill>
              <a:srgbClr val="000000"/>
            </a:solidFill>
            <a:round/>
            <a:headEnd/>
            <a:tailEnd/>
          </a:ln>
        </xdr:spPr>
      </xdr:sp>
      <xdr:sp macro="" textlink="">
        <xdr:nvSpPr>
          <xdr:cNvPr id="61741" name="Line 106">
            <a:extLst>
              <a:ext uri="{FF2B5EF4-FFF2-40B4-BE49-F238E27FC236}">
                <a16:creationId xmlns:a16="http://schemas.microsoft.com/office/drawing/2014/main" id="{00000000-0008-0000-0500-00002DF10000}"/>
              </a:ext>
            </a:extLst>
          </xdr:cNvPr>
          <xdr:cNvSpPr>
            <a:spLocks noChangeShapeType="1"/>
          </xdr:cNvSpPr>
        </xdr:nvSpPr>
        <xdr:spPr>
          <a:xfrm flipH="1">
            <a:off x="427" y="667"/>
            <a:ext cx="0" cy="54"/>
          </a:xfrm>
          <a:prstGeom prst="line">
            <a:avLst/>
          </a:prstGeom>
          <a:noFill/>
          <a:ln w="28575">
            <a:solidFill>
              <a:srgbClr val="000000"/>
            </a:solidFill>
            <a:round/>
            <a:headEnd/>
            <a:tailEnd/>
          </a:ln>
        </xdr:spPr>
      </xdr:sp>
    </xdr:grpSp>
    <xdr:clientData/>
  </xdr:twoCellAnchor>
  <xdr:twoCellAnchor>
    <xdr:from>
      <xdr:col>73</xdr:col>
      <xdr:colOff>0</xdr:colOff>
      <xdr:row>41</xdr:row>
      <xdr:rowOff>0</xdr:rowOff>
    </xdr:from>
    <xdr:to>
      <xdr:col>73</xdr:col>
      <xdr:colOff>0</xdr:colOff>
      <xdr:row>90</xdr:row>
      <xdr:rowOff>0</xdr:rowOff>
    </xdr:to>
    <xdr:sp macro="" textlink="">
      <xdr:nvSpPr>
        <xdr:cNvPr id="61735" name="Line 108">
          <a:extLst>
            <a:ext uri="{FF2B5EF4-FFF2-40B4-BE49-F238E27FC236}">
              <a16:creationId xmlns:a16="http://schemas.microsoft.com/office/drawing/2014/main" id="{00000000-0008-0000-0500-000027F10000}"/>
            </a:ext>
          </a:extLst>
        </xdr:cNvPr>
        <xdr:cNvSpPr>
          <a:spLocks noChangeShapeType="1"/>
        </xdr:cNvSpPr>
      </xdr:nvSpPr>
      <xdr:spPr>
        <a:xfrm flipH="1">
          <a:off x="10753725" y="8639175"/>
          <a:ext cx="0" cy="8547100"/>
        </a:xfrm>
        <a:prstGeom prst="line">
          <a:avLst/>
        </a:prstGeom>
        <a:noFill/>
        <a:ln w="57150">
          <a:solidFill>
            <a:srgbClr val="FF0000"/>
          </a:solidFill>
          <a:prstDash val="dash"/>
          <a:round/>
          <a:headEnd/>
          <a:tailEnd/>
        </a:ln>
      </xdr:spPr>
    </xdr:sp>
    <xdr:clientData/>
  </xdr:twoCellAnchor>
  <xdr:twoCellAnchor>
    <xdr:from>
      <xdr:col>109</xdr:col>
      <xdr:colOff>0</xdr:colOff>
      <xdr:row>41</xdr:row>
      <xdr:rowOff>0</xdr:rowOff>
    </xdr:from>
    <xdr:to>
      <xdr:col>109</xdr:col>
      <xdr:colOff>0</xdr:colOff>
      <xdr:row>90</xdr:row>
      <xdr:rowOff>0</xdr:rowOff>
    </xdr:to>
    <xdr:sp macro="" textlink="">
      <xdr:nvSpPr>
        <xdr:cNvPr id="61736" name="Line 109">
          <a:extLst>
            <a:ext uri="{FF2B5EF4-FFF2-40B4-BE49-F238E27FC236}">
              <a16:creationId xmlns:a16="http://schemas.microsoft.com/office/drawing/2014/main" id="{00000000-0008-0000-0500-000028F10000}"/>
            </a:ext>
          </a:extLst>
        </xdr:cNvPr>
        <xdr:cNvSpPr>
          <a:spLocks noChangeShapeType="1"/>
        </xdr:cNvSpPr>
      </xdr:nvSpPr>
      <xdr:spPr>
        <a:xfrm flipH="1">
          <a:off x="15211425" y="8639175"/>
          <a:ext cx="0" cy="8547100"/>
        </a:xfrm>
        <a:prstGeom prst="line">
          <a:avLst/>
        </a:prstGeom>
        <a:noFill/>
        <a:ln w="57150">
          <a:solidFill>
            <a:srgbClr val="FF0000"/>
          </a:solidFill>
          <a:prstDash val="dash"/>
          <a:round/>
          <a:headEnd/>
          <a:tailEnd/>
        </a:ln>
      </xdr:spPr>
    </xdr:sp>
    <xdr:clientData/>
  </xdr:twoCellAnchor>
  <xdr:twoCellAnchor>
    <xdr:from>
      <xdr:col>37</xdr:col>
      <xdr:colOff>0</xdr:colOff>
      <xdr:row>41</xdr:row>
      <xdr:rowOff>0</xdr:rowOff>
    </xdr:from>
    <xdr:to>
      <xdr:col>37</xdr:col>
      <xdr:colOff>0</xdr:colOff>
      <xdr:row>90</xdr:row>
      <xdr:rowOff>0</xdr:rowOff>
    </xdr:to>
    <xdr:sp macro="" textlink="">
      <xdr:nvSpPr>
        <xdr:cNvPr id="61737" name="Line 107">
          <a:extLst>
            <a:ext uri="{FF2B5EF4-FFF2-40B4-BE49-F238E27FC236}">
              <a16:creationId xmlns:a16="http://schemas.microsoft.com/office/drawing/2014/main" id="{00000000-0008-0000-0500-000029F10000}"/>
            </a:ext>
          </a:extLst>
        </xdr:cNvPr>
        <xdr:cNvSpPr>
          <a:spLocks noChangeShapeType="1"/>
        </xdr:cNvSpPr>
      </xdr:nvSpPr>
      <xdr:spPr>
        <a:xfrm flipH="1">
          <a:off x="6296025" y="8639175"/>
          <a:ext cx="0" cy="8547100"/>
        </a:xfrm>
        <a:prstGeom prst="line">
          <a:avLst/>
        </a:prstGeom>
        <a:noFill/>
        <a:ln w="57150">
          <a:solidFill>
            <a:srgbClr val="FF0000"/>
          </a:solidFill>
          <a:prstDash val="dash"/>
          <a:round/>
          <a:headEnd/>
          <a:tailEnd/>
        </a:ln>
      </xdr:spPr>
    </xdr:sp>
    <xdr:clientData/>
  </xdr:twoCellAnchor>
  <xdr:twoCellAnchor>
    <xdr:from>
      <xdr:col>76</xdr:col>
      <xdr:colOff>34924</xdr:colOff>
      <xdr:row>108</xdr:row>
      <xdr:rowOff>3176</xdr:rowOff>
    </xdr:from>
    <xdr:to>
      <xdr:col>90</xdr:col>
      <xdr:colOff>19049</xdr:colOff>
      <xdr:row>110</xdr:row>
      <xdr:rowOff>28576</xdr:rowOff>
    </xdr:to>
    <xdr:sp macro="" textlink="">
      <xdr:nvSpPr>
        <xdr:cNvPr id="32" name="テキスト ボックス 31">
          <a:extLst>
            <a:ext uri="{FF2B5EF4-FFF2-40B4-BE49-F238E27FC236}">
              <a16:creationId xmlns:a16="http://schemas.microsoft.com/office/drawing/2014/main" id="{00000000-0008-0000-0500-000020000000}"/>
            </a:ext>
          </a:extLst>
        </xdr:cNvPr>
        <xdr:cNvSpPr txBox="1"/>
      </xdr:nvSpPr>
      <xdr:spPr>
        <a:xfrm>
          <a:off x="9617074" y="20272376"/>
          <a:ext cx="1450975" cy="349250"/>
        </a:xfrm>
        <a:prstGeom prst="rect">
          <a:avLst/>
        </a:prstGeom>
        <a:solidFill>
          <a:schemeClr val="lt1"/>
        </a:solidFill>
        <a:ln w="6350" cmpd="sng">
          <a:solidFill>
            <a:schemeClr val="tx1"/>
          </a:solid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ctr"/>
        <a:lstStyle/>
        <a:p>
          <a:pPr algn="ctr"/>
          <a:r>
            <a:rPr kumimoji="1" lang="ja-JP" altLang="en-US" sz="1600">
              <a:latin typeface="ＭＳ Ｐゴシック"/>
              <a:ea typeface="ＭＳ Ｐゴシック"/>
            </a:rPr>
            <a:t>臼杵・津久見</a:t>
          </a:r>
        </a:p>
      </xdr:txBody>
    </xdr:sp>
    <xdr:clientData/>
  </xdr:twoCellAnchor>
  <xdr:twoCellAnchor>
    <xdr:from>
      <xdr:col>76</xdr:col>
      <xdr:colOff>44451</xdr:colOff>
      <xdr:row>105</xdr:row>
      <xdr:rowOff>120968</xdr:rowOff>
    </xdr:from>
    <xdr:to>
      <xdr:col>88</xdr:col>
      <xdr:colOff>24766</xdr:colOff>
      <xdr:row>107</xdr:row>
      <xdr:rowOff>152399</xdr:rowOff>
    </xdr:to>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9626601" y="19904394"/>
          <a:ext cx="1237615" cy="355281"/>
        </a:xfrm>
        <a:prstGeom prst="rect">
          <a:avLst/>
        </a:prstGeom>
        <a:solidFill>
          <a:schemeClr val="lt1"/>
        </a:solidFill>
        <a:ln w="6350" cmpd="sng">
          <a:solidFill>
            <a:schemeClr val="tx1"/>
          </a:solid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ctr"/>
        <a:lstStyle/>
        <a:p>
          <a:pPr algn="ctr"/>
          <a:r>
            <a:rPr kumimoji="1" lang="ja-JP" altLang="en-US" sz="1600">
              <a:latin typeface="ＭＳ Ｐゴシック"/>
              <a:ea typeface="ＭＳ Ｐゴシック"/>
            </a:rPr>
            <a:t>豊肥</a:t>
          </a:r>
        </a:p>
      </xdr:txBody>
    </xdr:sp>
    <xdr:clientData/>
  </xdr:twoCellAnchor>
  <xdr:twoCellAnchor>
    <xdr:from>
      <xdr:col>19</xdr:col>
      <xdr:colOff>0</xdr:colOff>
      <xdr:row>20</xdr:row>
      <xdr:rowOff>0</xdr:rowOff>
    </xdr:from>
    <xdr:to>
      <xdr:col>37</xdr:col>
      <xdr:colOff>0</xdr:colOff>
      <xdr:row>26</xdr:row>
      <xdr:rowOff>0</xdr:rowOff>
    </xdr:to>
    <xdr:grpSp>
      <xdr:nvGrpSpPr>
        <xdr:cNvPr id="61729" name="Group 83">
          <a:extLst>
            <a:ext uri="{FF2B5EF4-FFF2-40B4-BE49-F238E27FC236}">
              <a16:creationId xmlns:a16="http://schemas.microsoft.com/office/drawing/2014/main" id="{00000000-0008-0000-0500-000021F10000}"/>
            </a:ext>
          </a:extLst>
        </xdr:cNvPr>
        <xdr:cNvGrpSpPr/>
      </xdr:nvGrpSpPr>
      <xdr:grpSpPr>
        <a:xfrm>
          <a:off x="3642360" y="5120640"/>
          <a:ext cx="1920240" cy="1097280"/>
          <a:chOff x="427" y="610"/>
          <a:chExt cx="234" cy="111"/>
        </a:xfrm>
      </xdr:grpSpPr>
      <xdr:sp macro="" textlink="">
        <xdr:nvSpPr>
          <xdr:cNvPr id="61754" name="Line 84">
            <a:extLst>
              <a:ext uri="{FF2B5EF4-FFF2-40B4-BE49-F238E27FC236}">
                <a16:creationId xmlns:a16="http://schemas.microsoft.com/office/drawing/2014/main" id="{00000000-0008-0000-0500-00003AF10000}"/>
              </a:ext>
            </a:extLst>
          </xdr:cNvPr>
          <xdr:cNvSpPr>
            <a:spLocks noChangeShapeType="1"/>
          </xdr:cNvSpPr>
        </xdr:nvSpPr>
        <xdr:spPr>
          <a:xfrm flipV="1">
            <a:off x="427" y="667"/>
            <a:ext cx="234" cy="0"/>
          </a:xfrm>
          <a:prstGeom prst="line">
            <a:avLst/>
          </a:prstGeom>
          <a:noFill/>
          <a:ln w="28575">
            <a:solidFill>
              <a:srgbClr val="FF0000"/>
            </a:solidFill>
            <a:round/>
            <a:headEnd/>
            <a:tailEnd/>
          </a:ln>
        </xdr:spPr>
      </xdr:sp>
      <xdr:sp macro="" textlink="">
        <xdr:nvSpPr>
          <xdr:cNvPr id="61755" name="Line 85">
            <a:extLst>
              <a:ext uri="{FF2B5EF4-FFF2-40B4-BE49-F238E27FC236}">
                <a16:creationId xmlns:a16="http://schemas.microsoft.com/office/drawing/2014/main" id="{00000000-0008-0000-0500-00003BF10000}"/>
              </a:ext>
            </a:extLst>
          </xdr:cNvPr>
          <xdr:cNvSpPr>
            <a:spLocks noChangeShapeType="1"/>
          </xdr:cNvSpPr>
        </xdr:nvSpPr>
        <xdr:spPr>
          <a:xfrm>
            <a:off x="661" y="610"/>
            <a:ext cx="0" cy="57"/>
          </a:xfrm>
          <a:prstGeom prst="line">
            <a:avLst/>
          </a:prstGeom>
          <a:noFill/>
          <a:ln w="28575">
            <a:solidFill>
              <a:srgbClr val="FF0000"/>
            </a:solidFill>
            <a:round/>
            <a:headEnd/>
            <a:tailEnd/>
          </a:ln>
        </xdr:spPr>
      </xdr:sp>
      <xdr:sp macro="" textlink="">
        <xdr:nvSpPr>
          <xdr:cNvPr id="61756" name="Line 86">
            <a:extLst>
              <a:ext uri="{FF2B5EF4-FFF2-40B4-BE49-F238E27FC236}">
                <a16:creationId xmlns:a16="http://schemas.microsoft.com/office/drawing/2014/main" id="{00000000-0008-0000-0500-00003CF10000}"/>
              </a:ext>
            </a:extLst>
          </xdr:cNvPr>
          <xdr:cNvSpPr>
            <a:spLocks noChangeShapeType="1"/>
          </xdr:cNvSpPr>
        </xdr:nvSpPr>
        <xdr:spPr>
          <a:xfrm flipH="1">
            <a:off x="427" y="667"/>
            <a:ext cx="0" cy="54"/>
          </a:xfrm>
          <a:prstGeom prst="line">
            <a:avLst/>
          </a:prstGeom>
          <a:noFill/>
          <a:ln w="28575">
            <a:solidFill>
              <a:srgbClr val="FF0000"/>
            </a:solidFill>
            <a:round/>
            <a:headEnd/>
            <a:tailEnd/>
          </a:ln>
        </xdr:spPr>
      </xdr:sp>
    </xdr:grpSp>
    <xdr:clientData/>
  </xdr:twoCellAnchor>
  <xdr:twoCellAnchor>
    <xdr:from>
      <xdr:col>37</xdr:col>
      <xdr:colOff>0</xdr:colOff>
      <xdr:row>11</xdr:row>
      <xdr:rowOff>0</xdr:rowOff>
    </xdr:from>
    <xdr:to>
      <xdr:col>73</xdr:col>
      <xdr:colOff>0</xdr:colOff>
      <xdr:row>17</xdr:row>
      <xdr:rowOff>0</xdr:rowOff>
    </xdr:to>
    <xdr:grpSp>
      <xdr:nvGrpSpPr>
        <xdr:cNvPr id="61733" name="Group 99">
          <a:extLst>
            <a:ext uri="{FF2B5EF4-FFF2-40B4-BE49-F238E27FC236}">
              <a16:creationId xmlns:a16="http://schemas.microsoft.com/office/drawing/2014/main" id="{00000000-0008-0000-0500-000025F10000}"/>
            </a:ext>
          </a:extLst>
        </xdr:cNvPr>
        <xdr:cNvGrpSpPr/>
      </xdr:nvGrpSpPr>
      <xdr:grpSpPr>
        <a:xfrm>
          <a:off x="5562600" y="3474720"/>
          <a:ext cx="3840480" cy="1097280"/>
          <a:chOff x="427" y="610"/>
          <a:chExt cx="234" cy="111"/>
        </a:xfrm>
      </xdr:grpSpPr>
      <xdr:sp macro="" textlink="">
        <xdr:nvSpPr>
          <xdr:cNvPr id="61742" name="Line 100">
            <a:extLst>
              <a:ext uri="{FF2B5EF4-FFF2-40B4-BE49-F238E27FC236}">
                <a16:creationId xmlns:a16="http://schemas.microsoft.com/office/drawing/2014/main" id="{00000000-0008-0000-0500-00002EF10000}"/>
              </a:ext>
            </a:extLst>
          </xdr:cNvPr>
          <xdr:cNvSpPr>
            <a:spLocks noChangeShapeType="1"/>
          </xdr:cNvSpPr>
        </xdr:nvSpPr>
        <xdr:spPr>
          <a:xfrm flipV="1">
            <a:off x="427" y="667"/>
            <a:ext cx="234" cy="0"/>
          </a:xfrm>
          <a:prstGeom prst="line">
            <a:avLst/>
          </a:prstGeom>
          <a:noFill/>
          <a:ln w="28575">
            <a:solidFill>
              <a:srgbClr val="FF0000"/>
            </a:solidFill>
            <a:round/>
            <a:headEnd/>
            <a:tailEnd/>
          </a:ln>
        </xdr:spPr>
      </xdr:sp>
      <xdr:sp macro="" textlink="">
        <xdr:nvSpPr>
          <xdr:cNvPr id="61743" name="Line 101">
            <a:extLst>
              <a:ext uri="{FF2B5EF4-FFF2-40B4-BE49-F238E27FC236}">
                <a16:creationId xmlns:a16="http://schemas.microsoft.com/office/drawing/2014/main" id="{00000000-0008-0000-0500-00002FF10000}"/>
              </a:ext>
            </a:extLst>
          </xdr:cNvPr>
          <xdr:cNvSpPr>
            <a:spLocks noChangeShapeType="1"/>
          </xdr:cNvSpPr>
        </xdr:nvSpPr>
        <xdr:spPr>
          <a:xfrm>
            <a:off x="661" y="610"/>
            <a:ext cx="0" cy="57"/>
          </a:xfrm>
          <a:prstGeom prst="line">
            <a:avLst/>
          </a:prstGeom>
          <a:noFill/>
          <a:ln w="28575">
            <a:solidFill>
              <a:srgbClr val="FF0000"/>
            </a:solidFill>
            <a:round/>
            <a:headEnd/>
            <a:tailEnd/>
          </a:ln>
        </xdr:spPr>
      </xdr:sp>
      <xdr:sp macro="" textlink="">
        <xdr:nvSpPr>
          <xdr:cNvPr id="61744" name="Line 102">
            <a:extLst>
              <a:ext uri="{FF2B5EF4-FFF2-40B4-BE49-F238E27FC236}">
                <a16:creationId xmlns:a16="http://schemas.microsoft.com/office/drawing/2014/main" id="{00000000-0008-0000-0500-000030F10000}"/>
              </a:ext>
            </a:extLst>
          </xdr:cNvPr>
          <xdr:cNvSpPr>
            <a:spLocks noChangeShapeType="1"/>
          </xdr:cNvSpPr>
        </xdr:nvSpPr>
        <xdr:spPr>
          <a:xfrm flipH="1">
            <a:off x="427" y="667"/>
            <a:ext cx="0" cy="54"/>
          </a:xfrm>
          <a:prstGeom prst="line">
            <a:avLst/>
          </a:prstGeom>
          <a:noFill/>
          <a:ln w="28575">
            <a:solidFill>
              <a:srgbClr val="FF0000"/>
            </a:solidFill>
            <a:round/>
            <a:headEnd/>
            <a:tailEnd/>
          </a:ln>
        </xdr:spPr>
      </xdr:sp>
    </xdr:grpSp>
    <xdr:clientData/>
  </xdr:twoCellAnchor>
</xdr:wsDr>
</file>

<file path=xl/drawings/drawing3.xml><?xml version="1.0" encoding="utf-8"?>
<xdr:wsDr xmlns:xdr="http://schemas.openxmlformats.org/drawingml/2006/spreadsheetDrawing" xmlns:a="http://schemas.openxmlformats.org/drawingml/2006/main">
  <xdr:twoCellAnchor>
    <xdr:from>
      <xdr:col>16</xdr:col>
      <xdr:colOff>0</xdr:colOff>
      <xdr:row>3</xdr:row>
      <xdr:rowOff>3175</xdr:rowOff>
    </xdr:from>
    <xdr:to>
      <xdr:col>18</xdr:col>
      <xdr:colOff>0</xdr:colOff>
      <xdr:row>4</xdr:row>
      <xdr:rowOff>0</xdr:rowOff>
    </xdr:to>
    <xdr:sp macro="" textlink="">
      <xdr:nvSpPr>
        <xdr:cNvPr id="3" name="円/楕円 1">
          <a:extLst>
            <a:ext uri="{FF2B5EF4-FFF2-40B4-BE49-F238E27FC236}">
              <a16:creationId xmlns:a16="http://schemas.microsoft.com/office/drawing/2014/main" id="{01E4B53C-1CFE-433C-8F1D-2FBE69918168}"/>
            </a:ext>
          </a:extLst>
        </xdr:cNvPr>
        <xdr:cNvSpPr/>
      </xdr:nvSpPr>
      <xdr:spPr>
        <a:xfrm>
          <a:off x="4343400" y="898525"/>
          <a:ext cx="561975" cy="25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overflow" rtlCol="0" anchor="ctr"/>
        <a:lstStyle/>
        <a:p>
          <a:endParaRPr lang="ja-JP" altLang="en-US"/>
        </a:p>
      </xdr:txBody>
    </xdr:sp>
    <xdr:clientData/>
  </xdr:twoCellAnchor>
  <xdr:twoCellAnchor>
    <xdr:from>
      <xdr:col>10</xdr:col>
      <xdr:colOff>0</xdr:colOff>
      <xdr:row>4</xdr:row>
      <xdr:rowOff>1</xdr:rowOff>
    </xdr:from>
    <xdr:to>
      <xdr:col>11</xdr:col>
      <xdr:colOff>22413</xdr:colOff>
      <xdr:row>5</xdr:row>
      <xdr:rowOff>14942</xdr:rowOff>
    </xdr:to>
    <xdr:sp macro="" textlink="">
      <xdr:nvSpPr>
        <xdr:cNvPr id="4" name="フローチャート: 結合子 3">
          <a:extLst>
            <a:ext uri="{FF2B5EF4-FFF2-40B4-BE49-F238E27FC236}">
              <a16:creationId xmlns:a16="http://schemas.microsoft.com/office/drawing/2014/main" id="{CD539B17-5FD4-42A3-A900-948536CF82E7}"/>
            </a:ext>
          </a:extLst>
        </xdr:cNvPr>
        <xdr:cNvSpPr/>
      </xdr:nvSpPr>
      <xdr:spPr>
        <a:xfrm>
          <a:off x="2714625" y="1152526"/>
          <a:ext cx="293876" cy="272116"/>
        </a:xfrm>
        <a:prstGeom prst="flowChartConnector">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253999</xdr:colOff>
      <xdr:row>4</xdr:row>
      <xdr:rowOff>0</xdr:rowOff>
    </xdr:from>
    <xdr:to>
      <xdr:col>14</xdr:col>
      <xdr:colOff>7471</xdr:colOff>
      <xdr:row>5</xdr:row>
      <xdr:rowOff>14941</xdr:rowOff>
    </xdr:to>
    <xdr:sp macro="" textlink="">
      <xdr:nvSpPr>
        <xdr:cNvPr id="5" name="フローチャート: 結合子 4">
          <a:extLst>
            <a:ext uri="{FF2B5EF4-FFF2-40B4-BE49-F238E27FC236}">
              <a16:creationId xmlns:a16="http://schemas.microsoft.com/office/drawing/2014/main" id="{D7632C2C-E6F9-419E-A1CD-0F946199250E}"/>
            </a:ext>
          </a:extLst>
        </xdr:cNvPr>
        <xdr:cNvSpPr/>
      </xdr:nvSpPr>
      <xdr:spPr>
        <a:xfrm>
          <a:off x="3511549" y="1152525"/>
          <a:ext cx="296397" cy="272116"/>
        </a:xfrm>
        <a:prstGeom prst="flowChartConnector">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261470</xdr:colOff>
      <xdr:row>4</xdr:row>
      <xdr:rowOff>0</xdr:rowOff>
    </xdr:from>
    <xdr:to>
      <xdr:col>17</xdr:col>
      <xdr:colOff>14942</xdr:colOff>
      <xdr:row>5</xdr:row>
      <xdr:rowOff>14941</xdr:rowOff>
    </xdr:to>
    <xdr:sp macro="" textlink="">
      <xdr:nvSpPr>
        <xdr:cNvPr id="6" name="フローチャート: 結合子 5">
          <a:extLst>
            <a:ext uri="{FF2B5EF4-FFF2-40B4-BE49-F238E27FC236}">
              <a16:creationId xmlns:a16="http://schemas.microsoft.com/office/drawing/2014/main" id="{5B1D3D00-A6F4-4E20-B0CA-539C715C8AA0}"/>
            </a:ext>
          </a:extLst>
        </xdr:cNvPr>
        <xdr:cNvSpPr/>
      </xdr:nvSpPr>
      <xdr:spPr>
        <a:xfrm>
          <a:off x="4333408" y="1152525"/>
          <a:ext cx="315447" cy="272116"/>
        </a:xfrm>
        <a:prstGeom prst="flowChartConnector">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254001</xdr:colOff>
      <xdr:row>4</xdr:row>
      <xdr:rowOff>7472</xdr:rowOff>
    </xdr:from>
    <xdr:to>
      <xdr:col>20</xdr:col>
      <xdr:colOff>0</xdr:colOff>
      <xdr:row>5</xdr:row>
      <xdr:rowOff>14942</xdr:rowOff>
    </xdr:to>
    <xdr:sp macro="" textlink="">
      <xdr:nvSpPr>
        <xdr:cNvPr id="7" name="楕円 6">
          <a:extLst>
            <a:ext uri="{FF2B5EF4-FFF2-40B4-BE49-F238E27FC236}">
              <a16:creationId xmlns:a16="http://schemas.microsoft.com/office/drawing/2014/main" id="{AAE4A0B1-0E5A-42FA-85BA-5CF4335CB24A}"/>
            </a:ext>
          </a:extLst>
        </xdr:cNvPr>
        <xdr:cNvSpPr/>
      </xdr:nvSpPr>
      <xdr:spPr>
        <a:xfrm>
          <a:off x="4887914" y="1159997"/>
          <a:ext cx="579436" cy="264645"/>
        </a:xfrm>
        <a:prstGeom prst="ellipse">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38</xdr:col>
      <xdr:colOff>29882</xdr:colOff>
      <xdr:row>10</xdr:row>
      <xdr:rowOff>246529</xdr:rowOff>
    </xdr:from>
    <xdr:to>
      <xdr:col>40</xdr:col>
      <xdr:colOff>179295</xdr:colOff>
      <xdr:row>11</xdr:row>
      <xdr:rowOff>224117</xdr:rowOff>
    </xdr:to>
    <xdr:sp macro="" textlink="">
      <xdr:nvSpPr>
        <xdr:cNvPr id="8" name="フローチャート: 代替処理 7">
          <a:extLst>
            <a:ext uri="{FF2B5EF4-FFF2-40B4-BE49-F238E27FC236}">
              <a16:creationId xmlns:a16="http://schemas.microsoft.com/office/drawing/2014/main" id="{B85ECAEC-1CBB-476A-8855-D3CFB8FA7120}"/>
            </a:ext>
          </a:extLst>
        </xdr:cNvPr>
        <xdr:cNvSpPr/>
      </xdr:nvSpPr>
      <xdr:spPr>
        <a:xfrm>
          <a:off x="10383557" y="2942104"/>
          <a:ext cx="692338" cy="234763"/>
        </a:xfrm>
        <a:prstGeom prst="flowChartAlternateProcess">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82181</xdr:colOff>
      <xdr:row>9</xdr:row>
      <xdr:rowOff>29884</xdr:rowOff>
    </xdr:from>
    <xdr:to>
      <xdr:col>23</xdr:col>
      <xdr:colOff>201712</xdr:colOff>
      <xdr:row>10</xdr:row>
      <xdr:rowOff>2</xdr:rowOff>
    </xdr:to>
    <xdr:sp macro="" textlink="">
      <xdr:nvSpPr>
        <xdr:cNvPr id="9" name="フローチャート: 代替処理 8">
          <a:extLst>
            <a:ext uri="{FF2B5EF4-FFF2-40B4-BE49-F238E27FC236}">
              <a16:creationId xmlns:a16="http://schemas.microsoft.com/office/drawing/2014/main" id="{D2E33D12-8539-44DB-B694-87CC1B9FDD6F}"/>
            </a:ext>
          </a:extLst>
        </xdr:cNvPr>
        <xdr:cNvSpPr/>
      </xdr:nvSpPr>
      <xdr:spPr>
        <a:xfrm>
          <a:off x="5820994" y="2468284"/>
          <a:ext cx="662456" cy="227293"/>
        </a:xfrm>
        <a:prstGeom prst="flowChartAlternateProcess">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14</xdr:col>
      <xdr:colOff>0</xdr:colOff>
      <xdr:row>2</xdr:row>
      <xdr:rowOff>250190</xdr:rowOff>
    </xdr:from>
    <xdr:to>
      <xdr:col>16</xdr:col>
      <xdr:colOff>0</xdr:colOff>
      <xdr:row>4</xdr:row>
      <xdr:rowOff>0</xdr:rowOff>
    </xdr:to>
    <xdr:sp macro="" textlink="">
      <xdr:nvSpPr>
        <xdr:cNvPr id="3" name="円/楕円 1">
          <a:extLst>
            <a:ext uri="{FF2B5EF4-FFF2-40B4-BE49-F238E27FC236}">
              <a16:creationId xmlns:a16="http://schemas.microsoft.com/office/drawing/2014/main" id="{9FB30842-31BD-4A7D-A80A-8A2F40F44FB4}"/>
            </a:ext>
          </a:extLst>
        </xdr:cNvPr>
        <xdr:cNvSpPr/>
      </xdr:nvSpPr>
      <xdr:spPr>
        <a:xfrm>
          <a:off x="3800475" y="888365"/>
          <a:ext cx="542925" cy="26416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overflow" rtlCol="0" anchor="ctr"/>
        <a:lstStyle/>
        <a:p>
          <a:endParaRPr lang="ja-JP" altLang="en-US"/>
        </a:p>
      </xdr:txBody>
    </xdr:sp>
    <xdr:clientData/>
  </xdr:twoCellAnchor>
  <xdr:twoCellAnchor>
    <xdr:from>
      <xdr:col>12</xdr:col>
      <xdr:colOff>82179</xdr:colOff>
      <xdr:row>9</xdr:row>
      <xdr:rowOff>22411</xdr:rowOff>
    </xdr:from>
    <xdr:to>
      <xdr:col>14</xdr:col>
      <xdr:colOff>201710</xdr:colOff>
      <xdr:row>9</xdr:row>
      <xdr:rowOff>246529</xdr:rowOff>
    </xdr:to>
    <xdr:sp macro="" textlink="">
      <xdr:nvSpPr>
        <xdr:cNvPr id="4" name="フローチャート: 代替処理 3">
          <a:extLst>
            <a:ext uri="{FF2B5EF4-FFF2-40B4-BE49-F238E27FC236}">
              <a16:creationId xmlns:a16="http://schemas.microsoft.com/office/drawing/2014/main" id="{4F769547-F74F-4D63-A2D4-0333EF4793B3}"/>
            </a:ext>
          </a:extLst>
        </xdr:cNvPr>
        <xdr:cNvSpPr/>
      </xdr:nvSpPr>
      <xdr:spPr>
        <a:xfrm>
          <a:off x="3339729" y="2460811"/>
          <a:ext cx="662456" cy="224118"/>
        </a:xfrm>
        <a:prstGeom prst="flowChartAlternateProcess">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22413</xdr:colOff>
      <xdr:row>9</xdr:row>
      <xdr:rowOff>29885</xdr:rowOff>
    </xdr:from>
    <xdr:to>
      <xdr:col>12</xdr:col>
      <xdr:colOff>22412</xdr:colOff>
      <xdr:row>9</xdr:row>
      <xdr:rowOff>239061</xdr:rowOff>
    </xdr:to>
    <xdr:sp macro="" textlink="">
      <xdr:nvSpPr>
        <xdr:cNvPr id="5" name="フローチャート: 代替処理 4">
          <a:extLst>
            <a:ext uri="{FF2B5EF4-FFF2-40B4-BE49-F238E27FC236}">
              <a16:creationId xmlns:a16="http://schemas.microsoft.com/office/drawing/2014/main" id="{209DFCFD-0ADE-4FA7-8976-B3A792F98858}"/>
            </a:ext>
          </a:extLst>
        </xdr:cNvPr>
        <xdr:cNvSpPr/>
      </xdr:nvSpPr>
      <xdr:spPr>
        <a:xfrm>
          <a:off x="2465576" y="2468285"/>
          <a:ext cx="814386" cy="209176"/>
        </a:xfrm>
        <a:prstGeom prst="flowChartAlternateProcess">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253999</xdr:colOff>
      <xdr:row>4</xdr:row>
      <xdr:rowOff>0</xdr:rowOff>
    </xdr:from>
    <xdr:to>
      <xdr:col>14</xdr:col>
      <xdr:colOff>7471</xdr:colOff>
      <xdr:row>5</xdr:row>
      <xdr:rowOff>14941</xdr:rowOff>
    </xdr:to>
    <xdr:sp macro="" textlink="">
      <xdr:nvSpPr>
        <xdr:cNvPr id="6" name="フローチャート: 結合子 5">
          <a:extLst>
            <a:ext uri="{FF2B5EF4-FFF2-40B4-BE49-F238E27FC236}">
              <a16:creationId xmlns:a16="http://schemas.microsoft.com/office/drawing/2014/main" id="{77F9785F-2F50-419D-A425-8F4E06591267}"/>
            </a:ext>
          </a:extLst>
        </xdr:cNvPr>
        <xdr:cNvSpPr/>
      </xdr:nvSpPr>
      <xdr:spPr>
        <a:xfrm>
          <a:off x="3511549" y="1152525"/>
          <a:ext cx="296397" cy="272116"/>
        </a:xfrm>
        <a:prstGeom prst="flowChartConnector">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0</xdr:colOff>
      <xdr:row>4</xdr:row>
      <xdr:rowOff>1</xdr:rowOff>
    </xdr:from>
    <xdr:to>
      <xdr:col>11</xdr:col>
      <xdr:colOff>22413</xdr:colOff>
      <xdr:row>5</xdr:row>
      <xdr:rowOff>14942</xdr:rowOff>
    </xdr:to>
    <xdr:sp macro="" textlink="">
      <xdr:nvSpPr>
        <xdr:cNvPr id="7" name="フローチャート: 結合子 6">
          <a:extLst>
            <a:ext uri="{FF2B5EF4-FFF2-40B4-BE49-F238E27FC236}">
              <a16:creationId xmlns:a16="http://schemas.microsoft.com/office/drawing/2014/main" id="{CB588D66-AAAA-423E-B485-7EEA2635268F}"/>
            </a:ext>
          </a:extLst>
        </xdr:cNvPr>
        <xdr:cNvSpPr/>
      </xdr:nvSpPr>
      <xdr:spPr>
        <a:xfrm>
          <a:off x="2714625" y="1152526"/>
          <a:ext cx="293876" cy="272116"/>
        </a:xfrm>
        <a:prstGeom prst="flowChartConnector">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253999</xdr:colOff>
      <xdr:row>4</xdr:row>
      <xdr:rowOff>0</xdr:rowOff>
    </xdr:from>
    <xdr:to>
      <xdr:col>14</xdr:col>
      <xdr:colOff>7471</xdr:colOff>
      <xdr:row>5</xdr:row>
      <xdr:rowOff>14941</xdr:rowOff>
    </xdr:to>
    <xdr:sp macro="" textlink="">
      <xdr:nvSpPr>
        <xdr:cNvPr id="8" name="フローチャート: 結合子 7">
          <a:extLst>
            <a:ext uri="{FF2B5EF4-FFF2-40B4-BE49-F238E27FC236}">
              <a16:creationId xmlns:a16="http://schemas.microsoft.com/office/drawing/2014/main" id="{72523622-6A28-49B2-B7F6-5741222B1F3E}"/>
            </a:ext>
          </a:extLst>
        </xdr:cNvPr>
        <xdr:cNvSpPr/>
      </xdr:nvSpPr>
      <xdr:spPr>
        <a:xfrm>
          <a:off x="3511549" y="1152525"/>
          <a:ext cx="296397" cy="272116"/>
        </a:xfrm>
        <a:prstGeom prst="flowChartConnector">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261470</xdr:colOff>
      <xdr:row>4</xdr:row>
      <xdr:rowOff>0</xdr:rowOff>
    </xdr:from>
    <xdr:to>
      <xdr:col>17</xdr:col>
      <xdr:colOff>14942</xdr:colOff>
      <xdr:row>5</xdr:row>
      <xdr:rowOff>14941</xdr:rowOff>
    </xdr:to>
    <xdr:sp macro="" textlink="">
      <xdr:nvSpPr>
        <xdr:cNvPr id="9" name="フローチャート: 結合子 8">
          <a:extLst>
            <a:ext uri="{FF2B5EF4-FFF2-40B4-BE49-F238E27FC236}">
              <a16:creationId xmlns:a16="http://schemas.microsoft.com/office/drawing/2014/main" id="{D1C9B41D-312A-4246-8984-D44DA9873340}"/>
            </a:ext>
          </a:extLst>
        </xdr:cNvPr>
        <xdr:cNvSpPr/>
      </xdr:nvSpPr>
      <xdr:spPr>
        <a:xfrm>
          <a:off x="4333408" y="1152525"/>
          <a:ext cx="315447" cy="272116"/>
        </a:xfrm>
        <a:prstGeom prst="flowChartConnector">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254001</xdr:colOff>
      <xdr:row>4</xdr:row>
      <xdr:rowOff>7472</xdr:rowOff>
    </xdr:from>
    <xdr:to>
      <xdr:col>20</xdr:col>
      <xdr:colOff>0</xdr:colOff>
      <xdr:row>5</xdr:row>
      <xdr:rowOff>14942</xdr:rowOff>
    </xdr:to>
    <xdr:sp macro="" textlink="">
      <xdr:nvSpPr>
        <xdr:cNvPr id="10" name="楕円 9">
          <a:extLst>
            <a:ext uri="{FF2B5EF4-FFF2-40B4-BE49-F238E27FC236}">
              <a16:creationId xmlns:a16="http://schemas.microsoft.com/office/drawing/2014/main" id="{214175D3-E108-46E4-B559-ED1CB3C93BC3}"/>
            </a:ext>
          </a:extLst>
        </xdr:cNvPr>
        <xdr:cNvSpPr/>
      </xdr:nvSpPr>
      <xdr:spPr>
        <a:xfrm>
          <a:off x="4887914" y="1159997"/>
          <a:ext cx="579436" cy="264645"/>
        </a:xfrm>
        <a:prstGeom prst="ellipse">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14</xdr:col>
      <xdr:colOff>0</xdr:colOff>
      <xdr:row>2</xdr:row>
      <xdr:rowOff>250190</xdr:rowOff>
    </xdr:from>
    <xdr:to>
      <xdr:col>16</xdr:col>
      <xdr:colOff>0</xdr:colOff>
      <xdr:row>4</xdr:row>
      <xdr:rowOff>0</xdr:rowOff>
    </xdr:to>
    <xdr:sp macro="" textlink="">
      <xdr:nvSpPr>
        <xdr:cNvPr id="2" name="円/楕円 8">
          <a:extLst>
            <a:ext uri="{FF2B5EF4-FFF2-40B4-BE49-F238E27FC236}">
              <a16:creationId xmlns:a16="http://schemas.microsoft.com/office/drawing/2014/main" id="{97AC6892-D5AC-4250-BDF7-0EFBAFD3D74F}"/>
            </a:ext>
          </a:extLst>
        </xdr:cNvPr>
        <xdr:cNvSpPr/>
      </xdr:nvSpPr>
      <xdr:spPr>
        <a:xfrm>
          <a:off x="3800475" y="888365"/>
          <a:ext cx="542925" cy="26416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overflow" rtlCol="0" anchor="ctr"/>
        <a:lstStyle/>
        <a:p>
          <a:endParaRPr lang="ja-JP" altLang="en-US"/>
        </a:p>
      </xdr:txBody>
    </xdr:sp>
    <xdr:clientData/>
  </xdr:twoCellAnchor>
  <xdr:twoCellAnchor>
    <xdr:from>
      <xdr:col>10</xdr:col>
      <xdr:colOff>0</xdr:colOff>
      <xdr:row>4</xdr:row>
      <xdr:rowOff>1</xdr:rowOff>
    </xdr:from>
    <xdr:to>
      <xdr:col>11</xdr:col>
      <xdr:colOff>22413</xdr:colOff>
      <xdr:row>5</xdr:row>
      <xdr:rowOff>14942</xdr:rowOff>
    </xdr:to>
    <xdr:sp macro="" textlink="">
      <xdr:nvSpPr>
        <xdr:cNvPr id="3" name="フローチャート: 結合子 2">
          <a:extLst>
            <a:ext uri="{FF2B5EF4-FFF2-40B4-BE49-F238E27FC236}">
              <a16:creationId xmlns:a16="http://schemas.microsoft.com/office/drawing/2014/main" id="{31D149FC-83AB-4C3E-80F6-85C645F604FE}"/>
            </a:ext>
          </a:extLst>
        </xdr:cNvPr>
        <xdr:cNvSpPr/>
      </xdr:nvSpPr>
      <xdr:spPr>
        <a:xfrm>
          <a:off x="2714625" y="1152526"/>
          <a:ext cx="293876" cy="272116"/>
        </a:xfrm>
        <a:prstGeom prst="flowChartConnector">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253999</xdr:colOff>
      <xdr:row>4</xdr:row>
      <xdr:rowOff>0</xdr:rowOff>
    </xdr:from>
    <xdr:to>
      <xdr:col>14</xdr:col>
      <xdr:colOff>7471</xdr:colOff>
      <xdr:row>5</xdr:row>
      <xdr:rowOff>14941</xdr:rowOff>
    </xdr:to>
    <xdr:sp macro="" textlink="">
      <xdr:nvSpPr>
        <xdr:cNvPr id="4" name="フローチャート: 結合子 3">
          <a:extLst>
            <a:ext uri="{FF2B5EF4-FFF2-40B4-BE49-F238E27FC236}">
              <a16:creationId xmlns:a16="http://schemas.microsoft.com/office/drawing/2014/main" id="{C3676AFB-520C-4CF7-AA64-A99E8D0E2D78}"/>
            </a:ext>
          </a:extLst>
        </xdr:cNvPr>
        <xdr:cNvSpPr/>
      </xdr:nvSpPr>
      <xdr:spPr>
        <a:xfrm>
          <a:off x="3511549" y="1152525"/>
          <a:ext cx="296397" cy="272116"/>
        </a:xfrm>
        <a:prstGeom prst="flowChartConnector">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261470</xdr:colOff>
      <xdr:row>4</xdr:row>
      <xdr:rowOff>0</xdr:rowOff>
    </xdr:from>
    <xdr:to>
      <xdr:col>17</xdr:col>
      <xdr:colOff>14942</xdr:colOff>
      <xdr:row>5</xdr:row>
      <xdr:rowOff>14941</xdr:rowOff>
    </xdr:to>
    <xdr:sp macro="" textlink="">
      <xdr:nvSpPr>
        <xdr:cNvPr id="5" name="フローチャート: 結合子 4">
          <a:extLst>
            <a:ext uri="{FF2B5EF4-FFF2-40B4-BE49-F238E27FC236}">
              <a16:creationId xmlns:a16="http://schemas.microsoft.com/office/drawing/2014/main" id="{31FA496E-E43C-44FE-BD61-CF933BFA9067}"/>
            </a:ext>
          </a:extLst>
        </xdr:cNvPr>
        <xdr:cNvSpPr/>
      </xdr:nvSpPr>
      <xdr:spPr>
        <a:xfrm>
          <a:off x="4333408" y="1152525"/>
          <a:ext cx="315447" cy="272116"/>
        </a:xfrm>
        <a:prstGeom prst="flowChartConnector">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254001</xdr:colOff>
      <xdr:row>4</xdr:row>
      <xdr:rowOff>7472</xdr:rowOff>
    </xdr:from>
    <xdr:to>
      <xdr:col>20</xdr:col>
      <xdr:colOff>0</xdr:colOff>
      <xdr:row>5</xdr:row>
      <xdr:rowOff>14942</xdr:rowOff>
    </xdr:to>
    <xdr:sp macro="" textlink="">
      <xdr:nvSpPr>
        <xdr:cNvPr id="6" name="楕円 5">
          <a:extLst>
            <a:ext uri="{FF2B5EF4-FFF2-40B4-BE49-F238E27FC236}">
              <a16:creationId xmlns:a16="http://schemas.microsoft.com/office/drawing/2014/main" id="{D1558491-46B1-4EC5-9E8E-820626E10A7E}"/>
            </a:ext>
          </a:extLst>
        </xdr:cNvPr>
        <xdr:cNvSpPr/>
      </xdr:nvSpPr>
      <xdr:spPr>
        <a:xfrm>
          <a:off x="4887914" y="1159997"/>
          <a:ext cx="579436" cy="264645"/>
        </a:xfrm>
        <a:prstGeom prst="ellipse">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21</xdr:col>
      <xdr:colOff>67235</xdr:colOff>
      <xdr:row>9</xdr:row>
      <xdr:rowOff>29882</xdr:rowOff>
    </xdr:from>
    <xdr:to>
      <xdr:col>23</xdr:col>
      <xdr:colOff>216648</xdr:colOff>
      <xdr:row>10</xdr:row>
      <xdr:rowOff>7470</xdr:rowOff>
    </xdr:to>
    <xdr:sp macro="" textlink="">
      <xdr:nvSpPr>
        <xdr:cNvPr id="7" name="フローチャート: 代替処理 6">
          <a:extLst>
            <a:ext uri="{FF2B5EF4-FFF2-40B4-BE49-F238E27FC236}">
              <a16:creationId xmlns:a16="http://schemas.microsoft.com/office/drawing/2014/main" id="{03AD4F1D-8BB6-4A00-982E-6D74B8B321A7}"/>
            </a:ext>
          </a:extLst>
        </xdr:cNvPr>
        <xdr:cNvSpPr/>
      </xdr:nvSpPr>
      <xdr:spPr>
        <a:xfrm>
          <a:off x="5806048" y="2468282"/>
          <a:ext cx="692338" cy="234763"/>
        </a:xfrm>
        <a:prstGeom prst="flowChartAlternateProcess">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pageSetUpPr fitToPage="1"/>
  </sheetPr>
  <dimension ref="A1:S64"/>
  <sheetViews>
    <sheetView zoomScale="85" zoomScaleNormal="85" workbookViewId="0">
      <selection activeCell="A4" sqref="A4"/>
    </sheetView>
  </sheetViews>
  <sheetFormatPr defaultColWidth="8.86328125" defaultRowHeight="20.25" customHeight="1" x14ac:dyDescent="0.25"/>
  <cols>
    <col min="1" max="1" width="10.46484375" style="1" customWidth="1"/>
    <col min="2" max="2" width="14.3984375" style="1" customWidth="1"/>
    <col min="3" max="3" width="25.46484375" style="1" customWidth="1"/>
    <col min="4" max="6" width="6.86328125" style="1" customWidth="1"/>
    <col min="7" max="8" width="4.86328125" style="1" customWidth="1"/>
    <col min="9" max="9" width="14.3984375" style="1" customWidth="1"/>
    <col min="10" max="10" width="25.46484375" style="1" customWidth="1"/>
    <col min="11" max="13" width="6.86328125" style="1" customWidth="1"/>
    <col min="14" max="14" width="4.73046875" style="1" customWidth="1"/>
    <col min="15" max="15" width="4.86328125" style="1" bestFit="1" customWidth="1"/>
    <col min="16" max="17" width="9.1328125" style="1" customWidth="1"/>
    <col min="18" max="16384" width="8.86328125" style="1"/>
  </cols>
  <sheetData>
    <row r="1" spans="1:19" ht="20.25" customHeight="1" x14ac:dyDescent="0.25">
      <c r="A1" s="411" t="s">
        <v>7764</v>
      </c>
      <c r="B1" s="411"/>
      <c r="C1" s="411"/>
      <c r="D1" s="411"/>
      <c r="E1" s="411"/>
      <c r="F1" s="411"/>
      <c r="G1" s="411"/>
      <c r="H1" s="411"/>
      <c r="I1" s="411"/>
      <c r="J1" s="410" t="s">
        <v>5592</v>
      </c>
      <c r="K1" s="410"/>
      <c r="L1" s="410"/>
      <c r="M1" s="410"/>
      <c r="N1" s="260"/>
    </row>
    <row r="2" spans="1:19" ht="5.25" customHeight="1" x14ac:dyDescent="0.25">
      <c r="B2" s="10"/>
      <c r="C2" s="10"/>
      <c r="D2" s="10"/>
      <c r="E2" s="10"/>
      <c r="F2" s="10"/>
      <c r="G2" s="10"/>
      <c r="H2" s="10"/>
      <c r="I2" s="10"/>
      <c r="J2" s="10"/>
      <c r="K2" s="10"/>
      <c r="L2" s="10"/>
      <c r="M2" s="10"/>
    </row>
    <row r="3" spans="1:19" ht="15" x14ac:dyDescent="0.25">
      <c r="A3" s="1" t="s">
        <v>7765</v>
      </c>
    </row>
    <row r="4" spans="1:19" ht="15" x14ac:dyDescent="0.25">
      <c r="A4" s="317"/>
    </row>
    <row r="5" spans="1:19" ht="15" x14ac:dyDescent="0.25">
      <c r="A5" s="317" t="s">
        <v>5596</v>
      </c>
    </row>
    <row r="6" spans="1:19" ht="15" x14ac:dyDescent="0.25"/>
    <row r="7" spans="1:19" ht="15" x14ac:dyDescent="0.25">
      <c r="A7" s="1" t="s">
        <v>615</v>
      </c>
      <c r="C7" s="1">
        <v>36</v>
      </c>
      <c r="D7" s="1" t="s">
        <v>641</v>
      </c>
    </row>
    <row r="8" spans="1:19" ht="15" x14ac:dyDescent="0.25"/>
    <row r="9" spans="1:19" ht="15.4" thickBot="1" x14ac:dyDescent="0.3">
      <c r="B9" s="1" t="s">
        <v>54</v>
      </c>
      <c r="I9" s="1" t="s">
        <v>616</v>
      </c>
    </row>
    <row r="10" spans="1:19" ht="15.4" thickBot="1" x14ac:dyDescent="0.3">
      <c r="A10" s="4" t="s">
        <v>1130</v>
      </c>
      <c r="B10" s="11" t="s">
        <v>505</v>
      </c>
      <c r="C10" s="15" t="s">
        <v>437</v>
      </c>
      <c r="D10" s="17" t="s">
        <v>713</v>
      </c>
      <c r="E10" s="23" t="s">
        <v>681</v>
      </c>
      <c r="F10" s="24" t="s">
        <v>2004</v>
      </c>
      <c r="G10" s="414" t="s">
        <v>657</v>
      </c>
      <c r="H10" s="415"/>
      <c r="I10" s="11" t="s">
        <v>505</v>
      </c>
      <c r="J10" s="15" t="s">
        <v>437</v>
      </c>
      <c r="K10" s="17" t="s">
        <v>713</v>
      </c>
      <c r="L10" s="23" t="s">
        <v>681</v>
      </c>
      <c r="M10" s="33" t="s">
        <v>2004</v>
      </c>
    </row>
    <row r="11" spans="1:19" ht="21.75" customHeight="1" x14ac:dyDescent="0.25">
      <c r="A11" s="1">
        <v>20</v>
      </c>
      <c r="B11" s="417" t="s">
        <v>617</v>
      </c>
      <c r="C11" s="261" t="s">
        <v>15287</v>
      </c>
      <c r="D11" s="18" t="s">
        <v>408</v>
      </c>
      <c r="E11" s="242" t="s">
        <v>408</v>
      </c>
      <c r="F11" s="25" t="s">
        <v>408</v>
      </c>
      <c r="H11" s="367">
        <v>4</v>
      </c>
      <c r="I11" s="417" t="s">
        <v>454</v>
      </c>
      <c r="J11" s="374" t="s">
        <v>15268</v>
      </c>
      <c r="K11" s="18" t="s">
        <v>408</v>
      </c>
      <c r="L11" s="244" t="s">
        <v>408</v>
      </c>
      <c r="M11" s="34" t="s">
        <v>408</v>
      </c>
      <c r="S11" s="39"/>
    </row>
    <row r="12" spans="1:19" ht="21.75" customHeight="1" x14ac:dyDescent="0.25">
      <c r="A12" s="1">
        <v>21</v>
      </c>
      <c r="B12" s="418"/>
      <c r="C12" s="360" t="s">
        <v>15267</v>
      </c>
      <c r="D12" s="19" t="s">
        <v>408</v>
      </c>
      <c r="E12" s="243" t="s">
        <v>408</v>
      </c>
      <c r="F12" s="26" t="s">
        <v>408</v>
      </c>
      <c r="H12" s="367">
        <v>5</v>
      </c>
      <c r="I12" s="418"/>
      <c r="J12" s="262" t="s">
        <v>520</v>
      </c>
      <c r="K12" s="30" t="s">
        <v>408</v>
      </c>
      <c r="L12" s="257" t="s">
        <v>408</v>
      </c>
      <c r="M12" s="35" t="s">
        <v>408</v>
      </c>
      <c r="S12" s="39"/>
    </row>
    <row r="13" spans="1:19" ht="21.75" customHeight="1" x14ac:dyDescent="0.25">
      <c r="A13" s="1">
        <v>22</v>
      </c>
      <c r="B13" s="418"/>
      <c r="C13" s="360" t="s">
        <v>15277</v>
      </c>
      <c r="D13" s="19" t="s">
        <v>408</v>
      </c>
      <c r="E13" s="243" t="s">
        <v>408</v>
      </c>
      <c r="F13" s="26" t="s">
        <v>408</v>
      </c>
      <c r="H13" s="1">
        <v>15</v>
      </c>
      <c r="I13" s="418"/>
      <c r="J13" s="262" t="s">
        <v>2648</v>
      </c>
      <c r="K13" s="30" t="s">
        <v>408</v>
      </c>
      <c r="L13" s="257" t="s">
        <v>408</v>
      </c>
      <c r="M13" s="35" t="s">
        <v>408</v>
      </c>
      <c r="S13" s="39"/>
    </row>
    <row r="14" spans="1:19" ht="21.75" customHeight="1" thickBot="1" x14ac:dyDescent="0.3">
      <c r="A14" s="1">
        <v>23</v>
      </c>
      <c r="B14" s="418"/>
      <c r="C14" s="360" t="s">
        <v>8135</v>
      </c>
      <c r="D14" s="19" t="s">
        <v>408</v>
      </c>
      <c r="E14" s="243" t="s">
        <v>408</v>
      </c>
      <c r="F14" s="26" t="s">
        <v>408</v>
      </c>
      <c r="H14" s="1">
        <v>16</v>
      </c>
      <c r="I14" s="419"/>
      <c r="J14" s="357" t="s">
        <v>2485</v>
      </c>
      <c r="K14" s="31" t="s">
        <v>408</v>
      </c>
      <c r="L14" s="379" t="s">
        <v>410</v>
      </c>
      <c r="M14" s="36" t="s">
        <v>408</v>
      </c>
      <c r="S14" s="39"/>
    </row>
    <row r="15" spans="1:19" ht="21.75" customHeight="1" x14ac:dyDescent="0.25">
      <c r="A15" s="1">
        <v>24</v>
      </c>
      <c r="B15" s="418"/>
      <c r="C15" s="360" t="s">
        <v>3868</v>
      </c>
      <c r="D15" s="19" t="s">
        <v>408</v>
      </c>
      <c r="E15" s="243" t="s">
        <v>408</v>
      </c>
      <c r="F15" s="26" t="s">
        <v>408</v>
      </c>
      <c r="H15" s="367">
        <v>6</v>
      </c>
      <c r="I15" s="420" t="s">
        <v>7778</v>
      </c>
      <c r="J15" s="261" t="s">
        <v>1968</v>
      </c>
      <c r="K15" s="18" t="s">
        <v>408</v>
      </c>
      <c r="L15" s="244" t="s">
        <v>408</v>
      </c>
      <c r="M15" s="34" t="s">
        <v>408</v>
      </c>
      <c r="S15" s="39"/>
    </row>
    <row r="16" spans="1:19" ht="21.75" customHeight="1" x14ac:dyDescent="0.25">
      <c r="A16" s="1">
        <v>25</v>
      </c>
      <c r="B16" s="418"/>
      <c r="C16" s="360" t="s">
        <v>2024</v>
      </c>
      <c r="D16" s="19" t="s">
        <v>408</v>
      </c>
      <c r="E16" s="243" t="s">
        <v>408</v>
      </c>
      <c r="F16" s="26" t="s">
        <v>408</v>
      </c>
      <c r="H16" s="367">
        <v>7</v>
      </c>
      <c r="I16" s="421"/>
      <c r="J16" s="262" t="s">
        <v>2477</v>
      </c>
      <c r="K16" s="30" t="s">
        <v>408</v>
      </c>
      <c r="L16" s="259" t="s">
        <v>408</v>
      </c>
      <c r="M16" s="35" t="s">
        <v>408</v>
      </c>
      <c r="S16" s="39"/>
    </row>
    <row r="17" spans="1:19" ht="21.75" customHeight="1" thickBot="1" x14ac:dyDescent="0.3">
      <c r="A17" s="1">
        <v>26</v>
      </c>
      <c r="B17" s="418"/>
      <c r="C17" s="360" t="s">
        <v>15275</v>
      </c>
      <c r="D17" s="19" t="s">
        <v>408</v>
      </c>
      <c r="E17" s="243" t="s">
        <v>408</v>
      </c>
      <c r="F17" s="26" t="s">
        <v>408</v>
      </c>
      <c r="H17" s="1">
        <v>17</v>
      </c>
      <c r="I17" s="422"/>
      <c r="J17" s="262" t="s">
        <v>2469</v>
      </c>
      <c r="K17" s="30" t="s">
        <v>408</v>
      </c>
      <c r="L17" s="259" t="s">
        <v>408</v>
      </c>
      <c r="M17" s="36" t="s">
        <v>408</v>
      </c>
      <c r="S17" s="39"/>
    </row>
    <row r="18" spans="1:19" ht="21.75" customHeight="1" x14ac:dyDescent="0.25">
      <c r="A18" s="1">
        <v>27</v>
      </c>
      <c r="B18" s="418"/>
      <c r="C18" s="360" t="s">
        <v>15284</v>
      </c>
      <c r="D18" s="19" t="s">
        <v>408</v>
      </c>
      <c r="E18" s="243" t="s">
        <v>408</v>
      </c>
      <c r="F18" s="26" t="s">
        <v>408</v>
      </c>
      <c r="H18" s="367">
        <v>8</v>
      </c>
      <c r="I18" s="420" t="s">
        <v>711</v>
      </c>
      <c r="J18" s="261" t="s">
        <v>15281</v>
      </c>
      <c r="K18" s="18" t="s">
        <v>408</v>
      </c>
      <c r="L18" s="244" t="s">
        <v>408</v>
      </c>
      <c r="M18" s="34" t="s">
        <v>408</v>
      </c>
      <c r="S18" s="39"/>
    </row>
    <row r="19" spans="1:19" ht="21.75" customHeight="1" x14ac:dyDescent="0.25">
      <c r="A19" s="1">
        <v>28</v>
      </c>
      <c r="B19" s="418"/>
      <c r="C19" s="360" t="s">
        <v>2022</v>
      </c>
      <c r="D19" s="19" t="s">
        <v>408</v>
      </c>
      <c r="E19" s="243" t="s">
        <v>408</v>
      </c>
      <c r="F19" s="26" t="s">
        <v>408</v>
      </c>
      <c r="H19" s="367">
        <v>9</v>
      </c>
      <c r="I19" s="421"/>
      <c r="J19" s="262" t="s">
        <v>1239</v>
      </c>
      <c r="K19" s="30" t="s">
        <v>408</v>
      </c>
      <c r="L19" s="257" t="s">
        <v>408</v>
      </c>
      <c r="M19" s="35" t="s">
        <v>408</v>
      </c>
      <c r="S19" s="39"/>
    </row>
    <row r="20" spans="1:19" ht="21.75" customHeight="1" thickBot="1" x14ac:dyDescent="0.3">
      <c r="A20" s="1">
        <v>29</v>
      </c>
      <c r="B20" s="418"/>
      <c r="C20" s="360" t="s">
        <v>2323</v>
      </c>
      <c r="D20" s="19" t="s">
        <v>408</v>
      </c>
      <c r="E20" s="243" t="s">
        <v>408</v>
      </c>
      <c r="F20" s="26" t="s">
        <v>408</v>
      </c>
      <c r="H20" s="1">
        <v>18</v>
      </c>
      <c r="I20" s="421"/>
      <c r="J20" s="262" t="s">
        <v>2156</v>
      </c>
      <c r="K20" s="31" t="s">
        <v>408</v>
      </c>
      <c r="L20" s="258" t="s">
        <v>408</v>
      </c>
      <c r="M20" s="36" t="s">
        <v>408</v>
      </c>
      <c r="S20" s="39"/>
    </row>
    <row r="21" spans="1:19" ht="21.75" customHeight="1" x14ac:dyDescent="0.25">
      <c r="A21" s="1">
        <v>30</v>
      </c>
      <c r="B21" s="418"/>
      <c r="C21" s="360" t="s">
        <v>7864</v>
      </c>
      <c r="D21" s="19" t="s">
        <v>408</v>
      </c>
      <c r="E21" s="243" t="s">
        <v>408</v>
      </c>
      <c r="F21" s="26" t="s">
        <v>408</v>
      </c>
      <c r="H21" s="367">
        <v>10</v>
      </c>
      <c r="I21" s="417" t="s">
        <v>457</v>
      </c>
      <c r="J21" s="261" t="s">
        <v>15269</v>
      </c>
      <c r="K21" s="18" t="s">
        <v>408</v>
      </c>
      <c r="L21" s="244" t="s">
        <v>408</v>
      </c>
      <c r="M21" s="34" t="s">
        <v>408</v>
      </c>
      <c r="S21" s="39"/>
    </row>
    <row r="22" spans="1:19" ht="21.75" customHeight="1" x14ac:dyDescent="0.25">
      <c r="A22" s="1">
        <v>31</v>
      </c>
      <c r="B22" s="418"/>
      <c r="C22" s="360" t="s">
        <v>2324</v>
      </c>
      <c r="D22" s="19" t="s">
        <v>408</v>
      </c>
      <c r="E22" s="243" t="s">
        <v>408</v>
      </c>
      <c r="F22" s="26" t="s">
        <v>408</v>
      </c>
      <c r="H22" s="367">
        <v>11</v>
      </c>
      <c r="I22" s="418"/>
      <c r="J22" s="262" t="s">
        <v>1207</v>
      </c>
      <c r="K22" s="30" t="s">
        <v>408</v>
      </c>
      <c r="L22" s="259" t="s">
        <v>408</v>
      </c>
      <c r="M22" s="35" t="s">
        <v>408</v>
      </c>
      <c r="S22" s="39"/>
    </row>
    <row r="23" spans="1:19" ht="21.75" customHeight="1" thickBot="1" x14ac:dyDescent="0.3">
      <c r="A23" s="1">
        <v>32</v>
      </c>
      <c r="B23" s="418"/>
      <c r="C23" s="360" t="s">
        <v>2531</v>
      </c>
      <c r="D23" s="19" t="s">
        <v>408</v>
      </c>
      <c r="E23" s="243" t="s">
        <v>408</v>
      </c>
      <c r="F23" s="27" t="s">
        <v>408</v>
      </c>
      <c r="H23" s="1">
        <v>19</v>
      </c>
      <c r="I23" s="419"/>
      <c r="J23" s="357" t="s">
        <v>834</v>
      </c>
      <c r="K23" s="30" t="s">
        <v>408</v>
      </c>
      <c r="L23" s="259" t="s">
        <v>408</v>
      </c>
      <c r="M23" s="36" t="s">
        <v>408</v>
      </c>
      <c r="S23" s="39"/>
    </row>
    <row r="24" spans="1:19" ht="21.75" customHeight="1" x14ac:dyDescent="0.25">
      <c r="A24" s="1">
        <v>33</v>
      </c>
      <c r="B24" s="418"/>
      <c r="C24" s="360" t="s">
        <v>2821</v>
      </c>
      <c r="D24" s="19" t="s">
        <v>408</v>
      </c>
      <c r="E24" s="243" t="s">
        <v>408</v>
      </c>
      <c r="F24" s="27" t="s">
        <v>408</v>
      </c>
      <c r="H24" s="366">
        <v>1</v>
      </c>
      <c r="I24" s="417" t="s">
        <v>7781</v>
      </c>
      <c r="J24" s="261" t="s">
        <v>15273</v>
      </c>
      <c r="K24" s="18" t="s">
        <v>408</v>
      </c>
      <c r="L24" s="244" t="s">
        <v>408</v>
      </c>
      <c r="M24" s="37" t="s">
        <v>408</v>
      </c>
      <c r="S24" s="39"/>
    </row>
    <row r="25" spans="1:19" ht="21.75" customHeight="1" thickBot="1" x14ac:dyDescent="0.3">
      <c r="A25" s="1">
        <v>34</v>
      </c>
      <c r="B25" s="418"/>
      <c r="C25" s="360" t="s">
        <v>15282</v>
      </c>
      <c r="D25" s="19" t="s">
        <v>408</v>
      </c>
      <c r="E25" s="243" t="s">
        <v>408</v>
      </c>
      <c r="F25" s="27" t="s">
        <v>408</v>
      </c>
      <c r="H25" s="366">
        <v>2</v>
      </c>
      <c r="I25" s="418"/>
      <c r="J25" s="262" t="s">
        <v>856</v>
      </c>
      <c r="K25" s="30" t="s">
        <v>408</v>
      </c>
      <c r="L25" s="259" t="s">
        <v>408</v>
      </c>
      <c r="M25" s="38" t="s">
        <v>408</v>
      </c>
      <c r="S25" s="39"/>
    </row>
    <row r="26" spans="1:19" ht="21.75" customHeight="1" x14ac:dyDescent="0.25">
      <c r="A26" s="1">
        <v>35</v>
      </c>
      <c r="B26" s="418"/>
      <c r="C26" s="360" t="s">
        <v>15271</v>
      </c>
      <c r="D26" s="19" t="s">
        <v>408</v>
      </c>
      <c r="E26" s="243" t="s">
        <v>408</v>
      </c>
      <c r="F26" s="27" t="s">
        <v>408</v>
      </c>
      <c r="H26" s="367">
        <v>12</v>
      </c>
      <c r="I26" s="417" t="s">
        <v>7785</v>
      </c>
      <c r="J26" s="261" t="s">
        <v>838</v>
      </c>
      <c r="K26" s="18" t="s">
        <v>408</v>
      </c>
      <c r="L26" s="242" t="s">
        <v>408</v>
      </c>
      <c r="M26" s="37" t="s">
        <v>408</v>
      </c>
      <c r="S26" s="39"/>
    </row>
    <row r="27" spans="1:19" ht="21.75" customHeight="1" thickBot="1" x14ac:dyDescent="0.3">
      <c r="A27" s="1">
        <v>36</v>
      </c>
      <c r="B27" s="419"/>
      <c r="C27" s="358" t="s">
        <v>5621</v>
      </c>
      <c r="D27" s="20" t="s">
        <v>408</v>
      </c>
      <c r="E27" s="378" t="s">
        <v>14343</v>
      </c>
      <c r="F27" s="28" t="s">
        <v>408</v>
      </c>
      <c r="G27" s="8"/>
      <c r="H27" s="367">
        <v>13</v>
      </c>
      <c r="I27" s="419"/>
      <c r="J27" s="358" t="s">
        <v>2573</v>
      </c>
      <c r="K27" s="20" t="s">
        <v>408</v>
      </c>
      <c r="L27" s="245" t="s">
        <v>408</v>
      </c>
      <c r="M27" s="38" t="s">
        <v>408</v>
      </c>
      <c r="S27" s="39"/>
    </row>
    <row r="28" spans="1:19" ht="21.75" customHeight="1" thickBot="1" x14ac:dyDescent="0.3">
      <c r="C28" s="16"/>
      <c r="D28" s="21"/>
      <c r="E28" s="21"/>
      <c r="F28" s="8"/>
      <c r="G28" s="363"/>
      <c r="H28" s="367">
        <v>14</v>
      </c>
      <c r="I28" s="29" t="s">
        <v>1669</v>
      </c>
      <c r="J28" s="359" t="s">
        <v>15279</v>
      </c>
      <c r="K28" s="32" t="s">
        <v>408</v>
      </c>
      <c r="L28" s="246" t="s">
        <v>408</v>
      </c>
      <c r="M28" s="24" t="s">
        <v>408</v>
      </c>
    </row>
    <row r="29" spans="1:19" ht="21.75" customHeight="1" thickBot="1" x14ac:dyDescent="0.3">
      <c r="B29" s="12"/>
      <c r="C29" s="16"/>
      <c r="D29" s="22"/>
      <c r="E29" s="21"/>
      <c r="F29" s="8"/>
      <c r="G29" s="363"/>
      <c r="H29" s="365">
        <v>3</v>
      </c>
      <c r="I29" s="29" t="s">
        <v>733</v>
      </c>
      <c r="J29" s="370" t="s">
        <v>2575</v>
      </c>
      <c r="K29" s="32" t="s">
        <v>408</v>
      </c>
      <c r="L29" s="246" t="s">
        <v>408</v>
      </c>
      <c r="M29" s="24" t="s">
        <v>408</v>
      </c>
    </row>
    <row r="30" spans="1:19" ht="15" x14ac:dyDescent="0.25">
      <c r="C30" s="16"/>
      <c r="D30" s="21"/>
      <c r="E30" s="21"/>
      <c r="F30" s="8"/>
      <c r="G30" s="8"/>
    </row>
    <row r="31" spans="1:19" ht="15" x14ac:dyDescent="0.25">
      <c r="C31" s="16"/>
      <c r="D31" s="21"/>
      <c r="E31" s="21"/>
      <c r="F31" s="8"/>
      <c r="G31" s="8"/>
    </row>
    <row r="32" spans="1:19" ht="15" x14ac:dyDescent="0.25">
      <c r="A32" s="1" t="s">
        <v>629</v>
      </c>
    </row>
    <row r="33" spans="1:1" ht="15" x14ac:dyDescent="0.25">
      <c r="A33" s="1" t="s">
        <v>7788</v>
      </c>
    </row>
    <row r="34" spans="1:1" ht="15" x14ac:dyDescent="0.25">
      <c r="A34" s="1" t="s">
        <v>2814</v>
      </c>
    </row>
    <row r="35" spans="1:1" ht="15" x14ac:dyDescent="0.25">
      <c r="A35" s="1" t="s">
        <v>2815</v>
      </c>
    </row>
    <row r="36" spans="1:1" ht="15" x14ac:dyDescent="0.25">
      <c r="A36" s="5" t="s">
        <v>2871</v>
      </c>
    </row>
    <row r="37" spans="1:1" ht="15" x14ac:dyDescent="0.25">
      <c r="A37" s="5" t="s">
        <v>2379</v>
      </c>
    </row>
    <row r="38" spans="1:1" ht="15" x14ac:dyDescent="0.25">
      <c r="A38" s="1" t="s">
        <v>680</v>
      </c>
    </row>
    <row r="39" spans="1:1" ht="5.25" customHeight="1" x14ac:dyDescent="0.25"/>
    <row r="40" spans="1:1" ht="15" x14ac:dyDescent="0.25">
      <c r="A40" s="1" t="s">
        <v>631</v>
      </c>
    </row>
    <row r="41" spans="1:1" ht="15" x14ac:dyDescent="0.25">
      <c r="A41" s="3" t="s">
        <v>380</v>
      </c>
    </row>
    <row r="42" spans="1:1" s="317" customFormat="1" ht="15" x14ac:dyDescent="0.25">
      <c r="A42" s="375" t="s">
        <v>14344</v>
      </c>
    </row>
    <row r="43" spans="1:1" s="317" customFormat="1" ht="15" x14ac:dyDescent="0.25">
      <c r="A43" s="375" t="s">
        <v>14345</v>
      </c>
    </row>
    <row r="44" spans="1:1" s="317" customFormat="1" ht="15" x14ac:dyDescent="0.25">
      <c r="A44" s="375" t="s">
        <v>14346</v>
      </c>
    </row>
    <row r="45" spans="1:1" s="317" customFormat="1" ht="15" x14ac:dyDescent="0.25">
      <c r="A45" s="375" t="s">
        <v>14347</v>
      </c>
    </row>
    <row r="46" spans="1:1" ht="15" x14ac:dyDescent="0.25">
      <c r="A46" s="1" t="s">
        <v>226</v>
      </c>
    </row>
    <row r="47" spans="1:1" ht="15" x14ac:dyDescent="0.25">
      <c r="A47" s="1" t="s">
        <v>304</v>
      </c>
    </row>
    <row r="48" spans="1:1" ht="15" x14ac:dyDescent="0.25">
      <c r="A48" s="6" t="s">
        <v>2872</v>
      </c>
    </row>
    <row r="49" spans="1:19" ht="15" x14ac:dyDescent="0.25">
      <c r="A49" s="7" t="s">
        <v>171</v>
      </c>
    </row>
    <row r="50" spans="1:19" ht="15" x14ac:dyDescent="0.25">
      <c r="A50" s="7"/>
    </row>
    <row r="51" spans="1:19" ht="15" x14ac:dyDescent="0.25"/>
    <row r="52" spans="1:19" ht="5.25" customHeight="1" x14ac:dyDescent="0.25"/>
    <row r="53" spans="1:19" ht="15" x14ac:dyDescent="0.25">
      <c r="A53" s="1" t="s">
        <v>638</v>
      </c>
    </row>
    <row r="54" spans="1:19" ht="20.25" customHeight="1" x14ac:dyDescent="0.25">
      <c r="B54" s="13"/>
      <c r="C54" s="416" t="s">
        <v>487</v>
      </c>
      <c r="D54" s="416"/>
      <c r="E54" s="416"/>
      <c r="F54" s="416"/>
      <c r="G54" s="416"/>
      <c r="H54" s="416"/>
      <c r="I54" s="416" t="s">
        <v>362</v>
      </c>
      <c r="J54" s="416"/>
      <c r="K54" s="416"/>
      <c r="L54" s="416"/>
      <c r="M54" s="416"/>
    </row>
    <row r="55" spans="1:19" ht="39.4" customHeight="1" x14ac:dyDescent="0.25">
      <c r="A55" s="8" t="s">
        <v>737</v>
      </c>
      <c r="B55" s="361" t="s">
        <v>4208</v>
      </c>
      <c r="C55" s="412" t="s">
        <v>4210</v>
      </c>
      <c r="D55" s="413"/>
      <c r="E55" s="413"/>
      <c r="F55" s="413"/>
      <c r="G55" s="413"/>
      <c r="H55" s="413"/>
      <c r="I55" s="413" t="s">
        <v>135</v>
      </c>
      <c r="J55" s="413"/>
      <c r="K55" s="413"/>
      <c r="L55" s="413"/>
      <c r="M55" s="413"/>
    </row>
    <row r="56" spans="1:19" s="2" customFormat="1" ht="39.4" customHeight="1" x14ac:dyDescent="0.25">
      <c r="A56" s="8" t="s">
        <v>737</v>
      </c>
      <c r="B56" s="362" t="s">
        <v>7766</v>
      </c>
      <c r="C56" s="413" t="s">
        <v>7767</v>
      </c>
      <c r="D56" s="413"/>
      <c r="E56" s="413"/>
      <c r="F56" s="413"/>
      <c r="G56" s="413"/>
      <c r="H56" s="413"/>
      <c r="I56" s="413" t="s">
        <v>7768</v>
      </c>
      <c r="J56" s="413"/>
      <c r="K56" s="413"/>
      <c r="L56" s="413"/>
      <c r="M56" s="413"/>
      <c r="S56" s="1"/>
    </row>
    <row r="57" spans="1:19" s="2" customFormat="1" ht="39.4" customHeight="1" x14ac:dyDescent="0.25">
      <c r="A57" s="8" t="s">
        <v>737</v>
      </c>
      <c r="B57" s="361" t="s">
        <v>711</v>
      </c>
      <c r="C57" s="413" t="s">
        <v>4211</v>
      </c>
      <c r="D57" s="413"/>
      <c r="E57" s="413"/>
      <c r="F57" s="413"/>
      <c r="G57" s="413"/>
      <c r="H57" s="413"/>
      <c r="I57" s="413" t="s">
        <v>4212</v>
      </c>
      <c r="J57" s="413"/>
      <c r="K57" s="413"/>
      <c r="L57" s="413"/>
      <c r="M57" s="413"/>
      <c r="S57" s="1"/>
    </row>
    <row r="58" spans="1:19" s="2" customFormat="1" ht="39.4" customHeight="1" x14ac:dyDescent="0.25">
      <c r="A58" s="8" t="s">
        <v>737</v>
      </c>
      <c r="B58" s="364" t="s">
        <v>4209</v>
      </c>
      <c r="C58" s="413" t="s">
        <v>7769</v>
      </c>
      <c r="D58" s="413"/>
      <c r="E58" s="413"/>
      <c r="F58" s="413"/>
      <c r="G58" s="413"/>
      <c r="H58" s="413"/>
      <c r="I58" s="413" t="s">
        <v>7770</v>
      </c>
      <c r="J58" s="413"/>
      <c r="K58" s="413"/>
      <c r="L58" s="413"/>
      <c r="M58" s="413"/>
      <c r="S58" s="1"/>
    </row>
    <row r="59" spans="1:19" s="2" customFormat="1" ht="39.4" customHeight="1" x14ac:dyDescent="0.25">
      <c r="A59" s="8" t="s">
        <v>737</v>
      </c>
      <c r="B59" s="362" t="s">
        <v>5597</v>
      </c>
      <c r="C59" s="413" t="s">
        <v>5598</v>
      </c>
      <c r="D59" s="413"/>
      <c r="E59" s="413"/>
      <c r="F59" s="413"/>
      <c r="G59" s="413"/>
      <c r="H59" s="413"/>
      <c r="I59" s="413" t="s">
        <v>5599</v>
      </c>
      <c r="J59" s="413"/>
      <c r="K59" s="413"/>
      <c r="L59" s="413"/>
      <c r="M59" s="413"/>
      <c r="S59" s="1"/>
    </row>
    <row r="60" spans="1:19" ht="39.4" customHeight="1" x14ac:dyDescent="0.25">
      <c r="A60" s="8" t="s">
        <v>737</v>
      </c>
      <c r="B60" s="362" t="s">
        <v>4215</v>
      </c>
      <c r="C60" s="412" t="s">
        <v>7771</v>
      </c>
      <c r="D60" s="413"/>
      <c r="E60" s="413"/>
      <c r="F60" s="413"/>
      <c r="G60" s="413"/>
      <c r="H60" s="413"/>
      <c r="I60" s="413" t="s">
        <v>7772</v>
      </c>
      <c r="J60" s="413"/>
      <c r="K60" s="413"/>
      <c r="L60" s="413"/>
      <c r="M60" s="413"/>
    </row>
    <row r="61" spans="1:19" ht="39.4" customHeight="1" x14ac:dyDescent="0.25">
      <c r="A61" s="8" t="s">
        <v>12</v>
      </c>
      <c r="B61" s="364" t="s">
        <v>733</v>
      </c>
      <c r="C61" s="412" t="s">
        <v>4214</v>
      </c>
      <c r="D61" s="413"/>
      <c r="E61" s="413"/>
      <c r="F61" s="413"/>
      <c r="G61" s="413"/>
      <c r="H61" s="413"/>
      <c r="I61" s="413" t="s">
        <v>4213</v>
      </c>
      <c r="J61" s="413"/>
      <c r="K61" s="413"/>
      <c r="L61" s="413"/>
      <c r="M61" s="413"/>
    </row>
    <row r="62" spans="1:19" ht="39.4" customHeight="1" x14ac:dyDescent="0.25">
      <c r="A62" s="8" t="s">
        <v>12</v>
      </c>
      <c r="B62" s="364" t="s">
        <v>624</v>
      </c>
      <c r="C62" s="413" t="s">
        <v>4216</v>
      </c>
      <c r="D62" s="413"/>
      <c r="E62" s="413"/>
      <c r="F62" s="413"/>
      <c r="G62" s="413"/>
      <c r="H62" s="413"/>
      <c r="I62" s="413" t="s">
        <v>4217</v>
      </c>
      <c r="J62" s="413"/>
      <c r="K62" s="413"/>
      <c r="L62" s="413"/>
      <c r="M62" s="413"/>
    </row>
    <row r="63" spans="1:19" ht="39.4" customHeight="1" x14ac:dyDescent="0.25">
      <c r="A63" s="9" t="s">
        <v>738</v>
      </c>
      <c r="B63" s="409" t="s">
        <v>15338</v>
      </c>
      <c r="C63" s="423" t="s">
        <v>15339</v>
      </c>
      <c r="D63" s="423"/>
      <c r="E63" s="423"/>
      <c r="F63" s="423"/>
      <c r="G63" s="423"/>
      <c r="H63" s="423"/>
      <c r="I63" s="423" t="s">
        <v>15340</v>
      </c>
      <c r="J63" s="423"/>
      <c r="K63" s="423"/>
      <c r="L63" s="423"/>
      <c r="M63" s="423"/>
    </row>
    <row r="64" spans="1:19" ht="26.25" customHeight="1" x14ac:dyDescent="0.25">
      <c r="A64" s="9"/>
      <c r="B64" s="14"/>
      <c r="C64" s="240"/>
      <c r="D64" s="240"/>
      <c r="E64" s="240"/>
      <c r="F64" s="240"/>
      <c r="G64" s="240"/>
      <c r="H64" s="240"/>
      <c r="I64" s="240"/>
      <c r="J64" s="240"/>
      <c r="K64" s="241"/>
      <c r="L64" s="241"/>
      <c r="M64" s="240"/>
    </row>
  </sheetData>
  <sortState xmlns:xlrd2="http://schemas.microsoft.com/office/spreadsheetml/2017/richdata2" ref="N10:N28">
    <sortCondition ref="N10:N28"/>
  </sortState>
  <mergeCells count="30">
    <mergeCell ref="C56:H56"/>
    <mergeCell ref="I56:M56"/>
    <mergeCell ref="C63:H63"/>
    <mergeCell ref="I63:M63"/>
    <mergeCell ref="C58:H58"/>
    <mergeCell ref="I58:M58"/>
    <mergeCell ref="C59:H59"/>
    <mergeCell ref="I59:M59"/>
    <mergeCell ref="C60:H60"/>
    <mergeCell ref="I60:M60"/>
    <mergeCell ref="C61:H61"/>
    <mergeCell ref="I61:M61"/>
    <mergeCell ref="C62:H62"/>
    <mergeCell ref="I62:M62"/>
    <mergeCell ref="C57:H57"/>
    <mergeCell ref="I57:M57"/>
    <mergeCell ref="J1:M1"/>
    <mergeCell ref="A1:I1"/>
    <mergeCell ref="C55:H55"/>
    <mergeCell ref="I55:M55"/>
    <mergeCell ref="G10:H10"/>
    <mergeCell ref="C54:H54"/>
    <mergeCell ref="I54:M54"/>
    <mergeCell ref="B11:B27"/>
    <mergeCell ref="I26:I27"/>
    <mergeCell ref="I11:I14"/>
    <mergeCell ref="I15:I17"/>
    <mergeCell ref="I18:I20"/>
    <mergeCell ref="I21:I23"/>
    <mergeCell ref="I24:I25"/>
  </mergeCells>
  <phoneticPr fontId="29"/>
  <printOptions horizontalCentered="1" verticalCentered="1"/>
  <pageMargins left="0.19685039370078741" right="0.19685039370078741" top="0.19685039370078741" bottom="0.19685039370078741" header="0.51181102362204722" footer="0.51181102362204722"/>
  <pageSetup paperSize="9" scale="6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L117"/>
  <sheetViews>
    <sheetView view="pageBreakPreview" zoomScaleNormal="100" zoomScaleSheetLayoutView="100" workbookViewId="0">
      <selection activeCell="A5" sqref="A5"/>
    </sheetView>
  </sheetViews>
  <sheetFormatPr defaultColWidth="9" defaultRowHeight="12.75" x14ac:dyDescent="0.25"/>
  <cols>
    <col min="1" max="34" width="2.46484375" style="282" customWidth="1"/>
    <col min="35" max="35" width="2" style="282" customWidth="1"/>
    <col min="36" max="147" width="2.46484375" style="282" customWidth="1"/>
    <col min="148" max="216" width="3.46484375" style="282" customWidth="1"/>
    <col min="217" max="16384" width="9" style="282"/>
  </cols>
  <sheetData>
    <row r="1" spans="1:37" s="271" customFormat="1" ht="30" customHeight="1" x14ac:dyDescent="0.25">
      <c r="A1" s="481" t="s">
        <v>2822</v>
      </c>
      <c r="B1" s="481"/>
      <c r="C1" s="481"/>
      <c r="D1" s="481"/>
      <c r="E1" s="481"/>
      <c r="F1" s="481"/>
      <c r="G1" s="481"/>
      <c r="H1" s="481"/>
      <c r="I1" s="481"/>
      <c r="J1" s="481"/>
      <c r="K1" s="481"/>
      <c r="L1" s="481"/>
      <c r="M1" s="481"/>
      <c r="N1" s="481"/>
      <c r="O1" s="481"/>
      <c r="P1" s="481"/>
      <c r="Q1" s="481"/>
      <c r="R1" s="481"/>
      <c r="S1" s="481"/>
      <c r="T1" s="481"/>
      <c r="U1" s="481"/>
      <c r="V1" s="481"/>
      <c r="W1" s="481"/>
      <c r="X1" s="481"/>
      <c r="Y1" s="481"/>
      <c r="Z1" s="481"/>
      <c r="AA1" s="481"/>
      <c r="AB1" s="481"/>
      <c r="AC1" s="481"/>
      <c r="AD1" s="270"/>
      <c r="AE1" s="270"/>
      <c r="AF1" s="270"/>
      <c r="AG1" s="270"/>
      <c r="AH1" s="270"/>
    </row>
    <row r="2" spans="1:37" s="271" customFormat="1" ht="13.5" customHeight="1" x14ac:dyDescent="0.25">
      <c r="A2" s="486" t="s">
        <v>7774</v>
      </c>
      <c r="B2" s="486"/>
      <c r="C2" s="486"/>
      <c r="D2" s="486"/>
      <c r="E2" s="486"/>
      <c r="F2" s="486"/>
      <c r="G2" s="486"/>
      <c r="H2" s="486"/>
      <c r="I2" s="486"/>
      <c r="J2" s="486"/>
      <c r="K2" s="486"/>
      <c r="L2" s="486"/>
      <c r="M2" s="486"/>
      <c r="N2" s="486"/>
      <c r="O2" s="486"/>
      <c r="P2" s="486"/>
      <c r="Q2" s="486"/>
      <c r="R2" s="486"/>
      <c r="S2" s="486"/>
      <c r="T2" s="486"/>
      <c r="U2" s="486"/>
      <c r="V2" s="486"/>
      <c r="W2" s="486"/>
      <c r="X2" s="486"/>
      <c r="Y2" s="486"/>
      <c r="Z2" s="486"/>
      <c r="AA2" s="273"/>
      <c r="AB2" s="273"/>
      <c r="AC2" s="273"/>
      <c r="AD2" s="273"/>
      <c r="AE2" s="274"/>
      <c r="AF2" s="274"/>
      <c r="AG2" s="274"/>
      <c r="AH2" s="274"/>
    </row>
    <row r="3" spans="1:37" s="271" customFormat="1" ht="13.5" customHeight="1" x14ac:dyDescent="0.25">
      <c r="A3" s="486"/>
      <c r="B3" s="486"/>
      <c r="C3" s="486"/>
      <c r="D3" s="486"/>
      <c r="E3" s="486"/>
      <c r="F3" s="486"/>
      <c r="G3" s="486"/>
      <c r="H3" s="486"/>
      <c r="I3" s="486"/>
      <c r="J3" s="486"/>
      <c r="K3" s="486"/>
      <c r="L3" s="486"/>
      <c r="M3" s="486"/>
      <c r="N3" s="486"/>
      <c r="O3" s="486"/>
      <c r="P3" s="486"/>
      <c r="Q3" s="486"/>
      <c r="R3" s="486"/>
      <c r="S3" s="486"/>
      <c r="T3" s="486"/>
      <c r="U3" s="486"/>
      <c r="V3" s="486"/>
      <c r="W3" s="486"/>
      <c r="X3" s="486"/>
      <c r="Y3" s="486"/>
      <c r="Z3" s="486"/>
      <c r="AA3" s="273"/>
      <c r="AB3" s="273"/>
      <c r="AC3" s="273"/>
      <c r="AD3" s="273"/>
      <c r="AE3" s="274"/>
      <c r="AF3" s="274"/>
      <c r="AG3" s="274"/>
      <c r="AH3" s="274"/>
    </row>
    <row r="4" spans="1:37" s="271" customFormat="1" ht="13.5" customHeight="1" x14ac:dyDescent="0.25">
      <c r="A4" s="486"/>
      <c r="B4" s="486"/>
      <c r="C4" s="486"/>
      <c r="D4" s="486"/>
      <c r="E4" s="486"/>
      <c r="F4" s="486"/>
      <c r="G4" s="486"/>
      <c r="H4" s="486"/>
      <c r="I4" s="486"/>
      <c r="J4" s="486"/>
      <c r="K4" s="486"/>
      <c r="L4" s="486"/>
      <c r="M4" s="486"/>
      <c r="N4" s="486"/>
      <c r="O4" s="486"/>
      <c r="P4" s="486"/>
      <c r="Q4" s="486"/>
      <c r="R4" s="486"/>
      <c r="S4" s="486"/>
      <c r="T4" s="486"/>
      <c r="U4" s="486"/>
      <c r="V4" s="486"/>
      <c r="W4" s="486"/>
      <c r="X4" s="486"/>
      <c r="Y4" s="486"/>
      <c r="Z4" s="486"/>
      <c r="AA4" s="273"/>
      <c r="AB4" s="273"/>
      <c r="AC4" s="273"/>
      <c r="AD4" s="273"/>
      <c r="AE4" s="274"/>
      <c r="AF4" s="274"/>
      <c r="AG4" s="274"/>
      <c r="AH4" s="274"/>
    </row>
    <row r="5" spans="1:37" s="271" customFormat="1" ht="13.5" customHeight="1" x14ac:dyDescent="0.25">
      <c r="A5" s="272"/>
      <c r="B5" s="272"/>
      <c r="C5" s="272"/>
      <c r="D5" s="272"/>
      <c r="E5" s="272"/>
      <c r="F5" s="272"/>
      <c r="G5" s="272"/>
      <c r="H5" s="272"/>
      <c r="I5" s="272"/>
      <c r="J5" s="272"/>
      <c r="K5" s="272"/>
      <c r="L5" s="272"/>
      <c r="M5" s="272"/>
      <c r="N5" s="272"/>
      <c r="O5" s="272"/>
      <c r="P5" s="272"/>
      <c r="Q5" s="272"/>
      <c r="R5" s="272"/>
      <c r="S5" s="272"/>
      <c r="T5" s="272"/>
      <c r="U5" s="272"/>
      <c r="V5" s="272"/>
      <c r="W5" s="272"/>
      <c r="X5" s="272"/>
      <c r="Y5" s="272"/>
      <c r="Z5" s="272"/>
      <c r="AA5" s="273"/>
      <c r="AB5" s="273"/>
      <c r="AC5" s="273"/>
      <c r="AD5" s="273"/>
      <c r="AE5" s="274"/>
      <c r="AF5" s="274"/>
      <c r="AG5" s="274"/>
      <c r="AH5" s="274"/>
    </row>
    <row r="6" spans="1:37" s="271" customFormat="1" ht="18" customHeight="1" x14ac:dyDescent="0.25">
      <c r="A6" s="482" t="s">
        <v>214</v>
      </c>
      <c r="B6" s="482"/>
      <c r="C6" s="482"/>
      <c r="D6" s="482"/>
      <c r="E6" s="482"/>
      <c r="F6" s="482"/>
      <c r="G6" s="482"/>
      <c r="H6" s="482"/>
      <c r="I6" s="482"/>
      <c r="J6" s="482"/>
      <c r="K6" s="482"/>
      <c r="L6" s="482"/>
      <c r="M6" s="482"/>
      <c r="N6" s="482"/>
      <c r="O6" s="482"/>
      <c r="P6" s="482"/>
      <c r="Q6" s="482"/>
      <c r="R6" s="482"/>
      <c r="S6" s="482"/>
      <c r="T6" s="482"/>
      <c r="U6" s="482"/>
      <c r="V6" s="482"/>
      <c r="W6" s="482"/>
      <c r="X6" s="482"/>
      <c r="Y6" s="482"/>
      <c r="Z6" s="482"/>
      <c r="AA6" s="482"/>
      <c r="AB6" s="482"/>
      <c r="AC6" s="482"/>
      <c r="AD6" s="482"/>
      <c r="AE6" s="482"/>
      <c r="AF6" s="482"/>
      <c r="AG6" s="482"/>
      <c r="AH6" s="482"/>
      <c r="AI6" s="482"/>
    </row>
    <row r="7" spans="1:37" s="275" customFormat="1" ht="18" customHeight="1" x14ac:dyDescent="0.25">
      <c r="E7" s="483" t="s">
        <v>1457</v>
      </c>
      <c r="F7" s="483"/>
      <c r="G7" s="483"/>
      <c r="H7" s="483"/>
      <c r="I7" s="483"/>
      <c r="J7" s="483"/>
      <c r="K7" s="483"/>
      <c r="L7" s="483"/>
      <c r="M7" s="483"/>
      <c r="N7" s="483"/>
      <c r="O7" s="483"/>
      <c r="P7" s="483"/>
      <c r="Q7" s="483"/>
      <c r="R7" s="483"/>
      <c r="S7" s="483"/>
      <c r="T7" s="483"/>
      <c r="U7" s="483"/>
      <c r="V7" s="483"/>
      <c r="W7" s="483"/>
      <c r="X7" s="483"/>
      <c r="Y7" s="483"/>
      <c r="Z7" s="483"/>
      <c r="AA7" s="483"/>
      <c r="AB7" s="483"/>
      <c r="AC7" s="483"/>
      <c r="AD7" s="483"/>
      <c r="AE7" s="483"/>
    </row>
    <row r="8" spans="1:37" s="275" customFormat="1" ht="18" customHeight="1" x14ac:dyDescent="0.25"/>
    <row r="9" spans="1:37" s="275" customFormat="1" ht="18" customHeight="1" x14ac:dyDescent="0.25">
      <c r="B9" s="484" t="s">
        <v>2823</v>
      </c>
      <c r="C9" s="484"/>
      <c r="D9" s="484"/>
      <c r="E9" s="484"/>
      <c r="F9" s="484"/>
      <c r="G9" s="484"/>
      <c r="H9" s="484"/>
      <c r="I9" s="484"/>
      <c r="J9" s="484"/>
      <c r="K9" s="276" t="s">
        <v>336</v>
      </c>
      <c r="L9" s="484"/>
      <c r="M9" s="484"/>
      <c r="N9" s="484"/>
      <c r="O9" s="485" t="s">
        <v>2488</v>
      </c>
      <c r="P9" s="485"/>
      <c r="Q9" s="484" t="s">
        <v>2824</v>
      </c>
      <c r="R9" s="484"/>
      <c r="S9" s="484" t="s">
        <v>2825</v>
      </c>
      <c r="T9" s="484"/>
      <c r="U9" s="484"/>
      <c r="V9" s="484"/>
      <c r="W9" s="484"/>
      <c r="X9" s="484"/>
      <c r="Y9" s="484"/>
      <c r="Z9" s="484"/>
      <c r="AA9" s="484"/>
      <c r="AB9" s="276" t="s">
        <v>336</v>
      </c>
      <c r="AC9" s="484"/>
      <c r="AD9" s="484"/>
      <c r="AE9" s="484"/>
      <c r="AF9" s="485" t="s">
        <v>2488</v>
      </c>
      <c r="AG9" s="485"/>
    </row>
    <row r="10" spans="1:37" s="275" customFormat="1" ht="18" customHeight="1" x14ac:dyDescent="0.25"/>
    <row r="11" spans="1:37" s="277" customFormat="1" ht="21" customHeight="1" x14ac:dyDescent="0.25">
      <c r="B11" s="278"/>
      <c r="C11" s="278"/>
      <c r="D11" s="278"/>
      <c r="E11" s="472" t="s">
        <v>2396</v>
      </c>
      <c r="F11" s="472"/>
      <c r="G11" s="472"/>
      <c r="H11" s="472"/>
      <c r="J11" s="279" t="s">
        <v>2826</v>
      </c>
      <c r="K11" s="278"/>
      <c r="L11" s="278"/>
      <c r="M11" s="278"/>
      <c r="N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row>
    <row r="12" spans="1:37" s="279" customFormat="1" ht="25.5" customHeight="1" x14ac:dyDescent="0.25">
      <c r="A12" s="473" t="s">
        <v>1845</v>
      </c>
      <c r="B12" s="474"/>
      <c r="C12" s="474"/>
      <c r="D12" s="474"/>
      <c r="E12" s="475">
        <f>組み合わせ!BU3</f>
        <v>46054</v>
      </c>
      <c r="F12" s="476"/>
      <c r="G12" s="476"/>
      <c r="H12" s="476"/>
      <c r="I12" s="477"/>
      <c r="J12" s="449" t="str">
        <f>抽選会資料!B61</f>
        <v>豊肥</v>
      </c>
      <c r="K12" s="449"/>
      <c r="L12" s="449"/>
      <c r="M12" s="449" t="str">
        <f>抽選会資料!C61</f>
        <v>恵藤建設サン・スポーツランド(サン・スポーツランドみえ)</v>
      </c>
      <c r="N12" s="449"/>
      <c r="O12" s="449"/>
      <c r="P12" s="449"/>
      <c r="Q12" s="449"/>
      <c r="R12" s="449"/>
      <c r="S12" s="449"/>
      <c r="T12" s="449"/>
      <c r="U12" s="449"/>
      <c r="V12" s="449" t="str">
        <f>抽選会資料!B62</f>
        <v>佐伯</v>
      </c>
      <c r="W12" s="449"/>
      <c r="X12" s="449"/>
      <c r="Y12" s="449" t="str">
        <f>抽選会資料!C62</f>
        <v>佐伯市総合運動公園人工芝グラウンド</v>
      </c>
      <c r="Z12" s="449"/>
      <c r="AA12" s="449"/>
      <c r="AB12" s="449"/>
      <c r="AC12" s="449"/>
      <c r="AD12" s="449"/>
      <c r="AE12" s="449"/>
      <c r="AF12" s="449"/>
      <c r="AG12" s="450"/>
      <c r="AH12" s="280"/>
      <c r="AI12" s="281"/>
      <c r="AJ12" s="281"/>
    </row>
    <row r="13" spans="1:37" s="279" customFormat="1" ht="12.75" customHeight="1" x14ac:dyDescent="0.25">
      <c r="A13" s="451" t="s">
        <v>858</v>
      </c>
      <c r="B13" s="452"/>
      <c r="C13" s="452"/>
      <c r="D13" s="452"/>
      <c r="E13" s="457">
        <f>組み合わせ!BG3</f>
        <v>46047</v>
      </c>
      <c r="F13" s="458"/>
      <c r="G13" s="458"/>
      <c r="H13" s="458"/>
      <c r="I13" s="459"/>
      <c r="J13" s="466" t="str">
        <f>抽選会資料!B55</f>
        <v>中津</v>
      </c>
      <c r="K13" s="430"/>
      <c r="L13" s="430"/>
      <c r="M13" s="428" t="str">
        <f>抽選会資料!C55</f>
        <v>ディーアクト（D-ACT）スポーツパーク永添(永添運動公園)
人工芝多目的グラウンド</v>
      </c>
      <c r="N13" s="428"/>
      <c r="O13" s="428"/>
      <c r="P13" s="428"/>
      <c r="Q13" s="428"/>
      <c r="R13" s="428"/>
      <c r="S13" s="430" t="str">
        <f>抽選会資料!B56</f>
        <v>日田・玖珠</v>
      </c>
      <c r="T13" s="430"/>
      <c r="U13" s="430"/>
      <c r="V13" s="428" t="str">
        <f>抽選会資料!C56</f>
        <v>玖珠町総合運動公園</v>
      </c>
      <c r="W13" s="428"/>
      <c r="X13" s="428"/>
      <c r="Y13" s="428"/>
      <c r="Z13" s="428"/>
      <c r="AA13" s="428"/>
      <c r="AB13" s="430" t="str">
        <f>抽選会資料!B57</f>
        <v>宇佐高田</v>
      </c>
      <c r="AC13" s="430"/>
      <c r="AD13" s="430"/>
      <c r="AE13" s="468" t="str">
        <f>抽選会資料!C57</f>
        <v>宇佐市平成令和の森スポーツ公園</v>
      </c>
      <c r="AF13" s="468"/>
      <c r="AG13" s="468"/>
      <c r="AH13" s="468"/>
      <c r="AI13" s="468"/>
      <c r="AJ13" s="469"/>
    </row>
    <row r="14" spans="1:37" s="279" customFormat="1" ht="12.75" customHeight="1" x14ac:dyDescent="0.25">
      <c r="A14" s="453"/>
      <c r="B14" s="454"/>
      <c r="C14" s="454"/>
      <c r="D14" s="454"/>
      <c r="E14" s="460"/>
      <c r="F14" s="461"/>
      <c r="G14" s="461"/>
      <c r="H14" s="461"/>
      <c r="I14" s="462"/>
      <c r="J14" s="467"/>
      <c r="K14" s="431"/>
      <c r="L14" s="431"/>
      <c r="M14" s="429"/>
      <c r="N14" s="429"/>
      <c r="O14" s="429"/>
      <c r="P14" s="429"/>
      <c r="Q14" s="429"/>
      <c r="R14" s="429"/>
      <c r="S14" s="431"/>
      <c r="T14" s="431"/>
      <c r="U14" s="431"/>
      <c r="V14" s="429"/>
      <c r="W14" s="429"/>
      <c r="X14" s="429"/>
      <c r="Y14" s="429"/>
      <c r="Z14" s="429"/>
      <c r="AA14" s="429"/>
      <c r="AB14" s="431"/>
      <c r="AC14" s="431"/>
      <c r="AD14" s="431"/>
      <c r="AE14" s="435"/>
      <c r="AF14" s="435"/>
      <c r="AG14" s="435"/>
      <c r="AH14" s="435"/>
      <c r="AI14" s="435"/>
      <c r="AJ14" s="436"/>
    </row>
    <row r="15" spans="1:37" s="279" customFormat="1" ht="12.75" customHeight="1" x14ac:dyDescent="0.25">
      <c r="A15" s="453"/>
      <c r="B15" s="454"/>
      <c r="C15" s="454"/>
      <c r="D15" s="454"/>
      <c r="E15" s="460"/>
      <c r="F15" s="461"/>
      <c r="G15" s="461"/>
      <c r="H15" s="461"/>
      <c r="I15" s="462"/>
      <c r="J15" s="467" t="str">
        <f>抽選会資料!B58</f>
        <v>別府</v>
      </c>
      <c r="K15" s="431"/>
      <c r="L15" s="431"/>
      <c r="M15" s="435" t="str">
        <f>抽選会資料!C58</f>
        <v>実相寺サッカー競技場(人工芝)</v>
      </c>
      <c r="N15" s="435"/>
      <c r="O15" s="435"/>
      <c r="P15" s="435"/>
      <c r="Q15" s="435"/>
      <c r="R15" s="435"/>
      <c r="S15" s="431" t="str">
        <f>抽選会資料!B59</f>
        <v>速杵国東</v>
      </c>
      <c r="T15" s="431"/>
      <c r="U15" s="431"/>
      <c r="V15" s="435" t="str">
        <f>抽選会資料!C59</f>
        <v>フットボールセンター大分きつき(杵築市営サッカー場)</v>
      </c>
      <c r="W15" s="435"/>
      <c r="X15" s="435"/>
      <c r="Y15" s="435"/>
      <c r="Z15" s="435"/>
      <c r="AA15" s="435"/>
      <c r="AB15" s="431" t="str">
        <f>抽選会資料!B60</f>
        <v>臼杵・津久見</v>
      </c>
      <c r="AC15" s="431"/>
      <c r="AD15" s="431"/>
      <c r="AE15" s="435" t="str">
        <f>抽選会資料!C60</f>
        <v>吉四六ランドレックス多目的広場
(吉四六ランド陸上競技場)</v>
      </c>
      <c r="AF15" s="435"/>
      <c r="AG15" s="435"/>
      <c r="AH15" s="435"/>
      <c r="AI15" s="435"/>
      <c r="AJ15" s="436"/>
    </row>
    <row r="16" spans="1:37" s="279" customFormat="1" ht="12.75" customHeight="1" x14ac:dyDescent="0.25">
      <c r="A16" s="455"/>
      <c r="B16" s="456"/>
      <c r="C16" s="456"/>
      <c r="D16" s="456"/>
      <c r="E16" s="463"/>
      <c r="F16" s="464"/>
      <c r="G16" s="464"/>
      <c r="H16" s="464"/>
      <c r="I16" s="465"/>
      <c r="J16" s="471"/>
      <c r="K16" s="470"/>
      <c r="L16" s="470"/>
      <c r="M16" s="437"/>
      <c r="N16" s="437"/>
      <c r="O16" s="437"/>
      <c r="P16" s="437"/>
      <c r="Q16" s="437"/>
      <c r="R16" s="437"/>
      <c r="S16" s="470"/>
      <c r="T16" s="470"/>
      <c r="U16" s="470"/>
      <c r="V16" s="437"/>
      <c r="W16" s="437"/>
      <c r="X16" s="437"/>
      <c r="Y16" s="437"/>
      <c r="Z16" s="437"/>
      <c r="AA16" s="437"/>
      <c r="AB16" s="470"/>
      <c r="AC16" s="470"/>
      <c r="AD16" s="470"/>
      <c r="AE16" s="437"/>
      <c r="AF16" s="437"/>
      <c r="AG16" s="437"/>
      <c r="AH16" s="437"/>
      <c r="AI16" s="437"/>
      <c r="AJ16" s="438"/>
    </row>
    <row r="17" spans="1:36" s="275" customFormat="1" ht="18" customHeight="1" x14ac:dyDescent="0.25">
      <c r="B17" s="487" t="s">
        <v>2827</v>
      </c>
      <c r="C17" s="487"/>
      <c r="D17" s="487"/>
      <c r="E17" s="487"/>
      <c r="F17" s="487"/>
      <c r="G17" s="487"/>
      <c r="H17" s="487"/>
      <c r="I17" s="487"/>
      <c r="J17" s="487"/>
      <c r="K17" s="487"/>
      <c r="L17" s="487"/>
      <c r="M17" s="487"/>
      <c r="N17" s="487"/>
      <c r="O17" s="487"/>
      <c r="P17" s="487"/>
      <c r="Q17" s="487"/>
      <c r="R17" s="487"/>
      <c r="S17" s="487"/>
      <c r="T17" s="487"/>
      <c r="U17" s="487"/>
      <c r="V17" s="487"/>
      <c r="W17" s="487"/>
      <c r="X17" s="487"/>
      <c r="Y17" s="487"/>
      <c r="Z17" s="487"/>
      <c r="AA17" s="487"/>
      <c r="AB17" s="487"/>
      <c r="AC17" s="487"/>
      <c r="AD17" s="487"/>
      <c r="AE17" s="487"/>
      <c r="AF17" s="487"/>
      <c r="AG17" s="487"/>
      <c r="AH17" s="487"/>
    </row>
    <row r="18" spans="1:36" ht="7.5" customHeight="1" x14ac:dyDescent="0.25">
      <c r="H18" s="283"/>
    </row>
    <row r="19" spans="1:36" ht="16.5" customHeight="1" x14ac:dyDescent="0.25">
      <c r="H19" s="284"/>
    </row>
    <row r="20" spans="1:36" s="286" customFormat="1" ht="16.5" customHeight="1" x14ac:dyDescent="0.25">
      <c r="A20" s="285">
        <v>1</v>
      </c>
      <c r="B20" s="285" t="s">
        <v>2828</v>
      </c>
      <c r="C20" s="285"/>
      <c r="D20" s="285"/>
      <c r="E20" s="285"/>
      <c r="M20" s="286" t="s">
        <v>2829</v>
      </c>
    </row>
    <row r="21" spans="1:36" s="286" customFormat="1" ht="16.5" customHeight="1" x14ac:dyDescent="0.25">
      <c r="B21" s="427"/>
      <c r="C21" s="427"/>
      <c r="D21" s="433" t="s">
        <v>2830</v>
      </c>
      <c r="E21" s="433"/>
      <c r="F21" s="433"/>
      <c r="G21" s="433"/>
      <c r="H21" s="433"/>
      <c r="I21" s="433"/>
      <c r="J21" s="433"/>
      <c r="K21" s="433"/>
      <c r="L21" s="433"/>
      <c r="M21" s="433"/>
      <c r="N21" s="433"/>
      <c r="O21" s="433"/>
      <c r="P21" s="433"/>
      <c r="Q21" s="433"/>
      <c r="R21" s="433"/>
      <c r="S21" s="433"/>
      <c r="T21" s="433"/>
      <c r="U21" s="433"/>
      <c r="V21" s="433"/>
      <c r="W21" s="433"/>
      <c r="X21" s="433"/>
      <c r="Y21" s="433"/>
      <c r="Z21" s="433"/>
      <c r="AA21" s="433"/>
      <c r="AB21" s="433"/>
      <c r="AC21" s="433"/>
      <c r="AD21" s="433"/>
      <c r="AE21" s="433"/>
      <c r="AF21" s="433"/>
    </row>
    <row r="22" spans="1:36" s="286" customFormat="1" ht="16.5" customHeight="1" x14ac:dyDescent="0.25">
      <c r="B22" s="427"/>
      <c r="C22" s="427"/>
      <c r="D22" s="287" t="s">
        <v>2642</v>
      </c>
    </row>
    <row r="23" spans="1:36" s="286" customFormat="1" ht="16.5" customHeight="1" x14ac:dyDescent="0.25">
      <c r="A23" s="285">
        <v>2</v>
      </c>
      <c r="B23" s="285" t="s">
        <v>1990</v>
      </c>
      <c r="C23" s="285"/>
      <c r="H23" s="277"/>
      <c r="I23" s="277"/>
      <c r="J23" s="277" t="s">
        <v>4218</v>
      </c>
      <c r="K23" s="277"/>
      <c r="L23" s="277"/>
      <c r="M23" s="277"/>
      <c r="N23" s="277"/>
      <c r="O23" s="277"/>
      <c r="P23" s="277"/>
      <c r="Q23" s="277"/>
      <c r="R23" s="277" t="s">
        <v>336</v>
      </c>
      <c r="S23" s="441"/>
      <c r="T23" s="441"/>
      <c r="U23" s="441"/>
      <c r="V23" s="441"/>
      <c r="W23" s="441"/>
      <c r="X23" s="441"/>
      <c r="Y23" s="441"/>
      <c r="Z23" s="277" t="s">
        <v>339</v>
      </c>
      <c r="AA23" s="277"/>
      <c r="AB23" s="277"/>
      <c r="AC23" s="277"/>
      <c r="AD23" s="277"/>
      <c r="AE23" s="277"/>
      <c r="AF23" s="277"/>
    </row>
    <row r="24" spans="1:36" s="286" customFormat="1" x14ac:dyDescent="0.25">
      <c r="B24" s="424" t="s">
        <v>2831</v>
      </c>
      <c r="C24" s="425"/>
      <c r="D24" s="290" t="s">
        <v>2746</v>
      </c>
      <c r="E24" s="290"/>
      <c r="F24" s="290"/>
      <c r="G24" s="290"/>
      <c r="N24" s="446" t="s">
        <v>2832</v>
      </c>
      <c r="O24" s="446"/>
      <c r="P24" s="446"/>
      <c r="Q24" s="446"/>
      <c r="R24" s="446"/>
      <c r="S24" s="446"/>
      <c r="T24" s="446"/>
      <c r="U24" s="446"/>
      <c r="V24" s="446"/>
      <c r="W24" s="446"/>
      <c r="X24" s="446"/>
      <c r="Y24" s="446"/>
      <c r="Z24" s="446"/>
      <c r="AA24" s="446"/>
      <c r="AB24" s="446"/>
      <c r="AC24" s="446"/>
      <c r="AD24" s="446"/>
      <c r="AE24" s="446"/>
      <c r="AF24" s="446"/>
      <c r="AG24" s="446"/>
      <c r="AH24" s="446"/>
      <c r="AI24" s="446"/>
      <c r="AJ24" s="446"/>
    </row>
    <row r="25" spans="1:36" s="291" customFormat="1" ht="10.5" x14ac:dyDescent="0.25">
      <c r="C25" s="478" t="s">
        <v>1312</v>
      </c>
      <c r="D25" s="478"/>
      <c r="E25" s="478"/>
      <c r="F25" s="478"/>
      <c r="G25" s="478"/>
      <c r="H25" s="478"/>
      <c r="I25" s="478"/>
      <c r="J25" s="478"/>
      <c r="K25" s="292" t="s">
        <v>2833</v>
      </c>
      <c r="L25" s="292"/>
      <c r="M25" s="292"/>
      <c r="N25" s="292"/>
      <c r="O25" s="292"/>
      <c r="P25" s="292"/>
      <c r="Q25" s="292"/>
      <c r="R25" s="292"/>
      <c r="S25" s="292"/>
      <c r="T25" s="292"/>
      <c r="U25" s="292"/>
      <c r="V25" s="292"/>
      <c r="W25" s="292"/>
      <c r="X25" s="292"/>
      <c r="Y25" s="292"/>
      <c r="Z25" s="292"/>
      <c r="AA25" s="292"/>
      <c r="AB25" s="292"/>
      <c r="AC25" s="292"/>
      <c r="AD25" s="292"/>
      <c r="AE25" s="292"/>
      <c r="AF25" s="292"/>
      <c r="AG25" s="292"/>
    </row>
    <row r="26" spans="1:36" s="291" customFormat="1" ht="10.5" x14ac:dyDescent="0.25">
      <c r="C26" s="478" t="s">
        <v>1304</v>
      </c>
      <c r="D26" s="478"/>
      <c r="E26" s="478"/>
      <c r="F26" s="478"/>
      <c r="G26" s="478"/>
      <c r="H26" s="478"/>
      <c r="I26" s="478"/>
      <c r="J26" s="478"/>
      <c r="K26" s="293" t="s">
        <v>2833</v>
      </c>
      <c r="L26" s="293"/>
      <c r="M26" s="293"/>
      <c r="N26" s="293"/>
      <c r="O26" s="293"/>
    </row>
    <row r="27" spans="1:36" s="286" customFormat="1" ht="16.5" customHeight="1" x14ac:dyDescent="0.25">
      <c r="C27" s="446" t="s">
        <v>3369</v>
      </c>
      <c r="D27" s="447"/>
      <c r="E27" s="447"/>
      <c r="F27" s="447"/>
      <c r="G27" s="447"/>
      <c r="H27" s="447"/>
      <c r="I27" s="447"/>
      <c r="J27" s="447"/>
      <c r="K27" s="447"/>
      <c r="L27" s="447"/>
      <c r="M27" s="447"/>
      <c r="N27" s="447"/>
      <c r="O27" s="447"/>
      <c r="P27" s="447"/>
      <c r="Q27" s="447"/>
      <c r="R27" s="447"/>
      <c r="S27" s="447"/>
      <c r="T27" s="447"/>
      <c r="U27" s="447"/>
      <c r="V27" s="447"/>
      <c r="W27" s="447"/>
      <c r="X27" s="447"/>
      <c r="Y27" s="447"/>
      <c r="Z27" s="447"/>
      <c r="AA27" s="447"/>
      <c r="AB27" s="447"/>
      <c r="AC27" s="447"/>
      <c r="AD27" s="447"/>
      <c r="AE27" s="447"/>
      <c r="AF27" s="447"/>
      <c r="AG27" s="447"/>
      <c r="AH27" s="447"/>
    </row>
    <row r="28" spans="1:36" s="286" customFormat="1" x14ac:dyDescent="0.25">
      <c r="B28" s="424" t="s">
        <v>63</v>
      </c>
      <c r="C28" s="425"/>
      <c r="D28" s="290" t="s">
        <v>1943</v>
      </c>
      <c r="E28" s="290"/>
      <c r="F28" s="290"/>
    </row>
    <row r="29" spans="1:36" s="286" customFormat="1" x14ac:dyDescent="0.25">
      <c r="B29" s="288"/>
      <c r="C29" s="289"/>
      <c r="D29" s="448" t="s">
        <v>3370</v>
      </c>
      <c r="E29" s="448"/>
      <c r="F29" s="448"/>
      <c r="G29" s="448"/>
      <c r="H29" s="448"/>
      <c r="I29" s="448"/>
      <c r="J29" s="448"/>
      <c r="K29" s="448"/>
      <c r="L29" s="448"/>
      <c r="M29" s="448"/>
      <c r="N29" s="448"/>
      <c r="O29" s="448"/>
      <c r="P29" s="448"/>
      <c r="Q29" s="448"/>
      <c r="R29" s="448"/>
      <c r="S29" s="448"/>
      <c r="T29" s="448"/>
      <c r="U29" s="448"/>
      <c r="V29" s="448"/>
      <c r="W29" s="448"/>
      <c r="X29" s="448"/>
      <c r="Y29" s="448"/>
      <c r="Z29" s="448"/>
      <c r="AA29" s="448"/>
      <c r="AB29" s="448"/>
      <c r="AC29" s="448"/>
      <c r="AD29" s="448"/>
      <c r="AE29" s="448"/>
      <c r="AF29" s="448"/>
      <c r="AG29" s="448"/>
      <c r="AH29" s="448"/>
    </row>
    <row r="30" spans="1:36" s="286" customFormat="1" x14ac:dyDescent="0.25"/>
    <row r="31" spans="1:36" s="286" customFormat="1" x14ac:dyDescent="0.25">
      <c r="B31" s="424" t="s">
        <v>1407</v>
      </c>
      <c r="C31" s="425"/>
      <c r="D31" s="290" t="s">
        <v>2534</v>
      </c>
      <c r="E31" s="290"/>
      <c r="F31" s="290"/>
      <c r="G31" s="290"/>
    </row>
    <row r="32" spans="1:36" s="286" customFormat="1" x14ac:dyDescent="0.25"/>
    <row r="33" spans="2:37" s="286" customFormat="1" ht="16.5" customHeight="1" x14ac:dyDescent="0.25">
      <c r="B33" s="424" t="s">
        <v>2817</v>
      </c>
      <c r="C33" s="425"/>
      <c r="D33" s="294" t="s">
        <v>2834</v>
      </c>
      <c r="E33" s="294"/>
    </row>
    <row r="34" spans="2:37" s="286" customFormat="1" ht="13.5" customHeight="1" x14ac:dyDescent="0.25">
      <c r="C34" s="295" t="s">
        <v>408</v>
      </c>
      <c r="D34" s="440" t="s">
        <v>2708</v>
      </c>
      <c r="E34" s="440"/>
      <c r="F34" s="440"/>
      <c r="G34" s="440"/>
      <c r="H34" s="440"/>
      <c r="I34" s="440"/>
      <c r="J34" s="440"/>
      <c r="K34" s="440"/>
      <c r="L34" s="440"/>
      <c r="M34" s="440"/>
      <c r="N34" s="440"/>
      <c r="O34" s="440"/>
      <c r="P34" s="440"/>
      <c r="Q34" s="440"/>
      <c r="R34" s="440"/>
      <c r="S34" s="440"/>
      <c r="T34" s="440"/>
      <c r="U34" s="440"/>
      <c r="V34" s="440"/>
      <c r="W34" s="440"/>
      <c r="X34" s="440"/>
      <c r="Y34" s="440"/>
      <c r="Z34" s="440"/>
      <c r="AA34" s="440"/>
      <c r="AB34" s="440"/>
      <c r="AC34" s="440"/>
      <c r="AD34" s="440"/>
      <c r="AE34" s="440"/>
      <c r="AF34" s="440"/>
      <c r="AG34" s="440"/>
      <c r="AH34" s="440"/>
      <c r="AI34" s="440"/>
      <c r="AJ34" s="440"/>
      <c r="AK34" s="296"/>
    </row>
    <row r="35" spans="2:37" s="286" customFormat="1" ht="13.5" customHeight="1" x14ac:dyDescent="0.25">
      <c r="B35" s="295"/>
      <c r="C35" s="296"/>
      <c r="D35" s="440"/>
      <c r="E35" s="440"/>
      <c r="F35" s="440"/>
      <c r="G35" s="440"/>
      <c r="H35" s="440"/>
      <c r="I35" s="440"/>
      <c r="J35" s="440"/>
      <c r="K35" s="440"/>
      <c r="L35" s="440"/>
      <c r="M35" s="440"/>
      <c r="N35" s="440"/>
      <c r="O35" s="440"/>
      <c r="P35" s="440"/>
      <c r="Q35" s="440"/>
      <c r="R35" s="440"/>
      <c r="S35" s="440"/>
      <c r="T35" s="440"/>
      <c r="U35" s="440"/>
      <c r="V35" s="440"/>
      <c r="W35" s="440"/>
      <c r="X35" s="440"/>
      <c r="Y35" s="440"/>
      <c r="Z35" s="440"/>
      <c r="AA35" s="440"/>
      <c r="AB35" s="440"/>
      <c r="AC35" s="440"/>
      <c r="AD35" s="440"/>
      <c r="AE35" s="440"/>
      <c r="AF35" s="440"/>
      <c r="AG35" s="440"/>
      <c r="AH35" s="440"/>
      <c r="AI35" s="440"/>
      <c r="AJ35" s="440"/>
      <c r="AK35" s="296"/>
    </row>
    <row r="36" spans="2:37" s="286" customFormat="1" ht="13.5" customHeight="1" x14ac:dyDescent="0.25">
      <c r="C36" s="286" t="s">
        <v>408</v>
      </c>
      <c r="D36" s="439" t="s">
        <v>2259</v>
      </c>
      <c r="E36" s="439"/>
      <c r="F36" s="439"/>
      <c r="G36" s="439"/>
      <c r="H36" s="439"/>
      <c r="I36" s="439"/>
      <c r="J36" s="439"/>
      <c r="K36" s="439"/>
      <c r="L36" s="439"/>
      <c r="M36" s="439"/>
      <c r="N36" s="439"/>
      <c r="O36" s="439"/>
      <c r="P36" s="439"/>
      <c r="Q36" s="439"/>
      <c r="R36" s="439"/>
      <c r="S36" s="439"/>
      <c r="T36" s="439"/>
      <c r="U36" s="439"/>
      <c r="V36" s="439"/>
      <c r="W36" s="439"/>
      <c r="X36" s="439"/>
      <c r="Y36" s="439"/>
      <c r="Z36" s="439"/>
      <c r="AA36" s="439"/>
      <c r="AB36" s="439"/>
      <c r="AC36" s="439"/>
      <c r="AD36" s="439"/>
      <c r="AE36" s="439"/>
      <c r="AF36" s="439"/>
      <c r="AG36" s="439"/>
      <c r="AH36" s="439"/>
      <c r="AI36" s="439"/>
      <c r="AJ36" s="439"/>
    </row>
    <row r="37" spans="2:37" s="286" customFormat="1" ht="16.5" customHeight="1" x14ac:dyDescent="0.25">
      <c r="C37" s="286" t="s">
        <v>408</v>
      </c>
      <c r="D37" s="286" t="s">
        <v>2591</v>
      </c>
      <c r="O37" s="286" t="s">
        <v>146</v>
      </c>
    </row>
    <row r="38" spans="2:37" s="286" customFormat="1" ht="16.5" customHeight="1" x14ac:dyDescent="0.25">
      <c r="B38" s="424" t="s">
        <v>2057</v>
      </c>
      <c r="C38" s="425"/>
      <c r="D38" s="294" t="s">
        <v>2835</v>
      </c>
      <c r="E38" s="294"/>
      <c r="F38" s="294"/>
    </row>
    <row r="39" spans="2:37" s="286" customFormat="1" ht="13.5" customHeight="1" x14ac:dyDescent="0.25">
      <c r="C39" s="295" t="s">
        <v>408</v>
      </c>
      <c r="D39" s="440" t="s">
        <v>4219</v>
      </c>
      <c r="E39" s="440"/>
      <c r="F39" s="440"/>
      <c r="G39" s="440"/>
      <c r="H39" s="440"/>
      <c r="I39" s="440"/>
      <c r="J39" s="440"/>
      <c r="K39" s="440"/>
      <c r="L39" s="440"/>
      <c r="M39" s="440"/>
      <c r="N39" s="440"/>
      <c r="O39" s="440"/>
      <c r="P39" s="440"/>
      <c r="Q39" s="440"/>
      <c r="R39" s="440"/>
      <c r="S39" s="440"/>
      <c r="T39" s="440"/>
      <c r="U39" s="440"/>
      <c r="V39" s="440"/>
      <c r="W39" s="440"/>
      <c r="X39" s="440"/>
      <c r="Y39" s="440"/>
      <c r="Z39" s="440"/>
      <c r="AA39" s="440"/>
      <c r="AB39" s="440"/>
      <c r="AC39" s="440"/>
      <c r="AD39" s="440"/>
      <c r="AE39" s="440"/>
      <c r="AF39" s="440"/>
      <c r="AG39" s="440"/>
      <c r="AH39" s="440"/>
      <c r="AI39" s="440"/>
      <c r="AJ39" s="440"/>
      <c r="AK39" s="296"/>
    </row>
    <row r="40" spans="2:37" s="286" customFormat="1" ht="13.5" customHeight="1" x14ac:dyDescent="0.25">
      <c r="B40" s="295"/>
      <c r="C40" s="296"/>
      <c r="D40" s="440"/>
      <c r="E40" s="440"/>
      <c r="F40" s="440"/>
      <c r="G40" s="440"/>
      <c r="H40" s="440"/>
      <c r="I40" s="440"/>
      <c r="J40" s="440"/>
      <c r="K40" s="440"/>
      <c r="L40" s="440"/>
      <c r="M40" s="440"/>
      <c r="N40" s="440"/>
      <c r="O40" s="440"/>
      <c r="P40" s="440"/>
      <c r="Q40" s="440"/>
      <c r="R40" s="440"/>
      <c r="S40" s="440"/>
      <c r="T40" s="440"/>
      <c r="U40" s="440"/>
      <c r="V40" s="440"/>
      <c r="W40" s="440"/>
      <c r="X40" s="440"/>
      <c r="Y40" s="440"/>
      <c r="Z40" s="440"/>
      <c r="AA40" s="440"/>
      <c r="AB40" s="440"/>
      <c r="AC40" s="440"/>
      <c r="AD40" s="440"/>
      <c r="AE40" s="440"/>
      <c r="AF40" s="440"/>
      <c r="AG40" s="440"/>
      <c r="AH40" s="440"/>
      <c r="AI40" s="440"/>
      <c r="AJ40" s="440"/>
      <c r="AK40" s="296"/>
    </row>
    <row r="41" spans="2:37" s="286" customFormat="1" ht="13.5" customHeight="1" x14ac:dyDescent="0.25">
      <c r="B41" s="295"/>
      <c r="C41" s="296"/>
      <c r="D41" s="440"/>
      <c r="E41" s="440"/>
      <c r="F41" s="440"/>
      <c r="G41" s="440"/>
      <c r="H41" s="440"/>
      <c r="I41" s="440"/>
      <c r="J41" s="440"/>
      <c r="K41" s="440"/>
      <c r="L41" s="440"/>
      <c r="M41" s="440"/>
      <c r="N41" s="440"/>
      <c r="O41" s="440"/>
      <c r="P41" s="440"/>
      <c r="Q41" s="440"/>
      <c r="R41" s="440"/>
      <c r="S41" s="440"/>
      <c r="T41" s="440"/>
      <c r="U41" s="440"/>
      <c r="V41" s="440"/>
      <c r="W41" s="440"/>
      <c r="X41" s="440"/>
      <c r="Y41" s="440"/>
      <c r="Z41" s="440"/>
      <c r="AA41" s="440"/>
      <c r="AB41" s="440"/>
      <c r="AC41" s="440"/>
      <c r="AD41" s="440"/>
      <c r="AE41" s="440"/>
      <c r="AF41" s="440"/>
      <c r="AG41" s="440"/>
      <c r="AH41" s="440"/>
      <c r="AI41" s="440"/>
      <c r="AJ41" s="440"/>
      <c r="AK41" s="296"/>
    </row>
    <row r="42" spans="2:37" s="286" customFormat="1" ht="13.5" customHeight="1" x14ac:dyDescent="0.25">
      <c r="B42" s="295"/>
      <c r="C42" s="296"/>
      <c r="D42" s="440"/>
      <c r="E42" s="440"/>
      <c r="F42" s="440"/>
      <c r="G42" s="440"/>
      <c r="H42" s="440"/>
      <c r="I42" s="440"/>
      <c r="J42" s="440"/>
      <c r="K42" s="440"/>
      <c r="L42" s="440"/>
      <c r="M42" s="440"/>
      <c r="N42" s="440"/>
      <c r="O42" s="440"/>
      <c r="P42" s="440"/>
      <c r="Q42" s="440"/>
      <c r="R42" s="440"/>
      <c r="S42" s="440"/>
      <c r="T42" s="440"/>
      <c r="U42" s="440"/>
      <c r="V42" s="440"/>
      <c r="W42" s="440"/>
      <c r="X42" s="440"/>
      <c r="Y42" s="440"/>
      <c r="Z42" s="440"/>
      <c r="AA42" s="440"/>
      <c r="AB42" s="440"/>
      <c r="AC42" s="440"/>
      <c r="AD42" s="440"/>
      <c r="AE42" s="440"/>
      <c r="AF42" s="440"/>
      <c r="AG42" s="440"/>
      <c r="AH42" s="440"/>
      <c r="AI42" s="440"/>
      <c r="AJ42" s="440"/>
      <c r="AK42" s="296"/>
    </row>
    <row r="43" spans="2:37" s="286" customFormat="1" ht="13.5" customHeight="1" x14ac:dyDescent="0.25">
      <c r="B43" s="295"/>
      <c r="C43" s="296"/>
      <c r="D43" s="440"/>
      <c r="E43" s="440"/>
      <c r="F43" s="440"/>
      <c r="G43" s="440"/>
      <c r="H43" s="440"/>
      <c r="I43" s="440"/>
      <c r="J43" s="440"/>
      <c r="K43" s="440"/>
      <c r="L43" s="440"/>
      <c r="M43" s="440"/>
      <c r="N43" s="440"/>
      <c r="O43" s="440"/>
      <c r="P43" s="440"/>
      <c r="Q43" s="440"/>
      <c r="R43" s="440"/>
      <c r="S43" s="440"/>
      <c r="T43" s="440"/>
      <c r="U43" s="440"/>
      <c r="V43" s="440"/>
      <c r="W43" s="440"/>
      <c r="X43" s="440"/>
      <c r="Y43" s="440"/>
      <c r="Z43" s="440"/>
      <c r="AA43" s="440"/>
      <c r="AB43" s="440"/>
      <c r="AC43" s="440"/>
      <c r="AD43" s="440"/>
      <c r="AE43" s="440"/>
      <c r="AF43" s="440"/>
      <c r="AG43" s="440"/>
      <c r="AH43" s="440"/>
      <c r="AI43" s="440"/>
      <c r="AJ43" s="440"/>
      <c r="AK43" s="296"/>
    </row>
    <row r="44" spans="2:37" s="286" customFormat="1" ht="13.5" customHeight="1" x14ac:dyDescent="0.25">
      <c r="B44" s="295"/>
      <c r="C44" s="296"/>
      <c r="D44" s="440"/>
      <c r="E44" s="440"/>
      <c r="F44" s="440"/>
      <c r="G44" s="440"/>
      <c r="H44" s="440"/>
      <c r="I44" s="440"/>
      <c r="J44" s="440"/>
      <c r="K44" s="440"/>
      <c r="L44" s="440"/>
      <c r="M44" s="440"/>
      <c r="N44" s="440"/>
      <c r="O44" s="440"/>
      <c r="P44" s="440"/>
      <c r="Q44" s="440"/>
      <c r="R44" s="440"/>
      <c r="S44" s="440"/>
      <c r="T44" s="440"/>
      <c r="U44" s="440"/>
      <c r="V44" s="440"/>
      <c r="W44" s="440"/>
      <c r="X44" s="440"/>
      <c r="Y44" s="440"/>
      <c r="Z44" s="440"/>
      <c r="AA44" s="440"/>
      <c r="AB44" s="440"/>
      <c r="AC44" s="440"/>
      <c r="AD44" s="440"/>
      <c r="AE44" s="440"/>
      <c r="AF44" s="440"/>
      <c r="AG44" s="440"/>
      <c r="AH44" s="440"/>
      <c r="AI44" s="440"/>
      <c r="AJ44" s="440"/>
      <c r="AK44" s="296"/>
    </row>
    <row r="45" spans="2:37" s="286" customFormat="1" x14ac:dyDescent="0.25">
      <c r="C45" s="296"/>
      <c r="D45" s="440"/>
      <c r="E45" s="440"/>
      <c r="F45" s="440"/>
      <c r="G45" s="440"/>
      <c r="H45" s="440"/>
      <c r="I45" s="440"/>
      <c r="J45" s="440"/>
      <c r="K45" s="440"/>
      <c r="L45" s="440"/>
      <c r="M45" s="440"/>
      <c r="N45" s="440"/>
      <c r="O45" s="440"/>
      <c r="P45" s="440"/>
      <c r="Q45" s="440"/>
      <c r="R45" s="440"/>
      <c r="S45" s="440"/>
      <c r="T45" s="440"/>
      <c r="U45" s="440"/>
      <c r="V45" s="440"/>
      <c r="W45" s="440"/>
      <c r="X45" s="440"/>
      <c r="Y45" s="440"/>
      <c r="Z45" s="440"/>
      <c r="AA45" s="440"/>
      <c r="AB45" s="440"/>
      <c r="AC45" s="440"/>
      <c r="AD45" s="440"/>
      <c r="AE45" s="440"/>
      <c r="AF45" s="440"/>
      <c r="AG45" s="440"/>
      <c r="AH45" s="440"/>
      <c r="AI45" s="440"/>
      <c r="AJ45" s="440"/>
      <c r="AK45" s="296"/>
    </row>
    <row r="46" spans="2:37" s="286" customFormat="1" ht="16.5" customHeight="1" x14ac:dyDescent="0.25">
      <c r="B46" s="424" t="s">
        <v>2836</v>
      </c>
      <c r="C46" s="425"/>
      <c r="D46" s="294" t="s">
        <v>1037</v>
      </c>
      <c r="E46" s="294"/>
      <c r="F46" s="294"/>
    </row>
    <row r="47" spans="2:37" s="286" customFormat="1" ht="16.5" customHeight="1" x14ac:dyDescent="0.25">
      <c r="C47" s="286" t="s">
        <v>408</v>
      </c>
      <c r="D47" s="432" t="s">
        <v>2494</v>
      </c>
      <c r="E47" s="432"/>
      <c r="F47" s="432"/>
      <c r="G47" s="432"/>
      <c r="H47" s="432"/>
      <c r="I47" s="432"/>
      <c r="J47" s="432"/>
      <c r="K47" s="432"/>
      <c r="L47" s="432"/>
      <c r="M47" s="432"/>
      <c r="N47" s="432"/>
      <c r="O47" s="432"/>
      <c r="P47" s="432"/>
      <c r="Q47" s="432"/>
      <c r="R47" s="432"/>
      <c r="S47" s="432"/>
      <c r="T47" s="432"/>
      <c r="U47" s="432"/>
      <c r="V47" s="432"/>
      <c r="W47" s="432"/>
      <c r="X47" s="432"/>
      <c r="Y47" s="432"/>
      <c r="Z47" s="432"/>
      <c r="AA47" s="432"/>
      <c r="AB47" s="432"/>
      <c r="AC47" s="432"/>
      <c r="AD47" s="432"/>
      <c r="AE47" s="432"/>
      <c r="AF47" s="432"/>
      <c r="AG47" s="432"/>
      <c r="AH47" s="432"/>
      <c r="AI47" s="432"/>
      <c r="AJ47" s="432"/>
    </row>
    <row r="48" spans="2:37" s="286" customFormat="1" ht="16.5" customHeight="1" x14ac:dyDescent="0.25">
      <c r="C48" s="286" t="s">
        <v>408</v>
      </c>
      <c r="D48" s="286" t="s">
        <v>2837</v>
      </c>
    </row>
    <row r="49" spans="2:38" s="286" customFormat="1" ht="16.5" customHeight="1" x14ac:dyDescent="0.25">
      <c r="C49" s="286" t="s">
        <v>408</v>
      </c>
      <c r="D49" s="286" t="s">
        <v>1532</v>
      </c>
    </row>
    <row r="50" spans="2:38" s="286" customFormat="1" ht="16.5" customHeight="1" x14ac:dyDescent="0.25">
      <c r="C50" s="286" t="s">
        <v>408</v>
      </c>
      <c r="D50" s="286" t="s">
        <v>2484</v>
      </c>
    </row>
    <row r="51" spans="2:38" s="286" customFormat="1" ht="16.5" customHeight="1" x14ac:dyDescent="0.25">
      <c r="B51" s="424" t="s">
        <v>2839</v>
      </c>
      <c r="C51" s="425"/>
      <c r="D51" s="294" t="s">
        <v>2355</v>
      </c>
      <c r="E51" s="294"/>
    </row>
    <row r="52" spans="2:38" s="286" customFormat="1" ht="15" customHeight="1" x14ac:dyDescent="0.25">
      <c r="B52" s="297"/>
      <c r="C52" s="298" t="s">
        <v>408</v>
      </c>
      <c r="D52" s="440" t="s">
        <v>2621</v>
      </c>
      <c r="E52" s="445"/>
      <c r="F52" s="445"/>
      <c r="G52" s="445"/>
      <c r="H52" s="445"/>
      <c r="I52" s="445"/>
      <c r="J52" s="445"/>
      <c r="K52" s="445"/>
      <c r="L52" s="445"/>
      <c r="M52" s="445"/>
      <c r="N52" s="445"/>
      <c r="O52" s="445"/>
      <c r="P52" s="445"/>
      <c r="Q52" s="445"/>
      <c r="R52" s="445"/>
      <c r="S52" s="445"/>
      <c r="T52" s="445"/>
      <c r="U52" s="445"/>
      <c r="V52" s="445"/>
      <c r="W52" s="445"/>
      <c r="X52" s="445"/>
      <c r="Y52" s="445"/>
      <c r="Z52" s="445"/>
      <c r="AA52" s="445"/>
      <c r="AB52" s="445"/>
      <c r="AC52" s="445"/>
      <c r="AD52" s="445"/>
      <c r="AE52" s="445"/>
      <c r="AF52" s="445"/>
      <c r="AG52" s="445"/>
      <c r="AH52" s="445"/>
      <c r="AI52" s="445"/>
      <c r="AJ52" s="445"/>
      <c r="AL52" s="296"/>
    </row>
    <row r="53" spans="2:38" s="286" customFormat="1" ht="15" customHeight="1" x14ac:dyDescent="0.25">
      <c r="C53" s="298"/>
      <c r="D53" s="445"/>
      <c r="E53" s="445"/>
      <c r="F53" s="445"/>
      <c r="G53" s="445"/>
      <c r="H53" s="445"/>
      <c r="I53" s="445"/>
      <c r="J53" s="445"/>
      <c r="K53" s="445"/>
      <c r="L53" s="445"/>
      <c r="M53" s="445"/>
      <c r="N53" s="445"/>
      <c r="O53" s="445"/>
      <c r="P53" s="445"/>
      <c r="Q53" s="445"/>
      <c r="R53" s="445"/>
      <c r="S53" s="445"/>
      <c r="T53" s="445"/>
      <c r="U53" s="445"/>
      <c r="V53" s="445"/>
      <c r="W53" s="445"/>
      <c r="X53" s="445"/>
      <c r="Y53" s="445"/>
      <c r="Z53" s="445"/>
      <c r="AA53" s="445"/>
      <c r="AB53" s="445"/>
      <c r="AC53" s="445"/>
      <c r="AD53" s="445"/>
      <c r="AE53" s="445"/>
      <c r="AF53" s="445"/>
      <c r="AG53" s="445"/>
      <c r="AH53" s="445"/>
      <c r="AI53" s="445"/>
      <c r="AJ53" s="445"/>
      <c r="AL53" s="296"/>
    </row>
    <row r="54" spans="2:38" s="286" customFormat="1" ht="16.5" customHeight="1" x14ac:dyDescent="0.25">
      <c r="C54" s="298" t="s">
        <v>408</v>
      </c>
      <c r="D54" s="440" t="s">
        <v>1822</v>
      </c>
      <c r="E54" s="445"/>
      <c r="F54" s="445"/>
      <c r="G54" s="445"/>
      <c r="H54" s="445"/>
      <c r="I54" s="445"/>
      <c r="J54" s="445"/>
      <c r="K54" s="445"/>
      <c r="L54" s="445"/>
      <c r="M54" s="445"/>
      <c r="N54" s="445"/>
      <c r="O54" s="445"/>
      <c r="P54" s="445"/>
      <c r="Q54" s="445"/>
      <c r="R54" s="445"/>
      <c r="S54" s="445"/>
      <c r="T54" s="445"/>
      <c r="U54" s="445"/>
      <c r="V54" s="445"/>
      <c r="W54" s="445"/>
      <c r="X54" s="445"/>
      <c r="Y54" s="445"/>
      <c r="Z54" s="445"/>
      <c r="AA54" s="445"/>
      <c r="AB54" s="445"/>
      <c r="AC54" s="445"/>
      <c r="AD54" s="445"/>
      <c r="AE54" s="445"/>
      <c r="AF54" s="445"/>
      <c r="AG54" s="445"/>
      <c r="AH54" s="445"/>
      <c r="AI54" s="445"/>
      <c r="AJ54" s="445"/>
      <c r="AL54" s="296"/>
    </row>
    <row r="55" spans="2:38" s="286" customFormat="1" ht="16.5" customHeight="1" x14ac:dyDescent="0.25">
      <c r="C55" s="298"/>
      <c r="D55" s="440"/>
      <c r="E55" s="445"/>
      <c r="F55" s="445"/>
      <c r="G55" s="445"/>
      <c r="H55" s="445"/>
      <c r="I55" s="445"/>
      <c r="J55" s="445"/>
      <c r="K55" s="445"/>
      <c r="L55" s="445"/>
      <c r="M55" s="445"/>
      <c r="N55" s="445"/>
      <c r="O55" s="445"/>
      <c r="P55" s="445"/>
      <c r="Q55" s="445"/>
      <c r="R55" s="445"/>
      <c r="S55" s="445"/>
      <c r="T55" s="445"/>
      <c r="U55" s="445"/>
      <c r="V55" s="445"/>
      <c r="W55" s="445"/>
      <c r="X55" s="445"/>
      <c r="Y55" s="445"/>
      <c r="Z55" s="445"/>
      <c r="AA55" s="445"/>
      <c r="AB55" s="445"/>
      <c r="AC55" s="445"/>
      <c r="AD55" s="445"/>
      <c r="AE55" s="445"/>
      <c r="AF55" s="445"/>
      <c r="AG55" s="445"/>
      <c r="AH55" s="445"/>
      <c r="AI55" s="445"/>
      <c r="AJ55" s="445"/>
      <c r="AL55" s="296"/>
    </row>
    <row r="56" spans="2:38" s="286" customFormat="1" ht="18.75" customHeight="1" x14ac:dyDescent="0.25">
      <c r="D56" s="445"/>
      <c r="E56" s="445"/>
      <c r="F56" s="445"/>
      <c r="G56" s="445"/>
      <c r="H56" s="445"/>
      <c r="I56" s="445"/>
      <c r="J56" s="445"/>
      <c r="K56" s="445"/>
      <c r="L56" s="445"/>
      <c r="M56" s="445"/>
      <c r="N56" s="445"/>
      <c r="O56" s="445"/>
      <c r="P56" s="445"/>
      <c r="Q56" s="445"/>
      <c r="R56" s="445"/>
      <c r="S56" s="445"/>
      <c r="T56" s="445"/>
      <c r="U56" s="445"/>
      <c r="V56" s="445"/>
      <c r="W56" s="445"/>
      <c r="X56" s="445"/>
      <c r="Y56" s="445"/>
      <c r="Z56" s="445"/>
      <c r="AA56" s="445"/>
      <c r="AB56" s="445"/>
      <c r="AC56" s="445"/>
      <c r="AD56" s="445"/>
      <c r="AE56" s="445"/>
      <c r="AF56" s="445"/>
      <c r="AG56" s="445"/>
      <c r="AH56" s="445"/>
      <c r="AI56" s="445"/>
      <c r="AJ56" s="445"/>
      <c r="AL56" s="296"/>
    </row>
    <row r="57" spans="2:38" s="286" customFormat="1" ht="16.5" customHeight="1" x14ac:dyDescent="0.25">
      <c r="D57" s="445"/>
      <c r="E57" s="445"/>
      <c r="F57" s="445"/>
      <c r="G57" s="445"/>
      <c r="H57" s="445"/>
      <c r="I57" s="445"/>
      <c r="J57" s="445"/>
      <c r="K57" s="445"/>
      <c r="L57" s="445"/>
      <c r="M57" s="445"/>
      <c r="N57" s="445"/>
      <c r="O57" s="445"/>
      <c r="P57" s="445"/>
      <c r="Q57" s="445"/>
      <c r="R57" s="445"/>
      <c r="S57" s="445"/>
      <c r="T57" s="445"/>
      <c r="U57" s="445"/>
      <c r="V57" s="445"/>
      <c r="W57" s="445"/>
      <c r="X57" s="445"/>
      <c r="Y57" s="445"/>
      <c r="Z57" s="445"/>
      <c r="AA57" s="445"/>
      <c r="AB57" s="445"/>
      <c r="AC57" s="445"/>
      <c r="AD57" s="445"/>
      <c r="AE57" s="445"/>
      <c r="AF57" s="445"/>
      <c r="AG57" s="445"/>
      <c r="AH57" s="445"/>
      <c r="AI57" s="445"/>
      <c r="AJ57" s="445"/>
      <c r="AL57" s="296"/>
    </row>
    <row r="58" spans="2:38" s="286" customFormat="1" ht="16.5" customHeight="1" x14ac:dyDescent="0.25">
      <c r="B58" s="424" t="s">
        <v>2242</v>
      </c>
      <c r="C58" s="425"/>
      <c r="D58" s="294" t="s">
        <v>2032</v>
      </c>
      <c r="E58" s="294"/>
    </row>
    <row r="59" spans="2:38" s="286" customFormat="1" ht="16.5" customHeight="1" x14ac:dyDescent="0.25">
      <c r="C59" s="439" t="s">
        <v>2840</v>
      </c>
      <c r="D59" s="439"/>
      <c r="E59" s="439"/>
      <c r="F59" s="439"/>
      <c r="G59" s="439"/>
      <c r="H59" s="439"/>
      <c r="I59" s="439"/>
      <c r="J59" s="439"/>
      <c r="K59" s="439"/>
      <c r="L59" s="439"/>
      <c r="M59" s="439"/>
      <c r="N59" s="439"/>
      <c r="O59" s="439"/>
      <c r="P59" s="439"/>
      <c r="Q59" s="439"/>
      <c r="R59" s="439"/>
      <c r="S59" s="439"/>
      <c r="T59" s="439"/>
      <c r="U59" s="439"/>
      <c r="V59" s="439"/>
      <c r="W59" s="439"/>
      <c r="X59" s="439"/>
      <c r="Y59" s="439"/>
      <c r="Z59" s="439"/>
      <c r="AA59" s="439"/>
      <c r="AB59" s="439"/>
      <c r="AC59" s="439"/>
      <c r="AD59" s="439"/>
      <c r="AE59" s="439"/>
      <c r="AF59" s="439"/>
      <c r="AG59" s="439"/>
      <c r="AH59" s="439"/>
      <c r="AI59" s="439"/>
      <c r="AJ59" s="439"/>
    </row>
    <row r="60" spans="2:38" s="286" customFormat="1" ht="16.5" customHeight="1" x14ac:dyDescent="0.25">
      <c r="C60" s="439"/>
      <c r="D60" s="439"/>
      <c r="E60" s="439"/>
      <c r="F60" s="439"/>
      <c r="G60" s="439"/>
      <c r="H60" s="439"/>
      <c r="I60" s="439"/>
      <c r="J60" s="439"/>
      <c r="K60" s="439"/>
      <c r="L60" s="439"/>
      <c r="M60" s="439"/>
      <c r="N60" s="439"/>
      <c r="O60" s="439"/>
      <c r="P60" s="439"/>
      <c r="Q60" s="439"/>
      <c r="R60" s="439"/>
      <c r="S60" s="439"/>
      <c r="T60" s="439"/>
      <c r="U60" s="439"/>
      <c r="V60" s="439"/>
      <c r="W60" s="439"/>
      <c r="X60" s="439"/>
      <c r="Y60" s="439"/>
      <c r="Z60" s="439"/>
      <c r="AA60" s="439"/>
      <c r="AB60" s="439"/>
      <c r="AC60" s="439"/>
      <c r="AD60" s="439"/>
      <c r="AE60" s="439"/>
      <c r="AF60" s="439"/>
      <c r="AG60" s="439"/>
      <c r="AH60" s="439"/>
      <c r="AI60" s="439"/>
      <c r="AJ60" s="439"/>
    </row>
    <row r="61" spans="2:38" s="286" customFormat="1" ht="16.5" customHeight="1" x14ac:dyDescent="0.25">
      <c r="C61" s="433" t="s">
        <v>2841</v>
      </c>
      <c r="D61" s="433"/>
      <c r="E61" s="433"/>
      <c r="F61" s="433"/>
      <c r="G61" s="433"/>
      <c r="H61" s="433"/>
      <c r="I61" s="433"/>
      <c r="J61" s="433"/>
      <c r="K61" s="433"/>
      <c r="L61" s="433"/>
      <c r="M61" s="433"/>
      <c r="N61" s="433"/>
      <c r="O61" s="433"/>
      <c r="P61" s="433"/>
      <c r="Q61" s="433"/>
      <c r="R61" s="433"/>
      <c r="S61" s="433"/>
      <c r="T61" s="433"/>
      <c r="U61" s="433"/>
      <c r="V61" s="433"/>
      <c r="W61" s="433"/>
      <c r="X61" s="433"/>
      <c r="Y61" s="433"/>
      <c r="Z61" s="433"/>
      <c r="AA61" s="433"/>
      <c r="AB61" s="433"/>
      <c r="AC61" s="433"/>
      <c r="AD61" s="433"/>
      <c r="AE61" s="433"/>
      <c r="AF61" s="433"/>
      <c r="AG61" s="433"/>
      <c r="AH61" s="433"/>
      <c r="AI61" s="433"/>
      <c r="AJ61" s="433"/>
    </row>
    <row r="62" spans="2:38" s="286" customFormat="1" ht="16.5" customHeight="1" x14ac:dyDescent="0.25">
      <c r="B62" s="424" t="s">
        <v>1941</v>
      </c>
      <c r="C62" s="425"/>
      <c r="D62" s="294" t="s">
        <v>2043</v>
      </c>
      <c r="E62" s="294"/>
      <c r="F62" s="294"/>
      <c r="G62" s="294"/>
      <c r="L62" s="299" t="s">
        <v>2154</v>
      </c>
      <c r="M62" s="299"/>
      <c r="N62" s="299"/>
      <c r="O62" s="299"/>
      <c r="P62" s="299"/>
      <c r="Q62" s="299"/>
      <c r="R62" s="299"/>
      <c r="S62" s="299"/>
      <c r="T62" s="299"/>
      <c r="U62" s="299"/>
      <c r="V62" s="299"/>
      <c r="W62" s="299"/>
      <c r="X62" s="299"/>
      <c r="Y62" s="299"/>
      <c r="Z62" s="299"/>
      <c r="AA62" s="299"/>
    </row>
    <row r="63" spans="2:38" s="286" customFormat="1" ht="16.5" customHeight="1" x14ac:dyDescent="0.25">
      <c r="C63" s="286" t="s">
        <v>1647</v>
      </c>
      <c r="I63" s="300"/>
    </row>
    <row r="64" spans="2:38" s="286" customFormat="1" ht="16.5" customHeight="1" x14ac:dyDescent="0.25">
      <c r="C64" s="286" t="s">
        <v>408</v>
      </c>
      <c r="D64" s="286" t="s">
        <v>1067</v>
      </c>
    </row>
    <row r="65" spans="2:36" s="286" customFormat="1" ht="16.5" customHeight="1" x14ac:dyDescent="0.25">
      <c r="C65" s="286" t="s">
        <v>408</v>
      </c>
      <c r="D65" s="286" t="s">
        <v>1858</v>
      </c>
      <c r="G65" s="432"/>
      <c r="H65" s="432"/>
      <c r="I65" s="432"/>
      <c r="J65" s="432"/>
      <c r="K65" s="432"/>
      <c r="L65" s="432"/>
      <c r="M65" s="432"/>
      <c r="N65" s="432"/>
      <c r="O65" s="432"/>
      <c r="P65" s="432"/>
      <c r="Q65" s="432"/>
      <c r="R65" s="432"/>
      <c r="S65" s="432"/>
      <c r="T65" s="432"/>
      <c r="U65" s="432"/>
      <c r="V65" s="432"/>
      <c r="W65" s="432"/>
      <c r="X65" s="432"/>
      <c r="Y65" s="432"/>
      <c r="Z65" s="432"/>
      <c r="AA65" s="432"/>
      <c r="AB65" s="432"/>
      <c r="AC65" s="432"/>
      <c r="AD65" s="432"/>
      <c r="AE65" s="432"/>
      <c r="AF65" s="432"/>
      <c r="AG65" s="432"/>
      <c r="AH65" s="432"/>
      <c r="AI65" s="432"/>
    </row>
    <row r="66" spans="2:36" s="286" customFormat="1" ht="16.5" customHeight="1" x14ac:dyDescent="0.25">
      <c r="C66" s="286" t="s">
        <v>408</v>
      </c>
      <c r="D66" s="286" t="s">
        <v>1536</v>
      </c>
      <c r="K66" s="433" t="s">
        <v>2843</v>
      </c>
      <c r="L66" s="433"/>
      <c r="M66" s="433"/>
      <c r="N66" s="433"/>
      <c r="O66" s="433"/>
      <c r="P66" s="433"/>
    </row>
    <row r="67" spans="2:36" s="286" customFormat="1" ht="16.5" customHeight="1" x14ac:dyDescent="0.25">
      <c r="C67" s="286" t="s">
        <v>408</v>
      </c>
      <c r="D67" s="286" t="s">
        <v>2844</v>
      </c>
      <c r="G67" s="434" t="s">
        <v>862</v>
      </c>
      <c r="H67" s="434"/>
      <c r="I67" s="434"/>
      <c r="J67" s="434"/>
      <c r="K67" s="434"/>
      <c r="L67" s="434"/>
      <c r="M67" s="434"/>
      <c r="N67" s="434"/>
      <c r="O67" s="434"/>
      <c r="P67" s="434"/>
      <c r="Q67" s="434"/>
      <c r="R67" s="434"/>
      <c r="S67" s="434"/>
      <c r="T67" s="434"/>
      <c r="U67" s="434"/>
      <c r="V67" s="434"/>
      <c r="W67" s="434"/>
      <c r="X67" s="434"/>
      <c r="Y67" s="434"/>
      <c r="Z67" s="434"/>
      <c r="AA67" s="434"/>
      <c r="AB67" s="434"/>
      <c r="AC67" s="434"/>
      <c r="AD67" s="434"/>
      <c r="AE67" s="434"/>
      <c r="AF67" s="434"/>
      <c r="AG67" s="434"/>
      <c r="AH67" s="434"/>
    </row>
    <row r="68" spans="2:36" s="286" customFormat="1" ht="16.5" customHeight="1" x14ac:dyDescent="0.25">
      <c r="C68" s="286" t="s">
        <v>2149</v>
      </c>
    </row>
    <row r="69" spans="2:36" s="286" customFormat="1" ht="16.5" customHeight="1" x14ac:dyDescent="0.25">
      <c r="C69" s="286" t="s">
        <v>408</v>
      </c>
      <c r="D69" s="286" t="s">
        <v>1067</v>
      </c>
      <c r="G69" s="286" t="s">
        <v>2845</v>
      </c>
    </row>
    <row r="70" spans="2:36" s="286" customFormat="1" ht="16.5" customHeight="1" x14ac:dyDescent="0.25">
      <c r="C70" s="286" t="s">
        <v>408</v>
      </c>
      <c r="D70" s="286" t="s">
        <v>1536</v>
      </c>
      <c r="K70" s="427" t="s">
        <v>2846</v>
      </c>
      <c r="L70" s="427"/>
    </row>
    <row r="71" spans="2:36" s="286" customFormat="1" ht="16.5" customHeight="1" x14ac:dyDescent="0.25">
      <c r="C71" s="286" t="s">
        <v>408</v>
      </c>
      <c r="D71" s="286" t="s">
        <v>2844</v>
      </c>
      <c r="G71" s="434" t="s">
        <v>1841</v>
      </c>
      <c r="H71" s="434"/>
      <c r="I71" s="434"/>
      <c r="J71" s="434"/>
      <c r="K71" s="434"/>
      <c r="L71" s="434"/>
      <c r="M71" s="434"/>
      <c r="N71" s="434"/>
      <c r="O71" s="434"/>
      <c r="P71" s="434"/>
      <c r="Q71" s="434"/>
      <c r="R71" s="434"/>
      <c r="S71" s="434"/>
      <c r="T71" s="434"/>
      <c r="U71" s="434"/>
      <c r="V71" s="434"/>
      <c r="W71" s="434"/>
      <c r="X71" s="434"/>
      <c r="Y71" s="434"/>
      <c r="Z71" s="434"/>
      <c r="AA71" s="434"/>
      <c r="AB71" s="434"/>
      <c r="AC71" s="434"/>
      <c r="AD71" s="434"/>
      <c r="AE71" s="434"/>
      <c r="AF71" s="434"/>
      <c r="AG71" s="434"/>
      <c r="AH71" s="434"/>
    </row>
    <row r="72" spans="2:36" s="286" customFormat="1" ht="16.5" customHeight="1" x14ac:dyDescent="0.25">
      <c r="B72" s="424" t="s">
        <v>2847</v>
      </c>
      <c r="C72" s="425"/>
      <c r="D72" s="294" t="s">
        <v>2352</v>
      </c>
      <c r="E72" s="294"/>
    </row>
    <row r="73" spans="2:36" s="286" customFormat="1" ht="16.5" customHeight="1" x14ac:dyDescent="0.25">
      <c r="C73" s="298" t="s">
        <v>408</v>
      </c>
      <c r="D73" s="443" t="s">
        <v>5594</v>
      </c>
      <c r="E73" s="443"/>
      <c r="F73" s="443"/>
      <c r="G73" s="443"/>
      <c r="H73" s="443"/>
      <c r="I73" s="443"/>
      <c r="J73" s="443"/>
      <c r="K73" s="443"/>
      <c r="L73" s="443"/>
      <c r="M73" s="443"/>
      <c r="N73" s="443"/>
      <c r="O73" s="443"/>
      <c r="P73" s="443"/>
      <c r="Q73" s="443"/>
      <c r="R73" s="443"/>
      <c r="S73" s="443"/>
      <c r="T73" s="443"/>
      <c r="U73" s="443"/>
      <c r="V73" s="443"/>
      <c r="W73" s="443"/>
      <c r="X73" s="443"/>
      <c r="Y73" s="443"/>
      <c r="Z73" s="443"/>
      <c r="AA73" s="443"/>
      <c r="AB73" s="443"/>
      <c r="AC73" s="443"/>
      <c r="AD73" s="443"/>
      <c r="AE73" s="443"/>
      <c r="AF73" s="443"/>
      <c r="AG73" s="443"/>
      <c r="AH73" s="443"/>
      <c r="AI73" s="443"/>
      <c r="AJ73" s="443"/>
    </row>
    <row r="74" spans="2:36" s="286" customFormat="1" ht="16.5" customHeight="1" x14ac:dyDescent="0.25">
      <c r="C74" s="298"/>
      <c r="D74" s="443"/>
      <c r="E74" s="443"/>
      <c r="F74" s="443"/>
      <c r="G74" s="443"/>
      <c r="H74" s="443"/>
      <c r="I74" s="443"/>
      <c r="J74" s="443"/>
      <c r="K74" s="443"/>
      <c r="L74" s="443"/>
      <c r="M74" s="443"/>
      <c r="N74" s="443"/>
      <c r="O74" s="443"/>
      <c r="P74" s="443"/>
      <c r="Q74" s="443"/>
      <c r="R74" s="443"/>
      <c r="S74" s="443"/>
      <c r="T74" s="443"/>
      <c r="U74" s="443"/>
      <c r="V74" s="443"/>
      <c r="W74" s="443"/>
      <c r="X74" s="443"/>
      <c r="Y74" s="443"/>
      <c r="Z74" s="443"/>
      <c r="AA74" s="443"/>
      <c r="AB74" s="443"/>
      <c r="AC74" s="443"/>
      <c r="AD74" s="443"/>
      <c r="AE74" s="443"/>
      <c r="AF74" s="443"/>
      <c r="AG74" s="443"/>
      <c r="AH74" s="443"/>
      <c r="AI74" s="443"/>
      <c r="AJ74" s="443"/>
    </row>
    <row r="75" spans="2:36" s="286" customFormat="1" ht="16.5" customHeight="1" x14ac:dyDescent="0.25">
      <c r="C75" s="298" t="s">
        <v>408</v>
      </c>
      <c r="D75" s="444" t="s">
        <v>2252</v>
      </c>
      <c r="E75" s="444"/>
      <c r="F75" s="444"/>
      <c r="G75" s="444"/>
      <c r="H75" s="444"/>
      <c r="I75" s="444"/>
      <c r="J75" s="444"/>
      <c r="K75" s="444"/>
      <c r="L75" s="444"/>
      <c r="M75" s="444"/>
      <c r="N75" s="444"/>
      <c r="O75" s="444"/>
      <c r="P75" s="444"/>
      <c r="Q75" s="444"/>
      <c r="R75" s="444"/>
      <c r="S75" s="444"/>
      <c r="T75" s="444"/>
      <c r="U75" s="444"/>
      <c r="V75" s="444"/>
      <c r="W75" s="444"/>
      <c r="X75" s="444"/>
      <c r="Y75" s="444"/>
      <c r="Z75" s="444"/>
      <c r="AA75" s="444"/>
      <c r="AB75" s="444"/>
      <c r="AC75" s="444"/>
      <c r="AD75" s="444"/>
      <c r="AE75" s="444"/>
      <c r="AF75" s="444"/>
      <c r="AG75" s="444"/>
      <c r="AH75" s="444"/>
      <c r="AI75" s="444"/>
      <c r="AJ75" s="444"/>
    </row>
    <row r="76" spans="2:36" s="286" customFormat="1" ht="16.5" customHeight="1" x14ac:dyDescent="0.25">
      <c r="C76" s="298"/>
      <c r="D76" s="444"/>
      <c r="E76" s="444"/>
      <c r="F76" s="444"/>
      <c r="G76" s="444"/>
      <c r="H76" s="444"/>
      <c r="I76" s="444"/>
      <c r="J76" s="444"/>
      <c r="K76" s="444"/>
      <c r="L76" s="444"/>
      <c r="M76" s="444"/>
      <c r="N76" s="444"/>
      <c r="O76" s="444"/>
      <c r="P76" s="444"/>
      <c r="Q76" s="444"/>
      <c r="R76" s="444"/>
      <c r="S76" s="444"/>
      <c r="T76" s="444"/>
      <c r="U76" s="444"/>
      <c r="V76" s="444"/>
      <c r="W76" s="444"/>
      <c r="X76" s="444"/>
      <c r="Y76" s="444"/>
      <c r="Z76" s="444"/>
      <c r="AA76" s="444"/>
      <c r="AB76" s="444"/>
      <c r="AC76" s="444"/>
      <c r="AD76" s="444"/>
      <c r="AE76" s="444"/>
      <c r="AF76" s="444"/>
      <c r="AG76" s="444"/>
      <c r="AH76" s="444"/>
      <c r="AI76" s="444"/>
      <c r="AJ76" s="444"/>
    </row>
    <row r="77" spans="2:36" s="286" customFormat="1" ht="16.5" customHeight="1" x14ac:dyDescent="0.25">
      <c r="C77" s="295"/>
      <c r="D77" s="444"/>
      <c r="E77" s="444"/>
      <c r="F77" s="444"/>
      <c r="G77" s="444"/>
      <c r="H77" s="444"/>
      <c r="I77" s="444"/>
      <c r="J77" s="444"/>
      <c r="K77" s="444"/>
      <c r="L77" s="444"/>
      <c r="M77" s="444"/>
      <c r="N77" s="444"/>
      <c r="O77" s="444"/>
      <c r="P77" s="444"/>
      <c r="Q77" s="444"/>
      <c r="R77" s="444"/>
      <c r="S77" s="444"/>
      <c r="T77" s="444"/>
      <c r="U77" s="444"/>
      <c r="V77" s="444"/>
      <c r="W77" s="444"/>
      <c r="X77" s="444"/>
      <c r="Y77" s="444"/>
      <c r="Z77" s="444"/>
      <c r="AA77" s="444"/>
      <c r="AB77" s="444"/>
      <c r="AC77" s="444"/>
      <c r="AD77" s="444"/>
      <c r="AE77" s="444"/>
      <c r="AF77" s="444"/>
      <c r="AG77" s="444"/>
      <c r="AH77" s="444"/>
      <c r="AI77" s="444"/>
      <c r="AJ77" s="444"/>
    </row>
    <row r="78" spans="2:36" s="286" customFormat="1" ht="16.5" customHeight="1" x14ac:dyDescent="0.25">
      <c r="B78" s="424" t="s">
        <v>2765</v>
      </c>
      <c r="C78" s="425"/>
      <c r="D78" s="294" t="s">
        <v>569</v>
      </c>
      <c r="E78" s="294"/>
    </row>
    <row r="79" spans="2:36" s="286" customFormat="1" ht="16.5" customHeight="1" x14ac:dyDescent="0.25">
      <c r="C79" s="301" t="s">
        <v>408</v>
      </c>
      <c r="D79" s="440" t="s">
        <v>2848</v>
      </c>
      <c r="E79" s="440"/>
      <c r="F79" s="440"/>
      <c r="G79" s="440"/>
      <c r="H79" s="440"/>
      <c r="I79" s="440"/>
      <c r="J79" s="440"/>
      <c r="K79" s="440"/>
      <c r="L79" s="440"/>
      <c r="M79" s="440"/>
      <c r="N79" s="440"/>
      <c r="O79" s="440"/>
      <c r="P79" s="440"/>
      <c r="Q79" s="440"/>
      <c r="R79" s="440"/>
      <c r="S79" s="440"/>
      <c r="T79" s="440"/>
      <c r="U79" s="440"/>
      <c r="V79" s="440"/>
      <c r="W79" s="440"/>
      <c r="X79" s="440"/>
      <c r="Y79" s="440"/>
      <c r="Z79" s="440"/>
      <c r="AA79" s="440"/>
      <c r="AB79" s="440"/>
      <c r="AC79" s="440"/>
      <c r="AD79" s="440"/>
      <c r="AE79" s="440"/>
      <c r="AF79" s="440"/>
      <c r="AG79" s="440"/>
      <c r="AH79" s="440"/>
      <c r="AI79" s="440"/>
      <c r="AJ79" s="440"/>
    </row>
    <row r="80" spans="2:36" s="286" customFormat="1" ht="15" customHeight="1" x14ac:dyDescent="0.25">
      <c r="C80" s="298" t="s">
        <v>408</v>
      </c>
      <c r="D80" s="440" t="s">
        <v>2849</v>
      </c>
      <c r="E80" s="440"/>
      <c r="F80" s="440"/>
      <c r="G80" s="440"/>
      <c r="H80" s="440"/>
      <c r="I80" s="440"/>
      <c r="J80" s="440"/>
      <c r="K80" s="440"/>
      <c r="L80" s="440"/>
      <c r="M80" s="440"/>
      <c r="N80" s="440"/>
      <c r="O80" s="440"/>
      <c r="P80" s="440"/>
      <c r="Q80" s="440"/>
      <c r="R80" s="440"/>
      <c r="S80" s="440"/>
      <c r="T80" s="440"/>
      <c r="U80" s="440"/>
      <c r="V80" s="440"/>
      <c r="W80" s="440"/>
      <c r="X80" s="440"/>
      <c r="Y80" s="440"/>
      <c r="Z80" s="440"/>
      <c r="AA80" s="440"/>
      <c r="AB80" s="440"/>
      <c r="AC80" s="440"/>
      <c r="AD80" s="440"/>
      <c r="AE80" s="440"/>
      <c r="AF80" s="440"/>
      <c r="AG80" s="440"/>
      <c r="AH80" s="440"/>
      <c r="AI80" s="440"/>
      <c r="AJ80" s="440"/>
    </row>
    <row r="81" spans="2:37" s="286" customFormat="1" ht="15" customHeight="1" x14ac:dyDescent="0.25">
      <c r="C81" s="298"/>
      <c r="D81" s="440"/>
      <c r="E81" s="440"/>
      <c r="F81" s="440"/>
      <c r="G81" s="440"/>
      <c r="H81" s="440"/>
      <c r="I81" s="440"/>
      <c r="J81" s="440"/>
      <c r="K81" s="440"/>
      <c r="L81" s="440"/>
      <c r="M81" s="440"/>
      <c r="N81" s="440"/>
      <c r="O81" s="440"/>
      <c r="P81" s="440"/>
      <c r="Q81" s="440"/>
      <c r="R81" s="440"/>
      <c r="S81" s="440"/>
      <c r="T81" s="440"/>
      <c r="U81" s="440"/>
      <c r="V81" s="440"/>
      <c r="W81" s="440"/>
      <c r="X81" s="440"/>
      <c r="Y81" s="440"/>
      <c r="Z81" s="440"/>
      <c r="AA81" s="440"/>
      <c r="AB81" s="440"/>
      <c r="AC81" s="440"/>
      <c r="AD81" s="440"/>
      <c r="AE81" s="440"/>
      <c r="AF81" s="440"/>
      <c r="AG81" s="440"/>
      <c r="AH81" s="440"/>
      <c r="AI81" s="440"/>
      <c r="AJ81" s="440"/>
    </row>
    <row r="82" spans="2:37" s="286" customFormat="1" ht="16.5" customHeight="1" x14ac:dyDescent="0.25">
      <c r="C82" s="298" t="s">
        <v>408</v>
      </c>
      <c r="D82" s="479" t="s">
        <v>1259</v>
      </c>
      <c r="E82" s="479"/>
      <c r="F82" s="479"/>
      <c r="G82" s="479"/>
      <c r="H82" s="479"/>
      <c r="I82" s="479"/>
      <c r="J82" s="479"/>
      <c r="K82" s="479"/>
      <c r="L82" s="479"/>
      <c r="M82" s="479"/>
      <c r="N82" s="479"/>
      <c r="O82" s="479"/>
      <c r="P82" s="479"/>
      <c r="Q82" s="479"/>
      <c r="R82" s="479"/>
      <c r="S82" s="479"/>
      <c r="T82" s="479"/>
      <c r="U82" s="479"/>
      <c r="V82" s="479"/>
      <c r="W82" s="479"/>
      <c r="X82" s="479"/>
      <c r="Y82" s="479"/>
      <c r="Z82" s="479"/>
      <c r="AA82" s="479"/>
      <c r="AB82" s="479"/>
      <c r="AC82" s="479"/>
      <c r="AD82" s="479"/>
      <c r="AE82" s="479"/>
      <c r="AF82" s="479"/>
      <c r="AG82" s="479"/>
      <c r="AH82" s="479"/>
      <c r="AI82" s="479"/>
      <c r="AJ82" s="479"/>
    </row>
    <row r="83" spans="2:37" s="286" customFormat="1" ht="15" customHeight="1" x14ac:dyDescent="0.25">
      <c r="C83" s="298" t="s">
        <v>408</v>
      </c>
      <c r="D83" s="440" t="s">
        <v>2850</v>
      </c>
      <c r="E83" s="440"/>
      <c r="F83" s="440"/>
      <c r="G83" s="440"/>
      <c r="H83" s="440"/>
      <c r="I83" s="440"/>
      <c r="J83" s="440"/>
      <c r="K83" s="440"/>
      <c r="L83" s="440"/>
      <c r="M83" s="440"/>
      <c r="N83" s="440"/>
      <c r="O83" s="440"/>
      <c r="P83" s="440"/>
      <c r="Q83" s="440"/>
      <c r="R83" s="440"/>
      <c r="S83" s="440"/>
      <c r="T83" s="440"/>
      <c r="U83" s="440"/>
      <c r="V83" s="440"/>
      <c r="W83" s="440"/>
      <c r="X83" s="440"/>
      <c r="Y83" s="440"/>
      <c r="Z83" s="440"/>
      <c r="AA83" s="440"/>
      <c r="AB83" s="440"/>
      <c r="AC83" s="440"/>
      <c r="AD83" s="440"/>
      <c r="AE83" s="440"/>
      <c r="AF83" s="440"/>
      <c r="AG83" s="440"/>
      <c r="AH83" s="440"/>
      <c r="AI83" s="440"/>
      <c r="AJ83" s="440"/>
    </row>
    <row r="84" spans="2:37" s="286" customFormat="1" ht="15" customHeight="1" x14ac:dyDescent="0.25">
      <c r="C84" s="298"/>
      <c r="D84" s="440"/>
      <c r="E84" s="440"/>
      <c r="F84" s="440"/>
      <c r="G84" s="440"/>
      <c r="H84" s="440"/>
      <c r="I84" s="440"/>
      <c r="J84" s="440"/>
      <c r="K84" s="440"/>
      <c r="L84" s="440"/>
      <c r="M84" s="440"/>
      <c r="N84" s="440"/>
      <c r="O84" s="440"/>
      <c r="P84" s="440"/>
      <c r="Q84" s="440"/>
      <c r="R84" s="440"/>
      <c r="S84" s="440"/>
      <c r="T84" s="440"/>
      <c r="U84" s="440"/>
      <c r="V84" s="440"/>
      <c r="W84" s="440"/>
      <c r="X84" s="440"/>
      <c r="Y84" s="440"/>
      <c r="Z84" s="440"/>
      <c r="AA84" s="440"/>
      <c r="AB84" s="440"/>
      <c r="AC84" s="440"/>
      <c r="AD84" s="440"/>
      <c r="AE84" s="440"/>
      <c r="AF84" s="440"/>
      <c r="AG84" s="440"/>
      <c r="AH84" s="440"/>
      <c r="AI84" s="440"/>
      <c r="AJ84" s="440"/>
    </row>
    <row r="85" spans="2:37" s="286" customFormat="1" ht="15" customHeight="1" x14ac:dyDescent="0.25">
      <c r="C85" s="298" t="s">
        <v>408</v>
      </c>
      <c r="D85" s="440" t="s">
        <v>2851</v>
      </c>
      <c r="E85" s="440"/>
      <c r="F85" s="440"/>
      <c r="G85" s="440"/>
      <c r="H85" s="440"/>
      <c r="I85" s="440"/>
      <c r="J85" s="440"/>
      <c r="K85" s="440"/>
      <c r="L85" s="440"/>
      <c r="M85" s="440"/>
      <c r="N85" s="440"/>
      <c r="O85" s="440"/>
      <c r="P85" s="440"/>
      <c r="Q85" s="440"/>
      <c r="R85" s="440"/>
      <c r="S85" s="440"/>
      <c r="T85" s="440"/>
      <c r="U85" s="440"/>
      <c r="V85" s="440"/>
      <c r="W85" s="440"/>
      <c r="X85" s="440"/>
      <c r="Y85" s="440"/>
      <c r="Z85" s="440"/>
      <c r="AA85" s="440"/>
      <c r="AB85" s="440"/>
      <c r="AC85" s="440"/>
      <c r="AD85" s="440"/>
      <c r="AE85" s="440"/>
      <c r="AF85" s="440"/>
      <c r="AG85" s="440"/>
      <c r="AH85" s="440"/>
      <c r="AI85" s="440"/>
      <c r="AJ85" s="440"/>
    </row>
    <row r="86" spans="2:37" s="286" customFormat="1" ht="15" customHeight="1" x14ac:dyDescent="0.25">
      <c r="C86" s="298"/>
      <c r="D86" s="440"/>
      <c r="E86" s="440"/>
      <c r="F86" s="440"/>
      <c r="G86" s="440"/>
      <c r="H86" s="440"/>
      <c r="I86" s="440"/>
      <c r="J86" s="440"/>
      <c r="K86" s="440"/>
      <c r="L86" s="440"/>
      <c r="M86" s="440"/>
      <c r="N86" s="440"/>
      <c r="O86" s="440"/>
      <c r="P86" s="440"/>
      <c r="Q86" s="440"/>
      <c r="R86" s="440"/>
      <c r="S86" s="440"/>
      <c r="T86" s="440"/>
      <c r="U86" s="440"/>
      <c r="V86" s="440"/>
      <c r="W86" s="440"/>
      <c r="X86" s="440"/>
      <c r="Y86" s="440"/>
      <c r="Z86" s="440"/>
      <c r="AA86" s="440"/>
      <c r="AB86" s="440"/>
      <c r="AC86" s="440"/>
      <c r="AD86" s="440"/>
      <c r="AE86" s="440"/>
      <c r="AF86" s="440"/>
      <c r="AG86" s="440"/>
      <c r="AH86" s="440"/>
      <c r="AI86" s="440"/>
      <c r="AJ86" s="440"/>
    </row>
    <row r="87" spans="2:37" s="286" customFormat="1" ht="15" customHeight="1" x14ac:dyDescent="0.25">
      <c r="C87" s="298" t="s">
        <v>408</v>
      </c>
      <c r="D87" s="440" t="s">
        <v>880</v>
      </c>
      <c r="E87" s="440"/>
      <c r="F87" s="440"/>
      <c r="G87" s="440"/>
      <c r="H87" s="440"/>
      <c r="I87" s="440"/>
      <c r="J87" s="440"/>
      <c r="K87" s="440"/>
      <c r="L87" s="440"/>
      <c r="M87" s="440"/>
      <c r="N87" s="440"/>
      <c r="O87" s="440"/>
      <c r="P87" s="440"/>
      <c r="Q87" s="440"/>
      <c r="R87" s="440"/>
      <c r="S87" s="440"/>
      <c r="T87" s="440"/>
      <c r="U87" s="440"/>
      <c r="V87" s="440"/>
      <c r="W87" s="440"/>
      <c r="X87" s="440"/>
      <c r="Y87" s="440"/>
      <c r="Z87" s="440"/>
      <c r="AA87" s="440"/>
      <c r="AB87" s="440"/>
      <c r="AC87" s="440"/>
      <c r="AD87" s="440"/>
      <c r="AE87" s="440"/>
      <c r="AF87" s="440"/>
      <c r="AG87" s="440"/>
      <c r="AH87" s="440"/>
      <c r="AI87" s="440"/>
      <c r="AJ87" s="440"/>
    </row>
    <row r="88" spans="2:37" s="286" customFormat="1" ht="15" customHeight="1" x14ac:dyDescent="0.25">
      <c r="C88" s="298"/>
      <c r="D88" s="440"/>
      <c r="E88" s="440"/>
      <c r="F88" s="440"/>
      <c r="G88" s="440"/>
      <c r="H88" s="440"/>
      <c r="I88" s="440"/>
      <c r="J88" s="440"/>
      <c r="K88" s="440"/>
      <c r="L88" s="440"/>
      <c r="M88" s="440"/>
      <c r="N88" s="440"/>
      <c r="O88" s="440"/>
      <c r="P88" s="440"/>
      <c r="Q88" s="440"/>
      <c r="R88" s="440"/>
      <c r="S88" s="440"/>
      <c r="T88" s="440"/>
      <c r="U88" s="440"/>
      <c r="V88" s="440"/>
      <c r="W88" s="440"/>
      <c r="X88" s="440"/>
      <c r="Y88" s="440"/>
      <c r="Z88" s="440"/>
      <c r="AA88" s="440"/>
      <c r="AB88" s="440"/>
      <c r="AC88" s="440"/>
      <c r="AD88" s="440"/>
      <c r="AE88" s="440"/>
      <c r="AF88" s="440"/>
      <c r="AG88" s="440"/>
      <c r="AH88" s="440"/>
      <c r="AI88" s="440"/>
      <c r="AJ88" s="440"/>
    </row>
    <row r="89" spans="2:37" s="286" customFormat="1" ht="16.5" customHeight="1" x14ac:dyDescent="0.25">
      <c r="B89" s="424" t="s">
        <v>2852</v>
      </c>
      <c r="C89" s="425"/>
      <c r="D89" s="294" t="s">
        <v>855</v>
      </c>
      <c r="E89" s="294"/>
      <c r="F89" s="294"/>
    </row>
    <row r="90" spans="2:37" s="286" customFormat="1" ht="16.5" customHeight="1" x14ac:dyDescent="0.25">
      <c r="C90" s="286" t="s">
        <v>408</v>
      </c>
      <c r="D90" s="286" t="s">
        <v>2853</v>
      </c>
      <c r="L90" s="286" t="s">
        <v>408</v>
      </c>
      <c r="M90" s="286" t="s">
        <v>2637</v>
      </c>
    </row>
    <row r="91" spans="2:37" s="286" customFormat="1" ht="16.5" customHeight="1" x14ac:dyDescent="0.25">
      <c r="C91" s="286" t="s">
        <v>408</v>
      </c>
      <c r="D91" s="286" t="s">
        <v>2854</v>
      </c>
      <c r="N91" s="286" t="s">
        <v>408</v>
      </c>
      <c r="O91" s="286" t="s">
        <v>2855</v>
      </c>
    </row>
    <row r="92" spans="2:37" s="286" customFormat="1" ht="16.5" customHeight="1" x14ac:dyDescent="0.25">
      <c r="C92" s="286" t="s">
        <v>408</v>
      </c>
      <c r="D92" s="286" t="s">
        <v>2636</v>
      </c>
      <c r="X92" s="303"/>
      <c r="Y92" s="303"/>
      <c r="Z92" s="303"/>
      <c r="AA92" s="303"/>
      <c r="AB92" s="303"/>
      <c r="AC92" s="303"/>
      <c r="AD92" s="303"/>
      <c r="AE92" s="303"/>
      <c r="AF92" s="303"/>
      <c r="AG92" s="303"/>
      <c r="AH92" s="303"/>
      <c r="AI92" s="303"/>
      <c r="AJ92" s="303"/>
    </row>
    <row r="93" spans="2:37" s="286" customFormat="1" ht="16.5" customHeight="1" x14ac:dyDescent="0.25">
      <c r="B93" s="424" t="s">
        <v>2856</v>
      </c>
      <c r="C93" s="425"/>
      <c r="D93" s="294" t="s">
        <v>2857</v>
      </c>
      <c r="E93" s="294"/>
      <c r="H93" s="286" t="s">
        <v>108</v>
      </c>
      <c r="X93" s="303"/>
      <c r="Y93" s="303"/>
      <c r="Z93" s="303"/>
      <c r="AA93" s="303"/>
      <c r="AB93" s="303"/>
      <c r="AC93" s="303"/>
      <c r="AD93" s="303"/>
      <c r="AE93" s="303"/>
      <c r="AF93" s="303"/>
      <c r="AG93" s="303"/>
      <c r="AH93" s="303"/>
      <c r="AI93" s="303"/>
      <c r="AJ93" s="303"/>
    </row>
    <row r="94" spans="2:37" s="286" customFormat="1" ht="16.5" customHeight="1" x14ac:dyDescent="0.25">
      <c r="B94" s="424" t="s">
        <v>777</v>
      </c>
      <c r="C94" s="425"/>
      <c r="D94" s="294" t="s">
        <v>2838</v>
      </c>
      <c r="E94" s="294"/>
      <c r="F94" s="294"/>
      <c r="I94" s="304" t="s">
        <v>2868</v>
      </c>
    </row>
    <row r="95" spans="2:37" s="302" customFormat="1" ht="13.5" customHeight="1" x14ac:dyDescent="0.25">
      <c r="B95" s="302" t="s">
        <v>545</v>
      </c>
      <c r="C95" s="442" t="s">
        <v>1601</v>
      </c>
      <c r="D95" s="442"/>
      <c r="E95" s="442"/>
      <c r="F95" s="442"/>
      <c r="G95" s="442"/>
      <c r="H95" s="442"/>
      <c r="I95" s="442"/>
      <c r="J95" s="442"/>
      <c r="K95" s="442"/>
      <c r="L95" s="442"/>
      <c r="M95" s="442"/>
      <c r="N95" s="442"/>
      <c r="O95" s="442"/>
      <c r="P95" s="442"/>
      <c r="Q95" s="442"/>
      <c r="R95" s="442"/>
      <c r="S95" s="442"/>
      <c r="T95" s="442"/>
      <c r="U95" s="442"/>
      <c r="V95" s="442"/>
      <c r="W95" s="442"/>
      <c r="X95" s="442"/>
      <c r="Y95" s="442"/>
      <c r="Z95" s="442"/>
      <c r="AA95" s="442"/>
      <c r="AB95" s="442"/>
      <c r="AC95" s="442"/>
      <c r="AD95" s="442"/>
      <c r="AE95" s="442"/>
      <c r="AF95" s="442"/>
      <c r="AG95" s="442"/>
      <c r="AH95" s="442"/>
      <c r="AI95" s="442"/>
      <c r="AJ95" s="442"/>
      <c r="AK95" s="305"/>
    </row>
    <row r="96" spans="2:37" s="302" customFormat="1" x14ac:dyDescent="0.25">
      <c r="C96" s="442"/>
      <c r="D96" s="442"/>
      <c r="E96" s="442"/>
      <c r="F96" s="442"/>
      <c r="G96" s="442"/>
      <c r="H96" s="442"/>
      <c r="I96" s="442"/>
      <c r="J96" s="442"/>
      <c r="K96" s="442"/>
      <c r="L96" s="442"/>
      <c r="M96" s="442"/>
      <c r="N96" s="442"/>
      <c r="O96" s="442"/>
      <c r="P96" s="442"/>
      <c r="Q96" s="442"/>
      <c r="R96" s="442"/>
      <c r="S96" s="442"/>
      <c r="T96" s="442"/>
      <c r="U96" s="442"/>
      <c r="V96" s="442"/>
      <c r="W96" s="442"/>
      <c r="X96" s="442"/>
      <c r="Y96" s="442"/>
      <c r="Z96" s="442"/>
      <c r="AA96" s="442"/>
      <c r="AB96" s="442"/>
      <c r="AC96" s="442"/>
      <c r="AD96" s="442"/>
      <c r="AE96" s="442"/>
      <c r="AF96" s="442"/>
      <c r="AG96" s="442"/>
      <c r="AH96" s="442"/>
      <c r="AI96" s="442"/>
      <c r="AJ96" s="442"/>
      <c r="AK96" s="305"/>
    </row>
    <row r="97" spans="1:37" s="302" customFormat="1" x14ac:dyDescent="0.25">
      <c r="B97" s="286" t="s">
        <v>545</v>
      </c>
      <c r="C97" s="442" t="s">
        <v>2062</v>
      </c>
      <c r="D97" s="442"/>
      <c r="E97" s="442"/>
      <c r="F97" s="442"/>
      <c r="G97" s="442"/>
      <c r="H97" s="442"/>
      <c r="I97" s="442"/>
      <c r="J97" s="442"/>
      <c r="K97" s="442"/>
      <c r="L97" s="442"/>
      <c r="M97" s="442"/>
      <c r="N97" s="442"/>
      <c r="O97" s="442"/>
      <c r="P97" s="442"/>
      <c r="Q97" s="442"/>
      <c r="R97" s="442"/>
      <c r="S97" s="442"/>
      <c r="T97" s="442"/>
      <c r="U97" s="442"/>
      <c r="V97" s="442"/>
      <c r="W97" s="442"/>
      <c r="X97" s="442"/>
      <c r="Y97" s="442"/>
      <c r="Z97" s="442"/>
      <c r="AA97" s="442"/>
      <c r="AB97" s="442"/>
      <c r="AC97" s="442"/>
      <c r="AD97" s="442"/>
      <c r="AE97" s="442"/>
      <c r="AF97" s="442"/>
      <c r="AG97" s="442"/>
      <c r="AH97" s="442"/>
      <c r="AI97" s="442"/>
      <c r="AJ97" s="442"/>
      <c r="AK97" s="291"/>
    </row>
    <row r="98" spans="1:37" s="302" customFormat="1" x14ac:dyDescent="0.25">
      <c r="B98" s="286"/>
      <c r="C98" s="442"/>
      <c r="D98" s="442"/>
      <c r="E98" s="442"/>
      <c r="F98" s="442"/>
      <c r="G98" s="442"/>
      <c r="H98" s="442"/>
      <c r="I98" s="442"/>
      <c r="J98" s="442"/>
      <c r="K98" s="442"/>
      <c r="L98" s="442"/>
      <c r="M98" s="442"/>
      <c r="N98" s="442"/>
      <c r="O98" s="442"/>
      <c r="P98" s="442"/>
      <c r="Q98" s="442"/>
      <c r="R98" s="442"/>
      <c r="S98" s="442"/>
      <c r="T98" s="442"/>
      <c r="U98" s="442"/>
      <c r="V98" s="442"/>
      <c r="W98" s="442"/>
      <c r="X98" s="442"/>
      <c r="Y98" s="442"/>
      <c r="Z98" s="442"/>
      <c r="AA98" s="442"/>
      <c r="AB98" s="442"/>
      <c r="AC98" s="442"/>
      <c r="AD98" s="442"/>
      <c r="AE98" s="442"/>
      <c r="AF98" s="442"/>
      <c r="AG98" s="442"/>
      <c r="AH98" s="442"/>
      <c r="AI98" s="442"/>
      <c r="AJ98" s="442"/>
      <c r="AK98" s="291"/>
    </row>
    <row r="99" spans="1:37" s="302" customFormat="1" x14ac:dyDescent="0.25">
      <c r="B99" s="286" t="s">
        <v>545</v>
      </c>
      <c r="C99" s="291" t="s">
        <v>2386</v>
      </c>
      <c r="D99" s="291"/>
      <c r="E99" s="291"/>
      <c r="F99" s="291"/>
      <c r="G99" s="291"/>
      <c r="H99" s="291"/>
      <c r="I99" s="291"/>
      <c r="J99" s="291"/>
      <c r="K99" s="291"/>
      <c r="L99" s="291"/>
      <c r="M99" s="291"/>
      <c r="N99" s="291"/>
      <c r="O99" s="291"/>
      <c r="P99" s="291"/>
      <c r="Q99" s="291"/>
      <c r="R99" s="291"/>
      <c r="S99" s="291"/>
      <c r="T99" s="291"/>
      <c r="U99" s="291"/>
      <c r="V99" s="291"/>
      <c r="W99" s="291"/>
      <c r="X99" s="291"/>
      <c r="Y99" s="291"/>
      <c r="Z99" s="291"/>
      <c r="AA99" s="291"/>
      <c r="AB99" s="291"/>
      <c r="AC99" s="291"/>
      <c r="AD99" s="291"/>
      <c r="AE99" s="291"/>
      <c r="AF99" s="291"/>
      <c r="AG99" s="291"/>
      <c r="AH99" s="291"/>
      <c r="AI99" s="291"/>
      <c r="AJ99" s="291"/>
      <c r="AK99" s="291"/>
    </row>
    <row r="100" spans="1:37" s="302" customFormat="1" x14ac:dyDescent="0.25">
      <c r="B100" s="286" t="s">
        <v>545</v>
      </c>
      <c r="C100" s="291" t="s">
        <v>2859</v>
      </c>
      <c r="D100" s="291"/>
      <c r="E100" s="291"/>
      <c r="F100" s="291"/>
      <c r="G100" s="291"/>
      <c r="H100" s="291"/>
      <c r="I100" s="291"/>
      <c r="J100" s="291"/>
      <c r="K100" s="291"/>
      <c r="L100" s="291"/>
      <c r="M100" s="291"/>
      <c r="N100" s="291"/>
      <c r="O100" s="291"/>
      <c r="P100" s="291"/>
      <c r="Q100" s="291"/>
      <c r="R100" s="291"/>
      <c r="S100" s="291"/>
      <c r="T100" s="291"/>
      <c r="U100" s="291"/>
      <c r="V100" s="291"/>
      <c r="W100" s="291"/>
      <c r="X100" s="291"/>
      <c r="Y100" s="291"/>
      <c r="Z100" s="291"/>
      <c r="AA100" s="291"/>
      <c r="AB100" s="291"/>
      <c r="AC100" s="291"/>
      <c r="AD100" s="291"/>
      <c r="AE100" s="291"/>
      <c r="AF100" s="291"/>
      <c r="AG100" s="291"/>
      <c r="AH100" s="291"/>
      <c r="AI100" s="291"/>
      <c r="AJ100" s="291"/>
      <c r="AK100" s="291"/>
    </row>
    <row r="101" spans="1:37" s="302" customFormat="1" x14ac:dyDescent="0.25">
      <c r="B101" s="286" t="s">
        <v>545</v>
      </c>
      <c r="C101" s="291" t="s">
        <v>2860</v>
      </c>
      <c r="D101" s="291"/>
      <c r="E101" s="291"/>
      <c r="F101" s="291"/>
      <c r="G101" s="291"/>
      <c r="H101" s="291"/>
      <c r="I101" s="291"/>
      <c r="J101" s="291"/>
      <c r="K101" s="291"/>
      <c r="L101" s="291"/>
      <c r="M101" s="291"/>
      <c r="N101" s="291"/>
      <c r="O101" s="291"/>
      <c r="P101" s="291"/>
      <c r="Q101" s="291"/>
      <c r="R101" s="291"/>
      <c r="S101" s="291"/>
      <c r="T101" s="291"/>
      <c r="U101" s="291"/>
      <c r="V101" s="291"/>
      <c r="W101" s="291"/>
      <c r="X101" s="291"/>
      <c r="Y101" s="291"/>
      <c r="Z101" s="291"/>
      <c r="AA101" s="291"/>
      <c r="AB101" s="291"/>
      <c r="AC101" s="291"/>
      <c r="AD101" s="291"/>
      <c r="AE101" s="291"/>
      <c r="AF101" s="291"/>
      <c r="AG101" s="291"/>
      <c r="AH101" s="291"/>
      <c r="AI101" s="291"/>
      <c r="AJ101" s="291"/>
      <c r="AK101" s="291"/>
    </row>
    <row r="102" spans="1:37" s="302" customFormat="1" x14ac:dyDescent="0.25">
      <c r="B102" s="286" t="s">
        <v>545</v>
      </c>
      <c r="C102" s="291" t="s">
        <v>184</v>
      </c>
      <c r="D102" s="291"/>
      <c r="E102" s="291"/>
      <c r="F102" s="291"/>
      <c r="G102" s="291"/>
      <c r="H102" s="291"/>
      <c r="I102" s="291"/>
      <c r="J102" s="291"/>
      <c r="K102" s="291"/>
      <c r="L102" s="291"/>
      <c r="M102" s="291"/>
      <c r="N102" s="291"/>
      <c r="O102" s="291"/>
      <c r="P102" s="291"/>
      <c r="Q102" s="291"/>
      <c r="R102" s="291"/>
      <c r="S102" s="291"/>
      <c r="T102" s="291"/>
      <c r="U102" s="291"/>
      <c r="V102" s="291"/>
      <c r="W102" s="291"/>
      <c r="X102" s="291"/>
      <c r="Y102" s="291"/>
      <c r="Z102" s="291"/>
      <c r="AA102" s="291"/>
      <c r="AB102" s="291"/>
      <c r="AC102" s="291"/>
      <c r="AD102" s="291"/>
      <c r="AE102" s="291"/>
      <c r="AF102" s="291"/>
      <c r="AG102" s="291"/>
      <c r="AH102" s="291"/>
      <c r="AI102" s="291"/>
      <c r="AJ102" s="291"/>
      <c r="AK102" s="291"/>
    </row>
    <row r="103" spans="1:37" s="286" customFormat="1" x14ac:dyDescent="0.25">
      <c r="B103" s="286" t="s">
        <v>545</v>
      </c>
      <c r="C103" s="291" t="s">
        <v>2869</v>
      </c>
      <c r="D103" s="291"/>
      <c r="E103" s="291"/>
      <c r="F103" s="291"/>
      <c r="G103" s="291"/>
      <c r="H103" s="291"/>
      <c r="I103" s="291"/>
      <c r="J103" s="291"/>
      <c r="K103" s="291"/>
      <c r="L103" s="291"/>
      <c r="M103" s="291"/>
      <c r="N103" s="291"/>
      <c r="O103" s="291"/>
      <c r="P103" s="291"/>
      <c r="Q103" s="291"/>
      <c r="R103" s="291"/>
      <c r="S103" s="291"/>
      <c r="T103" s="291"/>
      <c r="U103" s="291"/>
      <c r="V103" s="291"/>
      <c r="W103" s="291"/>
      <c r="X103" s="291"/>
      <c r="Y103" s="291"/>
      <c r="Z103" s="291"/>
      <c r="AA103" s="291"/>
      <c r="AB103" s="291"/>
      <c r="AC103" s="291"/>
      <c r="AD103" s="291"/>
      <c r="AE103" s="291"/>
      <c r="AF103" s="291"/>
      <c r="AG103" s="291"/>
      <c r="AH103" s="291"/>
      <c r="AI103" s="291"/>
      <c r="AJ103" s="291"/>
      <c r="AK103" s="291"/>
    </row>
    <row r="104" spans="1:37" s="286" customFormat="1" x14ac:dyDescent="0.25">
      <c r="B104" s="286" t="s">
        <v>545</v>
      </c>
      <c r="C104" s="291" t="s">
        <v>2322</v>
      </c>
      <c r="D104" s="291"/>
      <c r="E104" s="291"/>
      <c r="F104" s="291"/>
      <c r="G104" s="291"/>
      <c r="H104" s="291"/>
      <c r="I104" s="291"/>
      <c r="J104" s="291"/>
      <c r="K104" s="291"/>
      <c r="L104" s="291"/>
      <c r="M104" s="291"/>
      <c r="N104" s="291"/>
      <c r="O104" s="291"/>
      <c r="P104" s="291"/>
      <c r="Q104" s="291"/>
      <c r="R104" s="291"/>
      <c r="S104" s="291"/>
      <c r="T104" s="291"/>
      <c r="U104" s="291"/>
      <c r="V104" s="291"/>
      <c r="W104" s="291"/>
      <c r="X104" s="291"/>
      <c r="Y104" s="291"/>
      <c r="Z104" s="291"/>
      <c r="AA104" s="291"/>
      <c r="AB104" s="291"/>
      <c r="AC104" s="291"/>
      <c r="AD104" s="291"/>
      <c r="AE104" s="291"/>
      <c r="AF104" s="291"/>
      <c r="AG104" s="291"/>
      <c r="AH104" s="291"/>
      <c r="AI104" s="291"/>
      <c r="AJ104" s="291"/>
      <c r="AK104" s="291"/>
    </row>
    <row r="105" spans="1:37" s="286" customFormat="1" ht="16.5" customHeight="1" x14ac:dyDescent="0.25">
      <c r="B105" s="424" t="s">
        <v>2087</v>
      </c>
      <c r="C105" s="425"/>
      <c r="D105" s="306" t="s">
        <v>2861</v>
      </c>
      <c r="H105" s="286" t="s">
        <v>576</v>
      </c>
    </row>
    <row r="106" spans="1:37" s="286" customFormat="1" ht="16.5" customHeight="1" x14ac:dyDescent="0.25">
      <c r="B106" s="424" t="s">
        <v>2862</v>
      </c>
      <c r="C106" s="425"/>
      <c r="D106" s="294" t="s">
        <v>768</v>
      </c>
      <c r="E106" s="294"/>
      <c r="F106" s="294"/>
      <c r="G106" s="294"/>
      <c r="N106" s="286" t="s">
        <v>824</v>
      </c>
    </row>
    <row r="107" spans="1:37" s="308" customFormat="1" ht="18.75" customHeight="1" x14ac:dyDescent="0.25">
      <c r="C107" s="308" t="s">
        <v>408</v>
      </c>
      <c r="D107" s="308" t="s">
        <v>5614</v>
      </c>
      <c r="K107" s="309"/>
      <c r="L107" s="309"/>
      <c r="M107" s="309"/>
      <c r="N107" s="309"/>
      <c r="O107" s="309"/>
      <c r="P107" s="309"/>
      <c r="Q107" s="309"/>
      <c r="R107" s="309"/>
      <c r="S107" s="309"/>
      <c r="T107" s="309"/>
    </row>
    <row r="108" spans="1:37" s="286" customFormat="1" ht="18.75" customHeight="1" x14ac:dyDescent="0.25">
      <c r="D108" s="286" t="s">
        <v>2863</v>
      </c>
      <c r="E108" s="426" t="str">
        <f>+C25</f>
        <v>組み合わせ左側チーム</v>
      </c>
      <c r="F108" s="426"/>
      <c r="G108" s="426"/>
      <c r="H108" s="426"/>
      <c r="I108" s="426"/>
      <c r="J108" s="426"/>
      <c r="K108" s="426"/>
      <c r="L108" s="426"/>
      <c r="M108" s="426"/>
      <c r="N108" s="286" t="s">
        <v>2864</v>
      </c>
      <c r="O108" s="427" t="s">
        <v>2865</v>
      </c>
      <c r="P108" s="427"/>
      <c r="Q108" s="427"/>
      <c r="R108" s="427"/>
      <c r="S108" s="427"/>
      <c r="T108" s="427"/>
      <c r="U108" s="286" t="s">
        <v>2863</v>
      </c>
      <c r="V108" s="426" t="str">
        <f>+C26</f>
        <v>組み合わせ右側チーム</v>
      </c>
      <c r="W108" s="426"/>
      <c r="X108" s="426"/>
      <c r="Y108" s="426"/>
      <c r="Z108" s="426"/>
      <c r="AA108" s="426"/>
      <c r="AB108" s="426"/>
      <c r="AC108" s="426"/>
      <c r="AD108" s="426"/>
      <c r="AE108" s="286" t="s">
        <v>2864</v>
      </c>
    </row>
    <row r="109" spans="1:37" s="286" customFormat="1" ht="18.75" customHeight="1" x14ac:dyDescent="0.25">
      <c r="O109" s="427" t="s">
        <v>788</v>
      </c>
      <c r="P109" s="427"/>
      <c r="Q109" s="427"/>
      <c r="R109" s="427"/>
      <c r="S109" s="427"/>
      <c r="T109" s="427"/>
    </row>
    <row r="110" spans="1:37" s="307" customFormat="1" ht="18.75" customHeight="1" x14ac:dyDescent="0.25">
      <c r="A110" s="285">
        <v>3</v>
      </c>
      <c r="B110" s="285" t="s">
        <v>2134</v>
      </c>
      <c r="C110" s="285"/>
      <c r="D110" s="285"/>
    </row>
    <row r="111" spans="1:37" s="286" customFormat="1" ht="18.75" customHeight="1" x14ac:dyDescent="0.25">
      <c r="C111" s="480" t="s">
        <v>5605</v>
      </c>
      <c r="D111" s="480"/>
      <c r="E111" s="480"/>
      <c r="F111" s="480"/>
      <c r="G111" s="480"/>
      <c r="H111" s="480"/>
      <c r="I111" s="480"/>
      <c r="J111" s="480"/>
      <c r="K111" s="480"/>
      <c r="L111" s="480"/>
      <c r="M111" s="480"/>
      <c r="N111" s="480"/>
      <c r="O111" s="480"/>
      <c r="P111" s="480"/>
      <c r="Q111" s="480"/>
      <c r="R111" s="480"/>
      <c r="S111" s="480"/>
      <c r="T111" s="480"/>
      <c r="U111" s="480"/>
      <c r="V111" s="480"/>
      <c r="W111" s="480"/>
      <c r="X111" s="480"/>
      <c r="Y111" s="480"/>
      <c r="Z111" s="480"/>
      <c r="AA111" s="480"/>
      <c r="AB111" s="480"/>
      <c r="AC111" s="480"/>
      <c r="AD111" s="480"/>
      <c r="AE111" s="480"/>
      <c r="AF111" s="480"/>
      <c r="AG111" s="480"/>
      <c r="AH111" s="480"/>
      <c r="AI111" s="480"/>
      <c r="AJ111" s="480"/>
    </row>
    <row r="112" spans="1:37" s="286" customFormat="1" ht="18.75" customHeight="1" x14ac:dyDescent="0.25">
      <c r="C112" s="480"/>
      <c r="D112" s="480"/>
      <c r="E112" s="480"/>
      <c r="F112" s="480"/>
      <c r="G112" s="480"/>
      <c r="H112" s="480"/>
      <c r="I112" s="480"/>
      <c r="J112" s="480"/>
      <c r="K112" s="480"/>
      <c r="L112" s="480"/>
      <c r="M112" s="480"/>
      <c r="N112" s="480"/>
      <c r="O112" s="480"/>
      <c r="P112" s="480"/>
      <c r="Q112" s="480"/>
      <c r="R112" s="480"/>
      <c r="S112" s="480"/>
      <c r="T112" s="480"/>
      <c r="U112" s="480"/>
      <c r="V112" s="480"/>
      <c r="W112" s="480"/>
      <c r="X112" s="480"/>
      <c r="Y112" s="480"/>
      <c r="Z112" s="480"/>
      <c r="AA112" s="480"/>
      <c r="AB112" s="480"/>
      <c r="AC112" s="480"/>
      <c r="AD112" s="480"/>
      <c r="AE112" s="480"/>
      <c r="AF112" s="480"/>
      <c r="AG112" s="480"/>
      <c r="AH112" s="480"/>
      <c r="AI112" s="480"/>
      <c r="AJ112" s="480"/>
    </row>
    <row r="113" spans="3:34" s="286" customFormat="1" ht="18.75" customHeight="1" x14ac:dyDescent="0.25">
      <c r="C113" s="310" t="s">
        <v>5603</v>
      </c>
      <c r="D113" s="311"/>
      <c r="E113" s="291"/>
      <c r="F113" s="291"/>
      <c r="G113" s="291"/>
      <c r="H113" s="291"/>
      <c r="I113" s="291"/>
      <c r="J113" s="291"/>
      <c r="K113" s="291"/>
      <c r="L113" s="291"/>
      <c r="M113" s="291"/>
      <c r="N113" s="291"/>
      <c r="O113" s="291"/>
      <c r="P113" s="291"/>
      <c r="Q113" s="291"/>
      <c r="R113" s="291"/>
      <c r="S113" s="291"/>
      <c r="T113" s="291"/>
      <c r="U113" s="291"/>
      <c r="V113" s="291"/>
      <c r="W113" s="291"/>
      <c r="X113" s="291"/>
      <c r="Y113" s="291"/>
      <c r="Z113" s="291"/>
      <c r="AA113" s="291"/>
      <c r="AB113" s="291"/>
      <c r="AC113" s="291"/>
      <c r="AD113" s="291"/>
      <c r="AE113" s="291"/>
      <c r="AF113" s="291"/>
      <c r="AG113" s="291"/>
      <c r="AH113" s="291"/>
    </row>
    <row r="114" spans="3:34" ht="16.5" customHeight="1" x14ac:dyDescent="0.25">
      <c r="C114" s="311"/>
      <c r="D114" s="311"/>
      <c r="E114" s="311"/>
      <c r="F114" s="311"/>
      <c r="G114" s="311"/>
      <c r="H114" s="311"/>
      <c r="I114" s="311"/>
      <c r="J114" s="311"/>
      <c r="K114" s="311"/>
      <c r="L114" s="311"/>
      <c r="M114" s="311"/>
      <c r="N114" s="311"/>
      <c r="O114" s="311"/>
      <c r="P114" s="311"/>
      <c r="Q114" s="311"/>
      <c r="R114" s="311"/>
      <c r="S114" s="311"/>
      <c r="T114" s="311"/>
      <c r="U114" s="311"/>
      <c r="V114" s="311"/>
      <c r="W114" s="311"/>
      <c r="X114" s="311"/>
      <c r="Y114" s="311"/>
      <c r="Z114" s="311"/>
      <c r="AA114" s="311"/>
      <c r="AB114" s="311"/>
      <c r="AC114" s="311"/>
      <c r="AD114" s="311"/>
      <c r="AE114" s="311"/>
      <c r="AF114" s="311"/>
      <c r="AG114" s="311"/>
      <c r="AH114" s="311"/>
    </row>
    <row r="115" spans="3:34" ht="16.5" customHeight="1" x14ac:dyDescent="0.25">
      <c r="C115" s="312" t="s">
        <v>7775</v>
      </c>
      <c r="D115" s="311"/>
      <c r="E115" s="311"/>
      <c r="F115" s="311"/>
      <c r="G115" s="311"/>
      <c r="H115" s="311"/>
      <c r="I115" s="311"/>
      <c r="J115" s="311"/>
      <c r="K115" s="311"/>
      <c r="L115" s="311"/>
      <c r="M115" s="311"/>
      <c r="N115" s="311"/>
      <c r="O115" s="311"/>
      <c r="P115" s="311"/>
      <c r="Q115" s="311"/>
      <c r="R115" s="311"/>
      <c r="S115" s="311"/>
      <c r="T115" s="311"/>
      <c r="U115" s="311"/>
      <c r="V115" s="311"/>
      <c r="W115" s="311"/>
      <c r="X115" s="311"/>
      <c r="Y115" s="311"/>
      <c r="Z115" s="311"/>
      <c r="AA115" s="311"/>
      <c r="AB115" s="311"/>
      <c r="AC115" s="311"/>
      <c r="AD115" s="311"/>
      <c r="AE115" s="311"/>
      <c r="AF115" s="311"/>
      <c r="AG115" s="311"/>
      <c r="AH115" s="311"/>
    </row>
    <row r="116" spans="3:34" ht="16.5" customHeight="1" x14ac:dyDescent="0.25">
      <c r="C116" s="312" t="s">
        <v>5604</v>
      </c>
      <c r="D116" s="311"/>
      <c r="E116" s="311"/>
      <c r="F116" s="311"/>
      <c r="G116" s="311"/>
      <c r="H116" s="311"/>
      <c r="I116" s="311"/>
      <c r="J116" s="311"/>
      <c r="K116" s="311"/>
      <c r="L116" s="311"/>
      <c r="M116" s="311"/>
      <c r="N116" s="311"/>
      <c r="O116" s="311"/>
      <c r="P116" s="311"/>
      <c r="Q116" s="311"/>
      <c r="R116" s="311"/>
      <c r="S116" s="311"/>
      <c r="T116" s="311"/>
      <c r="U116" s="311"/>
      <c r="V116" s="311"/>
      <c r="W116" s="311"/>
      <c r="X116" s="311"/>
      <c r="Y116" s="311"/>
      <c r="Z116" s="311"/>
      <c r="AA116" s="311"/>
      <c r="AB116" s="311"/>
      <c r="AC116" s="311"/>
      <c r="AD116" s="311"/>
      <c r="AE116" s="311"/>
      <c r="AF116" s="311"/>
      <c r="AG116" s="311"/>
      <c r="AH116" s="311"/>
    </row>
    <row r="117" spans="3:34" ht="16.5" customHeight="1" x14ac:dyDescent="0.25">
      <c r="C117" s="310"/>
      <c r="D117" s="310"/>
      <c r="E117" s="310"/>
      <c r="F117" s="310"/>
      <c r="G117" s="310"/>
      <c r="H117" s="310"/>
      <c r="I117" s="310"/>
      <c r="J117" s="310"/>
      <c r="K117" s="310"/>
      <c r="L117" s="310"/>
      <c r="M117" s="310"/>
      <c r="N117" s="310"/>
      <c r="O117" s="310"/>
      <c r="P117" s="310"/>
      <c r="Q117" s="310"/>
      <c r="R117" s="310"/>
      <c r="S117" s="310"/>
      <c r="T117" s="310"/>
      <c r="U117" s="310"/>
      <c r="V117" s="310"/>
      <c r="W117" s="310"/>
      <c r="X117" s="310"/>
      <c r="Y117" s="310"/>
      <c r="Z117" s="310"/>
      <c r="AA117" s="310"/>
      <c r="AB117" s="310"/>
      <c r="AC117" s="310"/>
      <c r="AD117" s="310"/>
      <c r="AE117" s="310"/>
      <c r="AF117" s="310"/>
      <c r="AG117" s="310"/>
      <c r="AH117" s="310"/>
    </row>
  </sheetData>
  <mergeCells count="86">
    <mergeCell ref="D82:AJ82"/>
    <mergeCell ref="C111:AJ112"/>
    <mergeCell ref="A1:AC1"/>
    <mergeCell ref="A6:AI6"/>
    <mergeCell ref="E7:AE7"/>
    <mergeCell ref="B9:J9"/>
    <mergeCell ref="L9:N9"/>
    <mergeCell ref="O9:P9"/>
    <mergeCell ref="Q9:R9"/>
    <mergeCell ref="S9:AA9"/>
    <mergeCell ref="AC9:AE9"/>
    <mergeCell ref="AF9:AG9"/>
    <mergeCell ref="A2:Z4"/>
    <mergeCell ref="B17:AH17"/>
    <mergeCell ref="B21:C21"/>
    <mergeCell ref="D21:AF21"/>
    <mergeCell ref="B22:C22"/>
    <mergeCell ref="B24:C24"/>
    <mergeCell ref="N24:AJ24"/>
    <mergeCell ref="C25:J25"/>
    <mergeCell ref="C26:J26"/>
    <mergeCell ref="E11:H11"/>
    <mergeCell ref="A12:D12"/>
    <mergeCell ref="E12:I12"/>
    <mergeCell ref="J12:L12"/>
    <mergeCell ref="M12:U12"/>
    <mergeCell ref="V12:X12"/>
    <mergeCell ref="Y12:AG12"/>
    <mergeCell ref="A13:D16"/>
    <mergeCell ref="E13:I16"/>
    <mergeCell ref="J13:L14"/>
    <mergeCell ref="M13:R14"/>
    <mergeCell ref="S13:U14"/>
    <mergeCell ref="AE13:AJ14"/>
    <mergeCell ref="AB15:AD16"/>
    <mergeCell ref="J15:L16"/>
    <mergeCell ref="M15:R16"/>
    <mergeCell ref="S15:U16"/>
    <mergeCell ref="B38:C38"/>
    <mergeCell ref="B46:C46"/>
    <mergeCell ref="D47:AJ47"/>
    <mergeCell ref="D39:AJ45"/>
    <mergeCell ref="C27:AH27"/>
    <mergeCell ref="B28:C28"/>
    <mergeCell ref="D29:AH29"/>
    <mergeCell ref="B31:C31"/>
    <mergeCell ref="B33:C33"/>
    <mergeCell ref="K70:L70"/>
    <mergeCell ref="B51:C51"/>
    <mergeCell ref="B58:C58"/>
    <mergeCell ref="D52:AJ53"/>
    <mergeCell ref="D54:AJ57"/>
    <mergeCell ref="C61:AJ61"/>
    <mergeCell ref="C59:AJ60"/>
    <mergeCell ref="O109:T109"/>
    <mergeCell ref="AE15:AJ16"/>
    <mergeCell ref="G71:AH71"/>
    <mergeCell ref="D36:AJ36"/>
    <mergeCell ref="D34:AJ35"/>
    <mergeCell ref="S23:Y23"/>
    <mergeCell ref="D79:AJ79"/>
    <mergeCell ref="D85:AJ86"/>
    <mergeCell ref="D87:AJ88"/>
    <mergeCell ref="C95:AJ96"/>
    <mergeCell ref="C97:AJ98"/>
    <mergeCell ref="D73:AJ74"/>
    <mergeCell ref="D75:AJ77"/>
    <mergeCell ref="D80:AJ81"/>
    <mergeCell ref="D83:AJ84"/>
    <mergeCell ref="V15:AA16"/>
    <mergeCell ref="B106:C106"/>
    <mergeCell ref="E108:M108"/>
    <mergeCell ref="O108:T108"/>
    <mergeCell ref="V108:AD108"/>
    <mergeCell ref="V13:AA14"/>
    <mergeCell ref="AB13:AD14"/>
    <mergeCell ref="B72:C72"/>
    <mergeCell ref="B78:C78"/>
    <mergeCell ref="B105:C105"/>
    <mergeCell ref="B89:C89"/>
    <mergeCell ref="B93:C93"/>
    <mergeCell ref="B94:C94"/>
    <mergeCell ref="B62:C62"/>
    <mergeCell ref="G65:AI65"/>
    <mergeCell ref="K66:P66"/>
    <mergeCell ref="G67:AH67"/>
  </mergeCells>
  <phoneticPr fontId="29"/>
  <printOptions horizontalCentered="1"/>
  <pageMargins left="0.74803149606299213" right="0.35433070866141736" top="0.59055118110236227" bottom="0.19685039370078741" header="0.39370078740157483" footer="0.51181102362204722"/>
  <pageSetup paperSize="9" scale="89" fitToHeight="2" orientation="portrait" horizontalDpi="65533" verticalDpi="65533" r:id="rId1"/>
  <headerFooter alignWithMargins="0">
    <oddHeader>&amp;ROITA　FOOTBALL   　ASSOCIATION</oddHeader>
  </headerFooter>
  <rowBreaks count="1" manualBreakCount="1">
    <brk id="57" max="3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1"/>
    <pageSetUpPr fitToPage="1"/>
  </sheetPr>
  <dimension ref="A1:K12"/>
  <sheetViews>
    <sheetView zoomScale="85" zoomScaleNormal="85" workbookViewId="0">
      <selection activeCell="J16" sqref="J16"/>
    </sheetView>
  </sheetViews>
  <sheetFormatPr defaultColWidth="8.73046875" defaultRowHeight="12.75" x14ac:dyDescent="0.25"/>
  <cols>
    <col min="1" max="1" width="4.46484375" style="39" bestFit="1" customWidth="1"/>
    <col min="2" max="2" width="24.1328125" style="40" bestFit="1" customWidth="1"/>
    <col min="3" max="3" width="14.86328125" style="40" bestFit="1" customWidth="1"/>
    <col min="4" max="4" width="11.46484375" style="40" bestFit="1" customWidth="1"/>
    <col min="5" max="5" width="2.86328125" style="40" customWidth="1"/>
    <col min="6" max="6" width="13.86328125" style="39" bestFit="1" customWidth="1"/>
    <col min="7" max="9" width="4.46484375" style="39" customWidth="1"/>
    <col min="10" max="10" width="35.46484375" style="39" bestFit="1" customWidth="1"/>
    <col min="11" max="11" width="7.46484375" style="41" bestFit="1" customWidth="1"/>
    <col min="12" max="16384" width="8.73046875" style="39"/>
  </cols>
  <sheetData>
    <row r="1" spans="1:11" x14ac:dyDescent="0.25">
      <c r="A1" s="39" t="s">
        <v>2321</v>
      </c>
      <c r="K1" s="41" t="s">
        <v>657</v>
      </c>
    </row>
    <row r="2" spans="1:11" x14ac:dyDescent="0.25">
      <c r="A2" s="39">
        <v>1</v>
      </c>
      <c r="B2" s="40" t="s">
        <v>2813</v>
      </c>
      <c r="C2" s="40" t="s">
        <v>7791</v>
      </c>
      <c r="D2" s="40" t="s">
        <v>7792</v>
      </c>
      <c r="F2" s="39" t="s">
        <v>2318</v>
      </c>
      <c r="I2" s="44"/>
      <c r="J2" s="39" t="s">
        <v>2317</v>
      </c>
      <c r="K2" s="41" t="s">
        <v>7793</v>
      </c>
    </row>
    <row r="3" spans="1:11" x14ac:dyDescent="0.25">
      <c r="A3" s="39">
        <v>2</v>
      </c>
      <c r="B3" s="40" t="s">
        <v>2813</v>
      </c>
      <c r="C3" s="40" t="s">
        <v>2589</v>
      </c>
      <c r="F3" s="39" t="s">
        <v>2318</v>
      </c>
      <c r="H3" s="42"/>
      <c r="J3" s="39" t="s">
        <v>2317</v>
      </c>
      <c r="K3" s="41">
        <v>3</v>
      </c>
    </row>
    <row r="4" spans="1:11" x14ac:dyDescent="0.25">
      <c r="A4" s="39">
        <v>3</v>
      </c>
      <c r="B4" s="40" t="s">
        <v>2319</v>
      </c>
      <c r="C4" s="40" t="s">
        <v>357</v>
      </c>
      <c r="D4" s="40" t="s">
        <v>360</v>
      </c>
      <c r="F4" s="39" t="s">
        <v>2320</v>
      </c>
      <c r="G4" s="43"/>
      <c r="J4" s="39" t="s">
        <v>2317</v>
      </c>
      <c r="K4" s="41" t="s">
        <v>7763</v>
      </c>
    </row>
    <row r="5" spans="1:11" x14ac:dyDescent="0.25">
      <c r="B5" s="256"/>
    </row>
    <row r="6" spans="1:11" x14ac:dyDescent="0.25">
      <c r="B6" s="256" t="s">
        <v>4222</v>
      </c>
      <c r="J6" s="39" t="s">
        <v>5591</v>
      </c>
    </row>
    <row r="7" spans="1:11" x14ac:dyDescent="0.25">
      <c r="A7" s="39">
        <v>4</v>
      </c>
      <c r="C7" s="40" t="s">
        <v>1580</v>
      </c>
      <c r="D7" s="40" t="s">
        <v>1294</v>
      </c>
      <c r="F7" s="39" t="s">
        <v>7796</v>
      </c>
      <c r="J7" s="39" t="s">
        <v>7797</v>
      </c>
      <c r="K7" s="41" t="s">
        <v>4221</v>
      </c>
    </row>
    <row r="8" spans="1:11" x14ac:dyDescent="0.25">
      <c r="C8" s="40" t="s">
        <v>7794</v>
      </c>
      <c r="D8" s="39"/>
      <c r="F8" s="39" t="s">
        <v>7796</v>
      </c>
      <c r="J8" s="39" t="s">
        <v>7797</v>
      </c>
      <c r="K8" s="41">
        <v>17</v>
      </c>
    </row>
    <row r="9" spans="1:11" x14ac:dyDescent="0.25">
      <c r="A9" s="39">
        <v>5</v>
      </c>
      <c r="C9" s="40" t="s">
        <v>7795</v>
      </c>
      <c r="F9" s="39" t="s">
        <v>7796</v>
      </c>
      <c r="J9" s="39" t="s">
        <v>7797</v>
      </c>
      <c r="K9" s="41">
        <v>18</v>
      </c>
    </row>
    <row r="10" spans="1:11" x14ac:dyDescent="0.25">
      <c r="A10" s="39">
        <v>6</v>
      </c>
      <c r="C10" s="40" t="s">
        <v>1828</v>
      </c>
      <c r="F10" s="39" t="s">
        <v>7796</v>
      </c>
      <c r="J10" s="39" t="s">
        <v>7797</v>
      </c>
      <c r="K10" s="41">
        <v>19</v>
      </c>
    </row>
    <row r="11" spans="1:11" x14ac:dyDescent="0.25">
      <c r="A11" s="39">
        <v>7</v>
      </c>
      <c r="C11" s="40" t="s">
        <v>7801</v>
      </c>
      <c r="F11" s="39" t="s">
        <v>7796</v>
      </c>
      <c r="J11" s="39" t="s">
        <v>7797</v>
      </c>
      <c r="K11" s="41" t="s">
        <v>7798</v>
      </c>
    </row>
    <row r="12" spans="1:11" x14ac:dyDescent="0.25">
      <c r="A12" s="39">
        <v>8</v>
      </c>
      <c r="C12" s="40" t="s">
        <v>7799</v>
      </c>
      <c r="F12" s="39" t="s">
        <v>1024</v>
      </c>
      <c r="K12" s="41" t="s">
        <v>7800</v>
      </c>
    </row>
  </sheetData>
  <phoneticPr fontId="29"/>
  <pageMargins left="0.70866141732283472" right="0.70866141732283472" top="0.74803149606299213" bottom="0.74803149606299213" header="0.31496062992125984" footer="0.31496062992125984"/>
  <pageSetup paperSize="9" scale="73"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GF112"/>
  <sheetViews>
    <sheetView tabSelected="1" zoomScale="50" zoomScaleNormal="50" workbookViewId="0">
      <pane ySplit="9" topLeftCell="A10" activePane="bottomLeft" state="frozen"/>
      <selection activeCell="A2" sqref="A2:B2"/>
      <selection pane="bottomLeft" activeCell="A2" sqref="A2:B2"/>
    </sheetView>
  </sheetViews>
  <sheetFormatPr defaultColWidth="1.46484375" defaultRowHeight="12.75" x14ac:dyDescent="0.25"/>
  <cols>
    <col min="1" max="1" width="24.1328125" customWidth="1"/>
    <col min="146" max="183" width="1.46484375" customWidth="1"/>
    <col min="184" max="184" width="3.3984375" style="254" hidden="1" customWidth="1"/>
    <col min="185" max="185" width="3.3984375" style="255" hidden="1" customWidth="1"/>
    <col min="186" max="186" width="13.73046875" hidden="1" customWidth="1"/>
    <col min="187" max="187" width="44.46484375" hidden="1" customWidth="1"/>
    <col min="188" max="188" width="52.265625" hidden="1" customWidth="1"/>
  </cols>
  <sheetData>
    <row r="1" spans="1:188" s="45" customFormat="1" ht="28.5" customHeight="1" x14ac:dyDescent="0.25">
      <c r="A1" s="648" t="str">
        <f>抽選会資料!A1</f>
        <v>OFA 第 57 回大分県U-12サッカー大会　兼　KYFA 九州U-12サッカー大会大分県大会</v>
      </c>
      <c r="B1" s="648"/>
      <c r="C1" s="648"/>
      <c r="D1" s="648"/>
      <c r="E1" s="648"/>
      <c r="F1" s="648"/>
      <c r="G1" s="648"/>
      <c r="H1" s="648"/>
      <c r="I1" s="648"/>
      <c r="J1" s="648"/>
      <c r="K1" s="648"/>
      <c r="L1" s="648"/>
      <c r="M1" s="648"/>
      <c r="N1" s="648"/>
      <c r="O1" s="648"/>
      <c r="P1" s="648"/>
      <c r="Q1" s="648"/>
      <c r="R1" s="648"/>
      <c r="S1" s="648"/>
      <c r="T1" s="648"/>
      <c r="U1" s="648"/>
      <c r="V1" s="648"/>
      <c r="W1" s="648"/>
      <c r="X1" s="648"/>
      <c r="Y1" s="648"/>
      <c r="Z1" s="648"/>
      <c r="AA1" s="648"/>
      <c r="AB1" s="648"/>
      <c r="AC1" s="648"/>
      <c r="AD1" s="648"/>
      <c r="AE1" s="648"/>
      <c r="AF1" s="648"/>
      <c r="AG1" s="648"/>
      <c r="AH1" s="648"/>
      <c r="AI1" s="648"/>
      <c r="AJ1" s="648"/>
      <c r="AK1" s="648"/>
      <c r="AL1" s="648"/>
      <c r="AM1" s="648"/>
      <c r="AN1" s="648"/>
      <c r="AO1" s="648"/>
      <c r="AP1" s="648"/>
      <c r="AQ1" s="648"/>
      <c r="AR1" s="648"/>
      <c r="AS1" s="648"/>
      <c r="AT1" s="648"/>
      <c r="AU1" s="648"/>
      <c r="AV1" s="648"/>
      <c r="AW1" s="648"/>
      <c r="AX1" s="648"/>
      <c r="AY1" s="648"/>
      <c r="AZ1" s="648"/>
      <c r="BA1" s="648"/>
      <c r="BB1" s="648"/>
      <c r="BC1" s="648"/>
      <c r="BD1" s="648"/>
      <c r="BE1" s="648"/>
      <c r="BF1" s="648"/>
      <c r="BG1" s="648"/>
      <c r="BH1" s="648"/>
      <c r="BI1" s="648"/>
      <c r="BJ1" s="648"/>
      <c r="BK1" s="648"/>
      <c r="BL1" s="648"/>
      <c r="BM1" s="648"/>
      <c r="BN1" s="648"/>
      <c r="BO1" s="648"/>
      <c r="BP1" s="648"/>
      <c r="BQ1" s="648"/>
      <c r="BR1" s="648"/>
      <c r="BS1" s="648"/>
      <c r="BT1" s="648"/>
      <c r="BU1" s="648"/>
      <c r="BV1" s="648"/>
      <c r="BW1" s="648"/>
      <c r="BX1" s="648"/>
      <c r="BY1" s="648"/>
      <c r="BZ1" s="648"/>
      <c r="CA1" s="648"/>
      <c r="CB1" s="648"/>
      <c r="CC1" s="648"/>
      <c r="CD1" s="648"/>
      <c r="CE1" s="648"/>
      <c r="CF1" s="648"/>
      <c r="CG1" s="648"/>
      <c r="CH1" s="648"/>
      <c r="CI1" s="648"/>
      <c r="CJ1" s="648"/>
      <c r="CK1" s="648"/>
      <c r="CL1" s="648"/>
      <c r="CM1" s="648"/>
      <c r="CN1" s="648"/>
      <c r="CO1" s="648"/>
      <c r="CP1" s="648"/>
      <c r="CQ1" s="648"/>
      <c r="CR1" s="648"/>
      <c r="CS1" s="648"/>
      <c r="CT1" s="648"/>
      <c r="CU1" s="648"/>
      <c r="CV1" s="648"/>
      <c r="CW1" s="648"/>
      <c r="CX1" s="648"/>
      <c r="CY1" s="648"/>
      <c r="CZ1" s="648"/>
      <c r="DA1" s="648"/>
      <c r="DB1" s="648"/>
      <c r="DC1" s="648"/>
      <c r="DD1" s="648"/>
      <c r="DE1" s="648"/>
      <c r="DF1" s="648"/>
      <c r="DG1" s="648"/>
      <c r="DH1" s="648"/>
      <c r="DI1" s="648"/>
      <c r="DJ1" s="648"/>
      <c r="DK1" s="648"/>
      <c r="DL1" s="648"/>
      <c r="DM1" s="648"/>
      <c r="DN1" s="648"/>
      <c r="DO1" s="648"/>
      <c r="DP1" s="648"/>
      <c r="DQ1" s="648"/>
      <c r="DR1" s="648"/>
      <c r="DS1" s="648"/>
      <c r="DT1" s="648"/>
      <c r="DU1" s="648"/>
      <c r="DV1" s="648"/>
      <c r="DW1" s="648"/>
      <c r="DX1" s="648"/>
      <c r="DY1" s="648"/>
      <c r="DZ1" s="648"/>
      <c r="EA1" s="648"/>
      <c r="EB1" s="648"/>
      <c r="EC1" s="648"/>
      <c r="ED1" s="648"/>
      <c r="EE1" s="648"/>
      <c r="EF1" s="648"/>
      <c r="EG1" s="648"/>
      <c r="EH1" s="648"/>
      <c r="EI1" s="648"/>
      <c r="EJ1" s="648"/>
      <c r="EK1" s="648"/>
      <c r="EL1" s="648"/>
      <c r="EM1" s="648"/>
      <c r="EN1" s="648"/>
      <c r="EO1" s="648"/>
      <c r="EP1" s="648"/>
      <c r="EQ1" s="648"/>
      <c r="ER1" s="648"/>
      <c r="ES1" s="648"/>
      <c r="ET1" s="648"/>
      <c r="EU1" s="648"/>
      <c r="EV1" s="648"/>
      <c r="EW1" s="648"/>
      <c r="EX1" s="648"/>
      <c r="EY1" s="648"/>
      <c r="EZ1" s="648"/>
      <c r="FA1" s="648"/>
      <c r="FB1" s="648"/>
      <c r="FC1" s="648"/>
      <c r="FD1" s="648"/>
      <c r="FE1" s="648"/>
      <c r="FF1" s="648"/>
      <c r="FG1" s="648"/>
      <c r="FH1" s="648" t="s">
        <v>2155</v>
      </c>
      <c r="FI1" s="648"/>
      <c r="FJ1" s="648"/>
      <c r="FK1" s="648"/>
      <c r="FL1" s="648"/>
      <c r="FM1" s="648"/>
      <c r="FN1" s="648"/>
      <c r="FO1" s="648"/>
      <c r="FP1" s="648"/>
      <c r="FQ1" s="648"/>
      <c r="FR1" s="648"/>
      <c r="FS1" s="648"/>
      <c r="FT1" s="648"/>
      <c r="FU1" s="648"/>
      <c r="FV1" s="648"/>
      <c r="FW1" s="648"/>
      <c r="FX1" s="648"/>
      <c r="FY1" s="648"/>
      <c r="FZ1" s="648"/>
      <c r="GA1" s="648"/>
      <c r="GB1" s="248"/>
      <c r="GC1" s="249"/>
    </row>
    <row r="2" spans="1:188" s="45" customFormat="1" ht="28.5" customHeight="1" x14ac:dyDescent="0.25">
      <c r="A2" s="48"/>
      <c r="B2" s="48"/>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248"/>
      <c r="GC2" s="249"/>
    </row>
    <row r="3" spans="1:188" s="249" customFormat="1" ht="42" customHeight="1" x14ac:dyDescent="0.25">
      <c r="A3" s="263"/>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L3" s="653" t="s">
        <v>7773</v>
      </c>
      <c r="AM3" s="653"/>
      <c r="AN3" s="653"/>
      <c r="AO3" s="653"/>
      <c r="AP3" s="653"/>
      <c r="AQ3" s="653"/>
      <c r="AR3" s="653"/>
      <c r="AS3" s="653"/>
      <c r="AT3" s="653"/>
      <c r="AU3" s="653"/>
      <c r="AV3" s="653"/>
      <c r="AW3" s="653"/>
      <c r="AX3" s="653"/>
      <c r="AY3" s="653"/>
      <c r="AZ3" s="653"/>
      <c r="BA3" s="653"/>
      <c r="BB3" s="653"/>
      <c r="BC3" s="653"/>
      <c r="BD3" s="653"/>
      <c r="BE3" s="654"/>
      <c r="BF3" s="654"/>
      <c r="BG3" s="653">
        <v>46047</v>
      </c>
      <c r="BH3" s="653"/>
      <c r="BI3" s="653"/>
      <c r="BJ3" s="653"/>
      <c r="BK3" s="653"/>
      <c r="BL3" s="653"/>
      <c r="BM3" s="653"/>
      <c r="BN3" s="653"/>
      <c r="BO3" s="653"/>
      <c r="BP3" s="653"/>
      <c r="BQ3" s="653"/>
      <c r="BR3" s="653"/>
      <c r="BS3" s="654" t="s">
        <v>5595</v>
      </c>
      <c r="BT3" s="654"/>
      <c r="BU3" s="653">
        <v>46054</v>
      </c>
      <c r="BV3" s="653"/>
      <c r="BW3" s="653"/>
      <c r="BX3" s="653"/>
      <c r="BY3" s="653"/>
      <c r="BZ3" s="653"/>
      <c r="CA3" s="653"/>
      <c r="CB3" s="653"/>
      <c r="CC3" s="653"/>
      <c r="CD3" s="653"/>
      <c r="CE3" s="653"/>
      <c r="CF3" s="653"/>
      <c r="CG3" s="654" t="s">
        <v>5595</v>
      </c>
      <c r="CH3" s="654"/>
      <c r="CI3" s="653">
        <v>46061</v>
      </c>
      <c r="CJ3" s="653"/>
      <c r="CK3" s="653"/>
      <c r="CL3" s="653"/>
      <c r="CM3" s="653"/>
      <c r="CN3" s="653"/>
      <c r="CO3" s="653"/>
      <c r="CP3" s="653"/>
      <c r="CQ3" s="653"/>
      <c r="CR3" s="653"/>
      <c r="CS3" s="653"/>
      <c r="CT3" s="653"/>
      <c r="CU3" s="654"/>
      <c r="CV3" s="654"/>
      <c r="CW3" s="653"/>
      <c r="CX3" s="653"/>
      <c r="CY3" s="653"/>
      <c r="CZ3" s="653"/>
      <c r="DA3" s="653"/>
      <c r="DB3" s="653"/>
      <c r="DC3" s="653"/>
      <c r="DD3" s="653"/>
      <c r="DE3" s="653"/>
      <c r="DF3" s="653"/>
      <c r="DG3" s="653"/>
      <c r="DH3" s="653"/>
      <c r="DW3" s="263"/>
      <c r="DX3" s="263"/>
      <c r="DY3" s="263"/>
      <c r="DZ3" s="263"/>
      <c r="EA3" s="263"/>
      <c r="EB3" s="263"/>
      <c r="EC3" s="263"/>
      <c r="ED3" s="263"/>
      <c r="EE3" s="263"/>
      <c r="EF3" s="263"/>
      <c r="EG3" s="263"/>
      <c r="EH3" s="263"/>
      <c r="EI3" s="263"/>
      <c r="EJ3" s="263"/>
      <c r="EK3" s="263"/>
      <c r="EL3" s="263"/>
      <c r="EM3" s="263"/>
      <c r="EN3" s="263"/>
      <c r="EO3" s="263"/>
      <c r="EP3" s="263"/>
      <c r="EQ3" s="263"/>
      <c r="ER3" s="263"/>
      <c r="ES3" s="263"/>
      <c r="ET3" s="263"/>
      <c r="EU3" s="263"/>
      <c r="EV3" s="263"/>
      <c r="EW3" s="263"/>
      <c r="EX3" s="263"/>
      <c r="EY3" s="263"/>
      <c r="EZ3" s="263"/>
      <c r="FA3" s="263"/>
      <c r="FB3" s="263"/>
      <c r="FC3" s="263"/>
      <c r="FD3" s="263"/>
      <c r="FE3" s="263"/>
      <c r="FF3" s="263"/>
      <c r="FG3" s="263"/>
      <c r="FH3" s="263"/>
      <c r="FI3" s="263"/>
      <c r="FJ3" s="263"/>
      <c r="FK3" s="263"/>
      <c r="FL3" s="263"/>
      <c r="FM3" s="263"/>
      <c r="FN3" s="263"/>
      <c r="FO3" s="263"/>
      <c r="FP3" s="263"/>
      <c r="FQ3" s="263"/>
      <c r="FR3" s="263"/>
      <c r="FS3" s="263"/>
      <c r="FT3" s="263"/>
      <c r="FU3" s="263"/>
      <c r="FV3" s="263"/>
      <c r="FW3" s="263"/>
      <c r="FX3" s="263"/>
      <c r="FY3" s="263"/>
      <c r="FZ3" s="263"/>
      <c r="GA3" s="263"/>
      <c r="GB3" s="250"/>
      <c r="GC3" s="250"/>
      <c r="GE3" s="264"/>
    </row>
    <row r="4" spans="1:188" s="45" customFormat="1" ht="18.75" x14ac:dyDescent="0.25">
      <c r="A4" s="49" t="s">
        <v>9</v>
      </c>
      <c r="B4" s="52"/>
      <c r="C4" s="52"/>
      <c r="D4" s="52"/>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251"/>
      <c r="GC4" s="249"/>
    </row>
    <row r="5" spans="1:188" s="46" customFormat="1" ht="24.95" customHeight="1" x14ac:dyDescent="0.25">
      <c r="A5" s="49" t="s">
        <v>675</v>
      </c>
      <c r="D5" s="649" t="str">
        <f>抽選会資料!B63</f>
        <v>県人工芝</v>
      </c>
      <c r="E5" s="649"/>
      <c r="F5" s="649"/>
      <c r="G5" s="649"/>
      <c r="H5" s="649"/>
      <c r="I5" s="649"/>
      <c r="J5" s="649"/>
      <c r="K5" s="649"/>
      <c r="L5" s="649"/>
      <c r="M5" s="649"/>
      <c r="N5" s="649"/>
      <c r="O5" s="649"/>
      <c r="P5" s="649"/>
      <c r="Q5" s="649" t="s">
        <v>247</v>
      </c>
      <c r="R5" s="649"/>
      <c r="S5" s="649"/>
      <c r="T5" s="650" t="str">
        <f>VLOOKUP(D5,抽選会資料!$B$55:$F$63,2,FALSE)</f>
        <v>大分県サッカー協会人工芝グラウンド</v>
      </c>
      <c r="U5" s="650"/>
      <c r="V5" s="650"/>
      <c r="W5" s="650"/>
      <c r="X5" s="650"/>
      <c r="Y5" s="650"/>
      <c r="Z5" s="650"/>
      <c r="AA5" s="650"/>
      <c r="AB5" s="650"/>
      <c r="AC5" s="650"/>
      <c r="AD5" s="650"/>
      <c r="AE5" s="650"/>
      <c r="AF5" s="650"/>
      <c r="AG5" s="650"/>
      <c r="AH5" s="650"/>
      <c r="AI5" s="650"/>
      <c r="AJ5" s="650"/>
      <c r="AK5" s="650"/>
      <c r="AL5" s="650"/>
      <c r="AM5" s="650"/>
      <c r="AN5" s="650"/>
      <c r="AO5" s="650"/>
      <c r="AP5" s="650"/>
      <c r="AQ5" s="650"/>
      <c r="AR5" s="650"/>
      <c r="AS5" s="650"/>
      <c r="AT5" s="650"/>
      <c r="AU5" s="650"/>
      <c r="AV5" s="650"/>
      <c r="AW5" s="650"/>
      <c r="AX5" s="650"/>
      <c r="AY5" s="650"/>
      <c r="AZ5" s="650"/>
      <c r="BA5" s="650"/>
      <c r="BB5" s="650"/>
      <c r="BC5" s="650"/>
      <c r="BD5" s="650"/>
      <c r="BE5" s="650"/>
      <c r="BF5" s="650"/>
      <c r="BG5" s="650"/>
      <c r="BH5" s="650"/>
      <c r="BI5" s="650"/>
      <c r="BJ5" s="650"/>
      <c r="BK5" s="650"/>
      <c r="BL5" s="650"/>
      <c r="BM5" s="650"/>
      <c r="BN5" s="650"/>
      <c r="BO5" s="650"/>
      <c r="BP5" s="650"/>
      <c r="BQ5" s="650"/>
      <c r="BR5" s="650"/>
      <c r="BS5" s="650"/>
      <c r="BT5" s="650"/>
      <c r="BU5" s="650"/>
      <c r="BV5" s="650"/>
      <c r="BW5" s="650"/>
      <c r="BX5" s="650"/>
      <c r="BY5" s="650"/>
      <c r="BZ5" s="650"/>
      <c r="CA5" s="650"/>
      <c r="CB5" s="650"/>
      <c r="CC5" s="650"/>
      <c r="CD5" s="650"/>
      <c r="CE5" s="650"/>
      <c r="CF5" s="650"/>
      <c r="CG5" s="650"/>
      <c r="CH5" s="650"/>
      <c r="CI5" s="650"/>
      <c r="CJ5" s="650"/>
      <c r="CK5" s="650"/>
      <c r="CL5" s="650"/>
      <c r="CM5" s="650"/>
      <c r="CN5" s="650"/>
      <c r="CO5" s="650"/>
      <c r="CP5" s="650"/>
      <c r="CQ5" s="650"/>
      <c r="CR5" s="650"/>
      <c r="CS5" s="650"/>
      <c r="CT5" s="650"/>
      <c r="CU5" s="650"/>
      <c r="CV5" s="650"/>
      <c r="CW5" s="650"/>
      <c r="CX5" s="650"/>
      <c r="CY5" s="650"/>
      <c r="CZ5" s="650"/>
      <c r="DA5" s="650"/>
      <c r="DB5" s="650"/>
      <c r="DC5" s="650"/>
      <c r="DD5" s="650"/>
      <c r="DE5" s="650"/>
      <c r="DF5" s="650"/>
      <c r="DG5" s="650"/>
      <c r="GB5" s="252"/>
      <c r="GC5" s="253"/>
      <c r="GD5" s="45"/>
      <c r="GE5" s="45"/>
      <c r="GF5" s="45"/>
    </row>
    <row r="6" spans="1:188" s="46" customFormat="1" ht="24.95" customHeight="1" x14ac:dyDescent="0.25">
      <c r="A6" s="50" t="s">
        <v>2221</v>
      </c>
      <c r="B6" s="53"/>
      <c r="D6" s="645" t="str">
        <f>抽選会資料!B61</f>
        <v>豊肥</v>
      </c>
      <c r="E6" s="645"/>
      <c r="F6" s="645"/>
      <c r="G6" s="645"/>
      <c r="H6" s="645"/>
      <c r="I6" s="645"/>
      <c r="J6" s="645"/>
      <c r="K6" s="645"/>
      <c r="L6" s="646" t="s">
        <v>247</v>
      </c>
      <c r="M6" s="646"/>
      <c r="N6" s="646"/>
      <c r="O6" s="651" t="str">
        <f>VLOOKUP(D6,抽選会資料!$B$55:$F$63,2,FALSE)</f>
        <v>恵藤建設サン・スポーツランド(サン・スポーツランドみえ)</v>
      </c>
      <c r="P6" s="651"/>
      <c r="Q6" s="651"/>
      <c r="R6" s="651"/>
      <c r="S6" s="651"/>
      <c r="T6" s="651"/>
      <c r="U6" s="651"/>
      <c r="V6" s="651"/>
      <c r="W6" s="651"/>
      <c r="X6" s="651"/>
      <c r="Y6" s="651"/>
      <c r="Z6" s="651"/>
      <c r="AA6" s="651"/>
      <c r="AB6" s="651"/>
      <c r="AC6" s="651"/>
      <c r="AD6" s="651"/>
      <c r="AE6" s="651"/>
      <c r="AF6" s="651"/>
      <c r="AG6" s="651"/>
      <c r="AH6" s="651"/>
      <c r="AI6" s="651"/>
      <c r="AJ6" s="651"/>
      <c r="AK6" s="651"/>
      <c r="AL6" s="651"/>
      <c r="AM6" s="651"/>
      <c r="AN6" s="651"/>
      <c r="AO6" s="651"/>
      <c r="AP6" s="651"/>
      <c r="AQ6" s="651"/>
      <c r="AR6" s="651"/>
      <c r="AS6" s="651"/>
      <c r="AT6" s="651"/>
      <c r="AU6" s="651"/>
      <c r="AV6" s="651"/>
      <c r="AW6" s="651"/>
      <c r="AX6" s="651"/>
      <c r="AY6" s="651"/>
      <c r="AZ6" s="651"/>
      <c r="BA6" s="651"/>
      <c r="BB6" s="651"/>
      <c r="BC6" s="651"/>
      <c r="BD6" s="651"/>
      <c r="BE6" s="651"/>
      <c r="BF6" s="645" t="str">
        <f>抽選会資料!B62</f>
        <v>佐伯</v>
      </c>
      <c r="BG6" s="645"/>
      <c r="BH6" s="645"/>
      <c r="BI6" s="645"/>
      <c r="BJ6" s="645"/>
      <c r="BK6" s="645"/>
      <c r="BL6" s="645"/>
      <c r="BM6" s="645"/>
      <c r="BN6" s="646" t="s">
        <v>247</v>
      </c>
      <c r="BO6" s="646"/>
      <c r="BP6" s="646"/>
      <c r="BQ6" s="652" t="str">
        <f>VLOOKUP(BF6,抽選会資料!$B$55:$F$63,2,FALSE)</f>
        <v>佐伯市総合運動公園人工芝グラウンド</v>
      </c>
      <c r="BR6" s="652"/>
      <c r="BS6" s="652"/>
      <c r="BT6" s="652"/>
      <c r="BU6" s="652"/>
      <c r="BV6" s="652"/>
      <c r="BW6" s="652"/>
      <c r="BX6" s="652"/>
      <c r="BY6" s="652"/>
      <c r="BZ6" s="652"/>
      <c r="CA6" s="652"/>
      <c r="CB6" s="652"/>
      <c r="CC6" s="652"/>
      <c r="CD6" s="652"/>
      <c r="CE6" s="652"/>
      <c r="CF6" s="652"/>
      <c r="CG6" s="652"/>
      <c r="CH6" s="652"/>
      <c r="CI6" s="652"/>
      <c r="CJ6" s="652"/>
      <c r="CK6" s="652"/>
      <c r="CL6" s="652"/>
      <c r="CM6" s="652"/>
      <c r="CN6" s="652"/>
      <c r="CO6" s="652"/>
      <c r="CP6" s="652"/>
      <c r="CQ6" s="652"/>
      <c r="CR6" s="652"/>
      <c r="CS6" s="652"/>
      <c r="CT6" s="652"/>
      <c r="CU6" s="652"/>
      <c r="CV6" s="652"/>
      <c r="CW6" s="652"/>
      <c r="CX6" s="652"/>
      <c r="CY6" s="652"/>
      <c r="CZ6" s="652"/>
      <c r="DA6" s="652"/>
      <c r="DB6" s="652"/>
      <c r="DC6" s="652"/>
      <c r="DD6" s="652"/>
      <c r="DE6" s="652"/>
      <c r="DF6" s="652"/>
      <c r="DG6" s="652"/>
      <c r="GB6" s="252"/>
      <c r="GC6" s="253"/>
      <c r="GD6" s="45"/>
      <c r="GE6" s="45"/>
      <c r="GF6" s="45"/>
    </row>
    <row r="7" spans="1:188" s="46" customFormat="1" ht="24.95" customHeight="1" x14ac:dyDescent="0.25">
      <c r="A7" s="50" t="s">
        <v>2309</v>
      </c>
      <c r="B7" s="53"/>
      <c r="D7" s="645" t="str">
        <f>抽選会資料!B55</f>
        <v>中津</v>
      </c>
      <c r="E7" s="645"/>
      <c r="F7" s="645"/>
      <c r="G7" s="645"/>
      <c r="H7" s="645"/>
      <c r="I7" s="645"/>
      <c r="J7" s="645"/>
      <c r="K7" s="645"/>
      <c r="L7" s="646" t="s">
        <v>247</v>
      </c>
      <c r="M7" s="646"/>
      <c r="N7" s="646"/>
      <c r="O7" s="647" t="str">
        <f>VLOOKUP(D7,抽選会資料!$B$55:$F$63,2,FALSE)</f>
        <v>ディーアクト（D-ACT）スポーツパーク永添(永添運動公園)
人工芝多目的グラウンド</v>
      </c>
      <c r="P7" s="647"/>
      <c r="Q7" s="647"/>
      <c r="R7" s="647"/>
      <c r="S7" s="647"/>
      <c r="T7" s="647"/>
      <c r="U7" s="647"/>
      <c r="V7" s="647"/>
      <c r="W7" s="647"/>
      <c r="X7" s="647"/>
      <c r="Y7" s="647"/>
      <c r="Z7" s="647"/>
      <c r="AA7" s="647"/>
      <c r="AB7" s="647"/>
      <c r="AC7" s="647"/>
      <c r="AD7" s="647"/>
      <c r="AE7" s="647"/>
      <c r="AF7" s="647"/>
      <c r="AG7" s="647"/>
      <c r="AH7" s="647"/>
      <c r="AI7" s="647"/>
      <c r="AJ7" s="647"/>
      <c r="AK7" s="647"/>
      <c r="AL7" s="647"/>
      <c r="AM7" s="647"/>
      <c r="AN7" s="647"/>
      <c r="AO7" s="647"/>
      <c r="AP7" s="647"/>
      <c r="AQ7" s="647"/>
      <c r="AR7" s="647"/>
      <c r="AS7" s="647"/>
      <c r="AT7" s="647"/>
      <c r="AU7" s="647"/>
      <c r="AV7" s="647"/>
      <c r="AW7" s="647"/>
      <c r="AX7" s="647"/>
      <c r="AY7" s="647"/>
      <c r="AZ7" s="647"/>
      <c r="BA7" s="647"/>
      <c r="BB7" s="647"/>
      <c r="BC7" s="647"/>
      <c r="BD7" s="647"/>
      <c r="BE7" s="647"/>
      <c r="BF7" s="645" t="str">
        <f>抽選会資料!B56</f>
        <v>日田・玖珠</v>
      </c>
      <c r="BG7" s="645"/>
      <c r="BH7" s="645"/>
      <c r="BI7" s="645"/>
      <c r="BJ7" s="645"/>
      <c r="BK7" s="645"/>
      <c r="BL7" s="645"/>
      <c r="BM7" s="645"/>
      <c r="BN7" s="646" t="s">
        <v>247</v>
      </c>
      <c r="BO7" s="646"/>
      <c r="BP7" s="646"/>
      <c r="BQ7" s="647" t="str">
        <f>VLOOKUP(BF7,抽選会資料!$B$55:$F$63,2,FALSE)</f>
        <v>玖珠町総合運動公園</v>
      </c>
      <c r="BR7" s="647"/>
      <c r="BS7" s="647"/>
      <c r="BT7" s="647"/>
      <c r="BU7" s="647"/>
      <c r="BV7" s="647"/>
      <c r="BW7" s="647"/>
      <c r="BX7" s="647"/>
      <c r="BY7" s="647"/>
      <c r="BZ7" s="647"/>
      <c r="CA7" s="647"/>
      <c r="CB7" s="647"/>
      <c r="CC7" s="647"/>
      <c r="CD7" s="647"/>
      <c r="CE7" s="647"/>
      <c r="CF7" s="647"/>
      <c r="CG7" s="647"/>
      <c r="CH7" s="647"/>
      <c r="CI7" s="647"/>
      <c r="CJ7" s="647"/>
      <c r="CK7" s="647"/>
      <c r="CL7" s="647"/>
      <c r="CM7" s="647"/>
      <c r="CN7" s="647"/>
      <c r="CO7" s="647"/>
      <c r="CP7" s="647"/>
      <c r="CQ7" s="647"/>
      <c r="CR7" s="647"/>
      <c r="CS7" s="647"/>
      <c r="CT7" s="647"/>
      <c r="CU7" s="647"/>
      <c r="CV7" s="647"/>
      <c r="CW7" s="647"/>
      <c r="CX7" s="647"/>
      <c r="CY7" s="647"/>
      <c r="CZ7" s="647"/>
      <c r="DA7" s="647"/>
      <c r="DB7" s="647"/>
      <c r="DC7" s="647"/>
      <c r="DD7" s="647"/>
      <c r="DE7" s="647"/>
      <c r="DF7" s="647"/>
      <c r="DG7" s="647"/>
      <c r="DH7" s="645" t="str">
        <f>抽選会資料!B57</f>
        <v>宇佐高田</v>
      </c>
      <c r="DI7" s="645"/>
      <c r="DJ7" s="645"/>
      <c r="DK7" s="645"/>
      <c r="DL7" s="645"/>
      <c r="DM7" s="645"/>
      <c r="DN7" s="645"/>
      <c r="DO7" s="645"/>
      <c r="DP7" s="646" t="s">
        <v>247</v>
      </c>
      <c r="DQ7" s="646"/>
      <c r="DR7" s="646"/>
      <c r="DS7" s="647" t="str">
        <f>VLOOKUP(DH7,抽選会資料!$B$55:$F$63,2,FALSE)</f>
        <v>宇佐市平成令和の森スポーツ公園</v>
      </c>
      <c r="DT7" s="647"/>
      <c r="DU7" s="647"/>
      <c r="DV7" s="647"/>
      <c r="DW7" s="647"/>
      <c r="DX7" s="647"/>
      <c r="DY7" s="647"/>
      <c r="DZ7" s="647"/>
      <c r="EA7" s="647"/>
      <c r="EB7" s="647"/>
      <c r="EC7" s="647"/>
      <c r="ED7" s="647"/>
      <c r="EE7" s="647"/>
      <c r="EF7" s="647"/>
      <c r="EG7" s="647"/>
      <c r="EH7" s="647"/>
      <c r="EI7" s="647"/>
      <c r="EJ7" s="647"/>
      <c r="EK7" s="647"/>
      <c r="EL7" s="647"/>
      <c r="EM7" s="647"/>
      <c r="EN7" s="647"/>
      <c r="EO7" s="647"/>
      <c r="EP7" s="647"/>
      <c r="EQ7" s="647"/>
      <c r="ER7" s="647"/>
      <c r="ES7" s="647"/>
      <c r="ET7" s="647"/>
      <c r="EU7" s="647"/>
      <c r="EV7" s="647"/>
      <c r="EW7" s="647"/>
      <c r="EX7" s="647"/>
      <c r="EY7" s="647"/>
      <c r="EZ7" s="647"/>
      <c r="FA7" s="647"/>
      <c r="FB7" s="647"/>
      <c r="FC7" s="647"/>
      <c r="FD7" s="647"/>
      <c r="FE7" s="647"/>
      <c r="FF7" s="647"/>
      <c r="FG7" s="647"/>
      <c r="FH7" s="647"/>
      <c r="FI7" s="647"/>
      <c r="GB7" s="252"/>
      <c r="GC7" s="253"/>
      <c r="GD7" s="45"/>
      <c r="GE7" s="45"/>
      <c r="GF7" s="45"/>
    </row>
    <row r="8" spans="1:188" s="46" customFormat="1" ht="24.95" customHeight="1" x14ac:dyDescent="0.25">
      <c r="A8" s="51"/>
      <c r="B8" s="53"/>
      <c r="D8" s="645" t="str">
        <f>抽選会資料!B58</f>
        <v>別府</v>
      </c>
      <c r="E8" s="645"/>
      <c r="F8" s="645"/>
      <c r="G8" s="645"/>
      <c r="H8" s="645"/>
      <c r="I8" s="645"/>
      <c r="J8" s="645"/>
      <c r="K8" s="645"/>
      <c r="L8" s="646" t="s">
        <v>247</v>
      </c>
      <c r="M8" s="646"/>
      <c r="N8" s="646"/>
      <c r="O8" s="647" t="str">
        <f>VLOOKUP(D8,抽選会資料!$B$55:$F$63,2,FALSE)</f>
        <v>実相寺サッカー競技場(人工芝)</v>
      </c>
      <c r="P8" s="647"/>
      <c r="Q8" s="647"/>
      <c r="R8" s="647"/>
      <c r="S8" s="647"/>
      <c r="T8" s="647"/>
      <c r="U8" s="647"/>
      <c r="V8" s="647"/>
      <c r="W8" s="647"/>
      <c r="X8" s="647"/>
      <c r="Y8" s="647"/>
      <c r="Z8" s="647"/>
      <c r="AA8" s="647"/>
      <c r="AB8" s="647"/>
      <c r="AC8" s="647"/>
      <c r="AD8" s="647"/>
      <c r="AE8" s="647"/>
      <c r="AF8" s="647"/>
      <c r="AG8" s="647"/>
      <c r="AH8" s="647"/>
      <c r="AI8" s="647"/>
      <c r="AJ8" s="647"/>
      <c r="AK8" s="647"/>
      <c r="AL8" s="647"/>
      <c r="AM8" s="647"/>
      <c r="AN8" s="647"/>
      <c r="AO8" s="647"/>
      <c r="AP8" s="647"/>
      <c r="AQ8" s="647"/>
      <c r="AR8" s="647"/>
      <c r="AS8" s="647"/>
      <c r="AT8" s="647"/>
      <c r="AU8" s="647"/>
      <c r="AV8" s="647"/>
      <c r="AW8" s="647"/>
      <c r="AX8" s="647"/>
      <c r="AY8" s="647"/>
      <c r="AZ8" s="647"/>
      <c r="BA8" s="647"/>
      <c r="BB8" s="647"/>
      <c r="BC8" s="647"/>
      <c r="BD8" s="647"/>
      <c r="BE8" s="647"/>
      <c r="BF8" s="645" t="str">
        <f>抽選会資料!B59</f>
        <v>速杵国東</v>
      </c>
      <c r="BG8" s="645"/>
      <c r="BH8" s="645"/>
      <c r="BI8" s="645"/>
      <c r="BJ8" s="645"/>
      <c r="BK8" s="645"/>
      <c r="BL8" s="645"/>
      <c r="BM8" s="645"/>
      <c r="BN8" s="646" t="s">
        <v>247</v>
      </c>
      <c r="BO8" s="646"/>
      <c r="BP8" s="646"/>
      <c r="BQ8" s="647" t="str">
        <f>VLOOKUP(BF8,抽選会資料!$B$55:$F$63,2,FALSE)</f>
        <v>フットボールセンター大分きつき(杵築市営サッカー場)</v>
      </c>
      <c r="BR8" s="647"/>
      <c r="BS8" s="647"/>
      <c r="BT8" s="647"/>
      <c r="BU8" s="647"/>
      <c r="BV8" s="647"/>
      <c r="BW8" s="647"/>
      <c r="BX8" s="647"/>
      <c r="BY8" s="647"/>
      <c r="BZ8" s="647"/>
      <c r="CA8" s="647"/>
      <c r="CB8" s="647"/>
      <c r="CC8" s="647"/>
      <c r="CD8" s="647"/>
      <c r="CE8" s="647"/>
      <c r="CF8" s="647"/>
      <c r="CG8" s="647"/>
      <c r="CH8" s="647"/>
      <c r="CI8" s="647"/>
      <c r="CJ8" s="647"/>
      <c r="CK8" s="647"/>
      <c r="CL8" s="647"/>
      <c r="CM8" s="647"/>
      <c r="CN8" s="647"/>
      <c r="CO8" s="647"/>
      <c r="CP8" s="647"/>
      <c r="CQ8" s="647"/>
      <c r="CR8" s="647"/>
      <c r="CS8" s="647"/>
      <c r="CT8" s="647"/>
      <c r="CU8" s="647"/>
      <c r="CV8" s="647"/>
      <c r="CW8" s="647"/>
      <c r="CX8" s="647"/>
      <c r="CY8" s="647"/>
      <c r="CZ8" s="647"/>
      <c r="DA8" s="647"/>
      <c r="DB8" s="647"/>
      <c r="DC8" s="647"/>
      <c r="DD8" s="647"/>
      <c r="DE8" s="647"/>
      <c r="DF8" s="647"/>
      <c r="DG8" s="647"/>
      <c r="DH8" s="645" t="str">
        <f>抽選会資料!B60</f>
        <v>臼杵・津久見</v>
      </c>
      <c r="DI8" s="645"/>
      <c r="DJ8" s="645"/>
      <c r="DK8" s="645"/>
      <c r="DL8" s="645"/>
      <c r="DM8" s="645"/>
      <c r="DN8" s="645"/>
      <c r="DO8" s="645"/>
      <c r="DP8" s="646" t="s">
        <v>247</v>
      </c>
      <c r="DQ8" s="646"/>
      <c r="DR8" s="646"/>
      <c r="DS8" s="647" t="str">
        <f>VLOOKUP(DH8,抽選会資料!$B$55:$F$63,2,FALSE)</f>
        <v>吉四六ランドレックス多目的広場
(吉四六ランド陸上競技場)</v>
      </c>
      <c r="DT8" s="647"/>
      <c r="DU8" s="647"/>
      <c r="DV8" s="647"/>
      <c r="DW8" s="647"/>
      <c r="DX8" s="647"/>
      <c r="DY8" s="647"/>
      <c r="DZ8" s="647"/>
      <c r="EA8" s="647"/>
      <c r="EB8" s="647"/>
      <c r="EC8" s="647"/>
      <c r="ED8" s="647"/>
      <c r="EE8" s="647"/>
      <c r="EF8" s="647"/>
      <c r="EG8" s="647"/>
      <c r="EH8" s="647"/>
      <c r="EI8" s="647"/>
      <c r="EJ8" s="647"/>
      <c r="EK8" s="647"/>
      <c r="EL8" s="647"/>
      <c r="EM8" s="647"/>
      <c r="EN8" s="647"/>
      <c r="EO8" s="647"/>
      <c r="EP8" s="647"/>
      <c r="EQ8" s="647"/>
      <c r="ER8" s="647"/>
      <c r="ES8" s="647"/>
      <c r="ET8" s="647"/>
      <c r="EU8" s="647"/>
      <c r="EV8" s="647"/>
      <c r="EW8" s="647"/>
      <c r="EX8" s="647"/>
      <c r="EY8" s="647"/>
      <c r="EZ8" s="647"/>
      <c r="FA8" s="647"/>
      <c r="FB8" s="647"/>
      <c r="FC8" s="647"/>
      <c r="FD8" s="647"/>
      <c r="FE8" s="647"/>
      <c r="FF8" s="647"/>
      <c r="FG8" s="647"/>
      <c r="FH8" s="647"/>
      <c r="FI8" s="647"/>
      <c r="GB8" s="252"/>
      <c r="GC8" s="253"/>
      <c r="GD8" s="45"/>
      <c r="GE8" s="45"/>
      <c r="GF8" s="45"/>
    </row>
    <row r="9" spans="1:188" s="47" customFormat="1" ht="24.95" customHeight="1" x14ac:dyDescent="0.25">
      <c r="A9"/>
      <c r="B9"/>
      <c r="C9"/>
      <c r="D9"/>
      <c r="E9"/>
      <c r="F9"/>
      <c r="G9"/>
      <c r="H9"/>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s="46"/>
      <c r="AZ9" s="46"/>
      <c r="BA9" s="46"/>
      <c r="BB9" s="46"/>
      <c r="BC9" s="46"/>
      <c r="BD9" s="46"/>
      <c r="BE9" s="46"/>
      <c r="BF9" s="46"/>
      <c r="BG9" s="46"/>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s="254"/>
      <c r="GC9" s="255"/>
      <c r="GD9" s="75"/>
      <c r="GE9" s="45"/>
      <c r="GF9" s="45"/>
    </row>
    <row r="10" spans="1:188" ht="13.5" customHeight="1" x14ac:dyDescent="0.25">
      <c r="A10" s="265"/>
      <c r="AX10" s="642" t="s">
        <v>696</v>
      </c>
      <c r="AY10" s="642"/>
      <c r="AZ10" s="642"/>
      <c r="BA10" s="642"/>
      <c r="BB10" s="642"/>
      <c r="BC10" s="642"/>
      <c r="BD10" s="642"/>
      <c r="BE10" s="642"/>
      <c r="BF10" s="642"/>
      <c r="BG10" s="642"/>
      <c r="BH10" s="1000" t="s">
        <v>15267</v>
      </c>
      <c r="BI10" s="1000"/>
      <c r="BJ10" s="1000"/>
      <c r="BK10" s="1000"/>
      <c r="BL10" s="1000"/>
      <c r="BM10" s="1000"/>
      <c r="BN10" s="1000"/>
      <c r="BO10" s="1000"/>
      <c r="BP10" s="1000"/>
      <c r="BQ10" s="1000"/>
      <c r="BR10" s="1000"/>
      <c r="BS10" s="1000"/>
      <c r="BT10" s="1000"/>
      <c r="BU10" s="1000"/>
      <c r="BV10" s="1000"/>
      <c r="BW10" s="1000"/>
      <c r="BX10" s="1000"/>
      <c r="BY10" s="1000"/>
      <c r="BZ10" s="1000"/>
      <c r="CA10" s="1000"/>
      <c r="CB10" s="1000"/>
      <c r="CC10" s="1000"/>
      <c r="CD10" s="1000"/>
      <c r="CE10" s="1000"/>
      <c r="CF10" s="1000"/>
      <c r="CG10" s="1000"/>
      <c r="CH10" s="1000"/>
      <c r="CI10" s="1000"/>
      <c r="CJ10" s="1000"/>
      <c r="CK10" s="1000"/>
      <c r="CL10" s="1000"/>
      <c r="CM10" s="1000"/>
      <c r="CN10" s="1000"/>
      <c r="CO10" s="1000"/>
      <c r="CP10" s="1000"/>
      <c r="CQ10" s="1000"/>
      <c r="CR10" s="1000"/>
      <c r="CS10" s="1000"/>
      <c r="EP10" s="624" t="s">
        <v>604</v>
      </c>
      <c r="EQ10" s="625"/>
      <c r="ER10" s="625"/>
      <c r="ES10" s="625"/>
      <c r="ET10" s="625"/>
      <c r="EU10" s="625"/>
      <c r="EV10" s="625"/>
      <c r="EW10" s="625"/>
      <c r="EX10" s="625"/>
      <c r="EY10" s="625"/>
      <c r="EZ10" s="625"/>
      <c r="FA10" s="625"/>
      <c r="FB10" s="625"/>
      <c r="FC10" s="625"/>
      <c r="FD10" s="625"/>
      <c r="FE10" s="625"/>
      <c r="FF10" s="626"/>
      <c r="GF10" s="45"/>
    </row>
    <row r="11" spans="1:188" ht="13.5" customHeight="1" x14ac:dyDescent="0.25">
      <c r="AX11" s="643"/>
      <c r="AY11" s="643"/>
      <c r="AZ11" s="643"/>
      <c r="BA11" s="643"/>
      <c r="BB11" s="643"/>
      <c r="BC11" s="643"/>
      <c r="BD11" s="643"/>
      <c r="BE11" s="643"/>
      <c r="BF11" s="643"/>
      <c r="BG11" s="643"/>
      <c r="BH11" s="1001"/>
      <c r="BI11" s="1001"/>
      <c r="BJ11" s="1001"/>
      <c r="BK11" s="1001"/>
      <c r="BL11" s="1001"/>
      <c r="BM11" s="1001"/>
      <c r="BN11" s="1001"/>
      <c r="BO11" s="1001"/>
      <c r="BP11" s="1001"/>
      <c r="BQ11" s="1001"/>
      <c r="BR11" s="1001"/>
      <c r="BS11" s="1001"/>
      <c r="BT11" s="1001"/>
      <c r="BU11" s="1001"/>
      <c r="BV11" s="1001"/>
      <c r="BW11" s="1001"/>
      <c r="BX11" s="1001"/>
      <c r="BY11" s="1001"/>
      <c r="BZ11" s="1001"/>
      <c r="CA11" s="1001"/>
      <c r="CB11" s="1001"/>
      <c r="CC11" s="1001"/>
      <c r="CD11" s="1001"/>
      <c r="CE11" s="1001"/>
      <c r="CF11" s="1001"/>
      <c r="CG11" s="1001"/>
      <c r="CH11" s="1001"/>
      <c r="CI11" s="1001"/>
      <c r="CJ11" s="1001"/>
      <c r="CK11" s="1001"/>
      <c r="CL11" s="1001"/>
      <c r="CM11" s="1001"/>
      <c r="CN11" s="1001"/>
      <c r="CO11" s="1001"/>
      <c r="CP11" s="1001"/>
      <c r="CQ11" s="1001"/>
      <c r="CR11" s="1001"/>
      <c r="CS11" s="1001"/>
      <c r="EP11" s="627"/>
      <c r="EQ11" s="628"/>
      <c r="ER11" s="628"/>
      <c r="ES11" s="628"/>
      <c r="ET11" s="628"/>
      <c r="EU11" s="628"/>
      <c r="EV11" s="628"/>
      <c r="EW11" s="628"/>
      <c r="EX11" s="628"/>
      <c r="EY11" s="628"/>
      <c r="EZ11" s="628"/>
      <c r="FA11" s="628"/>
      <c r="FB11" s="628"/>
      <c r="FC11" s="628"/>
      <c r="FD11" s="628"/>
      <c r="FE11" s="628"/>
      <c r="FF11" s="629"/>
      <c r="GF11" s="45"/>
    </row>
    <row r="12" spans="1:188" ht="13.5" customHeight="1" x14ac:dyDescent="0.25">
      <c r="EP12" s="1002" t="s">
        <v>15281</v>
      </c>
      <c r="EQ12" s="1003"/>
      <c r="ER12" s="1003"/>
      <c r="ES12" s="1003"/>
      <c r="ET12" s="1003"/>
      <c r="EU12" s="1003"/>
      <c r="EV12" s="1003"/>
      <c r="EW12" s="1003"/>
      <c r="EX12" s="1003"/>
      <c r="EY12" s="1003"/>
      <c r="EZ12" s="1003"/>
      <c r="FA12" s="1003"/>
      <c r="FB12" s="1003"/>
      <c r="FC12" s="1003"/>
      <c r="FD12" s="1003"/>
      <c r="FE12" s="1003"/>
      <c r="FF12" s="1003"/>
      <c r="FG12" s="1003"/>
      <c r="FH12" s="1003"/>
      <c r="FI12" s="1003"/>
      <c r="FJ12" s="1003"/>
      <c r="FK12" s="1003"/>
      <c r="FL12" s="1003"/>
      <c r="FM12" s="1003"/>
      <c r="FN12" s="1003"/>
      <c r="FO12" s="1003"/>
      <c r="FP12" s="1003"/>
      <c r="FQ12" s="1003"/>
      <c r="FR12" s="1003"/>
      <c r="FS12" s="1003"/>
      <c r="FT12" s="1003"/>
      <c r="FU12" s="1003"/>
      <c r="FV12" s="1003"/>
      <c r="FW12" s="1003"/>
      <c r="FX12" s="1003"/>
      <c r="FY12" s="1003"/>
      <c r="FZ12" s="1003"/>
      <c r="GA12" s="1004"/>
      <c r="GF12" s="45"/>
    </row>
    <row r="13" spans="1:188" ht="13.5" customHeight="1" x14ac:dyDescent="0.25">
      <c r="EP13" s="1005"/>
      <c r="EQ13" s="1006"/>
      <c r="ER13" s="1006"/>
      <c r="ES13" s="1006"/>
      <c r="ET13" s="1006"/>
      <c r="EU13" s="1006"/>
      <c r="EV13" s="1006"/>
      <c r="EW13" s="1006"/>
      <c r="EX13" s="1006"/>
      <c r="EY13" s="1006"/>
      <c r="EZ13" s="1006"/>
      <c r="FA13" s="1006"/>
      <c r="FB13" s="1006"/>
      <c r="FC13" s="1006"/>
      <c r="FD13" s="1006"/>
      <c r="FE13" s="1006"/>
      <c r="FF13" s="1006"/>
      <c r="FG13" s="1006"/>
      <c r="FH13" s="1006"/>
      <c r="FI13" s="1006"/>
      <c r="FJ13" s="1006"/>
      <c r="FK13" s="1006"/>
      <c r="FL13" s="1006"/>
      <c r="FM13" s="1006"/>
      <c r="FN13" s="1006"/>
      <c r="FO13" s="1006"/>
      <c r="FP13" s="1006"/>
      <c r="FQ13" s="1006"/>
      <c r="FR13" s="1006"/>
      <c r="FS13" s="1006"/>
      <c r="FT13" s="1006"/>
      <c r="FU13" s="1006"/>
      <c r="FV13" s="1006"/>
      <c r="FW13" s="1006"/>
      <c r="FX13" s="1006"/>
      <c r="FY13" s="1006"/>
      <c r="FZ13" s="1006"/>
      <c r="GA13" s="1007"/>
      <c r="GF13" s="45"/>
    </row>
    <row r="14" spans="1:188" ht="13.5" customHeight="1" x14ac:dyDescent="0.25">
      <c r="A14" s="488">
        <f>CI3</f>
        <v>46061</v>
      </c>
      <c r="GF14" s="45"/>
    </row>
    <row r="15" spans="1:188" ht="13.5" customHeight="1" x14ac:dyDescent="0.25">
      <c r="A15" s="489"/>
      <c r="BP15" s="631" t="str">
        <f>D5</f>
        <v>県人工芝</v>
      </c>
      <c r="BQ15" s="631"/>
      <c r="BR15" s="631"/>
      <c r="BS15" s="631"/>
      <c r="BT15" s="631"/>
      <c r="BU15" s="631"/>
      <c r="BV15" s="631"/>
      <c r="BW15" s="631"/>
      <c r="BX15" s="631"/>
      <c r="BY15" s="631"/>
      <c r="BZ15" s="631"/>
      <c r="CA15" s="631"/>
      <c r="GF15" s="45"/>
    </row>
    <row r="16" spans="1:188" ht="13.5" customHeight="1" x14ac:dyDescent="0.25">
      <c r="A16" s="489"/>
      <c r="BP16" s="631"/>
      <c r="BQ16" s="631"/>
      <c r="BR16" s="631"/>
      <c r="BS16" s="631"/>
      <c r="BT16" s="631"/>
      <c r="BU16" s="631"/>
      <c r="BV16" s="631"/>
      <c r="BW16" s="631"/>
      <c r="BX16" s="631"/>
      <c r="BY16" s="631"/>
      <c r="BZ16" s="631"/>
      <c r="CA16" s="631"/>
      <c r="EP16" s="624" t="s">
        <v>690</v>
      </c>
      <c r="EQ16" s="625"/>
      <c r="ER16" s="625"/>
      <c r="ES16" s="625"/>
      <c r="ET16" s="625"/>
      <c r="EU16" s="625"/>
      <c r="EV16" s="625"/>
      <c r="EW16" s="625"/>
      <c r="EX16" s="625"/>
      <c r="EY16" s="625"/>
      <c r="EZ16" s="625"/>
      <c r="FA16" s="625"/>
      <c r="FB16" s="625"/>
      <c r="FC16" s="625"/>
      <c r="FD16" s="625"/>
      <c r="FE16" s="625"/>
      <c r="FF16" s="626"/>
      <c r="GF16" s="45"/>
    </row>
    <row r="17" spans="1:188" ht="13.5" customHeight="1" x14ac:dyDescent="0.25">
      <c r="A17" s="489" t="s">
        <v>5602</v>
      </c>
      <c r="BR17" s="631" t="s">
        <v>15345</v>
      </c>
      <c r="BS17" s="631"/>
      <c r="BT17" s="631"/>
      <c r="BU17" s="631"/>
      <c r="BV17" s="631"/>
      <c r="BW17" s="631"/>
      <c r="BX17" s="631"/>
      <c r="BY17" s="631"/>
      <c r="EP17" s="627"/>
      <c r="EQ17" s="628"/>
      <c r="ER17" s="628"/>
      <c r="ES17" s="628"/>
      <c r="ET17" s="628"/>
      <c r="EU17" s="628"/>
      <c r="EV17" s="628"/>
      <c r="EW17" s="628"/>
      <c r="EX17" s="628"/>
      <c r="EY17" s="628"/>
      <c r="EZ17" s="628"/>
      <c r="FA17" s="628"/>
      <c r="FB17" s="628"/>
      <c r="FC17" s="628"/>
      <c r="FD17" s="628"/>
      <c r="FE17" s="628"/>
      <c r="FF17" s="629"/>
      <c r="GF17" s="45"/>
    </row>
    <row r="18" spans="1:188" ht="13.5" customHeight="1" x14ac:dyDescent="0.25">
      <c r="A18" s="489"/>
      <c r="X18" s="613" t="s">
        <v>15267</v>
      </c>
      <c r="Y18" s="1008"/>
      <c r="Z18" s="1008"/>
      <c r="AA18" s="1008"/>
      <c r="AB18" s="1008"/>
      <c r="AC18" s="1008"/>
      <c r="AD18" s="1008"/>
      <c r="AE18" s="1008"/>
      <c r="AF18" s="1008"/>
      <c r="AG18" s="1008"/>
      <c r="AH18" s="1008"/>
      <c r="AI18" s="1008"/>
      <c r="AJ18" s="1008"/>
      <c r="AK18" s="1008"/>
      <c r="AL18" s="1008"/>
      <c r="AM18" s="1008"/>
      <c r="AN18" s="1008"/>
      <c r="AO18" s="1008"/>
      <c r="AP18" s="1008"/>
      <c r="AQ18" s="1008"/>
      <c r="AR18" s="1008"/>
      <c r="AS18" s="1008"/>
      <c r="AT18" s="1008"/>
      <c r="AU18" s="1008"/>
      <c r="AV18" s="1008"/>
      <c r="AW18" s="1008"/>
      <c r="AX18" s="1008"/>
      <c r="AY18" s="1009"/>
      <c r="BR18" s="631"/>
      <c r="BS18" s="631"/>
      <c r="BT18" s="631"/>
      <c r="BU18" s="631"/>
      <c r="BV18" s="631"/>
      <c r="BW18" s="631"/>
      <c r="BX18" s="631"/>
      <c r="BY18" s="631"/>
      <c r="CR18" s="633" t="s">
        <v>15281</v>
      </c>
      <c r="CS18" s="634"/>
      <c r="CT18" s="634"/>
      <c r="CU18" s="634"/>
      <c r="CV18" s="634"/>
      <c r="CW18" s="634"/>
      <c r="CX18" s="634"/>
      <c r="CY18" s="634"/>
      <c r="CZ18" s="634"/>
      <c r="DA18" s="634"/>
      <c r="DB18" s="634"/>
      <c r="DC18" s="634"/>
      <c r="DD18" s="634"/>
      <c r="DE18" s="634"/>
      <c r="DF18" s="634"/>
      <c r="DG18" s="634"/>
      <c r="DH18" s="634"/>
      <c r="DI18" s="634"/>
      <c r="DJ18" s="634"/>
      <c r="DK18" s="634"/>
      <c r="DL18" s="634"/>
      <c r="DM18" s="634"/>
      <c r="DN18" s="634"/>
      <c r="DO18" s="634"/>
      <c r="DP18" s="634"/>
      <c r="DQ18" s="634"/>
      <c r="DR18" s="634"/>
      <c r="DS18" s="635"/>
      <c r="EP18" s="1002" t="s">
        <v>15287</v>
      </c>
      <c r="EQ18" s="1003"/>
      <c r="ER18" s="1003"/>
      <c r="ES18" s="1003"/>
      <c r="ET18" s="1003"/>
      <c r="EU18" s="1003"/>
      <c r="EV18" s="1003"/>
      <c r="EW18" s="1003"/>
      <c r="EX18" s="1003"/>
      <c r="EY18" s="1003"/>
      <c r="EZ18" s="1003"/>
      <c r="FA18" s="1003"/>
      <c r="FB18" s="1003"/>
      <c r="FC18" s="1003"/>
      <c r="FD18" s="1003"/>
      <c r="FE18" s="1003"/>
      <c r="FF18" s="1003"/>
      <c r="FG18" s="1003"/>
      <c r="FH18" s="1003"/>
      <c r="FI18" s="1003"/>
      <c r="FJ18" s="1003"/>
      <c r="FK18" s="1003"/>
      <c r="FL18" s="1003"/>
      <c r="FM18" s="1003"/>
      <c r="FN18" s="1003"/>
      <c r="FO18" s="1003"/>
      <c r="FP18" s="1003"/>
      <c r="FQ18" s="1003"/>
      <c r="FR18" s="1003"/>
      <c r="FS18" s="1003"/>
      <c r="FT18" s="1003"/>
      <c r="FU18" s="1003"/>
      <c r="FV18" s="1003"/>
      <c r="FW18" s="1003"/>
      <c r="FX18" s="1003"/>
      <c r="FY18" s="1003"/>
      <c r="FZ18" s="1003"/>
      <c r="GA18" s="1004"/>
    </row>
    <row r="19" spans="1:188" ht="13.5" customHeight="1" x14ac:dyDescent="0.25">
      <c r="A19" s="489"/>
      <c r="X19" s="1010"/>
      <c r="Y19" s="1011"/>
      <c r="Z19" s="1011"/>
      <c r="AA19" s="1011"/>
      <c r="AB19" s="1011"/>
      <c r="AC19" s="1011"/>
      <c r="AD19" s="1011"/>
      <c r="AE19" s="1011"/>
      <c r="AF19" s="1011"/>
      <c r="AG19" s="1011"/>
      <c r="AH19" s="1011"/>
      <c r="AI19" s="1011"/>
      <c r="AJ19" s="1011"/>
      <c r="AK19" s="1011"/>
      <c r="AL19" s="1011"/>
      <c r="AM19" s="1011"/>
      <c r="AN19" s="1011"/>
      <c r="AO19" s="1011"/>
      <c r="AP19" s="1011"/>
      <c r="AQ19" s="1011"/>
      <c r="AR19" s="1011"/>
      <c r="AS19" s="1011"/>
      <c r="AT19" s="1011"/>
      <c r="AU19" s="1011"/>
      <c r="AV19" s="1011"/>
      <c r="AW19" s="1011"/>
      <c r="AX19" s="1011"/>
      <c r="AY19" s="1012"/>
      <c r="BR19" s="588">
        <v>5</v>
      </c>
      <c r="BS19" s="588"/>
      <c r="BT19" s="588" t="s">
        <v>61</v>
      </c>
      <c r="BU19" s="588"/>
      <c r="BV19" s="588"/>
      <c r="BW19" s="588"/>
      <c r="BX19" s="588">
        <v>0</v>
      </c>
      <c r="BY19" s="588"/>
      <c r="CR19" s="636"/>
      <c r="CS19" s="637"/>
      <c r="CT19" s="637"/>
      <c r="CU19" s="637"/>
      <c r="CV19" s="637"/>
      <c r="CW19" s="637"/>
      <c r="CX19" s="637"/>
      <c r="CY19" s="637"/>
      <c r="CZ19" s="637"/>
      <c r="DA19" s="637"/>
      <c r="DB19" s="637"/>
      <c r="DC19" s="637"/>
      <c r="DD19" s="637"/>
      <c r="DE19" s="637"/>
      <c r="DF19" s="637"/>
      <c r="DG19" s="637"/>
      <c r="DH19" s="637"/>
      <c r="DI19" s="637"/>
      <c r="DJ19" s="637"/>
      <c r="DK19" s="637"/>
      <c r="DL19" s="637"/>
      <c r="DM19" s="637"/>
      <c r="DN19" s="637"/>
      <c r="DO19" s="637"/>
      <c r="DP19" s="637"/>
      <c r="DQ19" s="637"/>
      <c r="DR19" s="637"/>
      <c r="DS19" s="638"/>
      <c r="EP19" s="1005"/>
      <c r="EQ19" s="1006"/>
      <c r="ER19" s="1006"/>
      <c r="ES19" s="1006"/>
      <c r="ET19" s="1006"/>
      <c r="EU19" s="1006"/>
      <c r="EV19" s="1006"/>
      <c r="EW19" s="1006"/>
      <c r="EX19" s="1006"/>
      <c r="EY19" s="1006"/>
      <c r="EZ19" s="1006"/>
      <c r="FA19" s="1006"/>
      <c r="FB19" s="1006"/>
      <c r="FC19" s="1006"/>
      <c r="FD19" s="1006"/>
      <c r="FE19" s="1006"/>
      <c r="FF19" s="1006"/>
      <c r="FG19" s="1006"/>
      <c r="FH19" s="1006"/>
      <c r="FI19" s="1006"/>
      <c r="FJ19" s="1006"/>
      <c r="FK19" s="1006"/>
      <c r="FL19" s="1006"/>
      <c r="FM19" s="1006"/>
      <c r="FN19" s="1006"/>
      <c r="FO19" s="1006"/>
      <c r="FP19" s="1006"/>
      <c r="FQ19" s="1006"/>
      <c r="FR19" s="1006"/>
      <c r="FS19" s="1006"/>
      <c r="FT19" s="1006"/>
      <c r="FU19" s="1006"/>
      <c r="FV19" s="1006"/>
      <c r="FW19" s="1006"/>
      <c r="FX19" s="1006"/>
      <c r="FY19" s="1006"/>
      <c r="FZ19" s="1006"/>
      <c r="GA19" s="1007"/>
    </row>
    <row r="20" spans="1:188" ht="13.5" customHeight="1" x14ac:dyDescent="0.25">
      <c r="A20" s="489"/>
      <c r="X20" s="1013"/>
      <c r="Y20" s="1014"/>
      <c r="Z20" s="1014"/>
      <c r="AA20" s="1014"/>
      <c r="AB20" s="1014"/>
      <c r="AC20" s="1014"/>
      <c r="AD20" s="1014"/>
      <c r="AE20" s="1014"/>
      <c r="AF20" s="1014"/>
      <c r="AG20" s="1014"/>
      <c r="AH20" s="1014"/>
      <c r="AI20" s="1014"/>
      <c r="AJ20" s="1014"/>
      <c r="AK20" s="1014"/>
      <c r="AL20" s="1014"/>
      <c r="AM20" s="1014"/>
      <c r="AN20" s="1014"/>
      <c r="AO20" s="1014"/>
      <c r="AP20" s="1014"/>
      <c r="AQ20" s="1014"/>
      <c r="AR20" s="1014"/>
      <c r="AS20" s="1014"/>
      <c r="AT20" s="1015"/>
      <c r="AU20" s="1015"/>
      <c r="AV20" s="1015"/>
      <c r="AW20" s="1015"/>
      <c r="AX20" s="1015"/>
      <c r="AY20" s="1016"/>
      <c r="AZ20" s="403"/>
      <c r="BR20" s="588"/>
      <c r="BS20" s="588"/>
      <c r="BT20" s="588"/>
      <c r="BU20" s="588"/>
      <c r="BV20" s="630"/>
      <c r="BW20" s="630"/>
      <c r="BX20" s="630"/>
      <c r="BY20" s="630"/>
      <c r="BZ20" s="403"/>
      <c r="CA20" s="403"/>
      <c r="CB20" s="403"/>
      <c r="CR20" s="639"/>
      <c r="CS20" s="640"/>
      <c r="CT20" s="640"/>
      <c r="CU20" s="640"/>
      <c r="CV20" s="640"/>
      <c r="CW20" s="640"/>
      <c r="CX20" s="640"/>
      <c r="CY20" s="640"/>
      <c r="CZ20" s="640"/>
      <c r="DA20" s="640"/>
      <c r="DB20" s="640"/>
      <c r="DC20" s="640"/>
      <c r="DD20" s="640"/>
      <c r="DE20" s="640"/>
      <c r="DF20" s="640"/>
      <c r="DG20" s="640"/>
      <c r="DH20" s="640"/>
      <c r="DI20" s="640"/>
      <c r="DJ20" s="640"/>
      <c r="DK20" s="640"/>
      <c r="DL20" s="640"/>
      <c r="DM20" s="640"/>
      <c r="DN20" s="640"/>
      <c r="DO20" s="640"/>
      <c r="DP20" s="640"/>
      <c r="DQ20" s="640"/>
      <c r="DR20" s="640"/>
      <c r="DS20" s="641"/>
    </row>
    <row r="21" spans="1:188" ht="13.5" customHeight="1" x14ac:dyDescent="0.25">
      <c r="A21" s="489"/>
      <c r="AN21" s="551" t="s">
        <v>15315</v>
      </c>
      <c r="AO21" s="551"/>
      <c r="AP21" s="551"/>
      <c r="AQ21" s="551"/>
      <c r="AR21" s="551"/>
      <c r="AS21" s="551"/>
      <c r="AT21" s="551"/>
      <c r="AU21" s="551"/>
      <c r="AV21" s="551"/>
      <c r="AW21" s="551"/>
      <c r="AX21" s="551"/>
      <c r="AY21" s="551"/>
      <c r="BR21" s="588">
        <v>1</v>
      </c>
      <c r="BS21" s="588"/>
      <c r="BT21" s="588" t="s">
        <v>126</v>
      </c>
      <c r="BU21" s="588"/>
      <c r="BV21" s="588"/>
      <c r="BW21" s="588"/>
      <c r="BX21" s="588">
        <v>0</v>
      </c>
      <c r="BY21" s="588"/>
      <c r="DH21" s="551" t="s">
        <v>15317</v>
      </c>
      <c r="DI21" s="551"/>
      <c r="DJ21" s="551"/>
      <c r="DK21" s="551"/>
      <c r="DL21" s="551"/>
      <c r="DM21" s="551"/>
      <c r="DN21" s="551"/>
      <c r="DO21" s="551"/>
      <c r="DP21" s="551"/>
      <c r="DQ21" s="551"/>
      <c r="DR21" s="551"/>
      <c r="DS21" s="551"/>
    </row>
    <row r="22" spans="1:188" ht="13.5" customHeight="1" x14ac:dyDescent="0.25">
      <c r="A22" s="489"/>
      <c r="AN22" s="552"/>
      <c r="AO22" s="552"/>
      <c r="AP22" s="552"/>
      <c r="AQ22" s="552"/>
      <c r="AR22" s="552"/>
      <c r="AS22" s="552"/>
      <c r="AT22" s="552"/>
      <c r="AU22" s="552"/>
      <c r="AV22" s="552"/>
      <c r="AW22" s="552"/>
      <c r="AX22" s="552"/>
      <c r="AY22" s="552"/>
      <c r="BR22" s="588"/>
      <c r="BS22" s="588"/>
      <c r="BT22" s="588"/>
      <c r="BU22" s="588"/>
      <c r="BV22" s="588"/>
      <c r="BW22" s="588"/>
      <c r="BX22" s="588"/>
      <c r="BY22" s="588"/>
      <c r="DH22" s="552"/>
      <c r="DI22" s="552"/>
      <c r="DJ22" s="552"/>
      <c r="DK22" s="552"/>
      <c r="DL22" s="552"/>
      <c r="DM22" s="552"/>
      <c r="DN22" s="552"/>
      <c r="DO22" s="552"/>
      <c r="DP22" s="552"/>
      <c r="DQ22" s="552"/>
      <c r="DR22" s="552"/>
      <c r="DS22" s="552"/>
      <c r="EP22" s="624" t="s">
        <v>690</v>
      </c>
      <c r="EQ22" s="625"/>
      <c r="ER22" s="625"/>
      <c r="ES22" s="625"/>
      <c r="ET22" s="625"/>
      <c r="EU22" s="625"/>
      <c r="EV22" s="625"/>
      <c r="EW22" s="625"/>
      <c r="EX22" s="625"/>
      <c r="EY22" s="625"/>
      <c r="EZ22" s="625"/>
      <c r="FA22" s="625"/>
      <c r="FB22" s="625"/>
      <c r="FC22" s="625"/>
      <c r="FD22" s="625"/>
      <c r="FE22" s="625"/>
      <c r="FF22" s="626"/>
    </row>
    <row r="23" spans="1:188" ht="13.5" customHeight="1" x14ac:dyDescent="0.25">
      <c r="A23" s="489"/>
      <c r="BR23" s="588"/>
      <c r="BS23" s="588"/>
      <c r="BT23" s="588" t="s">
        <v>407</v>
      </c>
      <c r="BU23" s="588"/>
      <c r="BV23" s="588"/>
      <c r="BW23" s="588"/>
      <c r="BX23" s="588"/>
      <c r="BY23" s="588"/>
      <c r="EP23" s="627"/>
      <c r="EQ23" s="628"/>
      <c r="ER23" s="628"/>
      <c r="ES23" s="628"/>
      <c r="ET23" s="628"/>
      <c r="EU23" s="628"/>
      <c r="EV23" s="628"/>
      <c r="EW23" s="628"/>
      <c r="EX23" s="628"/>
      <c r="EY23" s="628"/>
      <c r="EZ23" s="628"/>
      <c r="FA23" s="628"/>
      <c r="FB23" s="628"/>
      <c r="FC23" s="628"/>
      <c r="FD23" s="628"/>
      <c r="FE23" s="628"/>
      <c r="FF23" s="629"/>
    </row>
    <row r="24" spans="1:188" ht="13.5" customHeight="1" x14ac:dyDescent="0.25">
      <c r="A24" s="489"/>
      <c r="AF24" s="631" t="str">
        <f>D5</f>
        <v>県人工芝</v>
      </c>
      <c r="AG24" s="631"/>
      <c r="AH24" s="631"/>
      <c r="AI24" s="631"/>
      <c r="AJ24" s="631"/>
      <c r="AK24" s="631"/>
      <c r="AL24" s="631"/>
      <c r="AM24" s="631"/>
      <c r="AN24" s="631"/>
      <c r="AO24" s="631"/>
      <c r="AP24" s="631"/>
      <c r="AQ24" s="631"/>
      <c r="AT24" s="403"/>
      <c r="AU24" s="403"/>
      <c r="AV24" s="403"/>
      <c r="AW24" s="403"/>
      <c r="AX24" s="403"/>
      <c r="AY24" s="403"/>
      <c r="AZ24" s="403"/>
      <c r="BR24" s="588"/>
      <c r="BS24" s="588"/>
      <c r="BT24" s="588"/>
      <c r="BU24" s="588"/>
      <c r="BV24" s="630"/>
      <c r="BW24" s="630"/>
      <c r="BX24" s="630"/>
      <c r="BY24" s="630"/>
      <c r="BZ24" s="403"/>
      <c r="CA24" s="403"/>
      <c r="CB24" s="403"/>
      <c r="CZ24" s="631" t="str">
        <f>D5</f>
        <v>県人工芝</v>
      </c>
      <c r="DA24" s="631"/>
      <c r="DB24" s="631"/>
      <c r="DC24" s="631"/>
      <c r="DD24" s="631"/>
      <c r="DE24" s="631"/>
      <c r="DF24" s="631"/>
      <c r="DG24" s="631"/>
      <c r="DH24" s="631"/>
      <c r="DI24" s="631"/>
      <c r="DJ24" s="631"/>
      <c r="DK24" s="631"/>
      <c r="EP24" s="1002" t="s">
        <v>15268</v>
      </c>
      <c r="EQ24" s="1003"/>
      <c r="ER24" s="1003"/>
      <c r="ES24" s="1003"/>
      <c r="ET24" s="1003"/>
      <c r="EU24" s="1003"/>
      <c r="EV24" s="1003"/>
      <c r="EW24" s="1003"/>
      <c r="EX24" s="1003"/>
      <c r="EY24" s="1003"/>
      <c r="EZ24" s="1003"/>
      <c r="FA24" s="1003"/>
      <c r="FB24" s="1003"/>
      <c r="FC24" s="1003"/>
      <c r="FD24" s="1003"/>
      <c r="FE24" s="1003"/>
      <c r="FF24" s="1003"/>
      <c r="FG24" s="1003"/>
      <c r="FH24" s="1003"/>
      <c r="FI24" s="1003"/>
      <c r="FJ24" s="1003"/>
      <c r="FK24" s="1003"/>
      <c r="FL24" s="1003"/>
      <c r="FM24" s="1003"/>
      <c r="FN24" s="1003"/>
      <c r="FO24" s="1003"/>
      <c r="FP24" s="1003"/>
      <c r="FQ24" s="1003"/>
      <c r="FR24" s="1003"/>
      <c r="FS24" s="1003"/>
      <c r="FT24" s="1003"/>
      <c r="FU24" s="1003"/>
      <c r="FV24" s="1003"/>
      <c r="FW24" s="1003"/>
      <c r="FX24" s="1003"/>
      <c r="FY24" s="1003"/>
      <c r="FZ24" s="1003"/>
      <c r="GA24" s="1004"/>
    </row>
    <row r="25" spans="1:188" ht="13.5" customHeight="1" x14ac:dyDescent="0.25">
      <c r="AF25" s="631"/>
      <c r="AG25" s="631"/>
      <c r="AH25" s="631"/>
      <c r="AI25" s="631"/>
      <c r="AJ25" s="631"/>
      <c r="AK25" s="631"/>
      <c r="AL25" s="631"/>
      <c r="AM25" s="631"/>
      <c r="AN25" s="631"/>
      <c r="AO25" s="631"/>
      <c r="AP25" s="631"/>
      <c r="AQ25" s="631"/>
      <c r="BR25" s="64"/>
      <c r="BS25" s="64"/>
      <c r="BT25" s="64"/>
      <c r="BU25" s="64"/>
      <c r="BV25" s="64"/>
      <c r="BW25" s="64"/>
      <c r="BX25" s="64"/>
      <c r="BY25" s="64"/>
      <c r="CZ25" s="631"/>
      <c r="DA25" s="631"/>
      <c r="DB25" s="631"/>
      <c r="DC25" s="631"/>
      <c r="DD25" s="631"/>
      <c r="DE25" s="631"/>
      <c r="DF25" s="631"/>
      <c r="DG25" s="631"/>
      <c r="DH25" s="631"/>
      <c r="DI25" s="631"/>
      <c r="DJ25" s="631"/>
      <c r="DK25" s="631"/>
      <c r="EP25" s="1005"/>
      <c r="EQ25" s="1006"/>
      <c r="ER25" s="1006"/>
      <c r="ES25" s="1006"/>
      <c r="ET25" s="1006"/>
      <c r="EU25" s="1006"/>
      <c r="EV25" s="1006"/>
      <c r="EW25" s="1006"/>
      <c r="EX25" s="1006"/>
      <c r="EY25" s="1006"/>
      <c r="EZ25" s="1006"/>
      <c r="FA25" s="1006"/>
      <c r="FB25" s="1006"/>
      <c r="FC25" s="1006"/>
      <c r="FD25" s="1006"/>
      <c r="FE25" s="1006"/>
      <c r="FF25" s="1006"/>
      <c r="FG25" s="1006"/>
      <c r="FH25" s="1006"/>
      <c r="FI25" s="1006"/>
      <c r="FJ25" s="1006"/>
      <c r="FK25" s="1006"/>
      <c r="FL25" s="1006"/>
      <c r="FM25" s="1006"/>
      <c r="FN25" s="1006"/>
      <c r="FO25" s="1006"/>
      <c r="FP25" s="1006"/>
      <c r="FQ25" s="1006"/>
      <c r="FR25" s="1006"/>
      <c r="FS25" s="1006"/>
      <c r="FT25" s="1006"/>
      <c r="FU25" s="1006"/>
      <c r="FV25" s="1006"/>
      <c r="FW25" s="1006"/>
      <c r="FX25" s="1006"/>
      <c r="FY25" s="1006"/>
      <c r="FZ25" s="1006"/>
      <c r="GA25" s="1007"/>
    </row>
    <row r="26" spans="1:188" ht="13.5" customHeight="1" x14ac:dyDescent="0.25">
      <c r="AH26" s="631" t="s">
        <v>15337</v>
      </c>
      <c r="AI26" s="631"/>
      <c r="AJ26" s="631"/>
      <c r="AK26" s="631"/>
      <c r="AL26" s="631"/>
      <c r="AM26" s="631"/>
      <c r="AN26" s="631"/>
      <c r="AO26" s="631"/>
      <c r="BR26" s="64"/>
      <c r="BS26" s="64"/>
      <c r="BT26" s="64"/>
      <c r="BU26" s="64"/>
      <c r="BV26" s="64"/>
      <c r="BW26" s="64"/>
      <c r="BX26" s="64"/>
      <c r="BY26" s="64"/>
      <c r="DB26" s="631" t="s">
        <v>15337</v>
      </c>
      <c r="DC26" s="631"/>
      <c r="DD26" s="631"/>
      <c r="DE26" s="631"/>
      <c r="DF26" s="631"/>
      <c r="DG26" s="631"/>
      <c r="DH26" s="631"/>
      <c r="DI26" s="631"/>
      <c r="EP26" s="40"/>
      <c r="EQ26" s="40"/>
      <c r="ER26" s="40"/>
      <c r="ES26" s="40"/>
      <c r="ET26" s="40"/>
      <c r="EU26" s="40"/>
      <c r="EV26" s="40"/>
      <c r="EW26" s="40"/>
      <c r="EX26" s="40"/>
      <c r="EY26" s="40"/>
      <c r="EZ26" s="40"/>
      <c r="FA26" s="40"/>
      <c r="FB26" s="40"/>
      <c r="FC26" s="40"/>
      <c r="FD26" s="40"/>
      <c r="FE26" s="40"/>
      <c r="FF26" s="40"/>
      <c r="FG26" s="40"/>
      <c r="FH26" s="40"/>
      <c r="FI26" s="40"/>
      <c r="FJ26" s="40"/>
      <c r="FK26" s="40"/>
      <c r="FL26" s="40"/>
      <c r="FM26" s="40"/>
      <c r="FN26" s="40"/>
      <c r="FO26" s="40"/>
      <c r="FP26" s="40"/>
      <c r="FQ26" s="40"/>
      <c r="FR26" s="40"/>
      <c r="FS26" s="40"/>
      <c r="FT26" s="40"/>
      <c r="FU26" s="40"/>
      <c r="FV26" s="40"/>
      <c r="FW26" s="40"/>
      <c r="FX26" s="40"/>
      <c r="FY26" s="40"/>
      <c r="FZ26" s="40"/>
      <c r="GA26" s="40"/>
    </row>
    <row r="27" spans="1:188" ht="13.5" customHeight="1" x14ac:dyDescent="0.25">
      <c r="A27" s="268"/>
      <c r="E27" s="54"/>
      <c r="F27" s="604" t="s">
        <v>688</v>
      </c>
      <c r="G27" s="605"/>
      <c r="H27" s="605"/>
      <c r="I27" s="605"/>
      <c r="J27" s="605"/>
      <c r="K27" s="606"/>
      <c r="L27" s="613" t="s">
        <v>15267</v>
      </c>
      <c r="M27" s="614"/>
      <c r="N27" s="614"/>
      <c r="O27" s="614"/>
      <c r="P27" s="614"/>
      <c r="Q27" s="614"/>
      <c r="R27" s="614"/>
      <c r="S27" s="614"/>
      <c r="T27" s="614"/>
      <c r="U27" s="614"/>
      <c r="V27" s="614"/>
      <c r="W27" s="614"/>
      <c r="X27" s="614"/>
      <c r="Y27" s="614"/>
      <c r="Z27" s="614"/>
      <c r="AA27" s="614"/>
      <c r="AB27" s="614"/>
      <c r="AC27" s="614"/>
      <c r="AD27" s="614"/>
      <c r="AE27" s="614"/>
      <c r="AF27" s="614"/>
      <c r="AG27" s="615"/>
      <c r="AH27" s="631"/>
      <c r="AI27" s="631"/>
      <c r="AJ27" s="631"/>
      <c r="AK27" s="631"/>
      <c r="AL27" s="631"/>
      <c r="AM27" s="631"/>
      <c r="AN27" s="631"/>
      <c r="AO27" s="631"/>
      <c r="AP27" s="604" t="s">
        <v>689</v>
      </c>
      <c r="AQ27" s="605"/>
      <c r="AR27" s="605"/>
      <c r="AS27" s="605"/>
      <c r="AT27" s="605"/>
      <c r="AU27" s="606"/>
      <c r="AV27" s="613" t="s">
        <v>15287</v>
      </c>
      <c r="AW27" s="614"/>
      <c r="AX27" s="614"/>
      <c r="AY27" s="614"/>
      <c r="AZ27" s="614"/>
      <c r="BA27" s="614"/>
      <c r="BB27" s="614"/>
      <c r="BC27" s="614"/>
      <c r="BD27" s="614"/>
      <c r="BE27" s="614"/>
      <c r="BF27" s="614"/>
      <c r="BG27" s="614"/>
      <c r="BH27" s="614"/>
      <c r="BI27" s="614"/>
      <c r="BJ27" s="614"/>
      <c r="BK27" s="614"/>
      <c r="BL27" s="614"/>
      <c r="BM27" s="614"/>
      <c r="BN27" s="614"/>
      <c r="BO27" s="614"/>
      <c r="BP27" s="614"/>
      <c r="BQ27" s="615"/>
      <c r="BZ27" s="604" t="s">
        <v>692</v>
      </c>
      <c r="CA27" s="605"/>
      <c r="CB27" s="605"/>
      <c r="CC27" s="605"/>
      <c r="CD27" s="605"/>
      <c r="CE27" s="606"/>
      <c r="CF27" s="613" t="s">
        <v>15268</v>
      </c>
      <c r="CG27" s="614"/>
      <c r="CH27" s="614"/>
      <c r="CI27" s="614"/>
      <c r="CJ27" s="614"/>
      <c r="CK27" s="614"/>
      <c r="CL27" s="614"/>
      <c r="CM27" s="614"/>
      <c r="CN27" s="614"/>
      <c r="CO27" s="614"/>
      <c r="CP27" s="614"/>
      <c r="CQ27" s="614"/>
      <c r="CR27" s="614"/>
      <c r="CS27" s="614"/>
      <c r="CT27" s="614"/>
      <c r="CU27" s="614"/>
      <c r="CV27" s="614"/>
      <c r="CW27" s="614"/>
      <c r="CX27" s="614"/>
      <c r="CY27" s="614"/>
      <c r="CZ27" s="614"/>
      <c r="DA27" s="615"/>
      <c r="DB27" s="631"/>
      <c r="DC27" s="631"/>
      <c r="DD27" s="631"/>
      <c r="DE27" s="631"/>
      <c r="DF27" s="631"/>
      <c r="DG27" s="631"/>
      <c r="DH27" s="631"/>
      <c r="DI27" s="631"/>
      <c r="DJ27" s="604" t="s">
        <v>693</v>
      </c>
      <c r="DK27" s="605"/>
      <c r="DL27" s="605"/>
      <c r="DM27" s="605"/>
      <c r="DN27" s="605"/>
      <c r="DO27" s="606"/>
      <c r="DP27" s="601" t="s">
        <v>15281</v>
      </c>
      <c r="DQ27" s="602"/>
      <c r="DR27" s="602"/>
      <c r="DS27" s="602"/>
      <c r="DT27" s="602"/>
      <c r="DU27" s="602"/>
      <c r="DV27" s="602"/>
      <c r="DW27" s="602"/>
      <c r="DX27" s="602"/>
      <c r="DY27" s="602"/>
      <c r="DZ27" s="602"/>
      <c r="EA27" s="602"/>
      <c r="EB27" s="602"/>
      <c r="EC27" s="602"/>
      <c r="ED27" s="602"/>
      <c r="EE27" s="602"/>
      <c r="EF27" s="602"/>
      <c r="EG27" s="602"/>
      <c r="EH27" s="602"/>
      <c r="EI27" s="602"/>
      <c r="EJ27" s="602"/>
      <c r="EK27" s="603"/>
      <c r="EL27" s="68"/>
      <c r="EM27" s="68"/>
      <c r="EN27" s="68"/>
      <c r="EO27" s="68"/>
      <c r="EP27" s="58"/>
      <c r="EQ27" s="58"/>
      <c r="ER27" s="58"/>
      <c r="ES27" s="58"/>
      <c r="ET27" s="58"/>
      <c r="EU27" s="58"/>
      <c r="EV27" s="58"/>
      <c r="EW27" s="58"/>
      <c r="EX27" s="58"/>
      <c r="EY27" s="58"/>
      <c r="EZ27" s="58"/>
      <c r="FA27" s="58"/>
      <c r="FB27" s="58"/>
      <c r="FC27" s="58"/>
      <c r="FD27" s="58"/>
      <c r="FE27" s="58"/>
      <c r="FF27" s="58"/>
      <c r="FG27" s="58"/>
      <c r="FH27" s="58"/>
      <c r="FI27" s="58"/>
      <c r="FJ27" s="58"/>
      <c r="FK27" s="58"/>
      <c r="FL27" s="58"/>
      <c r="FM27" s="58"/>
      <c r="FN27" s="58"/>
      <c r="FO27" s="58"/>
      <c r="FP27" s="58"/>
      <c r="FQ27" s="58"/>
      <c r="FR27" s="58"/>
      <c r="FS27" s="58"/>
      <c r="FT27" s="58"/>
      <c r="FU27" s="58"/>
      <c r="FV27" s="58"/>
      <c r="FW27" s="58"/>
      <c r="FX27" s="58"/>
      <c r="FY27" s="58"/>
      <c r="FZ27" s="58"/>
      <c r="GA27" s="58"/>
    </row>
    <row r="28" spans="1:188" ht="13.5" customHeight="1" x14ac:dyDescent="0.25">
      <c r="A28" s="268"/>
      <c r="D28" s="54"/>
      <c r="E28" s="54"/>
      <c r="F28" s="607"/>
      <c r="G28" s="608"/>
      <c r="H28" s="608"/>
      <c r="I28" s="608"/>
      <c r="J28" s="608"/>
      <c r="K28" s="609"/>
      <c r="L28" s="616"/>
      <c r="M28" s="617"/>
      <c r="N28" s="617"/>
      <c r="O28" s="617"/>
      <c r="P28" s="617"/>
      <c r="Q28" s="617"/>
      <c r="R28" s="617"/>
      <c r="S28" s="617"/>
      <c r="T28" s="617"/>
      <c r="U28" s="617"/>
      <c r="V28" s="617"/>
      <c r="W28" s="617"/>
      <c r="X28" s="617"/>
      <c r="Y28" s="617"/>
      <c r="Z28" s="617"/>
      <c r="AA28" s="617"/>
      <c r="AB28" s="617"/>
      <c r="AC28" s="617"/>
      <c r="AD28" s="617"/>
      <c r="AE28" s="617"/>
      <c r="AF28" s="617"/>
      <c r="AG28" s="618"/>
      <c r="AH28" s="622"/>
      <c r="AI28" s="588"/>
      <c r="AJ28" s="588" t="s">
        <v>61</v>
      </c>
      <c r="AK28" s="588"/>
      <c r="AL28" s="588"/>
      <c r="AM28" s="588"/>
      <c r="AN28" s="588"/>
      <c r="AO28" s="623"/>
      <c r="AP28" s="607"/>
      <c r="AQ28" s="608"/>
      <c r="AR28" s="608"/>
      <c r="AS28" s="608"/>
      <c r="AT28" s="608"/>
      <c r="AU28" s="609"/>
      <c r="AV28" s="616"/>
      <c r="AW28" s="617"/>
      <c r="AX28" s="617"/>
      <c r="AY28" s="617"/>
      <c r="AZ28" s="617"/>
      <c r="BA28" s="617"/>
      <c r="BB28" s="617"/>
      <c r="BC28" s="617"/>
      <c r="BD28" s="617"/>
      <c r="BE28" s="617"/>
      <c r="BF28" s="617"/>
      <c r="BG28" s="617"/>
      <c r="BH28" s="617"/>
      <c r="BI28" s="617"/>
      <c r="BJ28" s="617"/>
      <c r="BK28" s="617"/>
      <c r="BL28" s="617"/>
      <c r="BM28" s="617"/>
      <c r="BN28" s="617"/>
      <c r="BO28" s="617"/>
      <c r="BP28" s="617"/>
      <c r="BQ28" s="618"/>
      <c r="BZ28" s="607"/>
      <c r="CA28" s="608"/>
      <c r="CB28" s="608"/>
      <c r="CC28" s="608"/>
      <c r="CD28" s="608"/>
      <c r="CE28" s="609"/>
      <c r="CF28" s="616"/>
      <c r="CG28" s="617"/>
      <c r="CH28" s="617"/>
      <c r="CI28" s="617"/>
      <c r="CJ28" s="617"/>
      <c r="CK28" s="617"/>
      <c r="CL28" s="617"/>
      <c r="CM28" s="617"/>
      <c r="CN28" s="617"/>
      <c r="CO28" s="617"/>
      <c r="CP28" s="617"/>
      <c r="CQ28" s="617"/>
      <c r="CR28" s="617"/>
      <c r="CS28" s="617"/>
      <c r="CT28" s="617"/>
      <c r="CU28" s="617"/>
      <c r="CV28" s="617"/>
      <c r="CW28" s="617"/>
      <c r="CX28" s="617"/>
      <c r="CY28" s="617"/>
      <c r="CZ28" s="617"/>
      <c r="DA28" s="618"/>
      <c r="DB28" s="622">
        <v>0</v>
      </c>
      <c r="DC28" s="588"/>
      <c r="DD28" s="588" t="s">
        <v>61</v>
      </c>
      <c r="DE28" s="588"/>
      <c r="DF28" s="588"/>
      <c r="DG28" s="588"/>
      <c r="DH28" s="588">
        <v>0</v>
      </c>
      <c r="DI28" s="623"/>
      <c r="DJ28" s="607"/>
      <c r="DK28" s="608"/>
      <c r="DL28" s="608"/>
      <c r="DM28" s="608"/>
      <c r="DN28" s="608"/>
      <c r="DO28" s="609"/>
      <c r="DP28" s="589"/>
      <c r="DQ28" s="590"/>
      <c r="DR28" s="590"/>
      <c r="DS28" s="590"/>
      <c r="DT28" s="590"/>
      <c r="DU28" s="590"/>
      <c r="DV28" s="590"/>
      <c r="DW28" s="590"/>
      <c r="DX28" s="590"/>
      <c r="DY28" s="590"/>
      <c r="DZ28" s="590"/>
      <c r="EA28" s="590"/>
      <c r="EB28" s="590"/>
      <c r="EC28" s="590"/>
      <c r="ED28" s="590"/>
      <c r="EE28" s="590"/>
      <c r="EF28" s="590"/>
      <c r="EG28" s="590"/>
      <c r="EH28" s="590"/>
      <c r="EI28" s="590"/>
      <c r="EJ28" s="590"/>
      <c r="EK28" s="644"/>
      <c r="EL28" s="68"/>
      <c r="EM28" s="68"/>
      <c r="EN28" s="68"/>
      <c r="EO28" s="68"/>
      <c r="EP28" s="46"/>
      <c r="EQ28" s="46"/>
      <c r="ER28" s="46"/>
      <c r="ES28" s="46"/>
      <c r="ET28" s="46"/>
      <c r="EU28" s="46"/>
      <c r="EV28" s="46"/>
      <c r="EW28" s="46"/>
      <c r="EX28" s="46"/>
      <c r="EY28" s="46"/>
      <c r="EZ28" s="46"/>
      <c r="FA28" s="46"/>
      <c r="FB28" s="46"/>
      <c r="FC28" s="46"/>
      <c r="FD28" s="46"/>
      <c r="FE28" s="46"/>
      <c r="FF28" s="46"/>
    </row>
    <row r="29" spans="1:188" ht="13.5" customHeight="1" x14ac:dyDescent="0.25">
      <c r="A29" s="266"/>
      <c r="D29" s="54"/>
      <c r="E29" s="54"/>
      <c r="F29" s="610"/>
      <c r="G29" s="611"/>
      <c r="H29" s="611"/>
      <c r="I29" s="611"/>
      <c r="J29" s="611"/>
      <c r="K29" s="612"/>
      <c r="L29" s="619"/>
      <c r="M29" s="620"/>
      <c r="N29" s="620"/>
      <c r="O29" s="620"/>
      <c r="P29" s="620"/>
      <c r="Q29" s="620"/>
      <c r="R29" s="620"/>
      <c r="S29" s="620"/>
      <c r="T29" s="620"/>
      <c r="U29" s="620"/>
      <c r="V29" s="620"/>
      <c r="W29" s="620"/>
      <c r="X29" s="620"/>
      <c r="Y29" s="620"/>
      <c r="Z29" s="620"/>
      <c r="AA29" s="620"/>
      <c r="AB29" s="620"/>
      <c r="AC29" s="620"/>
      <c r="AD29" s="620"/>
      <c r="AE29" s="620"/>
      <c r="AF29" s="620"/>
      <c r="AG29" s="621"/>
      <c r="AH29" s="622"/>
      <c r="AI29" s="588"/>
      <c r="AJ29" s="588"/>
      <c r="AK29" s="588"/>
      <c r="AL29" s="588"/>
      <c r="AM29" s="588"/>
      <c r="AN29" s="588"/>
      <c r="AO29" s="623"/>
      <c r="AP29" s="610"/>
      <c r="AQ29" s="611"/>
      <c r="AR29" s="611"/>
      <c r="AS29" s="611"/>
      <c r="AT29" s="611"/>
      <c r="AU29" s="612"/>
      <c r="AV29" s="619"/>
      <c r="AW29" s="620"/>
      <c r="AX29" s="620"/>
      <c r="AY29" s="620"/>
      <c r="AZ29" s="620"/>
      <c r="BA29" s="620"/>
      <c r="BB29" s="620"/>
      <c r="BC29" s="620"/>
      <c r="BD29" s="620"/>
      <c r="BE29" s="620"/>
      <c r="BF29" s="620"/>
      <c r="BG29" s="620"/>
      <c r="BH29" s="620"/>
      <c r="BI29" s="620"/>
      <c r="BJ29" s="620"/>
      <c r="BK29" s="620"/>
      <c r="BL29" s="620"/>
      <c r="BM29" s="620"/>
      <c r="BN29" s="620"/>
      <c r="BO29" s="620"/>
      <c r="BP29" s="620"/>
      <c r="BQ29" s="621"/>
      <c r="BR29" s="68"/>
      <c r="BS29" s="68"/>
      <c r="BT29" s="68"/>
      <c r="BU29" s="68"/>
      <c r="BV29" s="54"/>
      <c r="BW29" s="54"/>
      <c r="BX29" s="54"/>
      <c r="BY29" s="54"/>
      <c r="BZ29" s="610"/>
      <c r="CA29" s="611"/>
      <c r="CB29" s="611"/>
      <c r="CC29" s="611"/>
      <c r="CD29" s="611"/>
      <c r="CE29" s="612"/>
      <c r="CF29" s="619"/>
      <c r="CG29" s="620"/>
      <c r="CH29" s="620"/>
      <c r="CI29" s="620"/>
      <c r="CJ29" s="620"/>
      <c r="CK29" s="620"/>
      <c r="CL29" s="620"/>
      <c r="CM29" s="620"/>
      <c r="CN29" s="620"/>
      <c r="CO29" s="620"/>
      <c r="CP29" s="620"/>
      <c r="CQ29" s="620"/>
      <c r="CR29" s="620"/>
      <c r="CS29" s="620"/>
      <c r="CT29" s="620"/>
      <c r="CU29" s="620"/>
      <c r="CV29" s="620"/>
      <c r="CW29" s="620"/>
      <c r="CX29" s="620"/>
      <c r="CY29" s="620"/>
      <c r="CZ29" s="620"/>
      <c r="DA29" s="621"/>
      <c r="DB29" s="622"/>
      <c r="DC29" s="588"/>
      <c r="DD29" s="588"/>
      <c r="DE29" s="588"/>
      <c r="DF29" s="588"/>
      <c r="DG29" s="588"/>
      <c r="DH29" s="588"/>
      <c r="DI29" s="623"/>
      <c r="DJ29" s="610"/>
      <c r="DK29" s="611"/>
      <c r="DL29" s="611"/>
      <c r="DM29" s="611"/>
      <c r="DN29" s="611"/>
      <c r="DO29" s="612"/>
      <c r="DP29" s="591"/>
      <c r="DQ29" s="592"/>
      <c r="DR29" s="592"/>
      <c r="DS29" s="592"/>
      <c r="DT29" s="592"/>
      <c r="DU29" s="592"/>
      <c r="DV29" s="592"/>
      <c r="DW29" s="592"/>
      <c r="DX29" s="592"/>
      <c r="DY29" s="592"/>
      <c r="DZ29" s="592"/>
      <c r="EA29" s="592"/>
      <c r="EB29" s="592"/>
      <c r="EC29" s="592"/>
      <c r="ED29" s="592"/>
      <c r="EE29" s="592"/>
      <c r="EF29" s="592"/>
      <c r="EG29" s="592"/>
      <c r="EH29" s="592"/>
      <c r="EI29" s="592"/>
      <c r="EJ29" s="592"/>
      <c r="EK29" s="632"/>
      <c r="EL29" s="68"/>
      <c r="EM29" s="68"/>
      <c r="EN29" s="68"/>
      <c r="EO29" s="68"/>
      <c r="EP29" s="46"/>
      <c r="EQ29" s="46"/>
      <c r="ER29" s="46"/>
      <c r="ES29" s="46"/>
      <c r="ET29" s="46"/>
      <c r="EU29" s="46"/>
      <c r="EV29" s="46"/>
      <c r="EW29" s="46"/>
      <c r="EX29" s="46"/>
      <c r="EY29" s="46"/>
      <c r="EZ29" s="46"/>
      <c r="FA29" s="46"/>
      <c r="FB29" s="46"/>
      <c r="FC29" s="46"/>
      <c r="FD29" s="46"/>
      <c r="FE29" s="46"/>
      <c r="FF29" s="46"/>
    </row>
    <row r="30" spans="1:188" ht="13.5" customHeight="1" x14ac:dyDescent="0.25">
      <c r="A30" s="267"/>
      <c r="S30" s="55"/>
      <c r="T30" s="57"/>
      <c r="U30" s="63"/>
      <c r="V30" s="551" t="s">
        <v>15315</v>
      </c>
      <c r="W30" s="551"/>
      <c r="X30" s="551"/>
      <c r="Y30" s="551"/>
      <c r="Z30" s="551"/>
      <c r="AA30" s="551"/>
      <c r="AB30" s="551"/>
      <c r="AC30" s="551"/>
      <c r="AD30" s="551"/>
      <c r="AE30" s="551"/>
      <c r="AF30" s="551"/>
      <c r="AG30" s="551"/>
      <c r="AH30" s="588">
        <v>4</v>
      </c>
      <c r="AI30" s="588"/>
      <c r="AJ30" s="588" t="s">
        <v>126</v>
      </c>
      <c r="AK30" s="588"/>
      <c r="AL30" s="588"/>
      <c r="AM30" s="588"/>
      <c r="AN30" s="588">
        <v>0</v>
      </c>
      <c r="AO30" s="588"/>
      <c r="BC30" s="55"/>
      <c r="BD30" s="57"/>
      <c r="BF30" s="551" t="s">
        <v>15315</v>
      </c>
      <c r="BG30" s="551"/>
      <c r="BH30" s="551"/>
      <c r="BI30" s="551"/>
      <c r="BJ30" s="551"/>
      <c r="BK30" s="551"/>
      <c r="BL30" s="551"/>
      <c r="BM30" s="551"/>
      <c r="BN30" s="551"/>
      <c r="BO30" s="551"/>
      <c r="BP30" s="551"/>
      <c r="BQ30" s="551"/>
      <c r="CM30" s="55"/>
      <c r="CN30" s="57"/>
      <c r="CP30" s="551" t="s">
        <v>15316</v>
      </c>
      <c r="CQ30" s="551"/>
      <c r="CR30" s="551"/>
      <c r="CS30" s="551"/>
      <c r="CT30" s="551"/>
      <c r="CU30" s="551"/>
      <c r="CV30" s="551"/>
      <c r="CW30" s="551"/>
      <c r="CX30" s="551"/>
      <c r="CY30" s="551"/>
      <c r="CZ30" s="551"/>
      <c r="DA30" s="551"/>
      <c r="DB30" s="588">
        <v>0</v>
      </c>
      <c r="DC30" s="588"/>
      <c r="DD30" s="588" t="s">
        <v>126</v>
      </c>
      <c r="DE30" s="588"/>
      <c r="DF30" s="588"/>
      <c r="DG30" s="588"/>
      <c r="DH30" s="588">
        <v>0</v>
      </c>
      <c r="DI30" s="588"/>
      <c r="DW30" s="55"/>
      <c r="DX30" s="57"/>
      <c r="DZ30" s="551" t="s">
        <v>15317</v>
      </c>
      <c r="EA30" s="551"/>
      <c r="EB30" s="551"/>
      <c r="EC30" s="551"/>
      <c r="ED30" s="551"/>
      <c r="EE30" s="551"/>
      <c r="EF30" s="551"/>
      <c r="EG30" s="551"/>
      <c r="EH30" s="551"/>
      <c r="EI30" s="551"/>
      <c r="EJ30" s="551"/>
      <c r="EK30" s="551"/>
      <c r="EP30" s="39"/>
      <c r="EQ30" s="39"/>
      <c r="ER30" s="39"/>
      <c r="ES30" s="39"/>
      <c r="ET30" s="39"/>
      <c r="EU30" s="39"/>
      <c r="EV30" s="39"/>
      <c r="EW30" s="39"/>
      <c r="EX30" s="39"/>
      <c r="EY30" s="39"/>
      <c r="EZ30" s="39"/>
      <c r="FA30" s="39"/>
      <c r="FB30" s="39"/>
      <c r="FC30" s="39"/>
      <c r="FD30" s="39"/>
      <c r="FE30" s="39"/>
      <c r="FF30" s="39"/>
      <c r="FG30" s="39"/>
      <c r="FH30" s="39"/>
      <c r="FI30" s="39"/>
      <c r="FJ30" s="39"/>
      <c r="FK30" s="39"/>
      <c r="FL30" s="39"/>
      <c r="FM30" s="39"/>
      <c r="FN30" s="39"/>
      <c r="FO30" s="39"/>
      <c r="FP30" s="39"/>
      <c r="FQ30" s="39"/>
      <c r="FR30" s="39"/>
      <c r="FS30" s="39"/>
      <c r="FT30" s="39"/>
      <c r="FU30" s="39"/>
      <c r="FV30" s="39"/>
      <c r="FW30" s="39"/>
      <c r="FX30" s="39"/>
      <c r="FY30" s="39"/>
      <c r="FZ30" s="39"/>
      <c r="GA30" s="39"/>
    </row>
    <row r="31" spans="1:188" ht="13.5" customHeight="1" x14ac:dyDescent="0.25">
      <c r="A31" s="268"/>
      <c r="S31" s="55"/>
      <c r="T31" s="57"/>
      <c r="U31" s="64"/>
      <c r="V31" s="552"/>
      <c r="W31" s="552"/>
      <c r="X31" s="552"/>
      <c r="Y31" s="552"/>
      <c r="Z31" s="552"/>
      <c r="AA31" s="552"/>
      <c r="AB31" s="552"/>
      <c r="AC31" s="552"/>
      <c r="AD31" s="552"/>
      <c r="AE31" s="552"/>
      <c r="AF31" s="552"/>
      <c r="AG31" s="552"/>
      <c r="AH31" s="588"/>
      <c r="AI31" s="588"/>
      <c r="AJ31" s="588"/>
      <c r="AK31" s="588"/>
      <c r="AL31" s="588"/>
      <c r="AM31" s="588"/>
      <c r="AN31" s="588"/>
      <c r="AO31" s="588"/>
      <c r="BC31" s="55"/>
      <c r="BD31" s="57"/>
      <c r="BF31" s="552"/>
      <c r="BG31" s="552"/>
      <c r="BH31" s="552"/>
      <c r="BI31" s="552"/>
      <c r="BJ31" s="552"/>
      <c r="BK31" s="552"/>
      <c r="BL31" s="552"/>
      <c r="BM31" s="552"/>
      <c r="BN31" s="552"/>
      <c r="BO31" s="552"/>
      <c r="BP31" s="552"/>
      <c r="BQ31" s="552"/>
      <c r="CM31" s="55"/>
      <c r="CN31" s="57"/>
      <c r="CP31" s="552"/>
      <c r="CQ31" s="552"/>
      <c r="CR31" s="552"/>
      <c r="CS31" s="552"/>
      <c r="CT31" s="552"/>
      <c r="CU31" s="552"/>
      <c r="CV31" s="552"/>
      <c r="CW31" s="552"/>
      <c r="CX31" s="552"/>
      <c r="CY31" s="552"/>
      <c r="CZ31" s="552"/>
      <c r="DA31" s="552"/>
      <c r="DB31" s="588"/>
      <c r="DC31" s="588"/>
      <c r="DD31" s="588"/>
      <c r="DE31" s="588"/>
      <c r="DF31" s="588"/>
      <c r="DG31" s="588"/>
      <c r="DH31" s="588"/>
      <c r="DI31" s="588"/>
      <c r="DW31" s="55"/>
      <c r="DX31" s="57"/>
      <c r="DZ31" s="552"/>
      <c r="EA31" s="552"/>
      <c r="EB31" s="552"/>
      <c r="EC31" s="552"/>
      <c r="ED31" s="552"/>
      <c r="EE31" s="552"/>
      <c r="EF31" s="552"/>
      <c r="EG31" s="552"/>
      <c r="EH31" s="552"/>
      <c r="EI31" s="552"/>
      <c r="EJ31" s="552"/>
      <c r="EK31" s="552"/>
      <c r="EP31" s="39"/>
      <c r="EQ31" s="39"/>
      <c r="ER31" s="39"/>
      <c r="ES31" s="39"/>
      <c r="ET31" s="39"/>
      <c r="EU31" s="39"/>
      <c r="EV31" s="39"/>
      <c r="EW31" s="39"/>
      <c r="EX31" s="39"/>
      <c r="EY31" s="39"/>
      <c r="EZ31" s="39"/>
      <c r="FA31" s="39"/>
      <c r="FB31" s="39"/>
      <c r="FC31" s="39"/>
      <c r="FD31" s="39"/>
      <c r="FE31" s="39"/>
      <c r="FF31" s="39"/>
      <c r="FG31" s="39"/>
      <c r="FH31" s="39"/>
      <c r="FI31" s="39"/>
      <c r="FJ31" s="39"/>
      <c r="FK31" s="39"/>
      <c r="FL31" s="39"/>
      <c r="FM31" s="39"/>
      <c r="FN31" s="39"/>
      <c r="FO31" s="39"/>
      <c r="FP31" s="39"/>
      <c r="FQ31" s="39"/>
      <c r="FR31" s="39"/>
      <c r="FS31" s="39"/>
      <c r="FT31" s="39"/>
      <c r="FU31" s="39"/>
      <c r="FV31" s="39"/>
      <c r="FW31" s="39"/>
      <c r="FX31" s="39"/>
      <c r="FY31" s="39"/>
      <c r="FZ31" s="39"/>
      <c r="GA31" s="39"/>
    </row>
    <row r="32" spans="1:188" ht="13.5" customHeight="1" x14ac:dyDescent="0.25">
      <c r="A32" s="269"/>
      <c r="S32" s="59"/>
      <c r="T32" s="61"/>
      <c r="AH32" s="588">
        <v>0</v>
      </c>
      <c r="AI32" s="588"/>
      <c r="AJ32" s="588" t="s">
        <v>709</v>
      </c>
      <c r="AK32" s="588"/>
      <c r="AL32" s="588"/>
      <c r="AM32" s="588"/>
      <c r="AN32" s="588">
        <v>0</v>
      </c>
      <c r="AO32" s="588"/>
      <c r="BC32" s="59"/>
      <c r="BD32" s="61"/>
      <c r="CM32" s="59"/>
      <c r="CN32" s="61"/>
      <c r="DB32" s="588">
        <v>1</v>
      </c>
      <c r="DC32" s="588"/>
      <c r="DD32" s="588" t="s">
        <v>709</v>
      </c>
      <c r="DE32" s="588"/>
      <c r="DF32" s="588"/>
      <c r="DG32" s="588"/>
      <c r="DH32" s="588">
        <v>1</v>
      </c>
      <c r="DI32" s="588"/>
      <c r="DW32" s="59"/>
      <c r="DX32" s="61"/>
      <c r="EP32" s="39"/>
      <c r="EQ32" s="39"/>
      <c r="ER32" s="39"/>
      <c r="ES32" s="39"/>
      <c r="ET32" s="39"/>
      <c r="EU32" s="39"/>
      <c r="EV32" s="39"/>
      <c r="EW32" s="39"/>
      <c r="EX32" s="39"/>
      <c r="EY32" s="39"/>
      <c r="EZ32" s="39"/>
      <c r="FA32" s="39"/>
      <c r="FB32" s="39"/>
      <c r="FC32" s="39"/>
      <c r="FD32" s="39"/>
      <c r="FE32" s="39"/>
      <c r="FF32" s="39"/>
      <c r="FG32" s="39"/>
      <c r="FH32" s="39"/>
      <c r="FI32" s="39"/>
      <c r="FJ32" s="39"/>
      <c r="FK32" s="39"/>
      <c r="FL32" s="39"/>
      <c r="FM32" s="39"/>
      <c r="FN32" s="39"/>
      <c r="FO32" s="39"/>
      <c r="FP32" s="39"/>
      <c r="FQ32" s="39"/>
      <c r="FR32" s="39"/>
      <c r="FS32" s="39"/>
      <c r="FT32" s="39"/>
      <c r="FU32" s="39"/>
      <c r="FV32" s="39"/>
      <c r="FW32" s="39"/>
      <c r="FX32" s="39"/>
      <c r="FY32" s="39"/>
      <c r="FZ32" s="39"/>
      <c r="GA32" s="39"/>
    </row>
    <row r="33" spans="1:188" ht="18.75" x14ac:dyDescent="0.25">
      <c r="A33" s="488">
        <f>BU3</f>
        <v>46054</v>
      </c>
      <c r="H33" s="601" t="s">
        <v>1469</v>
      </c>
      <c r="I33" s="602"/>
      <c r="J33" s="602"/>
      <c r="K33" s="602"/>
      <c r="L33" s="602"/>
      <c r="M33" s="602"/>
      <c r="N33" s="602"/>
      <c r="O33" s="602"/>
      <c r="P33" s="602"/>
      <c r="Q33" s="602"/>
      <c r="R33" s="602"/>
      <c r="S33" s="602"/>
      <c r="T33" s="602"/>
      <c r="U33" s="602"/>
      <c r="V33" s="602"/>
      <c r="W33" s="602"/>
      <c r="X33" s="602"/>
      <c r="Y33" s="602"/>
      <c r="Z33" s="602"/>
      <c r="AA33" s="602"/>
      <c r="AB33" s="602"/>
      <c r="AC33" s="602"/>
      <c r="AD33" s="602"/>
      <c r="AE33" s="603"/>
      <c r="AH33" s="588"/>
      <c r="AI33" s="588"/>
      <c r="AJ33" s="588"/>
      <c r="AK33" s="588"/>
      <c r="AL33" s="588"/>
      <c r="AM33" s="588"/>
      <c r="AN33" s="588"/>
      <c r="AO33" s="588"/>
      <c r="AR33" s="601" t="s">
        <v>699</v>
      </c>
      <c r="AS33" s="602"/>
      <c r="AT33" s="602"/>
      <c r="AU33" s="602"/>
      <c r="AV33" s="602"/>
      <c r="AW33" s="602"/>
      <c r="AX33" s="602"/>
      <c r="AY33" s="602"/>
      <c r="AZ33" s="602"/>
      <c r="BA33" s="602"/>
      <c r="BB33" s="602"/>
      <c r="BC33" s="602"/>
      <c r="BD33" s="602"/>
      <c r="BE33" s="602"/>
      <c r="BF33" s="602"/>
      <c r="BG33" s="602"/>
      <c r="BH33" s="602"/>
      <c r="BI33" s="602"/>
      <c r="BJ33" s="602"/>
      <c r="BK33" s="602"/>
      <c r="BL33" s="602"/>
      <c r="BM33" s="602"/>
      <c r="BN33" s="602"/>
      <c r="BO33" s="603"/>
      <c r="CB33" s="601" t="s">
        <v>701</v>
      </c>
      <c r="CC33" s="602"/>
      <c r="CD33" s="602"/>
      <c r="CE33" s="602"/>
      <c r="CF33" s="602"/>
      <c r="CG33" s="602"/>
      <c r="CH33" s="602"/>
      <c r="CI33" s="602"/>
      <c r="CJ33" s="602"/>
      <c r="CK33" s="602"/>
      <c r="CL33" s="602"/>
      <c r="CM33" s="602"/>
      <c r="CN33" s="602"/>
      <c r="CO33" s="602"/>
      <c r="CP33" s="602"/>
      <c r="CQ33" s="602"/>
      <c r="CR33" s="602"/>
      <c r="CS33" s="602"/>
      <c r="CT33" s="602"/>
      <c r="CU33" s="602"/>
      <c r="CV33" s="602"/>
      <c r="CW33" s="602"/>
      <c r="CX33" s="602"/>
      <c r="CY33" s="603"/>
      <c r="DB33" s="588"/>
      <c r="DC33" s="588"/>
      <c r="DD33" s="588"/>
      <c r="DE33" s="588"/>
      <c r="DF33" s="588"/>
      <c r="DG33" s="588"/>
      <c r="DH33" s="588"/>
      <c r="DI33" s="588"/>
      <c r="DL33" s="601" t="s">
        <v>42</v>
      </c>
      <c r="DM33" s="602"/>
      <c r="DN33" s="602"/>
      <c r="DO33" s="602"/>
      <c r="DP33" s="602"/>
      <c r="DQ33" s="602"/>
      <c r="DR33" s="602"/>
      <c r="DS33" s="602"/>
      <c r="DT33" s="602"/>
      <c r="DU33" s="602"/>
      <c r="DV33" s="602"/>
      <c r="DW33" s="602"/>
      <c r="DX33" s="602"/>
      <c r="DY33" s="602"/>
      <c r="DZ33" s="602"/>
      <c r="EA33" s="602"/>
      <c r="EB33" s="602"/>
      <c r="EC33" s="602"/>
      <c r="ED33" s="602"/>
      <c r="EE33" s="602"/>
      <c r="EF33" s="602"/>
      <c r="EG33" s="602"/>
      <c r="EH33" s="602"/>
      <c r="EI33" s="603"/>
    </row>
    <row r="34" spans="1:188" ht="13.5" customHeight="1" x14ac:dyDescent="0.25">
      <c r="A34" s="488"/>
      <c r="H34" s="589" t="s">
        <v>98</v>
      </c>
      <c r="I34" s="590"/>
      <c r="J34" s="590"/>
      <c r="K34" s="590"/>
      <c r="L34" s="590"/>
      <c r="M34" s="590"/>
      <c r="N34" s="590"/>
      <c r="O34" s="590"/>
      <c r="P34" s="590"/>
      <c r="Q34" s="590"/>
      <c r="R34" s="590"/>
      <c r="S34" s="590"/>
      <c r="T34" s="593" t="str">
        <f>D6</f>
        <v>豊肥</v>
      </c>
      <c r="U34" s="593"/>
      <c r="V34" s="593"/>
      <c r="W34" s="593"/>
      <c r="X34" s="593"/>
      <c r="Y34" s="593"/>
      <c r="Z34" s="593"/>
      <c r="AA34" s="593"/>
      <c r="AB34" s="593"/>
      <c r="AC34" s="593"/>
      <c r="AD34" s="593"/>
      <c r="AE34" s="594"/>
      <c r="AF34" s="65"/>
      <c r="AG34" s="66"/>
      <c r="AH34" s="588"/>
      <c r="AI34" s="588"/>
      <c r="AJ34" s="588" t="s">
        <v>710</v>
      </c>
      <c r="AK34" s="588"/>
      <c r="AL34" s="588"/>
      <c r="AM34" s="588"/>
      <c r="AN34" s="588"/>
      <c r="AO34" s="588"/>
      <c r="AP34" s="66"/>
      <c r="AQ34" s="67"/>
      <c r="AR34" s="589" t="s">
        <v>98</v>
      </c>
      <c r="AS34" s="590"/>
      <c r="AT34" s="590"/>
      <c r="AU34" s="590"/>
      <c r="AV34" s="590"/>
      <c r="AW34" s="590"/>
      <c r="AX34" s="590"/>
      <c r="AY34" s="590"/>
      <c r="AZ34" s="590"/>
      <c r="BA34" s="590"/>
      <c r="BB34" s="590"/>
      <c r="BC34" s="590"/>
      <c r="BD34" s="597" t="str">
        <f>BF6</f>
        <v>佐伯</v>
      </c>
      <c r="BE34" s="597"/>
      <c r="BF34" s="597"/>
      <c r="BG34" s="597"/>
      <c r="BH34" s="597"/>
      <c r="BI34" s="597"/>
      <c r="BJ34" s="597"/>
      <c r="BK34" s="597"/>
      <c r="BL34" s="597"/>
      <c r="BM34" s="597"/>
      <c r="BN34" s="597"/>
      <c r="BO34" s="598"/>
      <c r="CB34" s="589" t="s">
        <v>98</v>
      </c>
      <c r="CC34" s="590"/>
      <c r="CD34" s="590"/>
      <c r="CE34" s="590"/>
      <c r="CF34" s="590"/>
      <c r="CG34" s="590"/>
      <c r="CH34" s="590"/>
      <c r="CI34" s="590"/>
      <c r="CJ34" s="590"/>
      <c r="CK34" s="590"/>
      <c r="CL34" s="590"/>
      <c r="CM34" s="590"/>
      <c r="CN34" s="593" t="str">
        <f>D6</f>
        <v>豊肥</v>
      </c>
      <c r="CO34" s="593"/>
      <c r="CP34" s="593"/>
      <c r="CQ34" s="593"/>
      <c r="CR34" s="593"/>
      <c r="CS34" s="593"/>
      <c r="CT34" s="593"/>
      <c r="CU34" s="593"/>
      <c r="CV34" s="593"/>
      <c r="CW34" s="593"/>
      <c r="CX34" s="593"/>
      <c r="CY34" s="594"/>
      <c r="CZ34" s="65"/>
      <c r="DA34" s="66"/>
      <c r="DB34" s="588">
        <v>0</v>
      </c>
      <c r="DC34" s="588"/>
      <c r="DD34" s="588" t="s">
        <v>710</v>
      </c>
      <c r="DE34" s="588"/>
      <c r="DF34" s="588"/>
      <c r="DG34" s="588"/>
      <c r="DH34" s="588">
        <v>1</v>
      </c>
      <c r="DI34" s="588"/>
      <c r="DJ34" s="66"/>
      <c r="DK34" s="67"/>
      <c r="DL34" s="589" t="s">
        <v>98</v>
      </c>
      <c r="DM34" s="590"/>
      <c r="DN34" s="590"/>
      <c r="DO34" s="590"/>
      <c r="DP34" s="590"/>
      <c r="DQ34" s="590"/>
      <c r="DR34" s="590"/>
      <c r="DS34" s="590"/>
      <c r="DT34" s="590"/>
      <c r="DU34" s="590"/>
      <c r="DV34" s="590"/>
      <c r="DW34" s="590"/>
      <c r="DX34" s="597" t="str">
        <f>BF6</f>
        <v>佐伯</v>
      </c>
      <c r="DY34" s="597"/>
      <c r="DZ34" s="597"/>
      <c r="EA34" s="597"/>
      <c r="EB34" s="597"/>
      <c r="EC34" s="597"/>
      <c r="ED34" s="597"/>
      <c r="EE34" s="597"/>
      <c r="EF34" s="597"/>
      <c r="EG34" s="597"/>
      <c r="EH34" s="597"/>
      <c r="EI34" s="598"/>
      <c r="EP34" s="46"/>
      <c r="EQ34" s="46"/>
      <c r="ER34" s="46"/>
      <c r="ES34" s="46"/>
      <c r="ET34" s="46"/>
      <c r="EU34" s="46"/>
      <c r="EV34" s="46"/>
      <c r="EW34" s="46"/>
      <c r="EX34" s="46"/>
      <c r="EY34" s="46"/>
      <c r="EZ34" s="46"/>
      <c r="FA34" s="46"/>
      <c r="FB34" s="46"/>
      <c r="FC34" s="46"/>
      <c r="FD34" s="46"/>
      <c r="FE34" s="46"/>
      <c r="FF34" s="46"/>
    </row>
    <row r="35" spans="1:188" ht="13.5" customHeight="1" x14ac:dyDescent="0.25">
      <c r="A35" s="488"/>
      <c r="H35" s="591"/>
      <c r="I35" s="592"/>
      <c r="J35" s="592"/>
      <c r="K35" s="592"/>
      <c r="L35" s="592"/>
      <c r="M35" s="592"/>
      <c r="N35" s="592"/>
      <c r="O35" s="592"/>
      <c r="P35" s="592"/>
      <c r="Q35" s="592"/>
      <c r="R35" s="592"/>
      <c r="S35" s="592"/>
      <c r="T35" s="595"/>
      <c r="U35" s="595"/>
      <c r="V35" s="595"/>
      <c r="W35" s="595"/>
      <c r="X35" s="595"/>
      <c r="Y35" s="595"/>
      <c r="Z35" s="595"/>
      <c r="AA35" s="595"/>
      <c r="AB35" s="595"/>
      <c r="AC35" s="595"/>
      <c r="AD35" s="595"/>
      <c r="AE35" s="596"/>
      <c r="AF35" s="65"/>
      <c r="AG35" s="66"/>
      <c r="AH35" s="588"/>
      <c r="AI35" s="588"/>
      <c r="AJ35" s="588"/>
      <c r="AK35" s="588"/>
      <c r="AL35" s="588"/>
      <c r="AM35" s="588"/>
      <c r="AN35" s="588"/>
      <c r="AO35" s="588"/>
      <c r="AP35" s="66"/>
      <c r="AQ35" s="67"/>
      <c r="AR35" s="591"/>
      <c r="AS35" s="592"/>
      <c r="AT35" s="592"/>
      <c r="AU35" s="592"/>
      <c r="AV35" s="592"/>
      <c r="AW35" s="592"/>
      <c r="AX35" s="592"/>
      <c r="AY35" s="592"/>
      <c r="AZ35" s="592"/>
      <c r="BA35" s="592"/>
      <c r="BB35" s="592"/>
      <c r="BC35" s="592"/>
      <c r="BD35" s="599"/>
      <c r="BE35" s="599"/>
      <c r="BF35" s="599"/>
      <c r="BG35" s="599"/>
      <c r="BH35" s="599"/>
      <c r="BI35" s="599"/>
      <c r="BJ35" s="599"/>
      <c r="BK35" s="599"/>
      <c r="BL35" s="599"/>
      <c r="BM35" s="599"/>
      <c r="BN35" s="599"/>
      <c r="BO35" s="600"/>
      <c r="CB35" s="591"/>
      <c r="CC35" s="592"/>
      <c r="CD35" s="592"/>
      <c r="CE35" s="592"/>
      <c r="CF35" s="592"/>
      <c r="CG35" s="592"/>
      <c r="CH35" s="592"/>
      <c r="CI35" s="592"/>
      <c r="CJ35" s="592"/>
      <c r="CK35" s="592"/>
      <c r="CL35" s="592"/>
      <c r="CM35" s="592"/>
      <c r="CN35" s="595"/>
      <c r="CO35" s="595"/>
      <c r="CP35" s="595"/>
      <c r="CQ35" s="595"/>
      <c r="CR35" s="595"/>
      <c r="CS35" s="595"/>
      <c r="CT35" s="595"/>
      <c r="CU35" s="595"/>
      <c r="CV35" s="595"/>
      <c r="CW35" s="595"/>
      <c r="CX35" s="595"/>
      <c r="CY35" s="596"/>
      <c r="CZ35" s="65"/>
      <c r="DA35" s="66"/>
      <c r="DB35" s="588"/>
      <c r="DC35" s="588"/>
      <c r="DD35" s="588"/>
      <c r="DE35" s="588"/>
      <c r="DF35" s="588"/>
      <c r="DG35" s="588"/>
      <c r="DH35" s="588"/>
      <c r="DI35" s="588"/>
      <c r="DJ35" s="66"/>
      <c r="DK35" s="67"/>
      <c r="DL35" s="591"/>
      <c r="DM35" s="592"/>
      <c r="DN35" s="592"/>
      <c r="DO35" s="592"/>
      <c r="DP35" s="592"/>
      <c r="DQ35" s="592"/>
      <c r="DR35" s="592"/>
      <c r="DS35" s="592"/>
      <c r="DT35" s="592"/>
      <c r="DU35" s="592"/>
      <c r="DV35" s="592"/>
      <c r="DW35" s="592"/>
      <c r="DX35" s="599"/>
      <c r="DY35" s="599"/>
      <c r="DZ35" s="599"/>
      <c r="EA35" s="599"/>
      <c r="EB35" s="599"/>
      <c r="EC35" s="599"/>
      <c r="ED35" s="599"/>
      <c r="EE35" s="599"/>
      <c r="EF35" s="599"/>
      <c r="EG35" s="599"/>
      <c r="EH35" s="599"/>
      <c r="EI35" s="600"/>
      <c r="EP35" s="46"/>
      <c r="EQ35" s="46"/>
      <c r="ER35" s="46"/>
      <c r="ES35" s="46"/>
      <c r="ET35" s="46"/>
      <c r="EU35" s="46"/>
      <c r="EV35" s="46"/>
      <c r="EW35" s="46"/>
      <c r="EX35" s="46"/>
      <c r="EY35" s="46"/>
      <c r="EZ35" s="46"/>
      <c r="FA35" s="46"/>
      <c r="FB35" s="46"/>
      <c r="FC35" s="46"/>
      <c r="FD35" s="46"/>
      <c r="FE35" s="46"/>
      <c r="FF35" s="46"/>
    </row>
    <row r="36" spans="1:188" ht="13.5" customHeight="1" x14ac:dyDescent="0.25">
      <c r="A36" s="489" t="s">
        <v>5600</v>
      </c>
      <c r="H36" s="549" t="s">
        <v>649</v>
      </c>
      <c r="I36" s="549"/>
      <c r="J36" s="549"/>
      <c r="K36" s="549"/>
      <c r="L36" s="550" t="s">
        <v>15267</v>
      </c>
      <c r="M36" s="550"/>
      <c r="N36" s="550"/>
      <c r="O36" s="550"/>
      <c r="P36" s="550"/>
      <c r="Q36" s="550"/>
      <c r="R36" s="550"/>
      <c r="S36" s="550"/>
      <c r="T36" s="550"/>
      <c r="U36" s="550"/>
      <c r="V36" s="550"/>
      <c r="W36" s="550"/>
      <c r="X36" s="550"/>
      <c r="Y36" s="550"/>
      <c r="Z36" s="550"/>
      <c r="AA36" s="550"/>
      <c r="AB36" s="550"/>
      <c r="AC36" s="550"/>
      <c r="AD36" s="550"/>
      <c r="AE36" s="550"/>
      <c r="AF36" s="65"/>
      <c r="AG36" s="66"/>
      <c r="AH36" s="588"/>
      <c r="AI36" s="588"/>
      <c r="AJ36" s="588" t="s">
        <v>407</v>
      </c>
      <c r="AK36" s="588"/>
      <c r="AL36" s="588"/>
      <c r="AM36" s="588"/>
      <c r="AN36" s="588"/>
      <c r="AO36" s="588"/>
      <c r="AP36" s="66"/>
      <c r="AQ36" s="67"/>
      <c r="AR36" s="549" t="s">
        <v>628</v>
      </c>
      <c r="AS36" s="549"/>
      <c r="AT36" s="549"/>
      <c r="AU36" s="549"/>
      <c r="AV36" s="550" t="s">
        <v>15274</v>
      </c>
      <c r="AW36" s="550"/>
      <c r="AX36" s="550"/>
      <c r="AY36" s="550"/>
      <c r="AZ36" s="550"/>
      <c r="BA36" s="550"/>
      <c r="BB36" s="550"/>
      <c r="BC36" s="550"/>
      <c r="BD36" s="550"/>
      <c r="BE36" s="550"/>
      <c r="BF36" s="550"/>
      <c r="BG36" s="550"/>
      <c r="BH36" s="550"/>
      <c r="BI36" s="550"/>
      <c r="BJ36" s="550"/>
      <c r="BK36" s="550"/>
      <c r="BL36" s="550"/>
      <c r="BM36" s="550"/>
      <c r="BN36" s="550"/>
      <c r="BO36" s="550"/>
      <c r="CB36" s="549" t="s">
        <v>395</v>
      </c>
      <c r="CC36" s="549"/>
      <c r="CD36" s="549"/>
      <c r="CE36" s="549"/>
      <c r="CF36" s="550" t="s">
        <v>15268</v>
      </c>
      <c r="CG36" s="550"/>
      <c r="CH36" s="550"/>
      <c r="CI36" s="550"/>
      <c r="CJ36" s="550"/>
      <c r="CK36" s="550"/>
      <c r="CL36" s="550"/>
      <c r="CM36" s="550"/>
      <c r="CN36" s="550"/>
      <c r="CO36" s="550"/>
      <c r="CP36" s="550"/>
      <c r="CQ36" s="550"/>
      <c r="CR36" s="550"/>
      <c r="CS36" s="550"/>
      <c r="CT36" s="550"/>
      <c r="CU36" s="550"/>
      <c r="CV36" s="550"/>
      <c r="CW36" s="550"/>
      <c r="CX36" s="550"/>
      <c r="CY36" s="550"/>
      <c r="CZ36" s="65"/>
      <c r="DA36" s="66"/>
      <c r="DB36" s="588"/>
      <c r="DC36" s="588"/>
      <c r="DD36" s="588" t="s">
        <v>407</v>
      </c>
      <c r="DE36" s="588"/>
      <c r="DF36" s="588"/>
      <c r="DG36" s="588"/>
      <c r="DH36" s="588"/>
      <c r="DI36" s="588"/>
      <c r="DJ36" s="66"/>
      <c r="DK36" s="67"/>
      <c r="DL36" s="549" t="s">
        <v>269</v>
      </c>
      <c r="DM36" s="549"/>
      <c r="DN36" s="549"/>
      <c r="DO36" s="549"/>
      <c r="DP36" s="550" t="s">
        <v>15276</v>
      </c>
      <c r="DQ36" s="550"/>
      <c r="DR36" s="550"/>
      <c r="DS36" s="550"/>
      <c r="DT36" s="550"/>
      <c r="DU36" s="550"/>
      <c r="DV36" s="550"/>
      <c r="DW36" s="550"/>
      <c r="DX36" s="550"/>
      <c r="DY36" s="550"/>
      <c r="DZ36" s="550"/>
      <c r="EA36" s="550"/>
      <c r="EB36" s="550"/>
      <c r="EC36" s="550"/>
      <c r="ED36" s="550"/>
      <c r="EE36" s="550"/>
      <c r="EF36" s="550"/>
      <c r="EG36" s="550"/>
      <c r="EH36" s="550"/>
      <c r="EI36" s="550"/>
      <c r="EP36" s="68"/>
      <c r="EQ36" s="68"/>
      <c r="ER36" s="68"/>
      <c r="ES36" s="68"/>
      <c r="ET36" s="68"/>
      <c r="EU36" s="68"/>
      <c r="EV36" s="68"/>
      <c r="EW36" s="68"/>
      <c r="EX36" s="68"/>
      <c r="EY36" s="68"/>
      <c r="EZ36" s="68"/>
      <c r="FA36" s="68"/>
      <c r="FB36" s="68"/>
      <c r="FC36" s="68"/>
      <c r="FD36" s="68"/>
      <c r="FE36" s="68"/>
      <c r="FF36" s="68"/>
      <c r="FG36" s="68"/>
      <c r="FH36" s="68"/>
      <c r="FI36" s="68"/>
      <c r="FJ36" s="68"/>
      <c r="FK36" s="68"/>
      <c r="FL36" s="68"/>
      <c r="FM36" s="68"/>
      <c r="FN36" s="68"/>
      <c r="FO36" s="68"/>
      <c r="FP36" s="68"/>
      <c r="FQ36" s="68"/>
      <c r="FR36" s="68"/>
      <c r="FS36" s="68"/>
      <c r="FT36" s="68"/>
      <c r="FU36" s="68"/>
      <c r="FV36" s="68"/>
      <c r="FW36" s="68"/>
      <c r="FX36" s="68"/>
      <c r="FY36" s="68"/>
      <c r="FZ36" s="68"/>
      <c r="GA36" s="68"/>
    </row>
    <row r="37" spans="1:188" ht="13.5" customHeight="1" x14ac:dyDescent="0.25">
      <c r="A37" s="489"/>
      <c r="H37" s="549"/>
      <c r="I37" s="549"/>
      <c r="J37" s="549"/>
      <c r="K37" s="549"/>
      <c r="L37" s="550"/>
      <c r="M37" s="550"/>
      <c r="N37" s="550"/>
      <c r="O37" s="550"/>
      <c r="P37" s="550"/>
      <c r="Q37" s="550"/>
      <c r="R37" s="550"/>
      <c r="S37" s="550"/>
      <c r="T37" s="550"/>
      <c r="U37" s="550"/>
      <c r="V37" s="550"/>
      <c r="W37" s="550"/>
      <c r="X37" s="550"/>
      <c r="Y37" s="550"/>
      <c r="Z37" s="550"/>
      <c r="AA37" s="550"/>
      <c r="AB37" s="550"/>
      <c r="AC37" s="550"/>
      <c r="AD37" s="550"/>
      <c r="AE37" s="550"/>
      <c r="AF37" s="65"/>
      <c r="AG37" s="66"/>
      <c r="AH37" s="588"/>
      <c r="AI37" s="588"/>
      <c r="AJ37" s="588"/>
      <c r="AK37" s="588"/>
      <c r="AL37" s="588"/>
      <c r="AM37" s="588"/>
      <c r="AN37" s="588"/>
      <c r="AO37" s="588"/>
      <c r="AP37" s="66"/>
      <c r="AQ37" s="67"/>
      <c r="AR37" s="549"/>
      <c r="AS37" s="549"/>
      <c r="AT37" s="549"/>
      <c r="AU37" s="549"/>
      <c r="AV37" s="550"/>
      <c r="AW37" s="550"/>
      <c r="AX37" s="550"/>
      <c r="AY37" s="550"/>
      <c r="AZ37" s="550"/>
      <c r="BA37" s="550"/>
      <c r="BB37" s="550"/>
      <c r="BC37" s="550"/>
      <c r="BD37" s="550"/>
      <c r="BE37" s="550"/>
      <c r="BF37" s="550"/>
      <c r="BG37" s="550"/>
      <c r="BH37" s="550"/>
      <c r="BI37" s="550"/>
      <c r="BJ37" s="550"/>
      <c r="BK37" s="550"/>
      <c r="BL37" s="550"/>
      <c r="BM37" s="550"/>
      <c r="BN37" s="550"/>
      <c r="BO37" s="550"/>
      <c r="CB37" s="549"/>
      <c r="CC37" s="549"/>
      <c r="CD37" s="549"/>
      <c r="CE37" s="549"/>
      <c r="CF37" s="550"/>
      <c r="CG37" s="550"/>
      <c r="CH37" s="550"/>
      <c r="CI37" s="550"/>
      <c r="CJ37" s="550"/>
      <c r="CK37" s="550"/>
      <c r="CL37" s="550"/>
      <c r="CM37" s="550"/>
      <c r="CN37" s="550"/>
      <c r="CO37" s="550"/>
      <c r="CP37" s="550"/>
      <c r="CQ37" s="550"/>
      <c r="CR37" s="550"/>
      <c r="CS37" s="550"/>
      <c r="CT37" s="550"/>
      <c r="CU37" s="550"/>
      <c r="CV37" s="550"/>
      <c r="CW37" s="550"/>
      <c r="CX37" s="550"/>
      <c r="CY37" s="550"/>
      <c r="CZ37" s="65"/>
      <c r="DA37" s="66"/>
      <c r="DB37" s="588"/>
      <c r="DC37" s="588"/>
      <c r="DD37" s="588"/>
      <c r="DE37" s="588"/>
      <c r="DF37" s="588"/>
      <c r="DG37" s="588"/>
      <c r="DH37" s="588"/>
      <c r="DI37" s="588"/>
      <c r="DJ37" s="66"/>
      <c r="DK37" s="67"/>
      <c r="DL37" s="549"/>
      <c r="DM37" s="549"/>
      <c r="DN37" s="549"/>
      <c r="DO37" s="549"/>
      <c r="DP37" s="550"/>
      <c r="DQ37" s="550"/>
      <c r="DR37" s="550"/>
      <c r="DS37" s="550"/>
      <c r="DT37" s="550"/>
      <c r="DU37" s="550"/>
      <c r="DV37" s="550"/>
      <c r="DW37" s="550"/>
      <c r="DX37" s="550"/>
      <c r="DY37" s="550"/>
      <c r="DZ37" s="550"/>
      <c r="EA37" s="550"/>
      <c r="EB37" s="550"/>
      <c r="EC37" s="550"/>
      <c r="ED37" s="550"/>
      <c r="EE37" s="550"/>
      <c r="EF37" s="550"/>
      <c r="EG37" s="550"/>
      <c r="EH37" s="550"/>
      <c r="EI37" s="550"/>
      <c r="EP37" s="68"/>
      <c r="EQ37" s="68"/>
      <c r="ER37" s="68"/>
      <c r="ES37" s="68"/>
      <c r="ET37" s="68"/>
      <c r="EU37" s="68"/>
      <c r="EV37" s="68"/>
      <c r="EW37" s="68"/>
      <c r="EX37" s="68"/>
      <c r="EY37" s="68"/>
      <c r="EZ37" s="68"/>
      <c r="FA37" s="68"/>
      <c r="FB37" s="68"/>
      <c r="FC37" s="68"/>
      <c r="FD37" s="68"/>
      <c r="FE37" s="68"/>
      <c r="FF37" s="68"/>
      <c r="FG37" s="68"/>
      <c r="FH37" s="68"/>
      <c r="FI37" s="68"/>
      <c r="FJ37" s="68"/>
      <c r="FK37" s="68"/>
      <c r="FL37" s="68"/>
      <c r="FM37" s="68"/>
      <c r="FN37" s="68"/>
      <c r="FO37" s="68"/>
      <c r="FP37" s="68"/>
      <c r="FQ37" s="68"/>
      <c r="FR37" s="68"/>
      <c r="FS37" s="68"/>
      <c r="FT37" s="68"/>
      <c r="FU37" s="68"/>
      <c r="FV37" s="68"/>
      <c r="FW37" s="68"/>
      <c r="FX37" s="68"/>
      <c r="FY37" s="68"/>
      <c r="FZ37" s="68"/>
      <c r="GA37" s="68"/>
    </row>
    <row r="38" spans="1:188" ht="13.5" customHeight="1" x14ac:dyDescent="0.25">
      <c r="A38" s="489"/>
      <c r="H38" s="549" t="s">
        <v>328</v>
      </c>
      <c r="I38" s="549"/>
      <c r="J38" s="549"/>
      <c r="K38" s="549"/>
      <c r="L38" s="550" t="s">
        <v>15280</v>
      </c>
      <c r="M38" s="550"/>
      <c r="N38" s="550"/>
      <c r="O38" s="550"/>
      <c r="P38" s="550"/>
      <c r="Q38" s="550"/>
      <c r="R38" s="550"/>
      <c r="S38" s="550"/>
      <c r="T38" s="550"/>
      <c r="U38" s="550"/>
      <c r="V38" s="550"/>
      <c r="W38" s="550"/>
      <c r="X38" s="550"/>
      <c r="Y38" s="550"/>
      <c r="Z38" s="550"/>
      <c r="AA38" s="550"/>
      <c r="AB38" s="550"/>
      <c r="AC38" s="550"/>
      <c r="AD38" s="550"/>
      <c r="AE38" s="550"/>
      <c r="AF38" s="65"/>
      <c r="AG38" s="66"/>
      <c r="AH38" s="66"/>
      <c r="AI38" s="66"/>
      <c r="AJ38" s="66"/>
      <c r="AK38" s="66"/>
      <c r="AL38" s="66"/>
      <c r="AM38" s="66"/>
      <c r="AN38" s="66"/>
      <c r="AO38" s="66"/>
      <c r="AP38" s="66"/>
      <c r="AQ38" s="67"/>
      <c r="AR38" s="549" t="s">
        <v>655</v>
      </c>
      <c r="AS38" s="549"/>
      <c r="AT38" s="549"/>
      <c r="AU38" s="549"/>
      <c r="AV38" s="550" t="s">
        <v>15283</v>
      </c>
      <c r="AW38" s="550"/>
      <c r="AX38" s="550"/>
      <c r="AY38" s="550"/>
      <c r="AZ38" s="550"/>
      <c r="BA38" s="550"/>
      <c r="BB38" s="550"/>
      <c r="BC38" s="550"/>
      <c r="BD38" s="550"/>
      <c r="BE38" s="550"/>
      <c r="BF38" s="550"/>
      <c r="BG38" s="550"/>
      <c r="BH38" s="550"/>
      <c r="BI38" s="550"/>
      <c r="BJ38" s="550"/>
      <c r="BK38" s="550"/>
      <c r="BL38" s="550"/>
      <c r="BM38" s="550"/>
      <c r="BN38" s="550"/>
      <c r="BO38" s="550"/>
      <c r="CB38" s="549" t="s">
        <v>429</v>
      </c>
      <c r="CC38" s="549"/>
      <c r="CD38" s="549"/>
      <c r="CE38" s="549"/>
      <c r="CF38" s="550" t="s">
        <v>15272</v>
      </c>
      <c r="CG38" s="550"/>
      <c r="CH38" s="550"/>
      <c r="CI38" s="550"/>
      <c r="CJ38" s="550"/>
      <c r="CK38" s="550"/>
      <c r="CL38" s="550"/>
      <c r="CM38" s="550"/>
      <c r="CN38" s="550"/>
      <c r="CO38" s="550"/>
      <c r="CP38" s="550"/>
      <c r="CQ38" s="550"/>
      <c r="CR38" s="550"/>
      <c r="CS38" s="550"/>
      <c r="CT38" s="550"/>
      <c r="CU38" s="550"/>
      <c r="CV38" s="550"/>
      <c r="CW38" s="550"/>
      <c r="CX38" s="550"/>
      <c r="CY38" s="550"/>
      <c r="CZ38" s="65"/>
      <c r="DA38" s="66"/>
      <c r="DB38" s="66"/>
      <c r="DC38" s="66"/>
      <c r="DD38" s="66"/>
      <c r="DE38" s="66"/>
      <c r="DF38" s="66"/>
      <c r="DG38" s="66"/>
      <c r="DH38" s="66"/>
      <c r="DI38" s="66"/>
      <c r="DJ38" s="66"/>
      <c r="DK38" s="67"/>
      <c r="DL38" s="549" t="s">
        <v>571</v>
      </c>
      <c r="DM38" s="549"/>
      <c r="DN38" s="549"/>
      <c r="DO38" s="549"/>
      <c r="DP38" s="550" t="s">
        <v>15285</v>
      </c>
      <c r="DQ38" s="550"/>
      <c r="DR38" s="550"/>
      <c r="DS38" s="550"/>
      <c r="DT38" s="550"/>
      <c r="DU38" s="550"/>
      <c r="DV38" s="550"/>
      <c r="DW38" s="550"/>
      <c r="DX38" s="550"/>
      <c r="DY38" s="550"/>
      <c r="DZ38" s="550"/>
      <c r="EA38" s="550"/>
      <c r="EB38" s="550"/>
      <c r="EC38" s="550"/>
      <c r="ED38" s="550"/>
      <c r="EE38" s="550"/>
      <c r="EF38" s="550"/>
      <c r="EG38" s="550"/>
      <c r="EH38" s="550"/>
      <c r="EI38" s="550"/>
    </row>
    <row r="39" spans="1:188" ht="13.5" customHeight="1" x14ac:dyDescent="0.25">
      <c r="A39" s="489"/>
      <c r="H39" s="549"/>
      <c r="I39" s="549"/>
      <c r="J39" s="549"/>
      <c r="K39" s="549"/>
      <c r="L39" s="550"/>
      <c r="M39" s="550"/>
      <c r="N39" s="550"/>
      <c r="O39" s="550"/>
      <c r="P39" s="550"/>
      <c r="Q39" s="550"/>
      <c r="R39" s="550"/>
      <c r="S39" s="550"/>
      <c r="T39" s="550"/>
      <c r="U39" s="550"/>
      <c r="V39" s="550"/>
      <c r="W39" s="550"/>
      <c r="X39" s="550"/>
      <c r="Y39" s="550"/>
      <c r="Z39" s="550"/>
      <c r="AA39" s="550"/>
      <c r="AB39" s="550"/>
      <c r="AC39" s="550"/>
      <c r="AD39" s="550"/>
      <c r="AE39" s="550"/>
      <c r="AF39" s="65"/>
      <c r="AG39" s="66"/>
      <c r="AH39" s="66"/>
      <c r="AI39" s="66"/>
      <c r="AJ39" s="66"/>
      <c r="AK39" s="66"/>
      <c r="AL39" s="66"/>
      <c r="AM39" s="66"/>
      <c r="AN39" s="66"/>
      <c r="AO39" s="66"/>
      <c r="AP39" s="66"/>
      <c r="AQ39" s="67"/>
      <c r="AR39" s="549"/>
      <c r="AS39" s="549"/>
      <c r="AT39" s="549"/>
      <c r="AU39" s="549"/>
      <c r="AV39" s="550"/>
      <c r="AW39" s="550"/>
      <c r="AX39" s="550"/>
      <c r="AY39" s="550"/>
      <c r="AZ39" s="550"/>
      <c r="BA39" s="550"/>
      <c r="BB39" s="550"/>
      <c r="BC39" s="550"/>
      <c r="BD39" s="550"/>
      <c r="BE39" s="550"/>
      <c r="BF39" s="550"/>
      <c r="BG39" s="550"/>
      <c r="BH39" s="550"/>
      <c r="BI39" s="550"/>
      <c r="BJ39" s="550"/>
      <c r="BK39" s="550"/>
      <c r="BL39" s="550"/>
      <c r="BM39" s="550"/>
      <c r="BN39" s="550"/>
      <c r="BO39" s="550"/>
      <c r="CB39" s="549"/>
      <c r="CC39" s="549"/>
      <c r="CD39" s="549"/>
      <c r="CE39" s="549"/>
      <c r="CF39" s="550"/>
      <c r="CG39" s="550"/>
      <c r="CH39" s="550"/>
      <c r="CI39" s="550"/>
      <c r="CJ39" s="550"/>
      <c r="CK39" s="550"/>
      <c r="CL39" s="550"/>
      <c r="CM39" s="550"/>
      <c r="CN39" s="550"/>
      <c r="CO39" s="550"/>
      <c r="CP39" s="550"/>
      <c r="CQ39" s="550"/>
      <c r="CR39" s="550"/>
      <c r="CS39" s="550"/>
      <c r="CT39" s="550"/>
      <c r="CU39" s="550"/>
      <c r="CV39" s="550"/>
      <c r="CW39" s="550"/>
      <c r="CX39" s="550"/>
      <c r="CY39" s="550"/>
      <c r="CZ39" s="65"/>
      <c r="DA39" s="66"/>
      <c r="DB39" s="66"/>
      <c r="DC39" s="66"/>
      <c r="DD39" s="66"/>
      <c r="DE39" s="66"/>
      <c r="DF39" s="66"/>
      <c r="DG39" s="66"/>
      <c r="DH39" s="66"/>
      <c r="DI39" s="66"/>
      <c r="DJ39" s="66"/>
      <c r="DK39" s="67"/>
      <c r="DL39" s="549"/>
      <c r="DM39" s="549"/>
      <c r="DN39" s="549"/>
      <c r="DO39" s="549"/>
      <c r="DP39" s="550"/>
      <c r="DQ39" s="550"/>
      <c r="DR39" s="550"/>
      <c r="DS39" s="550"/>
      <c r="DT39" s="550"/>
      <c r="DU39" s="550"/>
      <c r="DV39" s="550"/>
      <c r="DW39" s="550"/>
      <c r="DX39" s="550"/>
      <c r="DY39" s="550"/>
      <c r="DZ39" s="550"/>
      <c r="EA39" s="550"/>
      <c r="EB39" s="550"/>
      <c r="EC39" s="550"/>
      <c r="ED39" s="550"/>
      <c r="EE39" s="550"/>
      <c r="EF39" s="550"/>
      <c r="EG39" s="550"/>
      <c r="EH39" s="550"/>
      <c r="EI39" s="550"/>
    </row>
    <row r="40" spans="1:188" ht="13.5" customHeight="1" x14ac:dyDescent="0.25">
      <c r="A40" s="489"/>
      <c r="H40" s="549" t="s">
        <v>651</v>
      </c>
      <c r="I40" s="549"/>
      <c r="J40" s="549"/>
      <c r="K40" s="549"/>
      <c r="L40" s="550" t="s">
        <v>15270</v>
      </c>
      <c r="M40" s="550"/>
      <c r="N40" s="550"/>
      <c r="O40" s="550"/>
      <c r="P40" s="550"/>
      <c r="Q40" s="550"/>
      <c r="R40" s="550"/>
      <c r="S40" s="550"/>
      <c r="T40" s="550"/>
      <c r="U40" s="550"/>
      <c r="V40" s="550"/>
      <c r="W40" s="550"/>
      <c r="X40" s="550"/>
      <c r="Y40" s="550"/>
      <c r="Z40" s="550"/>
      <c r="AA40" s="550"/>
      <c r="AB40" s="550"/>
      <c r="AC40" s="550"/>
      <c r="AD40" s="550"/>
      <c r="AE40" s="550"/>
      <c r="AR40" s="549" t="s">
        <v>284</v>
      </c>
      <c r="AS40" s="549"/>
      <c r="AT40" s="549"/>
      <c r="AU40" s="549"/>
      <c r="AV40" s="550" t="s">
        <v>15287</v>
      </c>
      <c r="AW40" s="550"/>
      <c r="AX40" s="550"/>
      <c r="AY40" s="550"/>
      <c r="AZ40" s="550"/>
      <c r="BA40" s="550"/>
      <c r="BB40" s="550"/>
      <c r="BC40" s="550"/>
      <c r="BD40" s="550"/>
      <c r="BE40" s="550"/>
      <c r="BF40" s="550"/>
      <c r="BG40" s="550"/>
      <c r="BH40" s="550"/>
      <c r="BI40" s="550"/>
      <c r="BJ40" s="550"/>
      <c r="BK40" s="550"/>
      <c r="BL40" s="550"/>
      <c r="BM40" s="550"/>
      <c r="BN40" s="550"/>
      <c r="BO40" s="550"/>
      <c r="CB40" s="549" t="s">
        <v>658</v>
      </c>
      <c r="CC40" s="549"/>
      <c r="CD40" s="549"/>
      <c r="CE40" s="549"/>
      <c r="CF40" s="550" t="s">
        <v>15278</v>
      </c>
      <c r="CG40" s="550"/>
      <c r="CH40" s="550"/>
      <c r="CI40" s="550"/>
      <c r="CJ40" s="550"/>
      <c r="CK40" s="550"/>
      <c r="CL40" s="550"/>
      <c r="CM40" s="550"/>
      <c r="CN40" s="550"/>
      <c r="CO40" s="550"/>
      <c r="CP40" s="550"/>
      <c r="CQ40" s="550"/>
      <c r="CR40" s="550"/>
      <c r="CS40" s="550"/>
      <c r="CT40" s="550"/>
      <c r="CU40" s="550"/>
      <c r="CV40" s="550"/>
      <c r="CW40" s="550"/>
      <c r="CX40" s="550"/>
      <c r="CY40" s="550"/>
      <c r="DL40" s="549" t="s">
        <v>341</v>
      </c>
      <c r="DM40" s="549"/>
      <c r="DN40" s="549"/>
      <c r="DO40" s="549"/>
      <c r="DP40" s="550" t="s">
        <v>15281</v>
      </c>
      <c r="DQ40" s="550"/>
      <c r="DR40" s="550"/>
      <c r="DS40" s="550"/>
      <c r="DT40" s="550"/>
      <c r="DU40" s="550"/>
      <c r="DV40" s="550"/>
      <c r="DW40" s="550"/>
      <c r="DX40" s="550"/>
      <c r="DY40" s="550"/>
      <c r="DZ40" s="550"/>
      <c r="EA40" s="550"/>
      <c r="EB40" s="550"/>
      <c r="EC40" s="550"/>
      <c r="ED40" s="550"/>
      <c r="EE40" s="550"/>
      <c r="EF40" s="550"/>
      <c r="EG40" s="550"/>
      <c r="EH40" s="550"/>
      <c r="EI40" s="550"/>
      <c r="EP40" s="46"/>
      <c r="EQ40" s="46"/>
      <c r="ER40" s="46"/>
      <c r="ES40" s="46"/>
      <c r="ET40" s="46"/>
      <c r="EU40" s="46"/>
      <c r="EV40" s="46"/>
      <c r="EW40" s="46"/>
      <c r="EX40" s="46"/>
      <c r="EY40" s="46"/>
      <c r="EZ40" s="46"/>
      <c r="FA40" s="46"/>
      <c r="FB40" s="46"/>
      <c r="FC40" s="46"/>
      <c r="FD40" s="46"/>
      <c r="FE40" s="46"/>
      <c r="FF40" s="46"/>
      <c r="FG40" s="46"/>
      <c r="FH40" s="46"/>
    </row>
    <row r="41" spans="1:188" ht="13.5" customHeight="1" x14ac:dyDescent="0.25">
      <c r="A41" s="489"/>
      <c r="H41" s="549"/>
      <c r="I41" s="549"/>
      <c r="J41" s="549"/>
      <c r="K41" s="549"/>
      <c r="L41" s="550"/>
      <c r="M41" s="550"/>
      <c r="N41" s="550"/>
      <c r="O41" s="550"/>
      <c r="P41" s="550"/>
      <c r="Q41" s="550"/>
      <c r="R41" s="550"/>
      <c r="S41" s="550"/>
      <c r="T41" s="550"/>
      <c r="U41" s="550"/>
      <c r="V41" s="550"/>
      <c r="W41" s="550"/>
      <c r="X41" s="550"/>
      <c r="Y41" s="550"/>
      <c r="Z41" s="550"/>
      <c r="AA41" s="550"/>
      <c r="AB41" s="550"/>
      <c r="AC41" s="550"/>
      <c r="AD41" s="550"/>
      <c r="AE41" s="550"/>
      <c r="AR41" s="549"/>
      <c r="AS41" s="549"/>
      <c r="AT41" s="549"/>
      <c r="AU41" s="549"/>
      <c r="AV41" s="550"/>
      <c r="AW41" s="550"/>
      <c r="AX41" s="550"/>
      <c r="AY41" s="550"/>
      <c r="AZ41" s="550"/>
      <c r="BA41" s="550"/>
      <c r="BB41" s="550"/>
      <c r="BC41" s="550"/>
      <c r="BD41" s="550"/>
      <c r="BE41" s="550"/>
      <c r="BF41" s="550"/>
      <c r="BG41" s="550"/>
      <c r="BH41" s="550"/>
      <c r="BI41" s="550"/>
      <c r="BJ41" s="550"/>
      <c r="BK41" s="550"/>
      <c r="BL41" s="550"/>
      <c r="BM41" s="550"/>
      <c r="BN41" s="550"/>
      <c r="BO41" s="550"/>
      <c r="CB41" s="549"/>
      <c r="CC41" s="549"/>
      <c r="CD41" s="549"/>
      <c r="CE41" s="549"/>
      <c r="CF41" s="550"/>
      <c r="CG41" s="550"/>
      <c r="CH41" s="550"/>
      <c r="CI41" s="550"/>
      <c r="CJ41" s="550"/>
      <c r="CK41" s="550"/>
      <c r="CL41" s="550"/>
      <c r="CM41" s="550"/>
      <c r="CN41" s="550"/>
      <c r="CO41" s="550"/>
      <c r="CP41" s="550"/>
      <c r="CQ41" s="550"/>
      <c r="CR41" s="550"/>
      <c r="CS41" s="550"/>
      <c r="CT41" s="550"/>
      <c r="CU41" s="550"/>
      <c r="CV41" s="550"/>
      <c r="CW41" s="550"/>
      <c r="CX41" s="550"/>
      <c r="CY41" s="550"/>
      <c r="DL41" s="549"/>
      <c r="DM41" s="549"/>
      <c r="DN41" s="549"/>
      <c r="DO41" s="549"/>
      <c r="DP41" s="550"/>
      <c r="DQ41" s="550"/>
      <c r="DR41" s="550"/>
      <c r="DS41" s="550"/>
      <c r="DT41" s="550"/>
      <c r="DU41" s="550"/>
      <c r="DV41" s="550"/>
      <c r="DW41" s="550"/>
      <c r="DX41" s="550"/>
      <c r="DY41" s="550"/>
      <c r="DZ41" s="550"/>
      <c r="EA41" s="550"/>
      <c r="EB41" s="550"/>
      <c r="EC41" s="550"/>
      <c r="ED41" s="550"/>
      <c r="EE41" s="550"/>
      <c r="EF41" s="550"/>
      <c r="EG41" s="550"/>
      <c r="EH41" s="550"/>
      <c r="EI41" s="550"/>
      <c r="EP41" s="46"/>
      <c r="EQ41" s="46"/>
      <c r="ER41" s="46"/>
      <c r="ES41" s="46"/>
      <c r="ET41" s="46"/>
      <c r="EU41" s="46"/>
      <c r="EV41" s="46"/>
      <c r="EW41" s="46"/>
      <c r="EX41" s="46"/>
      <c r="EY41" s="46"/>
      <c r="EZ41" s="46"/>
      <c r="FA41" s="46"/>
      <c r="FB41" s="46"/>
      <c r="FC41" s="46"/>
      <c r="FD41" s="46"/>
      <c r="FE41" s="46"/>
      <c r="FF41" s="46"/>
      <c r="FG41" s="46"/>
      <c r="FH41" s="46"/>
    </row>
    <row r="42" spans="1:188" ht="13.5" customHeight="1" x14ac:dyDescent="0.25">
      <c r="A42" s="268"/>
      <c r="S42" s="55"/>
      <c r="T42" s="57"/>
      <c r="BC42" s="55"/>
      <c r="BD42" s="57"/>
      <c r="CM42" s="55"/>
      <c r="CN42" s="57"/>
      <c r="DW42" s="55"/>
      <c r="DX42" s="57"/>
      <c r="EP42" s="39"/>
      <c r="EQ42" s="39"/>
      <c r="ER42" s="39"/>
      <c r="ES42" s="39"/>
      <c r="ET42" s="39"/>
      <c r="EU42" s="39"/>
      <c r="EV42" s="39"/>
      <c r="EW42" s="39"/>
      <c r="EX42" s="39"/>
      <c r="EY42" s="39"/>
      <c r="EZ42" s="39"/>
      <c r="FA42" s="39"/>
      <c r="FB42" s="39"/>
      <c r="FC42" s="39"/>
      <c r="FD42" s="39"/>
      <c r="FE42" s="39"/>
      <c r="FF42" s="39"/>
      <c r="FG42" s="39"/>
      <c r="FH42" s="39"/>
      <c r="FI42" s="39"/>
      <c r="FJ42" s="39"/>
      <c r="FK42" s="39"/>
      <c r="FL42" s="39"/>
      <c r="FM42" s="39"/>
      <c r="FN42" s="39"/>
      <c r="FO42" s="39"/>
      <c r="FP42" s="39"/>
      <c r="FQ42" s="39"/>
      <c r="FR42" s="39"/>
      <c r="FS42" s="39"/>
      <c r="FT42" s="39"/>
      <c r="FU42" s="39"/>
      <c r="FV42" s="39"/>
      <c r="FW42" s="39"/>
      <c r="FX42" s="39"/>
      <c r="FY42" s="39"/>
      <c r="FZ42" s="39"/>
      <c r="GA42" s="39"/>
    </row>
    <row r="43" spans="1:188" ht="13.5" customHeight="1" x14ac:dyDescent="0.25">
      <c r="A43" s="268"/>
      <c r="S43" s="55"/>
      <c r="T43" s="57"/>
      <c r="BC43" s="55"/>
      <c r="BD43" s="57"/>
      <c r="CM43" s="55"/>
      <c r="CN43" s="57"/>
      <c r="DW43" s="55"/>
      <c r="DX43" s="57"/>
      <c r="EP43" s="39"/>
      <c r="EQ43" s="39"/>
      <c r="ER43" s="39"/>
      <c r="ES43" s="39"/>
      <c r="ET43" s="39"/>
      <c r="EU43" s="39"/>
      <c r="EV43" s="39"/>
      <c r="EW43" s="39"/>
      <c r="EX43" s="39"/>
      <c r="EY43" s="39"/>
      <c r="EZ43" s="39"/>
      <c r="FA43" s="39"/>
      <c r="FB43" s="39"/>
      <c r="FC43" s="39"/>
      <c r="FD43" s="39"/>
      <c r="FE43" s="39"/>
      <c r="FF43" s="39"/>
      <c r="FG43" s="39"/>
      <c r="FH43" s="39"/>
      <c r="FI43" s="39"/>
      <c r="FJ43" s="39"/>
      <c r="FK43" s="39"/>
      <c r="FL43" s="39"/>
      <c r="FM43" s="39"/>
      <c r="FN43" s="39"/>
      <c r="FO43" s="39"/>
      <c r="FP43" s="39"/>
      <c r="FQ43" s="39"/>
      <c r="FR43" s="39"/>
      <c r="FS43" s="39"/>
      <c r="FT43" s="39"/>
      <c r="FU43" s="39"/>
      <c r="FV43" s="39"/>
      <c r="FW43" s="39"/>
      <c r="FX43" s="39"/>
      <c r="FY43" s="39"/>
      <c r="FZ43" s="39"/>
      <c r="GA43" s="39"/>
    </row>
    <row r="44" spans="1:188" ht="13.5" customHeight="1" x14ac:dyDescent="0.25">
      <c r="A44" s="266"/>
      <c r="H44" s="56"/>
      <c r="I44" s="56"/>
      <c r="J44" s="56"/>
      <c r="K44" s="56"/>
      <c r="L44" s="56"/>
      <c r="M44" s="56"/>
      <c r="N44" s="56"/>
      <c r="O44" s="56"/>
      <c r="P44" s="56"/>
      <c r="Q44" s="56"/>
      <c r="R44" s="56"/>
      <c r="S44" s="60"/>
      <c r="T44" s="62"/>
      <c r="U44" s="56"/>
      <c r="V44" s="56"/>
      <c r="W44" s="56"/>
      <c r="X44" s="56"/>
      <c r="Y44" s="56"/>
      <c r="Z44" s="56"/>
      <c r="AA44" s="56"/>
      <c r="AB44" s="56"/>
      <c r="AC44" s="56"/>
      <c r="AD44" s="56"/>
      <c r="AE44" s="56"/>
      <c r="AR44" s="56"/>
      <c r="AS44" s="56"/>
      <c r="AT44" s="56"/>
      <c r="AU44" s="56"/>
      <c r="AV44" s="56"/>
      <c r="AW44" s="56"/>
      <c r="AX44" s="56"/>
      <c r="AY44" s="56"/>
      <c r="AZ44" s="56"/>
      <c r="BA44" s="56"/>
      <c r="BB44" s="56"/>
      <c r="BC44" s="60"/>
      <c r="BD44" s="62"/>
      <c r="BE44" s="56"/>
      <c r="BF44" s="56"/>
      <c r="BG44" s="56"/>
      <c r="BH44" s="56"/>
      <c r="BI44" s="56"/>
      <c r="BJ44" s="56"/>
      <c r="BK44" s="56"/>
      <c r="BL44" s="56"/>
      <c r="BM44" s="56"/>
      <c r="BN44" s="56"/>
      <c r="BO44" s="56"/>
      <c r="CB44" s="56"/>
      <c r="CC44" s="56"/>
      <c r="CD44" s="56"/>
      <c r="CE44" s="56"/>
      <c r="CF44" s="56"/>
      <c r="CG44" s="56"/>
      <c r="CH44" s="56"/>
      <c r="CI44" s="56"/>
      <c r="CJ44" s="56"/>
      <c r="CK44" s="56"/>
      <c r="CL44" s="56"/>
      <c r="CM44" s="60"/>
      <c r="CN44" s="62"/>
      <c r="CO44" s="56"/>
      <c r="CP44" s="56"/>
      <c r="CQ44" s="56"/>
      <c r="CR44" s="56"/>
      <c r="CS44" s="56"/>
      <c r="CT44" s="56"/>
      <c r="CU44" s="56"/>
      <c r="CV44" s="56"/>
      <c r="CW44" s="56"/>
      <c r="CX44" s="56"/>
      <c r="CY44" s="56"/>
      <c r="DL44" s="56"/>
      <c r="DM44" s="56"/>
      <c r="DN44" s="56"/>
      <c r="DO44" s="56"/>
      <c r="DP44" s="56"/>
      <c r="DQ44" s="56"/>
      <c r="DR44" s="56"/>
      <c r="DS44" s="56"/>
      <c r="DT44" s="56"/>
      <c r="DU44" s="56"/>
      <c r="DV44" s="56"/>
      <c r="DW44" s="60"/>
      <c r="DX44" s="62"/>
      <c r="DY44" s="56"/>
      <c r="DZ44" s="56"/>
      <c r="EA44" s="56"/>
      <c r="EB44" s="56"/>
      <c r="EC44" s="56"/>
      <c r="ED44" s="56"/>
      <c r="EE44" s="56"/>
      <c r="EF44" s="56"/>
      <c r="EG44" s="56"/>
      <c r="EH44" s="56"/>
      <c r="EI44" s="56"/>
    </row>
    <row r="45" spans="1:188" ht="13.5" customHeight="1" x14ac:dyDescent="0.25">
      <c r="A45" s="267"/>
      <c r="G45" s="55"/>
      <c r="H45" s="57"/>
      <c r="S45" s="55"/>
      <c r="T45" s="57"/>
      <c r="AE45" s="55"/>
      <c r="AF45" s="57"/>
      <c r="AQ45" s="55"/>
      <c r="AR45" s="57"/>
      <c r="BC45" s="55"/>
      <c r="BD45" s="57"/>
      <c r="BO45" s="55"/>
      <c r="BP45" s="57"/>
      <c r="CA45" s="55"/>
      <c r="CB45" s="57"/>
      <c r="CM45" s="55"/>
      <c r="CN45" s="57"/>
      <c r="CY45" s="55"/>
      <c r="CZ45" s="57"/>
      <c r="DK45" s="55"/>
      <c r="DL45" s="57"/>
      <c r="DW45" s="55"/>
      <c r="DX45" s="57"/>
      <c r="EI45" s="55"/>
      <c r="EJ45" s="57"/>
    </row>
    <row r="46" spans="1:188" ht="13.5" customHeight="1" x14ac:dyDescent="0.25">
      <c r="A46" s="268"/>
      <c r="G46" s="55"/>
      <c r="H46" s="57"/>
      <c r="S46" s="55"/>
      <c r="T46" s="57"/>
      <c r="AE46" s="55"/>
      <c r="AF46" s="57"/>
      <c r="AQ46" s="55"/>
      <c r="AR46" s="57"/>
      <c r="BC46" s="55"/>
      <c r="BD46" s="57"/>
      <c r="BO46" s="55"/>
      <c r="BP46" s="57"/>
      <c r="CA46" s="55"/>
      <c r="CB46" s="57"/>
      <c r="CM46" s="55"/>
      <c r="CN46" s="57"/>
      <c r="CY46" s="55"/>
      <c r="CZ46" s="57"/>
      <c r="DK46" s="55"/>
      <c r="DL46" s="57"/>
      <c r="DW46" s="55"/>
      <c r="DX46" s="57"/>
      <c r="EI46" s="55"/>
      <c r="EJ46" s="57"/>
    </row>
    <row r="47" spans="1:188" ht="13.5" customHeight="1" x14ac:dyDescent="0.25">
      <c r="A47" s="268"/>
      <c r="G47" s="55"/>
      <c r="H47" s="57"/>
      <c r="S47" s="55"/>
      <c r="T47" s="57"/>
      <c r="AE47" s="55"/>
      <c r="AF47" s="57"/>
      <c r="AQ47" s="55"/>
      <c r="AR47" s="57"/>
      <c r="BC47" s="55"/>
      <c r="BD47" s="57"/>
      <c r="BO47" s="55"/>
      <c r="BP47" s="57"/>
      <c r="CA47" s="55"/>
      <c r="CB47" s="57"/>
      <c r="CM47" s="55"/>
      <c r="CN47" s="57"/>
      <c r="CY47" s="55"/>
      <c r="CZ47" s="57"/>
      <c r="DK47" s="55"/>
      <c r="DL47" s="57"/>
      <c r="DW47" s="55"/>
      <c r="DX47" s="57"/>
      <c r="EI47" s="55"/>
      <c r="EJ47" s="57"/>
    </row>
    <row r="48" spans="1:188" ht="18.75" x14ac:dyDescent="0.35">
      <c r="A48" s="268"/>
      <c r="B48" s="553" t="s">
        <v>288</v>
      </c>
      <c r="C48" s="554"/>
      <c r="D48" s="554"/>
      <c r="E48" s="554"/>
      <c r="F48" s="554" t="s">
        <v>707</v>
      </c>
      <c r="G48" s="554"/>
      <c r="H48" s="554"/>
      <c r="I48" s="554"/>
      <c r="J48" s="554" t="s">
        <v>652</v>
      </c>
      <c r="K48" s="554"/>
      <c r="L48" s="554"/>
      <c r="M48" s="555"/>
      <c r="N48" s="553" t="s">
        <v>504</v>
      </c>
      <c r="O48" s="554"/>
      <c r="P48" s="554"/>
      <c r="Q48" s="554"/>
      <c r="R48" s="554" t="s">
        <v>506</v>
      </c>
      <c r="S48" s="554"/>
      <c r="T48" s="554"/>
      <c r="U48" s="554"/>
      <c r="V48" s="554" t="s">
        <v>507</v>
      </c>
      <c r="W48" s="554"/>
      <c r="X48" s="554"/>
      <c r="Y48" s="555"/>
      <c r="Z48" s="553" t="s">
        <v>143</v>
      </c>
      <c r="AA48" s="554"/>
      <c r="AB48" s="554"/>
      <c r="AC48" s="554"/>
      <c r="AD48" s="554" t="s">
        <v>510</v>
      </c>
      <c r="AE48" s="554"/>
      <c r="AF48" s="554"/>
      <c r="AG48" s="554"/>
      <c r="AH48" s="554" t="s">
        <v>516</v>
      </c>
      <c r="AI48" s="554"/>
      <c r="AJ48" s="554"/>
      <c r="AK48" s="555"/>
      <c r="AL48" s="562" t="s">
        <v>522</v>
      </c>
      <c r="AM48" s="563"/>
      <c r="AN48" s="563"/>
      <c r="AO48" s="563"/>
      <c r="AP48" s="563" t="s">
        <v>525</v>
      </c>
      <c r="AQ48" s="563"/>
      <c r="AR48" s="563"/>
      <c r="AS48" s="563"/>
      <c r="AT48" s="563" t="s">
        <v>26</v>
      </c>
      <c r="AU48" s="563"/>
      <c r="AV48" s="563"/>
      <c r="AW48" s="578"/>
      <c r="AX48" s="562" t="s">
        <v>532</v>
      </c>
      <c r="AY48" s="563"/>
      <c r="AZ48" s="563"/>
      <c r="BA48" s="563"/>
      <c r="BB48" s="563" t="s">
        <v>150</v>
      </c>
      <c r="BC48" s="563"/>
      <c r="BD48" s="563"/>
      <c r="BE48" s="563"/>
      <c r="BF48" s="563" t="s">
        <v>539</v>
      </c>
      <c r="BG48" s="563"/>
      <c r="BH48" s="563"/>
      <c r="BI48" s="578"/>
      <c r="BJ48" s="562" t="s">
        <v>84</v>
      </c>
      <c r="BK48" s="563"/>
      <c r="BL48" s="563"/>
      <c r="BM48" s="563"/>
      <c r="BN48" s="563" t="s">
        <v>542</v>
      </c>
      <c r="BO48" s="563"/>
      <c r="BP48" s="563"/>
      <c r="BQ48" s="563"/>
      <c r="BR48" s="563" t="s">
        <v>548</v>
      </c>
      <c r="BS48" s="563"/>
      <c r="BT48" s="563"/>
      <c r="BU48" s="578"/>
      <c r="BV48" s="576" t="s">
        <v>549</v>
      </c>
      <c r="BW48" s="574"/>
      <c r="BX48" s="574"/>
      <c r="BY48" s="574"/>
      <c r="BZ48" s="574" t="s">
        <v>547</v>
      </c>
      <c r="CA48" s="574"/>
      <c r="CB48" s="574"/>
      <c r="CC48" s="574"/>
      <c r="CD48" s="574" t="s">
        <v>556</v>
      </c>
      <c r="CE48" s="574"/>
      <c r="CF48" s="574"/>
      <c r="CG48" s="575"/>
      <c r="CH48" s="576" t="s">
        <v>559</v>
      </c>
      <c r="CI48" s="574"/>
      <c r="CJ48" s="574"/>
      <c r="CK48" s="574"/>
      <c r="CL48" s="574" t="s">
        <v>561</v>
      </c>
      <c r="CM48" s="574"/>
      <c r="CN48" s="574"/>
      <c r="CO48" s="574"/>
      <c r="CP48" s="574" t="s">
        <v>112</v>
      </c>
      <c r="CQ48" s="574"/>
      <c r="CR48" s="574"/>
      <c r="CS48" s="575"/>
      <c r="CT48" s="576" t="s">
        <v>565</v>
      </c>
      <c r="CU48" s="574"/>
      <c r="CV48" s="574"/>
      <c r="CW48" s="574"/>
      <c r="CX48" s="574" t="s">
        <v>568</v>
      </c>
      <c r="CY48" s="574"/>
      <c r="CZ48" s="574"/>
      <c r="DA48" s="574"/>
      <c r="DB48" s="574" t="s">
        <v>572</v>
      </c>
      <c r="DC48" s="574"/>
      <c r="DD48" s="574"/>
      <c r="DE48" s="575"/>
      <c r="DF48" s="577" t="s">
        <v>68</v>
      </c>
      <c r="DG48" s="572"/>
      <c r="DH48" s="572"/>
      <c r="DI48" s="572"/>
      <c r="DJ48" s="572" t="s">
        <v>582</v>
      </c>
      <c r="DK48" s="572"/>
      <c r="DL48" s="572"/>
      <c r="DM48" s="572"/>
      <c r="DN48" s="572" t="s">
        <v>139</v>
      </c>
      <c r="DO48" s="572"/>
      <c r="DP48" s="572"/>
      <c r="DQ48" s="573"/>
      <c r="DR48" s="577" t="s">
        <v>587</v>
      </c>
      <c r="DS48" s="572"/>
      <c r="DT48" s="572"/>
      <c r="DU48" s="572"/>
      <c r="DV48" s="572" t="s">
        <v>589</v>
      </c>
      <c r="DW48" s="572"/>
      <c r="DX48" s="572"/>
      <c r="DY48" s="572"/>
      <c r="DZ48" s="572" t="s">
        <v>449</v>
      </c>
      <c r="EA48" s="572"/>
      <c r="EB48" s="572"/>
      <c r="EC48" s="573"/>
      <c r="ED48" s="577" t="s">
        <v>591</v>
      </c>
      <c r="EE48" s="572"/>
      <c r="EF48" s="572"/>
      <c r="EG48" s="572"/>
      <c r="EH48" s="572" t="s">
        <v>596</v>
      </c>
      <c r="EI48" s="572"/>
      <c r="EJ48" s="572"/>
      <c r="EK48" s="572"/>
      <c r="EL48" s="572" t="s">
        <v>601</v>
      </c>
      <c r="EM48" s="572"/>
      <c r="EN48" s="572"/>
      <c r="EO48" s="573"/>
      <c r="EP48" s="69"/>
      <c r="EQ48" s="69"/>
      <c r="ER48" s="69"/>
      <c r="ES48" s="69"/>
      <c r="ET48" s="69"/>
      <c r="EU48" s="69"/>
      <c r="EV48" s="69"/>
      <c r="EW48" s="69"/>
      <c r="EX48" s="69"/>
      <c r="EY48" s="69"/>
      <c r="EZ48" s="69"/>
      <c r="FA48" s="69"/>
      <c r="FB48" s="69"/>
      <c r="FC48" s="69"/>
      <c r="FD48" s="69"/>
      <c r="FE48" s="69"/>
      <c r="FF48" s="69"/>
      <c r="FG48" s="69"/>
      <c r="GB48" s="313"/>
      <c r="GD48" s="52" t="s">
        <v>643</v>
      </c>
      <c r="GE48" s="76" t="s">
        <v>453</v>
      </c>
      <c r="GF48" s="76" t="s">
        <v>222</v>
      </c>
    </row>
    <row r="49" spans="1:188" ht="13.5" customHeight="1" x14ac:dyDescent="0.25">
      <c r="A49" s="268"/>
      <c r="B49" s="516" t="str">
        <f>IF(ISERROR(VLOOKUP(B48,$GD:$GF,2,FALSE))=TRUE,"",VLOOKUP(B48,$GD:$GF,2,FALSE))</f>
        <v>鶴居ＳＳＳ</v>
      </c>
      <c r="C49" s="517"/>
      <c r="D49" s="517"/>
      <c r="E49" s="518"/>
      <c r="F49" s="525" t="str">
        <f>IF(ISERROR(VLOOKUP(F48,$GD:$GF,2,FALSE))=TRUE,"",VLOOKUP(F48,$GD:$GF,2,FALSE))</f>
        <v>ドリームキッズフットボールクラブ</v>
      </c>
      <c r="G49" s="526"/>
      <c r="H49" s="526"/>
      <c r="I49" s="527"/>
      <c r="J49" s="507" t="str">
        <f>IF(ISERROR(VLOOKUP(J48,$GD:$GF,2,FALSE))=TRUE,"",VLOOKUP(J48,$GD:$GF,2,FALSE))</f>
        <v>スマイス　セレソン　スポーツクラブ</v>
      </c>
      <c r="K49" s="508"/>
      <c r="L49" s="508"/>
      <c r="M49" s="509"/>
      <c r="N49" s="516" t="str">
        <f>IF(ISERROR(VLOOKUP(N48,$GD:$GF,2,FALSE))=TRUE,"",VLOOKUP(N48,$GD:$GF,2,FALSE))</f>
        <v>臼杵ＳＳＳ</v>
      </c>
      <c r="O49" s="517"/>
      <c r="P49" s="517"/>
      <c r="Q49" s="518"/>
      <c r="R49" s="525" t="str">
        <f>IF(ISERROR(VLOOKUP(R48,$GD:$GF,2,FALSE))=TRUE,"",VLOOKUP(R48,$GD:$GF,2,FALSE))</f>
        <v>ＦＣ　ＲＥＧＡＴＥ</v>
      </c>
      <c r="S49" s="526"/>
      <c r="T49" s="526"/>
      <c r="U49" s="527"/>
      <c r="V49" s="507" t="str">
        <f>IF(ISERROR(VLOOKUP(V48,$GD:$GF,2,FALSE))=TRUE,"",VLOOKUP(V48,$GD:$GF,2,FALSE))</f>
        <v>竹田直入ＦＣ</v>
      </c>
      <c r="W49" s="508"/>
      <c r="X49" s="508"/>
      <c r="Y49" s="509"/>
      <c r="Z49" s="516" t="str">
        <f>IF(ISERROR(VLOOKUP(Z48,$GD:$GF,2,FALSE))=TRUE,"",VLOOKUP(Z48,$GD:$GF,2,FALSE))</f>
        <v>別府フットボールクラブ．ミネルバＵ－１２</v>
      </c>
      <c r="AA49" s="517"/>
      <c r="AB49" s="517"/>
      <c r="AC49" s="518"/>
      <c r="AD49" s="525" t="str">
        <f>IF(ISERROR(VLOOKUP(AD48,$GD:$GF,2,FALSE))=TRUE,"",VLOOKUP(AD48,$GD:$GF,2,FALSE))</f>
        <v>カティオーラフットボールクラブＵ－１２　Ｎｅｘｔ</v>
      </c>
      <c r="AE49" s="526"/>
      <c r="AF49" s="526"/>
      <c r="AG49" s="527"/>
      <c r="AH49" s="507" t="str">
        <f>IF(ISERROR(VLOOKUP(AH48,$GD:$GF,2,FALSE))=TRUE,"",VLOOKUP(AH48,$GD:$GF,2,FALSE))</f>
        <v>西の台ＪＦＣ</v>
      </c>
      <c r="AI49" s="508"/>
      <c r="AJ49" s="508"/>
      <c r="AK49" s="509"/>
      <c r="AL49" s="516" t="str">
        <f>IF(ISERROR(VLOOKUP(AL48,$GD:$GF,2,FALSE))=TRUE,"",VLOOKUP(AL48,$GD:$GF,2,FALSE))</f>
        <v>日出サッカースポーツ少年団</v>
      </c>
      <c r="AM49" s="517"/>
      <c r="AN49" s="517"/>
      <c r="AO49" s="518"/>
      <c r="AP49" s="525" t="str">
        <f>IF(ISERROR(VLOOKUP(AP48,$GD:$GF,2,FALSE))=TRUE,"",VLOOKUP(AP48,$GD:$GF,2,FALSE))</f>
        <v>大分トリニータＵ－１２</v>
      </c>
      <c r="AQ49" s="526"/>
      <c r="AR49" s="526"/>
      <c r="AS49" s="527"/>
      <c r="AT49" s="579" t="str">
        <f>IF(ISERROR(VLOOKUP(AT48,$GD:$GF,2,FALSE))=TRUE,"",VLOOKUP(AT48,$GD:$GF,2,FALSE))</f>
        <v>弥生少年サッカークラブ</v>
      </c>
      <c r="AU49" s="580"/>
      <c r="AV49" s="580"/>
      <c r="AW49" s="581"/>
      <c r="AX49" s="516" t="str">
        <f>IF(ISERROR(VLOOKUP(AX48,$GD:$GF,2,FALSE))=TRUE,"",VLOOKUP(AX48,$GD:$GF,2,FALSE))</f>
        <v>ＦＣ　ＷＡＹＳ</v>
      </c>
      <c r="AY49" s="517"/>
      <c r="AZ49" s="517"/>
      <c r="BA49" s="518"/>
      <c r="BB49" s="525" t="str">
        <f>IF(ISERROR(VLOOKUP(BB48,$GD:$GF,2,FALSE))=TRUE,"",VLOOKUP(BB48,$GD:$GF,2,FALSE))</f>
        <v>アトレチコエラン横瀬</v>
      </c>
      <c r="BC49" s="526"/>
      <c r="BD49" s="526"/>
      <c r="BE49" s="527"/>
      <c r="BF49" s="534" t="str">
        <f>IF(ISERROR(VLOOKUP(BF48,$GD:$GF,2,FALSE))=TRUE,"",VLOOKUP(BF48,$GD:$GF,2,FALSE))</f>
        <v>ＦＣ　ＪＵＮＩＯＲＳ</v>
      </c>
      <c r="BG49" s="535"/>
      <c r="BH49" s="535"/>
      <c r="BI49" s="536"/>
      <c r="BJ49" s="516" t="str">
        <f>IF(ISERROR(VLOOKUP(BJ48,$GD:$GF,2,FALSE))=TRUE,"",VLOOKUP(BJ48,$GD:$GF,2,FALSE))</f>
        <v>ＦＣアリアーレ</v>
      </c>
      <c r="BK49" s="517"/>
      <c r="BL49" s="517"/>
      <c r="BM49" s="518"/>
      <c r="BN49" s="525" t="str">
        <f>IF(ISERROR(VLOOKUP(BN48,$GD:$GF,2,FALSE))=TRUE,"",VLOOKUP(BN48,$GD:$GF,2,FALSE))</f>
        <v>カティオーラフットボールクラブＵ－１２</v>
      </c>
      <c r="BO49" s="526"/>
      <c r="BP49" s="526"/>
      <c r="BQ49" s="527"/>
      <c r="BR49" s="534" t="str">
        <f>IF(ISERROR(VLOOKUP(BR48,$GD:$GF,2,FALSE))=TRUE,"",VLOOKUP(BR48,$GD:$GF,2,FALSE))</f>
        <v>大平山アソシエーション式フットボールクラブ</v>
      </c>
      <c r="BS49" s="535"/>
      <c r="BT49" s="535"/>
      <c r="BU49" s="536"/>
      <c r="BV49" s="516" t="str">
        <f>IF(ISERROR(VLOOKUP(BV48,$GD:$GF,2,FALSE))=TRUE,"",VLOOKUP(BV48,$GD:$GF,2,FALSE))</f>
        <v>ティエラフットボールクラブＵ－１２</v>
      </c>
      <c r="BW49" s="517"/>
      <c r="BX49" s="517"/>
      <c r="BY49" s="518"/>
      <c r="BZ49" s="525" t="str">
        <f>IF(ISERROR(VLOOKUP(BZ48,$GD:$GF,2,FALSE))=TRUE,"",VLOOKUP(BZ48,$GD:$GF,2,FALSE))</f>
        <v>南大分サッカー少年団</v>
      </c>
      <c r="CA49" s="526"/>
      <c r="CB49" s="526"/>
      <c r="CC49" s="527"/>
      <c r="CD49" s="507" t="str">
        <f>IF(ISERROR(VLOOKUP(CD48,$GD:$GF,2,FALSE))=TRUE,"",VLOOKUP(CD48,$GD:$GF,2,FALSE))</f>
        <v>ＦＣ　ＵＮＩＴＥ</v>
      </c>
      <c r="CE49" s="508"/>
      <c r="CF49" s="508"/>
      <c r="CG49" s="509"/>
      <c r="CH49" s="516" t="str">
        <f>IF(ISERROR(VLOOKUP(CH48,$GD:$GF,2,FALSE))=TRUE,"",VLOOKUP(CH48,$GD:$GF,2,FALSE))</f>
        <v>スマイス・セレソン</v>
      </c>
      <c r="CI49" s="517"/>
      <c r="CJ49" s="517"/>
      <c r="CK49" s="518"/>
      <c r="CL49" s="525" t="str">
        <f>IF(ISERROR(VLOOKUP(CL48,$GD:$GF,2,FALSE))=TRUE,"",VLOOKUP(CL48,$GD:$GF,2,FALSE))</f>
        <v>明治北ＳＳＣ</v>
      </c>
      <c r="CM49" s="526"/>
      <c r="CN49" s="526"/>
      <c r="CO49" s="527"/>
      <c r="CP49" s="507" t="str">
        <f>IF(ISERROR(VLOOKUP(CP48,$GD:$GF,2,FALSE))=TRUE,"",VLOOKUP(CP48,$GD:$GF,2,FALSE))</f>
        <v>大分トリニータタートルズ</v>
      </c>
      <c r="CQ49" s="508"/>
      <c r="CR49" s="508"/>
      <c r="CS49" s="509"/>
      <c r="CT49" s="516" t="str">
        <f>IF(ISERROR(VLOOKUP(CT48,$GD:$GF,2,FALSE))=TRUE,"",VLOOKUP(CT48,$GD:$GF,2,FALSE))</f>
        <v>ＭＦＣ三花少年サッカー教室</v>
      </c>
      <c r="CU49" s="517"/>
      <c r="CV49" s="517"/>
      <c r="CW49" s="518"/>
      <c r="CX49" s="525" t="str">
        <f>IF(ISERROR(VLOOKUP(CX48,$GD:$GF,2,FALSE))=TRUE,"",VLOOKUP(CX48,$GD:$GF,2,FALSE))</f>
        <v>リノスフットボールクラブ　Ｕ－１２</v>
      </c>
      <c r="CY49" s="526"/>
      <c r="CZ49" s="526"/>
      <c r="DA49" s="527"/>
      <c r="DB49" s="507" t="str">
        <f>IF(ISERROR(VLOOKUP(DB48,$GD:$GF,2,FALSE))=TRUE,"",VLOOKUP(DB48,$GD:$GF,2,FALSE))</f>
        <v>ＮＦＣ・ＯＩＴＡ　Ｕ１２</v>
      </c>
      <c r="DC49" s="508"/>
      <c r="DD49" s="508"/>
      <c r="DE49" s="509"/>
      <c r="DF49" s="516" t="str">
        <f>IF(ISERROR(VLOOKUP(DF48,$GD:$GF,2,FALSE))=TRUE,"",VLOOKUP(DF48,$GD:$GF,2,FALSE))</f>
        <v>ＯＫＹ山香サッカークラブ</v>
      </c>
      <c r="DG49" s="517"/>
      <c r="DH49" s="517"/>
      <c r="DI49" s="518"/>
      <c r="DJ49" s="525" t="str">
        <f>IF(ISERROR(VLOOKUP(DJ48,$GD:$GF,2,FALSE))=TRUE,"",VLOOKUP(DJ48,$GD:$GF,2,FALSE))</f>
        <v>滝尾下郡サッカースポーツ少年団</v>
      </c>
      <c r="DK49" s="526"/>
      <c r="DL49" s="526"/>
      <c r="DM49" s="527"/>
      <c r="DN49" s="534" t="str">
        <f>IF(ISERROR(VLOOKUP(DN48,$GD:$GF,2,FALSE))=TRUE,"",VLOOKUP(DN48,$GD:$GF,2,FALSE))</f>
        <v>はやぶさフットボールクラブ</v>
      </c>
      <c r="DO49" s="535"/>
      <c r="DP49" s="535"/>
      <c r="DQ49" s="536"/>
      <c r="DR49" s="516" t="str">
        <f>IF(ISERROR(VLOOKUP(DR48,$GD:$GF,2,FALSE))=TRUE,"",VLOOKUP(DR48,$GD:$GF,2,FALSE))</f>
        <v>玖珠サッカースポーツ少年団</v>
      </c>
      <c r="DS49" s="517"/>
      <c r="DT49" s="517"/>
      <c r="DU49" s="518"/>
      <c r="DV49" s="525" t="str">
        <f>IF(ISERROR(VLOOKUP(DV48,$GD:$GF,2,FALSE))=TRUE,"",VLOOKUP(DV48,$GD:$GF,2,FALSE))</f>
        <v>鶴崎ＳＳＳ</v>
      </c>
      <c r="DW49" s="526"/>
      <c r="DX49" s="526"/>
      <c r="DY49" s="527"/>
      <c r="DZ49" s="534" t="str">
        <f>IF(ISERROR(VLOOKUP(DZ48,$GD:$GF,2,FALSE))=TRUE,"",VLOOKUP(DZ48,$GD:$GF,2,FALSE))</f>
        <v>戸次吉野ＳＳＳ</v>
      </c>
      <c r="EA49" s="535"/>
      <c r="EB49" s="535"/>
      <c r="EC49" s="536"/>
      <c r="ED49" s="516" t="str">
        <f>IF(ISERROR(VLOOKUP(ED48,$GD:$GF,2,FALSE))=TRUE,"",VLOOKUP(ED48,$GD:$GF,2,FALSE))</f>
        <v>四日市南ＳＳＣ</v>
      </c>
      <c r="EE49" s="517"/>
      <c r="EF49" s="517"/>
      <c r="EG49" s="518"/>
      <c r="EH49" s="525" t="str">
        <f>IF(ISERROR(VLOOKUP(EH48,$GD:$GF,2,FALSE))=TRUE,"",VLOOKUP(EH48,$GD:$GF,2,FALSE))</f>
        <v>明野東サッカースポーツ少年団</v>
      </c>
      <c r="EI49" s="526"/>
      <c r="EJ49" s="526"/>
      <c r="EK49" s="527"/>
      <c r="EL49" s="534" t="str">
        <f>IF(ISERROR(VLOOKUP(EL48,$GD:$GF,2,FALSE))=TRUE,"",VLOOKUP(EL48,$GD:$GF,2,FALSE))</f>
        <v>佐伯リベロフットボールクラブ</v>
      </c>
      <c r="EM49" s="535"/>
      <c r="EN49" s="535"/>
      <c r="EO49" s="536"/>
      <c r="EP49" s="70"/>
      <c r="EQ49" s="71"/>
      <c r="ER49" s="71"/>
      <c r="ES49" s="71"/>
      <c r="ET49" s="70"/>
      <c r="EU49" s="71"/>
      <c r="EV49" s="71"/>
      <c r="EW49" s="71"/>
      <c r="EX49" s="70"/>
      <c r="EY49" s="71"/>
      <c r="EZ49" s="71"/>
      <c r="FA49" s="71"/>
      <c r="FB49" s="70"/>
      <c r="FC49" s="71"/>
      <c r="FD49" s="71"/>
      <c r="FE49" s="71"/>
      <c r="FF49" s="70"/>
      <c r="FG49" s="71"/>
      <c r="GB49" s="314"/>
      <c r="GC49" s="249"/>
      <c r="GD49" t="s">
        <v>14368</v>
      </c>
      <c r="GE49" s="76" t="str">
        <f>抽選会資料!C11</f>
        <v>カティオーラフットボールクラブＵ－１２</v>
      </c>
      <c r="GF49" s="76" t="s">
        <v>617</v>
      </c>
    </row>
    <row r="50" spans="1:188" ht="13.5" customHeight="1" x14ac:dyDescent="0.25">
      <c r="A50" s="268"/>
      <c r="B50" s="519"/>
      <c r="C50" s="520"/>
      <c r="D50" s="520"/>
      <c r="E50" s="521"/>
      <c r="F50" s="528"/>
      <c r="G50" s="529"/>
      <c r="H50" s="529"/>
      <c r="I50" s="530"/>
      <c r="J50" s="510"/>
      <c r="K50" s="511"/>
      <c r="L50" s="511"/>
      <c r="M50" s="512"/>
      <c r="N50" s="519"/>
      <c r="O50" s="520"/>
      <c r="P50" s="520"/>
      <c r="Q50" s="521"/>
      <c r="R50" s="528"/>
      <c r="S50" s="529"/>
      <c r="T50" s="529"/>
      <c r="U50" s="530"/>
      <c r="V50" s="510"/>
      <c r="W50" s="511"/>
      <c r="X50" s="511"/>
      <c r="Y50" s="512"/>
      <c r="Z50" s="519"/>
      <c r="AA50" s="520"/>
      <c r="AB50" s="520"/>
      <c r="AC50" s="521"/>
      <c r="AD50" s="528"/>
      <c r="AE50" s="529"/>
      <c r="AF50" s="529"/>
      <c r="AG50" s="530"/>
      <c r="AH50" s="510"/>
      <c r="AI50" s="511"/>
      <c r="AJ50" s="511"/>
      <c r="AK50" s="512"/>
      <c r="AL50" s="519"/>
      <c r="AM50" s="520"/>
      <c r="AN50" s="520"/>
      <c r="AO50" s="521"/>
      <c r="AP50" s="528"/>
      <c r="AQ50" s="529"/>
      <c r="AR50" s="529"/>
      <c r="AS50" s="530"/>
      <c r="AT50" s="582"/>
      <c r="AU50" s="583"/>
      <c r="AV50" s="583"/>
      <c r="AW50" s="584"/>
      <c r="AX50" s="519"/>
      <c r="AY50" s="520"/>
      <c r="AZ50" s="520"/>
      <c r="BA50" s="521"/>
      <c r="BB50" s="528"/>
      <c r="BC50" s="529"/>
      <c r="BD50" s="529"/>
      <c r="BE50" s="530"/>
      <c r="BF50" s="537"/>
      <c r="BG50" s="538"/>
      <c r="BH50" s="538"/>
      <c r="BI50" s="539"/>
      <c r="BJ50" s="519"/>
      <c r="BK50" s="520"/>
      <c r="BL50" s="520"/>
      <c r="BM50" s="521"/>
      <c r="BN50" s="528"/>
      <c r="BO50" s="529"/>
      <c r="BP50" s="529"/>
      <c r="BQ50" s="530"/>
      <c r="BR50" s="537"/>
      <c r="BS50" s="538"/>
      <c r="BT50" s="538"/>
      <c r="BU50" s="539"/>
      <c r="BV50" s="519"/>
      <c r="BW50" s="520"/>
      <c r="BX50" s="520"/>
      <c r="BY50" s="521"/>
      <c r="BZ50" s="528"/>
      <c r="CA50" s="529"/>
      <c r="CB50" s="529"/>
      <c r="CC50" s="530"/>
      <c r="CD50" s="510"/>
      <c r="CE50" s="511"/>
      <c r="CF50" s="511"/>
      <c r="CG50" s="512"/>
      <c r="CH50" s="519"/>
      <c r="CI50" s="520"/>
      <c r="CJ50" s="520"/>
      <c r="CK50" s="521"/>
      <c r="CL50" s="528"/>
      <c r="CM50" s="529"/>
      <c r="CN50" s="529"/>
      <c r="CO50" s="530"/>
      <c r="CP50" s="510"/>
      <c r="CQ50" s="511"/>
      <c r="CR50" s="511"/>
      <c r="CS50" s="512"/>
      <c r="CT50" s="519"/>
      <c r="CU50" s="520"/>
      <c r="CV50" s="520"/>
      <c r="CW50" s="521"/>
      <c r="CX50" s="528"/>
      <c r="CY50" s="529"/>
      <c r="CZ50" s="529"/>
      <c r="DA50" s="530"/>
      <c r="DB50" s="510"/>
      <c r="DC50" s="511"/>
      <c r="DD50" s="511"/>
      <c r="DE50" s="512"/>
      <c r="DF50" s="519"/>
      <c r="DG50" s="520"/>
      <c r="DH50" s="520"/>
      <c r="DI50" s="521"/>
      <c r="DJ50" s="528"/>
      <c r="DK50" s="529"/>
      <c r="DL50" s="529"/>
      <c r="DM50" s="530"/>
      <c r="DN50" s="537"/>
      <c r="DO50" s="538"/>
      <c r="DP50" s="538"/>
      <c r="DQ50" s="539"/>
      <c r="DR50" s="519"/>
      <c r="DS50" s="520"/>
      <c r="DT50" s="520"/>
      <c r="DU50" s="521"/>
      <c r="DV50" s="528"/>
      <c r="DW50" s="529"/>
      <c r="DX50" s="529"/>
      <c r="DY50" s="530"/>
      <c r="DZ50" s="537"/>
      <c r="EA50" s="538"/>
      <c r="EB50" s="538"/>
      <c r="EC50" s="539"/>
      <c r="ED50" s="519"/>
      <c r="EE50" s="520"/>
      <c r="EF50" s="520"/>
      <c r="EG50" s="521"/>
      <c r="EH50" s="528"/>
      <c r="EI50" s="529"/>
      <c r="EJ50" s="529"/>
      <c r="EK50" s="530"/>
      <c r="EL50" s="537"/>
      <c r="EM50" s="538"/>
      <c r="EN50" s="538"/>
      <c r="EO50" s="539"/>
      <c r="EP50" s="71"/>
      <c r="EQ50" s="71"/>
      <c r="ER50" s="71"/>
      <c r="ES50" s="71"/>
      <c r="ET50" s="71"/>
      <c r="EU50" s="71"/>
      <c r="EV50" s="71"/>
      <c r="EW50" s="71"/>
      <c r="EX50" s="71"/>
      <c r="EY50" s="71"/>
      <c r="EZ50" s="71"/>
      <c r="FA50" s="71"/>
      <c r="FB50" s="71"/>
      <c r="FC50" s="71"/>
      <c r="FD50" s="71"/>
      <c r="FE50" s="71"/>
      <c r="FF50" s="71"/>
      <c r="FG50" s="71"/>
      <c r="GB50" s="314"/>
      <c r="GC50" s="249"/>
      <c r="GD50" t="s">
        <v>14369</v>
      </c>
      <c r="GE50" s="76" t="str">
        <f>抽選会資料!C12</f>
        <v>ドリームキッズフットボールクラブ</v>
      </c>
      <c r="GF50" s="76" t="s">
        <v>617</v>
      </c>
    </row>
    <row r="51" spans="1:188" ht="13.5" customHeight="1" x14ac:dyDescent="0.25">
      <c r="A51" s="268"/>
      <c r="B51" s="519"/>
      <c r="C51" s="520"/>
      <c r="D51" s="520"/>
      <c r="E51" s="521"/>
      <c r="F51" s="528"/>
      <c r="G51" s="529"/>
      <c r="H51" s="529"/>
      <c r="I51" s="530"/>
      <c r="J51" s="510"/>
      <c r="K51" s="511"/>
      <c r="L51" s="511"/>
      <c r="M51" s="512"/>
      <c r="N51" s="519"/>
      <c r="O51" s="520"/>
      <c r="P51" s="520"/>
      <c r="Q51" s="521"/>
      <c r="R51" s="528"/>
      <c r="S51" s="529"/>
      <c r="T51" s="529"/>
      <c r="U51" s="530"/>
      <c r="V51" s="510"/>
      <c r="W51" s="511"/>
      <c r="X51" s="511"/>
      <c r="Y51" s="512"/>
      <c r="Z51" s="519"/>
      <c r="AA51" s="520"/>
      <c r="AB51" s="520"/>
      <c r="AC51" s="521"/>
      <c r="AD51" s="528"/>
      <c r="AE51" s="529"/>
      <c r="AF51" s="529"/>
      <c r="AG51" s="530"/>
      <c r="AH51" s="510"/>
      <c r="AI51" s="511"/>
      <c r="AJ51" s="511"/>
      <c r="AK51" s="512"/>
      <c r="AL51" s="519"/>
      <c r="AM51" s="520"/>
      <c r="AN51" s="520"/>
      <c r="AO51" s="521"/>
      <c r="AP51" s="528"/>
      <c r="AQ51" s="529"/>
      <c r="AR51" s="529"/>
      <c r="AS51" s="530"/>
      <c r="AT51" s="582"/>
      <c r="AU51" s="583"/>
      <c r="AV51" s="583"/>
      <c r="AW51" s="584"/>
      <c r="AX51" s="519"/>
      <c r="AY51" s="520"/>
      <c r="AZ51" s="520"/>
      <c r="BA51" s="521"/>
      <c r="BB51" s="528"/>
      <c r="BC51" s="529"/>
      <c r="BD51" s="529"/>
      <c r="BE51" s="530"/>
      <c r="BF51" s="537"/>
      <c r="BG51" s="538"/>
      <c r="BH51" s="538"/>
      <c r="BI51" s="539"/>
      <c r="BJ51" s="519"/>
      <c r="BK51" s="520"/>
      <c r="BL51" s="520"/>
      <c r="BM51" s="521"/>
      <c r="BN51" s="528"/>
      <c r="BO51" s="529"/>
      <c r="BP51" s="529"/>
      <c r="BQ51" s="530"/>
      <c r="BR51" s="537"/>
      <c r="BS51" s="538"/>
      <c r="BT51" s="538"/>
      <c r="BU51" s="539"/>
      <c r="BV51" s="519"/>
      <c r="BW51" s="520"/>
      <c r="BX51" s="520"/>
      <c r="BY51" s="521"/>
      <c r="BZ51" s="528"/>
      <c r="CA51" s="529"/>
      <c r="CB51" s="529"/>
      <c r="CC51" s="530"/>
      <c r="CD51" s="510"/>
      <c r="CE51" s="511"/>
      <c r="CF51" s="511"/>
      <c r="CG51" s="512"/>
      <c r="CH51" s="519"/>
      <c r="CI51" s="520"/>
      <c r="CJ51" s="520"/>
      <c r="CK51" s="521"/>
      <c r="CL51" s="528"/>
      <c r="CM51" s="529"/>
      <c r="CN51" s="529"/>
      <c r="CO51" s="530"/>
      <c r="CP51" s="510"/>
      <c r="CQ51" s="511"/>
      <c r="CR51" s="511"/>
      <c r="CS51" s="512"/>
      <c r="CT51" s="519"/>
      <c r="CU51" s="520"/>
      <c r="CV51" s="520"/>
      <c r="CW51" s="521"/>
      <c r="CX51" s="528"/>
      <c r="CY51" s="529"/>
      <c r="CZ51" s="529"/>
      <c r="DA51" s="530"/>
      <c r="DB51" s="510"/>
      <c r="DC51" s="511"/>
      <c r="DD51" s="511"/>
      <c r="DE51" s="512"/>
      <c r="DF51" s="519"/>
      <c r="DG51" s="520"/>
      <c r="DH51" s="520"/>
      <c r="DI51" s="521"/>
      <c r="DJ51" s="528"/>
      <c r="DK51" s="529"/>
      <c r="DL51" s="529"/>
      <c r="DM51" s="530"/>
      <c r="DN51" s="537"/>
      <c r="DO51" s="538"/>
      <c r="DP51" s="538"/>
      <c r="DQ51" s="539"/>
      <c r="DR51" s="519"/>
      <c r="DS51" s="520"/>
      <c r="DT51" s="520"/>
      <c r="DU51" s="521"/>
      <c r="DV51" s="528"/>
      <c r="DW51" s="529"/>
      <c r="DX51" s="529"/>
      <c r="DY51" s="530"/>
      <c r="DZ51" s="537"/>
      <c r="EA51" s="538"/>
      <c r="EB51" s="538"/>
      <c r="EC51" s="539"/>
      <c r="ED51" s="519"/>
      <c r="EE51" s="520"/>
      <c r="EF51" s="520"/>
      <c r="EG51" s="521"/>
      <c r="EH51" s="528"/>
      <c r="EI51" s="529"/>
      <c r="EJ51" s="529"/>
      <c r="EK51" s="530"/>
      <c r="EL51" s="537"/>
      <c r="EM51" s="538"/>
      <c r="EN51" s="538"/>
      <c r="EO51" s="539"/>
      <c r="EP51" s="71"/>
      <c r="EQ51" s="71"/>
      <c r="ER51" s="71"/>
      <c r="ES51" s="71"/>
      <c r="ET51" s="71"/>
      <c r="EU51" s="71"/>
      <c r="EV51" s="71"/>
      <c r="EW51" s="71"/>
      <c r="EX51" s="71"/>
      <c r="EY51" s="71"/>
      <c r="EZ51" s="71"/>
      <c r="FA51" s="71"/>
      <c r="FB51" s="71"/>
      <c r="GB51" s="249"/>
      <c r="GC51" s="249"/>
      <c r="GD51" s="376" t="s">
        <v>14370</v>
      </c>
      <c r="GE51" s="76" t="str">
        <f>抽選会資料!C13</f>
        <v>リノスフットボールクラブ　Ｕ－１２</v>
      </c>
      <c r="GF51" s="76" t="s">
        <v>617</v>
      </c>
    </row>
    <row r="52" spans="1:188" ht="13.5" customHeight="1" x14ac:dyDescent="0.25">
      <c r="A52" s="268"/>
      <c r="B52" s="519"/>
      <c r="C52" s="520"/>
      <c r="D52" s="520"/>
      <c r="E52" s="521"/>
      <c r="F52" s="528"/>
      <c r="G52" s="529"/>
      <c r="H52" s="529"/>
      <c r="I52" s="530"/>
      <c r="J52" s="510"/>
      <c r="K52" s="511"/>
      <c r="L52" s="511"/>
      <c r="M52" s="512"/>
      <c r="N52" s="519"/>
      <c r="O52" s="520"/>
      <c r="P52" s="520"/>
      <c r="Q52" s="521"/>
      <c r="R52" s="528"/>
      <c r="S52" s="529"/>
      <c r="T52" s="529"/>
      <c r="U52" s="530"/>
      <c r="V52" s="510"/>
      <c r="W52" s="511"/>
      <c r="X52" s="511"/>
      <c r="Y52" s="512"/>
      <c r="Z52" s="519"/>
      <c r="AA52" s="520"/>
      <c r="AB52" s="520"/>
      <c r="AC52" s="521"/>
      <c r="AD52" s="528"/>
      <c r="AE52" s="529"/>
      <c r="AF52" s="529"/>
      <c r="AG52" s="530"/>
      <c r="AH52" s="510"/>
      <c r="AI52" s="511"/>
      <c r="AJ52" s="511"/>
      <c r="AK52" s="512"/>
      <c r="AL52" s="519"/>
      <c r="AM52" s="520"/>
      <c r="AN52" s="520"/>
      <c r="AO52" s="521"/>
      <c r="AP52" s="528"/>
      <c r="AQ52" s="529"/>
      <c r="AR52" s="529"/>
      <c r="AS52" s="530"/>
      <c r="AT52" s="582"/>
      <c r="AU52" s="583"/>
      <c r="AV52" s="583"/>
      <c r="AW52" s="584"/>
      <c r="AX52" s="519"/>
      <c r="AY52" s="520"/>
      <c r="AZ52" s="520"/>
      <c r="BA52" s="521"/>
      <c r="BB52" s="528"/>
      <c r="BC52" s="529"/>
      <c r="BD52" s="529"/>
      <c r="BE52" s="530"/>
      <c r="BF52" s="537"/>
      <c r="BG52" s="538"/>
      <c r="BH52" s="538"/>
      <c r="BI52" s="539"/>
      <c r="BJ52" s="519"/>
      <c r="BK52" s="520"/>
      <c r="BL52" s="520"/>
      <c r="BM52" s="521"/>
      <c r="BN52" s="528"/>
      <c r="BO52" s="529"/>
      <c r="BP52" s="529"/>
      <c r="BQ52" s="530"/>
      <c r="BR52" s="537"/>
      <c r="BS52" s="538"/>
      <c r="BT52" s="538"/>
      <c r="BU52" s="539"/>
      <c r="BV52" s="519"/>
      <c r="BW52" s="520"/>
      <c r="BX52" s="520"/>
      <c r="BY52" s="521"/>
      <c r="BZ52" s="528"/>
      <c r="CA52" s="529"/>
      <c r="CB52" s="529"/>
      <c r="CC52" s="530"/>
      <c r="CD52" s="510"/>
      <c r="CE52" s="511"/>
      <c r="CF52" s="511"/>
      <c r="CG52" s="512"/>
      <c r="CH52" s="519"/>
      <c r="CI52" s="520"/>
      <c r="CJ52" s="520"/>
      <c r="CK52" s="521"/>
      <c r="CL52" s="528"/>
      <c r="CM52" s="529"/>
      <c r="CN52" s="529"/>
      <c r="CO52" s="530"/>
      <c r="CP52" s="510"/>
      <c r="CQ52" s="511"/>
      <c r="CR52" s="511"/>
      <c r="CS52" s="512"/>
      <c r="CT52" s="519"/>
      <c r="CU52" s="520"/>
      <c r="CV52" s="520"/>
      <c r="CW52" s="521"/>
      <c r="CX52" s="528"/>
      <c r="CY52" s="529"/>
      <c r="CZ52" s="529"/>
      <c r="DA52" s="530"/>
      <c r="DB52" s="510"/>
      <c r="DC52" s="511"/>
      <c r="DD52" s="511"/>
      <c r="DE52" s="512"/>
      <c r="DF52" s="519"/>
      <c r="DG52" s="520"/>
      <c r="DH52" s="520"/>
      <c r="DI52" s="521"/>
      <c r="DJ52" s="528"/>
      <c r="DK52" s="529"/>
      <c r="DL52" s="529"/>
      <c r="DM52" s="530"/>
      <c r="DN52" s="537"/>
      <c r="DO52" s="538"/>
      <c r="DP52" s="538"/>
      <c r="DQ52" s="539"/>
      <c r="DR52" s="519"/>
      <c r="DS52" s="520"/>
      <c r="DT52" s="520"/>
      <c r="DU52" s="521"/>
      <c r="DV52" s="528"/>
      <c r="DW52" s="529"/>
      <c r="DX52" s="529"/>
      <c r="DY52" s="530"/>
      <c r="DZ52" s="537"/>
      <c r="EA52" s="538"/>
      <c r="EB52" s="538"/>
      <c r="EC52" s="539"/>
      <c r="ED52" s="519"/>
      <c r="EE52" s="520"/>
      <c r="EF52" s="520"/>
      <c r="EG52" s="521"/>
      <c r="EH52" s="528"/>
      <c r="EI52" s="529"/>
      <c r="EJ52" s="529"/>
      <c r="EK52" s="530"/>
      <c r="EL52" s="537"/>
      <c r="EM52" s="538"/>
      <c r="EN52" s="538"/>
      <c r="EO52" s="539"/>
      <c r="EP52" s="71"/>
      <c r="EQ52" s="71"/>
      <c r="ER52" s="71"/>
      <c r="ES52" s="71"/>
      <c r="ET52" s="71"/>
      <c r="EU52" s="71"/>
      <c r="EV52" s="71"/>
      <c r="EW52" s="71"/>
      <c r="EX52" s="71"/>
      <c r="EY52" s="71"/>
      <c r="EZ52" s="71"/>
      <c r="FA52" s="71"/>
      <c r="FB52" s="71"/>
      <c r="GB52" s="249"/>
      <c r="GC52" s="249"/>
      <c r="GD52" t="s">
        <v>14371</v>
      </c>
      <c r="GE52" s="76" t="str">
        <f>抽選会資料!C14</f>
        <v>鶴崎ＳＳＳ</v>
      </c>
      <c r="GF52" s="76" t="s">
        <v>617</v>
      </c>
    </row>
    <row r="53" spans="1:188" ht="13.5" customHeight="1" x14ac:dyDescent="0.25">
      <c r="A53" s="268"/>
      <c r="B53" s="519"/>
      <c r="C53" s="520"/>
      <c r="D53" s="520"/>
      <c r="E53" s="521"/>
      <c r="F53" s="528"/>
      <c r="G53" s="529"/>
      <c r="H53" s="529"/>
      <c r="I53" s="530"/>
      <c r="J53" s="510"/>
      <c r="K53" s="511"/>
      <c r="L53" s="511"/>
      <c r="M53" s="512"/>
      <c r="N53" s="519"/>
      <c r="O53" s="520"/>
      <c r="P53" s="520"/>
      <c r="Q53" s="521"/>
      <c r="R53" s="528"/>
      <c r="S53" s="529"/>
      <c r="T53" s="529"/>
      <c r="U53" s="530"/>
      <c r="V53" s="510"/>
      <c r="W53" s="511"/>
      <c r="X53" s="511"/>
      <c r="Y53" s="512"/>
      <c r="Z53" s="519"/>
      <c r="AA53" s="520"/>
      <c r="AB53" s="520"/>
      <c r="AC53" s="521"/>
      <c r="AD53" s="528"/>
      <c r="AE53" s="529"/>
      <c r="AF53" s="529"/>
      <c r="AG53" s="530"/>
      <c r="AH53" s="510"/>
      <c r="AI53" s="511"/>
      <c r="AJ53" s="511"/>
      <c r="AK53" s="512"/>
      <c r="AL53" s="519"/>
      <c r="AM53" s="520"/>
      <c r="AN53" s="520"/>
      <c r="AO53" s="521"/>
      <c r="AP53" s="528"/>
      <c r="AQ53" s="529"/>
      <c r="AR53" s="529"/>
      <c r="AS53" s="530"/>
      <c r="AT53" s="582"/>
      <c r="AU53" s="583"/>
      <c r="AV53" s="583"/>
      <c r="AW53" s="584"/>
      <c r="AX53" s="519"/>
      <c r="AY53" s="520"/>
      <c r="AZ53" s="520"/>
      <c r="BA53" s="521"/>
      <c r="BB53" s="528"/>
      <c r="BC53" s="529"/>
      <c r="BD53" s="529"/>
      <c r="BE53" s="530"/>
      <c r="BF53" s="537"/>
      <c r="BG53" s="538"/>
      <c r="BH53" s="538"/>
      <c r="BI53" s="539"/>
      <c r="BJ53" s="519"/>
      <c r="BK53" s="520"/>
      <c r="BL53" s="520"/>
      <c r="BM53" s="521"/>
      <c r="BN53" s="528"/>
      <c r="BO53" s="529"/>
      <c r="BP53" s="529"/>
      <c r="BQ53" s="530"/>
      <c r="BR53" s="537"/>
      <c r="BS53" s="538"/>
      <c r="BT53" s="538"/>
      <c r="BU53" s="539"/>
      <c r="BV53" s="519"/>
      <c r="BW53" s="520"/>
      <c r="BX53" s="520"/>
      <c r="BY53" s="521"/>
      <c r="BZ53" s="528"/>
      <c r="CA53" s="529"/>
      <c r="CB53" s="529"/>
      <c r="CC53" s="530"/>
      <c r="CD53" s="510"/>
      <c r="CE53" s="511"/>
      <c r="CF53" s="511"/>
      <c r="CG53" s="512"/>
      <c r="CH53" s="519"/>
      <c r="CI53" s="520"/>
      <c r="CJ53" s="520"/>
      <c r="CK53" s="521"/>
      <c r="CL53" s="528"/>
      <c r="CM53" s="529"/>
      <c r="CN53" s="529"/>
      <c r="CO53" s="530"/>
      <c r="CP53" s="510"/>
      <c r="CQ53" s="511"/>
      <c r="CR53" s="511"/>
      <c r="CS53" s="512"/>
      <c r="CT53" s="519"/>
      <c r="CU53" s="520"/>
      <c r="CV53" s="520"/>
      <c r="CW53" s="521"/>
      <c r="CX53" s="528"/>
      <c r="CY53" s="529"/>
      <c r="CZ53" s="529"/>
      <c r="DA53" s="530"/>
      <c r="DB53" s="510"/>
      <c r="DC53" s="511"/>
      <c r="DD53" s="511"/>
      <c r="DE53" s="512"/>
      <c r="DF53" s="519"/>
      <c r="DG53" s="520"/>
      <c r="DH53" s="520"/>
      <c r="DI53" s="521"/>
      <c r="DJ53" s="528"/>
      <c r="DK53" s="529"/>
      <c r="DL53" s="529"/>
      <c r="DM53" s="530"/>
      <c r="DN53" s="537"/>
      <c r="DO53" s="538"/>
      <c r="DP53" s="538"/>
      <c r="DQ53" s="539"/>
      <c r="DR53" s="519"/>
      <c r="DS53" s="520"/>
      <c r="DT53" s="520"/>
      <c r="DU53" s="521"/>
      <c r="DV53" s="528"/>
      <c r="DW53" s="529"/>
      <c r="DX53" s="529"/>
      <c r="DY53" s="530"/>
      <c r="DZ53" s="537"/>
      <c r="EA53" s="538"/>
      <c r="EB53" s="538"/>
      <c r="EC53" s="539"/>
      <c r="ED53" s="519"/>
      <c r="EE53" s="520"/>
      <c r="EF53" s="520"/>
      <c r="EG53" s="521"/>
      <c r="EH53" s="528"/>
      <c r="EI53" s="529"/>
      <c r="EJ53" s="529"/>
      <c r="EK53" s="530"/>
      <c r="EL53" s="537"/>
      <c r="EM53" s="538"/>
      <c r="EN53" s="538"/>
      <c r="EO53" s="539"/>
      <c r="EP53" s="71"/>
      <c r="EQ53" s="71"/>
      <c r="ER53" s="71"/>
      <c r="ES53" s="71"/>
      <c r="ET53" s="71"/>
      <c r="EU53" s="71"/>
      <c r="EV53" s="71"/>
      <c r="EW53" s="71"/>
      <c r="EX53" s="71"/>
      <c r="EY53" s="71"/>
      <c r="EZ53" s="71"/>
      <c r="FA53" s="71"/>
      <c r="FB53" s="71"/>
      <c r="GB53" s="314"/>
      <c r="GC53" s="249"/>
      <c r="GD53" t="s">
        <v>14372</v>
      </c>
      <c r="GE53" s="76" t="str">
        <f>抽選会資料!C15</f>
        <v>カティオーラフットボールクラブＵ－１２　Ｎｅｘｔ</v>
      </c>
      <c r="GF53" s="76" t="s">
        <v>617</v>
      </c>
    </row>
    <row r="54" spans="1:188" ht="13.5" customHeight="1" x14ac:dyDescent="0.25">
      <c r="A54" s="268"/>
      <c r="B54" s="519"/>
      <c r="C54" s="520"/>
      <c r="D54" s="520"/>
      <c r="E54" s="521"/>
      <c r="F54" s="528"/>
      <c r="G54" s="529"/>
      <c r="H54" s="529"/>
      <c r="I54" s="530"/>
      <c r="J54" s="510"/>
      <c r="K54" s="511"/>
      <c r="L54" s="511"/>
      <c r="M54" s="512"/>
      <c r="N54" s="519"/>
      <c r="O54" s="520"/>
      <c r="P54" s="520"/>
      <c r="Q54" s="521"/>
      <c r="R54" s="528"/>
      <c r="S54" s="529"/>
      <c r="T54" s="529"/>
      <c r="U54" s="530"/>
      <c r="V54" s="510"/>
      <c r="W54" s="511"/>
      <c r="X54" s="511"/>
      <c r="Y54" s="512"/>
      <c r="Z54" s="519"/>
      <c r="AA54" s="520"/>
      <c r="AB54" s="520"/>
      <c r="AC54" s="521"/>
      <c r="AD54" s="528"/>
      <c r="AE54" s="529"/>
      <c r="AF54" s="529"/>
      <c r="AG54" s="530"/>
      <c r="AH54" s="510"/>
      <c r="AI54" s="511"/>
      <c r="AJ54" s="511"/>
      <c r="AK54" s="512"/>
      <c r="AL54" s="519"/>
      <c r="AM54" s="520"/>
      <c r="AN54" s="520"/>
      <c r="AO54" s="521"/>
      <c r="AP54" s="528"/>
      <c r="AQ54" s="529"/>
      <c r="AR54" s="529"/>
      <c r="AS54" s="530"/>
      <c r="AT54" s="582"/>
      <c r="AU54" s="583"/>
      <c r="AV54" s="583"/>
      <c r="AW54" s="584"/>
      <c r="AX54" s="519"/>
      <c r="AY54" s="520"/>
      <c r="AZ54" s="520"/>
      <c r="BA54" s="521"/>
      <c r="BB54" s="528"/>
      <c r="BC54" s="529"/>
      <c r="BD54" s="529"/>
      <c r="BE54" s="530"/>
      <c r="BF54" s="537"/>
      <c r="BG54" s="538"/>
      <c r="BH54" s="538"/>
      <c r="BI54" s="539"/>
      <c r="BJ54" s="519"/>
      <c r="BK54" s="520"/>
      <c r="BL54" s="520"/>
      <c r="BM54" s="521"/>
      <c r="BN54" s="528"/>
      <c r="BO54" s="529"/>
      <c r="BP54" s="529"/>
      <c r="BQ54" s="530"/>
      <c r="BR54" s="537"/>
      <c r="BS54" s="538"/>
      <c r="BT54" s="538"/>
      <c r="BU54" s="539"/>
      <c r="BV54" s="519"/>
      <c r="BW54" s="520"/>
      <c r="BX54" s="520"/>
      <c r="BY54" s="521"/>
      <c r="BZ54" s="528"/>
      <c r="CA54" s="529"/>
      <c r="CB54" s="529"/>
      <c r="CC54" s="530"/>
      <c r="CD54" s="510"/>
      <c r="CE54" s="511"/>
      <c r="CF54" s="511"/>
      <c r="CG54" s="512"/>
      <c r="CH54" s="519"/>
      <c r="CI54" s="520"/>
      <c r="CJ54" s="520"/>
      <c r="CK54" s="521"/>
      <c r="CL54" s="528"/>
      <c r="CM54" s="529"/>
      <c r="CN54" s="529"/>
      <c r="CO54" s="530"/>
      <c r="CP54" s="510"/>
      <c r="CQ54" s="511"/>
      <c r="CR54" s="511"/>
      <c r="CS54" s="512"/>
      <c r="CT54" s="519"/>
      <c r="CU54" s="520"/>
      <c r="CV54" s="520"/>
      <c r="CW54" s="521"/>
      <c r="CX54" s="528"/>
      <c r="CY54" s="529"/>
      <c r="CZ54" s="529"/>
      <c r="DA54" s="530"/>
      <c r="DB54" s="510"/>
      <c r="DC54" s="511"/>
      <c r="DD54" s="511"/>
      <c r="DE54" s="512"/>
      <c r="DF54" s="519"/>
      <c r="DG54" s="520"/>
      <c r="DH54" s="520"/>
      <c r="DI54" s="521"/>
      <c r="DJ54" s="528"/>
      <c r="DK54" s="529"/>
      <c r="DL54" s="529"/>
      <c r="DM54" s="530"/>
      <c r="DN54" s="537"/>
      <c r="DO54" s="538"/>
      <c r="DP54" s="538"/>
      <c r="DQ54" s="539"/>
      <c r="DR54" s="519"/>
      <c r="DS54" s="520"/>
      <c r="DT54" s="520"/>
      <c r="DU54" s="521"/>
      <c r="DV54" s="528"/>
      <c r="DW54" s="529"/>
      <c r="DX54" s="529"/>
      <c r="DY54" s="530"/>
      <c r="DZ54" s="537"/>
      <c r="EA54" s="538"/>
      <c r="EB54" s="538"/>
      <c r="EC54" s="539"/>
      <c r="ED54" s="519"/>
      <c r="EE54" s="520"/>
      <c r="EF54" s="520"/>
      <c r="EG54" s="521"/>
      <c r="EH54" s="528"/>
      <c r="EI54" s="529"/>
      <c r="EJ54" s="529"/>
      <c r="EK54" s="530"/>
      <c r="EL54" s="537"/>
      <c r="EM54" s="538"/>
      <c r="EN54" s="538"/>
      <c r="EO54" s="539"/>
      <c r="EP54" s="71"/>
      <c r="EQ54" s="71"/>
      <c r="ER54" s="71"/>
      <c r="ES54" s="71"/>
      <c r="ET54" s="71"/>
      <c r="EU54" s="71"/>
      <c r="EV54" s="71"/>
      <c r="EW54" s="71"/>
      <c r="EX54" s="71"/>
      <c r="EY54" s="71"/>
      <c r="EZ54" s="71"/>
      <c r="FA54" s="71"/>
      <c r="FB54" s="71"/>
      <c r="GB54" s="314"/>
      <c r="GC54" s="249"/>
      <c r="GD54" t="s">
        <v>14373</v>
      </c>
      <c r="GE54" s="76" t="str">
        <f>抽選会資料!C16</f>
        <v>明治北ＳＳＣ</v>
      </c>
      <c r="GF54" s="76" t="s">
        <v>617</v>
      </c>
    </row>
    <row r="55" spans="1:188" ht="13.5" customHeight="1" x14ac:dyDescent="0.25">
      <c r="A55" s="268"/>
      <c r="B55" s="519"/>
      <c r="C55" s="520"/>
      <c r="D55" s="520"/>
      <c r="E55" s="521"/>
      <c r="F55" s="528"/>
      <c r="G55" s="529"/>
      <c r="H55" s="529"/>
      <c r="I55" s="530"/>
      <c r="J55" s="510"/>
      <c r="K55" s="511"/>
      <c r="L55" s="511"/>
      <c r="M55" s="512"/>
      <c r="N55" s="519"/>
      <c r="O55" s="520"/>
      <c r="P55" s="520"/>
      <c r="Q55" s="521"/>
      <c r="R55" s="528"/>
      <c r="S55" s="529"/>
      <c r="T55" s="529"/>
      <c r="U55" s="530"/>
      <c r="V55" s="510"/>
      <c r="W55" s="511"/>
      <c r="X55" s="511"/>
      <c r="Y55" s="512"/>
      <c r="Z55" s="519"/>
      <c r="AA55" s="520"/>
      <c r="AB55" s="520"/>
      <c r="AC55" s="521"/>
      <c r="AD55" s="528"/>
      <c r="AE55" s="529"/>
      <c r="AF55" s="529"/>
      <c r="AG55" s="530"/>
      <c r="AH55" s="510"/>
      <c r="AI55" s="511"/>
      <c r="AJ55" s="511"/>
      <c r="AK55" s="512"/>
      <c r="AL55" s="519"/>
      <c r="AM55" s="520"/>
      <c r="AN55" s="520"/>
      <c r="AO55" s="521"/>
      <c r="AP55" s="528"/>
      <c r="AQ55" s="529"/>
      <c r="AR55" s="529"/>
      <c r="AS55" s="530"/>
      <c r="AT55" s="582"/>
      <c r="AU55" s="583"/>
      <c r="AV55" s="583"/>
      <c r="AW55" s="584"/>
      <c r="AX55" s="519"/>
      <c r="AY55" s="520"/>
      <c r="AZ55" s="520"/>
      <c r="BA55" s="521"/>
      <c r="BB55" s="528"/>
      <c r="BC55" s="529"/>
      <c r="BD55" s="529"/>
      <c r="BE55" s="530"/>
      <c r="BF55" s="537"/>
      <c r="BG55" s="538"/>
      <c r="BH55" s="538"/>
      <c r="BI55" s="539"/>
      <c r="BJ55" s="519"/>
      <c r="BK55" s="520"/>
      <c r="BL55" s="520"/>
      <c r="BM55" s="521"/>
      <c r="BN55" s="528"/>
      <c r="BO55" s="529"/>
      <c r="BP55" s="529"/>
      <c r="BQ55" s="530"/>
      <c r="BR55" s="537"/>
      <c r="BS55" s="538"/>
      <c r="BT55" s="538"/>
      <c r="BU55" s="539"/>
      <c r="BV55" s="519"/>
      <c r="BW55" s="520"/>
      <c r="BX55" s="520"/>
      <c r="BY55" s="521"/>
      <c r="BZ55" s="528"/>
      <c r="CA55" s="529"/>
      <c r="CB55" s="529"/>
      <c r="CC55" s="530"/>
      <c r="CD55" s="510"/>
      <c r="CE55" s="511"/>
      <c r="CF55" s="511"/>
      <c r="CG55" s="512"/>
      <c r="CH55" s="519"/>
      <c r="CI55" s="520"/>
      <c r="CJ55" s="520"/>
      <c r="CK55" s="521"/>
      <c r="CL55" s="528"/>
      <c r="CM55" s="529"/>
      <c r="CN55" s="529"/>
      <c r="CO55" s="530"/>
      <c r="CP55" s="510"/>
      <c r="CQ55" s="511"/>
      <c r="CR55" s="511"/>
      <c r="CS55" s="512"/>
      <c r="CT55" s="519"/>
      <c r="CU55" s="520"/>
      <c r="CV55" s="520"/>
      <c r="CW55" s="521"/>
      <c r="CX55" s="528"/>
      <c r="CY55" s="529"/>
      <c r="CZ55" s="529"/>
      <c r="DA55" s="530"/>
      <c r="DB55" s="510"/>
      <c r="DC55" s="511"/>
      <c r="DD55" s="511"/>
      <c r="DE55" s="512"/>
      <c r="DF55" s="519"/>
      <c r="DG55" s="520"/>
      <c r="DH55" s="520"/>
      <c r="DI55" s="521"/>
      <c r="DJ55" s="528"/>
      <c r="DK55" s="529"/>
      <c r="DL55" s="529"/>
      <c r="DM55" s="530"/>
      <c r="DN55" s="537"/>
      <c r="DO55" s="538"/>
      <c r="DP55" s="538"/>
      <c r="DQ55" s="539"/>
      <c r="DR55" s="519"/>
      <c r="DS55" s="520"/>
      <c r="DT55" s="520"/>
      <c r="DU55" s="521"/>
      <c r="DV55" s="528"/>
      <c r="DW55" s="529"/>
      <c r="DX55" s="529"/>
      <c r="DY55" s="530"/>
      <c r="DZ55" s="537"/>
      <c r="EA55" s="538"/>
      <c r="EB55" s="538"/>
      <c r="EC55" s="539"/>
      <c r="ED55" s="519"/>
      <c r="EE55" s="520"/>
      <c r="EF55" s="520"/>
      <c r="EG55" s="521"/>
      <c r="EH55" s="528"/>
      <c r="EI55" s="529"/>
      <c r="EJ55" s="529"/>
      <c r="EK55" s="530"/>
      <c r="EL55" s="537"/>
      <c r="EM55" s="538"/>
      <c r="EN55" s="538"/>
      <c r="EO55" s="539"/>
      <c r="EP55" s="71"/>
      <c r="EQ55" s="71"/>
      <c r="ER55" s="71"/>
      <c r="ES55" s="71"/>
      <c r="ET55" s="71"/>
      <c r="EU55" s="71"/>
      <c r="EV55" s="71"/>
      <c r="EW55" s="71"/>
      <c r="EX55" s="71"/>
      <c r="EY55" s="71"/>
      <c r="EZ55" s="71"/>
      <c r="FA55" s="71"/>
      <c r="FB55" s="71"/>
      <c r="GB55" s="314"/>
      <c r="GC55" s="249"/>
      <c r="GD55" t="s">
        <v>14374</v>
      </c>
      <c r="GE55" s="76" t="str">
        <f>抽選会資料!C17</f>
        <v>滝尾下郡サッカースポーツ少年団</v>
      </c>
      <c r="GF55" s="76" t="s">
        <v>617</v>
      </c>
    </row>
    <row r="56" spans="1:188" ht="13.5" customHeight="1" x14ac:dyDescent="0.25">
      <c r="A56" s="268"/>
      <c r="B56" s="519"/>
      <c r="C56" s="520"/>
      <c r="D56" s="520"/>
      <c r="E56" s="521"/>
      <c r="F56" s="528"/>
      <c r="G56" s="529"/>
      <c r="H56" s="529"/>
      <c r="I56" s="530"/>
      <c r="J56" s="510"/>
      <c r="K56" s="511"/>
      <c r="L56" s="511"/>
      <c r="M56" s="512"/>
      <c r="N56" s="519"/>
      <c r="O56" s="520"/>
      <c r="P56" s="520"/>
      <c r="Q56" s="521"/>
      <c r="R56" s="528"/>
      <c r="S56" s="529"/>
      <c r="T56" s="529"/>
      <c r="U56" s="530"/>
      <c r="V56" s="510"/>
      <c r="W56" s="511"/>
      <c r="X56" s="511"/>
      <c r="Y56" s="512"/>
      <c r="Z56" s="519"/>
      <c r="AA56" s="520"/>
      <c r="AB56" s="520"/>
      <c r="AC56" s="521"/>
      <c r="AD56" s="528"/>
      <c r="AE56" s="529"/>
      <c r="AF56" s="529"/>
      <c r="AG56" s="530"/>
      <c r="AH56" s="510"/>
      <c r="AI56" s="511"/>
      <c r="AJ56" s="511"/>
      <c r="AK56" s="512"/>
      <c r="AL56" s="519"/>
      <c r="AM56" s="520"/>
      <c r="AN56" s="520"/>
      <c r="AO56" s="521"/>
      <c r="AP56" s="528"/>
      <c r="AQ56" s="529"/>
      <c r="AR56" s="529"/>
      <c r="AS56" s="530"/>
      <c r="AT56" s="582"/>
      <c r="AU56" s="583"/>
      <c r="AV56" s="583"/>
      <c r="AW56" s="584"/>
      <c r="AX56" s="519"/>
      <c r="AY56" s="520"/>
      <c r="AZ56" s="520"/>
      <c r="BA56" s="521"/>
      <c r="BB56" s="528"/>
      <c r="BC56" s="529"/>
      <c r="BD56" s="529"/>
      <c r="BE56" s="530"/>
      <c r="BF56" s="537"/>
      <c r="BG56" s="538"/>
      <c r="BH56" s="538"/>
      <c r="BI56" s="539"/>
      <c r="BJ56" s="519"/>
      <c r="BK56" s="520"/>
      <c r="BL56" s="520"/>
      <c r="BM56" s="521"/>
      <c r="BN56" s="528"/>
      <c r="BO56" s="529"/>
      <c r="BP56" s="529"/>
      <c r="BQ56" s="530"/>
      <c r="BR56" s="537"/>
      <c r="BS56" s="538"/>
      <c r="BT56" s="538"/>
      <c r="BU56" s="539"/>
      <c r="BV56" s="519"/>
      <c r="BW56" s="520"/>
      <c r="BX56" s="520"/>
      <c r="BY56" s="521"/>
      <c r="BZ56" s="528"/>
      <c r="CA56" s="529"/>
      <c r="CB56" s="529"/>
      <c r="CC56" s="530"/>
      <c r="CD56" s="510"/>
      <c r="CE56" s="511"/>
      <c r="CF56" s="511"/>
      <c r="CG56" s="512"/>
      <c r="CH56" s="519"/>
      <c r="CI56" s="520"/>
      <c r="CJ56" s="520"/>
      <c r="CK56" s="521"/>
      <c r="CL56" s="528"/>
      <c r="CM56" s="529"/>
      <c r="CN56" s="529"/>
      <c r="CO56" s="530"/>
      <c r="CP56" s="510"/>
      <c r="CQ56" s="511"/>
      <c r="CR56" s="511"/>
      <c r="CS56" s="512"/>
      <c r="CT56" s="519"/>
      <c r="CU56" s="520"/>
      <c r="CV56" s="520"/>
      <c r="CW56" s="521"/>
      <c r="CX56" s="528"/>
      <c r="CY56" s="529"/>
      <c r="CZ56" s="529"/>
      <c r="DA56" s="530"/>
      <c r="DB56" s="510"/>
      <c r="DC56" s="511"/>
      <c r="DD56" s="511"/>
      <c r="DE56" s="512"/>
      <c r="DF56" s="519"/>
      <c r="DG56" s="520"/>
      <c r="DH56" s="520"/>
      <c r="DI56" s="521"/>
      <c r="DJ56" s="528"/>
      <c r="DK56" s="529"/>
      <c r="DL56" s="529"/>
      <c r="DM56" s="530"/>
      <c r="DN56" s="537"/>
      <c r="DO56" s="538"/>
      <c r="DP56" s="538"/>
      <c r="DQ56" s="539"/>
      <c r="DR56" s="519"/>
      <c r="DS56" s="520"/>
      <c r="DT56" s="520"/>
      <c r="DU56" s="521"/>
      <c r="DV56" s="528"/>
      <c r="DW56" s="529"/>
      <c r="DX56" s="529"/>
      <c r="DY56" s="530"/>
      <c r="DZ56" s="537"/>
      <c r="EA56" s="538"/>
      <c r="EB56" s="538"/>
      <c r="EC56" s="539"/>
      <c r="ED56" s="519"/>
      <c r="EE56" s="520"/>
      <c r="EF56" s="520"/>
      <c r="EG56" s="521"/>
      <c r="EH56" s="528"/>
      <c r="EI56" s="529"/>
      <c r="EJ56" s="529"/>
      <c r="EK56" s="530"/>
      <c r="EL56" s="537"/>
      <c r="EM56" s="538"/>
      <c r="EN56" s="538"/>
      <c r="EO56" s="539"/>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314"/>
      <c r="GC56" s="249"/>
      <c r="GD56" t="s">
        <v>14375</v>
      </c>
      <c r="GE56" s="76" t="str">
        <f>抽選会資料!C18</f>
        <v>戸次吉野ＳＳＳ</v>
      </c>
      <c r="GF56" s="76" t="s">
        <v>617</v>
      </c>
    </row>
    <row r="57" spans="1:188" ht="13.5" customHeight="1" x14ac:dyDescent="0.25">
      <c r="A57" s="268"/>
      <c r="B57" s="519"/>
      <c r="C57" s="520"/>
      <c r="D57" s="520"/>
      <c r="E57" s="521"/>
      <c r="F57" s="528"/>
      <c r="G57" s="529"/>
      <c r="H57" s="529"/>
      <c r="I57" s="530"/>
      <c r="J57" s="510"/>
      <c r="K57" s="511"/>
      <c r="L57" s="511"/>
      <c r="M57" s="512"/>
      <c r="N57" s="519"/>
      <c r="O57" s="520"/>
      <c r="P57" s="520"/>
      <c r="Q57" s="521"/>
      <c r="R57" s="528"/>
      <c r="S57" s="529"/>
      <c r="T57" s="529"/>
      <c r="U57" s="530"/>
      <c r="V57" s="510"/>
      <c r="W57" s="511"/>
      <c r="X57" s="511"/>
      <c r="Y57" s="512"/>
      <c r="Z57" s="519"/>
      <c r="AA57" s="520"/>
      <c r="AB57" s="520"/>
      <c r="AC57" s="521"/>
      <c r="AD57" s="528"/>
      <c r="AE57" s="529"/>
      <c r="AF57" s="529"/>
      <c r="AG57" s="530"/>
      <c r="AH57" s="510"/>
      <c r="AI57" s="511"/>
      <c r="AJ57" s="511"/>
      <c r="AK57" s="512"/>
      <c r="AL57" s="519"/>
      <c r="AM57" s="520"/>
      <c r="AN57" s="520"/>
      <c r="AO57" s="521"/>
      <c r="AP57" s="528"/>
      <c r="AQ57" s="529"/>
      <c r="AR57" s="529"/>
      <c r="AS57" s="530"/>
      <c r="AT57" s="582"/>
      <c r="AU57" s="583"/>
      <c r="AV57" s="583"/>
      <c r="AW57" s="584"/>
      <c r="AX57" s="519"/>
      <c r="AY57" s="520"/>
      <c r="AZ57" s="520"/>
      <c r="BA57" s="521"/>
      <c r="BB57" s="528"/>
      <c r="BC57" s="529"/>
      <c r="BD57" s="529"/>
      <c r="BE57" s="530"/>
      <c r="BF57" s="537"/>
      <c r="BG57" s="538"/>
      <c r="BH57" s="538"/>
      <c r="BI57" s="539"/>
      <c r="BJ57" s="519"/>
      <c r="BK57" s="520"/>
      <c r="BL57" s="520"/>
      <c r="BM57" s="521"/>
      <c r="BN57" s="528"/>
      <c r="BO57" s="529"/>
      <c r="BP57" s="529"/>
      <c r="BQ57" s="530"/>
      <c r="BR57" s="537"/>
      <c r="BS57" s="538"/>
      <c r="BT57" s="538"/>
      <c r="BU57" s="539"/>
      <c r="BV57" s="519"/>
      <c r="BW57" s="520"/>
      <c r="BX57" s="520"/>
      <c r="BY57" s="521"/>
      <c r="BZ57" s="528"/>
      <c r="CA57" s="529"/>
      <c r="CB57" s="529"/>
      <c r="CC57" s="530"/>
      <c r="CD57" s="510"/>
      <c r="CE57" s="511"/>
      <c r="CF57" s="511"/>
      <c r="CG57" s="512"/>
      <c r="CH57" s="519"/>
      <c r="CI57" s="520"/>
      <c r="CJ57" s="520"/>
      <c r="CK57" s="521"/>
      <c r="CL57" s="528"/>
      <c r="CM57" s="529"/>
      <c r="CN57" s="529"/>
      <c r="CO57" s="530"/>
      <c r="CP57" s="510"/>
      <c r="CQ57" s="511"/>
      <c r="CR57" s="511"/>
      <c r="CS57" s="512"/>
      <c r="CT57" s="519"/>
      <c r="CU57" s="520"/>
      <c r="CV57" s="520"/>
      <c r="CW57" s="521"/>
      <c r="CX57" s="528"/>
      <c r="CY57" s="529"/>
      <c r="CZ57" s="529"/>
      <c r="DA57" s="530"/>
      <c r="DB57" s="510"/>
      <c r="DC57" s="511"/>
      <c r="DD57" s="511"/>
      <c r="DE57" s="512"/>
      <c r="DF57" s="519"/>
      <c r="DG57" s="520"/>
      <c r="DH57" s="520"/>
      <c r="DI57" s="521"/>
      <c r="DJ57" s="528"/>
      <c r="DK57" s="529"/>
      <c r="DL57" s="529"/>
      <c r="DM57" s="530"/>
      <c r="DN57" s="537"/>
      <c r="DO57" s="538"/>
      <c r="DP57" s="538"/>
      <c r="DQ57" s="539"/>
      <c r="DR57" s="519"/>
      <c r="DS57" s="520"/>
      <c r="DT57" s="520"/>
      <c r="DU57" s="521"/>
      <c r="DV57" s="528"/>
      <c r="DW57" s="529"/>
      <c r="DX57" s="529"/>
      <c r="DY57" s="530"/>
      <c r="DZ57" s="537"/>
      <c r="EA57" s="538"/>
      <c r="EB57" s="538"/>
      <c r="EC57" s="539"/>
      <c r="ED57" s="519"/>
      <c r="EE57" s="520"/>
      <c r="EF57" s="520"/>
      <c r="EG57" s="521"/>
      <c r="EH57" s="528"/>
      <c r="EI57" s="529"/>
      <c r="EJ57" s="529"/>
      <c r="EK57" s="530"/>
      <c r="EL57" s="537"/>
      <c r="EM57" s="538"/>
      <c r="EN57" s="538"/>
      <c r="EO57" s="539"/>
      <c r="EP57" s="71"/>
      <c r="EQ57" s="71"/>
      <c r="ER57" s="71"/>
      <c r="ES57" s="71"/>
      <c r="ET57" s="71"/>
      <c r="EU57" s="71"/>
      <c r="EV57" s="71"/>
      <c r="EW57" s="71"/>
      <c r="EX57" s="71"/>
      <c r="EY57" s="71"/>
      <c r="EZ57" s="71"/>
      <c r="FA57" s="71"/>
      <c r="FB57" s="71"/>
      <c r="FC57" s="71"/>
      <c r="FD57" s="71"/>
      <c r="FE57" s="71"/>
      <c r="FF57" s="71"/>
      <c r="FG57" s="71"/>
      <c r="FH57" s="71"/>
      <c r="FI57" s="71"/>
      <c r="FJ57" s="71"/>
      <c r="FK57" s="71"/>
      <c r="FL57" s="71"/>
      <c r="FM57" s="71"/>
      <c r="FN57" s="71"/>
      <c r="FO57" s="71"/>
      <c r="FP57" s="71"/>
      <c r="FQ57" s="71"/>
      <c r="FR57" s="71"/>
      <c r="FS57" s="71"/>
      <c r="FT57" s="71"/>
      <c r="FU57" s="71"/>
      <c r="FV57" s="71"/>
      <c r="FW57" s="71"/>
      <c r="FX57" s="71"/>
      <c r="FY57" s="71"/>
      <c r="FZ57" s="71"/>
      <c r="GA57" s="71"/>
      <c r="GB57" s="314"/>
      <c r="GC57" s="249"/>
      <c r="GD57" t="s">
        <v>14376</v>
      </c>
      <c r="GE57" s="76" t="str">
        <f>抽選会資料!C19</f>
        <v>大分トリニータＵ－１２</v>
      </c>
      <c r="GF57" s="76" t="s">
        <v>617</v>
      </c>
    </row>
    <row r="58" spans="1:188" ht="13.5" customHeight="1" x14ac:dyDescent="0.25">
      <c r="A58" s="268"/>
      <c r="B58" s="519"/>
      <c r="C58" s="520"/>
      <c r="D58" s="520"/>
      <c r="E58" s="521"/>
      <c r="F58" s="528"/>
      <c r="G58" s="529"/>
      <c r="H58" s="529"/>
      <c r="I58" s="530"/>
      <c r="J58" s="510"/>
      <c r="K58" s="511"/>
      <c r="L58" s="511"/>
      <c r="M58" s="512"/>
      <c r="N58" s="519"/>
      <c r="O58" s="520"/>
      <c r="P58" s="520"/>
      <c r="Q58" s="521"/>
      <c r="R58" s="528"/>
      <c r="S58" s="529"/>
      <c r="T58" s="529"/>
      <c r="U58" s="530"/>
      <c r="V58" s="510"/>
      <c r="W58" s="511"/>
      <c r="X58" s="511"/>
      <c r="Y58" s="512"/>
      <c r="Z58" s="519"/>
      <c r="AA58" s="520"/>
      <c r="AB58" s="520"/>
      <c r="AC58" s="521"/>
      <c r="AD58" s="528"/>
      <c r="AE58" s="529"/>
      <c r="AF58" s="529"/>
      <c r="AG58" s="530"/>
      <c r="AH58" s="510"/>
      <c r="AI58" s="511"/>
      <c r="AJ58" s="511"/>
      <c r="AK58" s="512"/>
      <c r="AL58" s="519"/>
      <c r="AM58" s="520"/>
      <c r="AN58" s="520"/>
      <c r="AO58" s="521"/>
      <c r="AP58" s="528"/>
      <c r="AQ58" s="529"/>
      <c r="AR58" s="529"/>
      <c r="AS58" s="530"/>
      <c r="AT58" s="582"/>
      <c r="AU58" s="583"/>
      <c r="AV58" s="583"/>
      <c r="AW58" s="584"/>
      <c r="AX58" s="519"/>
      <c r="AY58" s="520"/>
      <c r="AZ58" s="520"/>
      <c r="BA58" s="521"/>
      <c r="BB58" s="528"/>
      <c r="BC58" s="529"/>
      <c r="BD58" s="529"/>
      <c r="BE58" s="530"/>
      <c r="BF58" s="537"/>
      <c r="BG58" s="538"/>
      <c r="BH58" s="538"/>
      <c r="BI58" s="539"/>
      <c r="BJ58" s="519"/>
      <c r="BK58" s="520"/>
      <c r="BL58" s="520"/>
      <c r="BM58" s="521"/>
      <c r="BN58" s="528"/>
      <c r="BO58" s="529"/>
      <c r="BP58" s="529"/>
      <c r="BQ58" s="530"/>
      <c r="BR58" s="537"/>
      <c r="BS58" s="538"/>
      <c r="BT58" s="538"/>
      <c r="BU58" s="539"/>
      <c r="BV58" s="519"/>
      <c r="BW58" s="520"/>
      <c r="BX58" s="520"/>
      <c r="BY58" s="521"/>
      <c r="BZ58" s="528"/>
      <c r="CA58" s="529"/>
      <c r="CB58" s="529"/>
      <c r="CC58" s="530"/>
      <c r="CD58" s="510"/>
      <c r="CE58" s="511"/>
      <c r="CF58" s="511"/>
      <c r="CG58" s="512"/>
      <c r="CH58" s="519"/>
      <c r="CI58" s="520"/>
      <c r="CJ58" s="520"/>
      <c r="CK58" s="521"/>
      <c r="CL58" s="528"/>
      <c r="CM58" s="529"/>
      <c r="CN58" s="529"/>
      <c r="CO58" s="530"/>
      <c r="CP58" s="510"/>
      <c r="CQ58" s="511"/>
      <c r="CR58" s="511"/>
      <c r="CS58" s="512"/>
      <c r="CT58" s="519"/>
      <c r="CU58" s="520"/>
      <c r="CV58" s="520"/>
      <c r="CW58" s="521"/>
      <c r="CX58" s="528"/>
      <c r="CY58" s="529"/>
      <c r="CZ58" s="529"/>
      <c r="DA58" s="530"/>
      <c r="DB58" s="510"/>
      <c r="DC58" s="511"/>
      <c r="DD58" s="511"/>
      <c r="DE58" s="512"/>
      <c r="DF58" s="519"/>
      <c r="DG58" s="520"/>
      <c r="DH58" s="520"/>
      <c r="DI58" s="521"/>
      <c r="DJ58" s="528"/>
      <c r="DK58" s="529"/>
      <c r="DL58" s="529"/>
      <c r="DM58" s="530"/>
      <c r="DN58" s="537"/>
      <c r="DO58" s="538"/>
      <c r="DP58" s="538"/>
      <c r="DQ58" s="539"/>
      <c r="DR58" s="519"/>
      <c r="DS58" s="520"/>
      <c r="DT58" s="520"/>
      <c r="DU58" s="521"/>
      <c r="DV58" s="528"/>
      <c r="DW58" s="529"/>
      <c r="DX58" s="529"/>
      <c r="DY58" s="530"/>
      <c r="DZ58" s="537"/>
      <c r="EA58" s="538"/>
      <c r="EB58" s="538"/>
      <c r="EC58" s="539"/>
      <c r="ED58" s="519"/>
      <c r="EE58" s="520"/>
      <c r="EF58" s="520"/>
      <c r="EG58" s="521"/>
      <c r="EH58" s="528"/>
      <c r="EI58" s="529"/>
      <c r="EJ58" s="529"/>
      <c r="EK58" s="530"/>
      <c r="EL58" s="537"/>
      <c r="EM58" s="538"/>
      <c r="EN58" s="538"/>
      <c r="EO58" s="539"/>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314"/>
      <c r="GC58" s="249"/>
      <c r="GD58" t="s">
        <v>14377</v>
      </c>
      <c r="GE58" s="76" t="str">
        <f>抽選会資料!C20</f>
        <v>ＦＣ　ＲＥＧＡＴＥ</v>
      </c>
      <c r="GF58" s="76" t="s">
        <v>617</v>
      </c>
    </row>
    <row r="59" spans="1:188" ht="13.5" customHeight="1" x14ac:dyDescent="0.25">
      <c r="A59" s="268"/>
      <c r="B59" s="519"/>
      <c r="C59" s="520"/>
      <c r="D59" s="520"/>
      <c r="E59" s="521"/>
      <c r="F59" s="528"/>
      <c r="G59" s="529"/>
      <c r="H59" s="529"/>
      <c r="I59" s="530"/>
      <c r="J59" s="510"/>
      <c r="K59" s="511"/>
      <c r="L59" s="511"/>
      <c r="M59" s="512"/>
      <c r="N59" s="519"/>
      <c r="O59" s="520"/>
      <c r="P59" s="520"/>
      <c r="Q59" s="521"/>
      <c r="R59" s="528"/>
      <c r="S59" s="529"/>
      <c r="T59" s="529"/>
      <c r="U59" s="530"/>
      <c r="V59" s="510"/>
      <c r="W59" s="511"/>
      <c r="X59" s="511"/>
      <c r="Y59" s="512"/>
      <c r="Z59" s="519"/>
      <c r="AA59" s="520"/>
      <c r="AB59" s="520"/>
      <c r="AC59" s="521"/>
      <c r="AD59" s="528"/>
      <c r="AE59" s="529"/>
      <c r="AF59" s="529"/>
      <c r="AG59" s="530"/>
      <c r="AH59" s="510"/>
      <c r="AI59" s="511"/>
      <c r="AJ59" s="511"/>
      <c r="AK59" s="512"/>
      <c r="AL59" s="519"/>
      <c r="AM59" s="520"/>
      <c r="AN59" s="520"/>
      <c r="AO59" s="521"/>
      <c r="AP59" s="528"/>
      <c r="AQ59" s="529"/>
      <c r="AR59" s="529"/>
      <c r="AS59" s="530"/>
      <c r="AT59" s="582"/>
      <c r="AU59" s="583"/>
      <c r="AV59" s="583"/>
      <c r="AW59" s="584"/>
      <c r="AX59" s="519"/>
      <c r="AY59" s="520"/>
      <c r="AZ59" s="520"/>
      <c r="BA59" s="521"/>
      <c r="BB59" s="528"/>
      <c r="BC59" s="529"/>
      <c r="BD59" s="529"/>
      <c r="BE59" s="530"/>
      <c r="BF59" s="537"/>
      <c r="BG59" s="538"/>
      <c r="BH59" s="538"/>
      <c r="BI59" s="539"/>
      <c r="BJ59" s="519"/>
      <c r="BK59" s="520"/>
      <c r="BL59" s="520"/>
      <c r="BM59" s="521"/>
      <c r="BN59" s="528"/>
      <c r="BO59" s="529"/>
      <c r="BP59" s="529"/>
      <c r="BQ59" s="530"/>
      <c r="BR59" s="537"/>
      <c r="BS59" s="538"/>
      <c r="BT59" s="538"/>
      <c r="BU59" s="539"/>
      <c r="BV59" s="519"/>
      <c r="BW59" s="520"/>
      <c r="BX59" s="520"/>
      <c r="BY59" s="521"/>
      <c r="BZ59" s="528"/>
      <c r="CA59" s="529"/>
      <c r="CB59" s="529"/>
      <c r="CC59" s="530"/>
      <c r="CD59" s="510"/>
      <c r="CE59" s="511"/>
      <c r="CF59" s="511"/>
      <c r="CG59" s="512"/>
      <c r="CH59" s="519"/>
      <c r="CI59" s="520"/>
      <c r="CJ59" s="520"/>
      <c r="CK59" s="521"/>
      <c r="CL59" s="528"/>
      <c r="CM59" s="529"/>
      <c r="CN59" s="529"/>
      <c r="CO59" s="530"/>
      <c r="CP59" s="510"/>
      <c r="CQ59" s="511"/>
      <c r="CR59" s="511"/>
      <c r="CS59" s="512"/>
      <c r="CT59" s="519"/>
      <c r="CU59" s="520"/>
      <c r="CV59" s="520"/>
      <c r="CW59" s="521"/>
      <c r="CX59" s="528"/>
      <c r="CY59" s="529"/>
      <c r="CZ59" s="529"/>
      <c r="DA59" s="530"/>
      <c r="DB59" s="510"/>
      <c r="DC59" s="511"/>
      <c r="DD59" s="511"/>
      <c r="DE59" s="512"/>
      <c r="DF59" s="519"/>
      <c r="DG59" s="520"/>
      <c r="DH59" s="520"/>
      <c r="DI59" s="521"/>
      <c r="DJ59" s="528"/>
      <c r="DK59" s="529"/>
      <c r="DL59" s="529"/>
      <c r="DM59" s="530"/>
      <c r="DN59" s="537"/>
      <c r="DO59" s="538"/>
      <c r="DP59" s="538"/>
      <c r="DQ59" s="539"/>
      <c r="DR59" s="519"/>
      <c r="DS59" s="520"/>
      <c r="DT59" s="520"/>
      <c r="DU59" s="521"/>
      <c r="DV59" s="528"/>
      <c r="DW59" s="529"/>
      <c r="DX59" s="529"/>
      <c r="DY59" s="530"/>
      <c r="DZ59" s="537"/>
      <c r="EA59" s="538"/>
      <c r="EB59" s="538"/>
      <c r="EC59" s="539"/>
      <c r="ED59" s="519"/>
      <c r="EE59" s="520"/>
      <c r="EF59" s="520"/>
      <c r="EG59" s="521"/>
      <c r="EH59" s="528"/>
      <c r="EI59" s="529"/>
      <c r="EJ59" s="529"/>
      <c r="EK59" s="530"/>
      <c r="EL59" s="537"/>
      <c r="EM59" s="538"/>
      <c r="EN59" s="538"/>
      <c r="EO59" s="539"/>
      <c r="EP59" s="71"/>
      <c r="EQ59" s="71"/>
      <c r="ER59" s="71"/>
      <c r="ES59" s="71"/>
      <c r="ET59" s="71"/>
      <c r="EU59" s="71"/>
      <c r="EV59" s="71"/>
      <c r="EW59" s="71"/>
      <c r="EX59" s="71"/>
      <c r="EY59" s="71"/>
      <c r="EZ59" s="71"/>
      <c r="FA59" s="71"/>
      <c r="FB59" s="71"/>
      <c r="FC59" s="71"/>
      <c r="FD59" s="71"/>
      <c r="FE59" s="71"/>
      <c r="FF59" s="71"/>
      <c r="FG59" s="71"/>
      <c r="FH59" s="71"/>
      <c r="GB59" s="314"/>
      <c r="GC59" s="249"/>
      <c r="GD59" t="s">
        <v>14378</v>
      </c>
      <c r="GE59" s="76" t="str">
        <f>抽選会資料!C21</f>
        <v>スマイス　セレソン　スポーツクラブ</v>
      </c>
      <c r="GF59" s="76" t="s">
        <v>617</v>
      </c>
    </row>
    <row r="60" spans="1:188" ht="13.5" customHeight="1" x14ac:dyDescent="0.25">
      <c r="A60" s="268"/>
      <c r="B60" s="519"/>
      <c r="C60" s="520"/>
      <c r="D60" s="520"/>
      <c r="E60" s="521"/>
      <c r="F60" s="528"/>
      <c r="G60" s="529"/>
      <c r="H60" s="529"/>
      <c r="I60" s="530"/>
      <c r="J60" s="510"/>
      <c r="K60" s="511"/>
      <c r="L60" s="511"/>
      <c r="M60" s="512"/>
      <c r="N60" s="519"/>
      <c r="O60" s="520"/>
      <c r="P60" s="520"/>
      <c r="Q60" s="521"/>
      <c r="R60" s="528"/>
      <c r="S60" s="529"/>
      <c r="T60" s="529"/>
      <c r="U60" s="530"/>
      <c r="V60" s="510"/>
      <c r="W60" s="511"/>
      <c r="X60" s="511"/>
      <c r="Y60" s="512"/>
      <c r="Z60" s="519"/>
      <c r="AA60" s="520"/>
      <c r="AB60" s="520"/>
      <c r="AC60" s="521"/>
      <c r="AD60" s="528"/>
      <c r="AE60" s="529"/>
      <c r="AF60" s="529"/>
      <c r="AG60" s="530"/>
      <c r="AH60" s="510"/>
      <c r="AI60" s="511"/>
      <c r="AJ60" s="511"/>
      <c r="AK60" s="512"/>
      <c r="AL60" s="519"/>
      <c r="AM60" s="520"/>
      <c r="AN60" s="520"/>
      <c r="AO60" s="521"/>
      <c r="AP60" s="528"/>
      <c r="AQ60" s="529"/>
      <c r="AR60" s="529"/>
      <c r="AS60" s="530"/>
      <c r="AT60" s="582"/>
      <c r="AU60" s="583"/>
      <c r="AV60" s="583"/>
      <c r="AW60" s="584"/>
      <c r="AX60" s="519"/>
      <c r="AY60" s="520"/>
      <c r="AZ60" s="520"/>
      <c r="BA60" s="521"/>
      <c r="BB60" s="528"/>
      <c r="BC60" s="529"/>
      <c r="BD60" s="529"/>
      <c r="BE60" s="530"/>
      <c r="BF60" s="537"/>
      <c r="BG60" s="538"/>
      <c r="BH60" s="538"/>
      <c r="BI60" s="539"/>
      <c r="BJ60" s="519"/>
      <c r="BK60" s="520"/>
      <c r="BL60" s="520"/>
      <c r="BM60" s="521"/>
      <c r="BN60" s="528"/>
      <c r="BO60" s="529"/>
      <c r="BP60" s="529"/>
      <c r="BQ60" s="530"/>
      <c r="BR60" s="537"/>
      <c r="BS60" s="538"/>
      <c r="BT60" s="538"/>
      <c r="BU60" s="539"/>
      <c r="BV60" s="519"/>
      <c r="BW60" s="520"/>
      <c r="BX60" s="520"/>
      <c r="BY60" s="521"/>
      <c r="BZ60" s="528"/>
      <c r="CA60" s="529"/>
      <c r="CB60" s="529"/>
      <c r="CC60" s="530"/>
      <c r="CD60" s="510"/>
      <c r="CE60" s="511"/>
      <c r="CF60" s="511"/>
      <c r="CG60" s="512"/>
      <c r="CH60" s="519"/>
      <c r="CI60" s="520"/>
      <c r="CJ60" s="520"/>
      <c r="CK60" s="521"/>
      <c r="CL60" s="528"/>
      <c r="CM60" s="529"/>
      <c r="CN60" s="529"/>
      <c r="CO60" s="530"/>
      <c r="CP60" s="510"/>
      <c r="CQ60" s="511"/>
      <c r="CR60" s="511"/>
      <c r="CS60" s="512"/>
      <c r="CT60" s="519"/>
      <c r="CU60" s="520"/>
      <c r="CV60" s="520"/>
      <c r="CW60" s="521"/>
      <c r="CX60" s="528"/>
      <c r="CY60" s="529"/>
      <c r="CZ60" s="529"/>
      <c r="DA60" s="530"/>
      <c r="DB60" s="510"/>
      <c r="DC60" s="511"/>
      <c r="DD60" s="511"/>
      <c r="DE60" s="512"/>
      <c r="DF60" s="519"/>
      <c r="DG60" s="520"/>
      <c r="DH60" s="520"/>
      <c r="DI60" s="521"/>
      <c r="DJ60" s="528"/>
      <c r="DK60" s="529"/>
      <c r="DL60" s="529"/>
      <c r="DM60" s="530"/>
      <c r="DN60" s="537"/>
      <c r="DO60" s="538"/>
      <c r="DP60" s="538"/>
      <c r="DQ60" s="539"/>
      <c r="DR60" s="519"/>
      <c r="DS60" s="520"/>
      <c r="DT60" s="520"/>
      <c r="DU60" s="521"/>
      <c r="DV60" s="528"/>
      <c r="DW60" s="529"/>
      <c r="DX60" s="529"/>
      <c r="DY60" s="530"/>
      <c r="DZ60" s="537"/>
      <c r="EA60" s="538"/>
      <c r="EB60" s="538"/>
      <c r="EC60" s="539"/>
      <c r="ED60" s="519"/>
      <c r="EE60" s="520"/>
      <c r="EF60" s="520"/>
      <c r="EG60" s="521"/>
      <c r="EH60" s="528"/>
      <c r="EI60" s="529"/>
      <c r="EJ60" s="529"/>
      <c r="EK60" s="530"/>
      <c r="EL60" s="537"/>
      <c r="EM60" s="538"/>
      <c r="EN60" s="538"/>
      <c r="EO60" s="539"/>
      <c r="EP60" s="71"/>
      <c r="EQ60" s="71"/>
      <c r="ER60" s="71"/>
      <c r="ES60" s="71"/>
      <c r="ET60" s="71"/>
      <c r="EU60" s="71"/>
      <c r="EV60" s="71"/>
      <c r="EW60" s="71"/>
      <c r="EX60" s="71"/>
      <c r="EY60" s="71"/>
      <c r="EZ60" s="71"/>
      <c r="FA60" s="71"/>
      <c r="FB60" s="71"/>
      <c r="FC60" s="71"/>
      <c r="FD60" s="71"/>
      <c r="FE60" s="71"/>
      <c r="FF60" s="71"/>
      <c r="FG60" s="71"/>
      <c r="FH60" s="71"/>
      <c r="GB60" s="314"/>
      <c r="GC60" s="249"/>
      <c r="GD60" t="s">
        <v>14379</v>
      </c>
      <c r="GE60" s="76" t="str">
        <f>抽選会資料!C22</f>
        <v>明野東サッカースポーツ少年団</v>
      </c>
      <c r="GF60" s="76" t="s">
        <v>617</v>
      </c>
    </row>
    <row r="61" spans="1:188" ht="13.5" customHeight="1" x14ac:dyDescent="0.25">
      <c r="A61" s="268"/>
      <c r="B61" s="519"/>
      <c r="C61" s="520"/>
      <c r="D61" s="520"/>
      <c r="E61" s="521"/>
      <c r="F61" s="528"/>
      <c r="G61" s="529"/>
      <c r="H61" s="529"/>
      <c r="I61" s="530"/>
      <c r="J61" s="510"/>
      <c r="K61" s="511"/>
      <c r="L61" s="511"/>
      <c r="M61" s="512"/>
      <c r="N61" s="519"/>
      <c r="O61" s="520"/>
      <c r="P61" s="520"/>
      <c r="Q61" s="521"/>
      <c r="R61" s="528"/>
      <c r="S61" s="529"/>
      <c r="T61" s="529"/>
      <c r="U61" s="530"/>
      <c r="V61" s="510"/>
      <c r="W61" s="511"/>
      <c r="X61" s="511"/>
      <c r="Y61" s="512"/>
      <c r="Z61" s="519"/>
      <c r="AA61" s="520"/>
      <c r="AB61" s="520"/>
      <c r="AC61" s="521"/>
      <c r="AD61" s="528"/>
      <c r="AE61" s="529"/>
      <c r="AF61" s="529"/>
      <c r="AG61" s="530"/>
      <c r="AH61" s="510"/>
      <c r="AI61" s="511"/>
      <c r="AJ61" s="511"/>
      <c r="AK61" s="512"/>
      <c r="AL61" s="519"/>
      <c r="AM61" s="520"/>
      <c r="AN61" s="520"/>
      <c r="AO61" s="521"/>
      <c r="AP61" s="528"/>
      <c r="AQ61" s="529"/>
      <c r="AR61" s="529"/>
      <c r="AS61" s="530"/>
      <c r="AT61" s="582"/>
      <c r="AU61" s="583"/>
      <c r="AV61" s="583"/>
      <c r="AW61" s="584"/>
      <c r="AX61" s="519"/>
      <c r="AY61" s="520"/>
      <c r="AZ61" s="520"/>
      <c r="BA61" s="521"/>
      <c r="BB61" s="528"/>
      <c r="BC61" s="529"/>
      <c r="BD61" s="529"/>
      <c r="BE61" s="530"/>
      <c r="BF61" s="537"/>
      <c r="BG61" s="538"/>
      <c r="BH61" s="538"/>
      <c r="BI61" s="539"/>
      <c r="BJ61" s="519"/>
      <c r="BK61" s="520"/>
      <c r="BL61" s="520"/>
      <c r="BM61" s="521"/>
      <c r="BN61" s="528"/>
      <c r="BO61" s="529"/>
      <c r="BP61" s="529"/>
      <c r="BQ61" s="530"/>
      <c r="BR61" s="537"/>
      <c r="BS61" s="538"/>
      <c r="BT61" s="538"/>
      <c r="BU61" s="539"/>
      <c r="BV61" s="519"/>
      <c r="BW61" s="520"/>
      <c r="BX61" s="520"/>
      <c r="BY61" s="521"/>
      <c r="BZ61" s="528"/>
      <c r="CA61" s="529"/>
      <c r="CB61" s="529"/>
      <c r="CC61" s="530"/>
      <c r="CD61" s="510"/>
      <c r="CE61" s="511"/>
      <c r="CF61" s="511"/>
      <c r="CG61" s="512"/>
      <c r="CH61" s="519"/>
      <c r="CI61" s="520"/>
      <c r="CJ61" s="520"/>
      <c r="CK61" s="521"/>
      <c r="CL61" s="528"/>
      <c r="CM61" s="529"/>
      <c r="CN61" s="529"/>
      <c r="CO61" s="530"/>
      <c r="CP61" s="510"/>
      <c r="CQ61" s="511"/>
      <c r="CR61" s="511"/>
      <c r="CS61" s="512"/>
      <c r="CT61" s="519"/>
      <c r="CU61" s="520"/>
      <c r="CV61" s="520"/>
      <c r="CW61" s="521"/>
      <c r="CX61" s="528"/>
      <c r="CY61" s="529"/>
      <c r="CZ61" s="529"/>
      <c r="DA61" s="530"/>
      <c r="DB61" s="510"/>
      <c r="DC61" s="511"/>
      <c r="DD61" s="511"/>
      <c r="DE61" s="512"/>
      <c r="DF61" s="519"/>
      <c r="DG61" s="520"/>
      <c r="DH61" s="520"/>
      <c r="DI61" s="521"/>
      <c r="DJ61" s="528"/>
      <c r="DK61" s="529"/>
      <c r="DL61" s="529"/>
      <c r="DM61" s="530"/>
      <c r="DN61" s="537"/>
      <c r="DO61" s="538"/>
      <c r="DP61" s="538"/>
      <c r="DQ61" s="539"/>
      <c r="DR61" s="519"/>
      <c r="DS61" s="520"/>
      <c r="DT61" s="520"/>
      <c r="DU61" s="521"/>
      <c r="DV61" s="528"/>
      <c r="DW61" s="529"/>
      <c r="DX61" s="529"/>
      <c r="DY61" s="530"/>
      <c r="DZ61" s="537"/>
      <c r="EA61" s="538"/>
      <c r="EB61" s="538"/>
      <c r="EC61" s="539"/>
      <c r="ED61" s="519"/>
      <c r="EE61" s="520"/>
      <c r="EF61" s="520"/>
      <c r="EG61" s="521"/>
      <c r="EH61" s="528"/>
      <c r="EI61" s="529"/>
      <c r="EJ61" s="529"/>
      <c r="EK61" s="530"/>
      <c r="EL61" s="537"/>
      <c r="EM61" s="538"/>
      <c r="EN61" s="538"/>
      <c r="EO61" s="539"/>
      <c r="EP61" s="71"/>
      <c r="EQ61" s="71"/>
      <c r="ER61" s="71"/>
      <c r="ES61" s="71"/>
      <c r="ET61" s="71"/>
      <c r="EU61" s="71"/>
      <c r="EV61" s="71"/>
      <c r="EW61" s="71"/>
      <c r="EX61" s="71"/>
      <c r="EY61" s="71"/>
      <c r="EZ61" s="71"/>
      <c r="FA61" s="71"/>
      <c r="FB61" s="71"/>
      <c r="FC61" s="71"/>
      <c r="FD61" s="71"/>
      <c r="FE61" s="71"/>
      <c r="FF61" s="71"/>
      <c r="FG61" s="71"/>
      <c r="FH61" s="71"/>
      <c r="GB61" s="314"/>
      <c r="GC61" s="249"/>
      <c r="GD61" t="s">
        <v>14380</v>
      </c>
      <c r="GE61" s="76" t="str">
        <f>抽選会資料!C23</f>
        <v>南大分サッカー少年団</v>
      </c>
      <c r="GF61" s="76" t="s">
        <v>617</v>
      </c>
    </row>
    <row r="62" spans="1:188" ht="13.5" customHeight="1" x14ac:dyDescent="0.25">
      <c r="A62" s="490">
        <f>BG3</f>
        <v>46047</v>
      </c>
      <c r="B62" s="519"/>
      <c r="C62" s="520"/>
      <c r="D62" s="520"/>
      <c r="E62" s="521"/>
      <c r="F62" s="528"/>
      <c r="G62" s="529"/>
      <c r="H62" s="529"/>
      <c r="I62" s="530"/>
      <c r="J62" s="510"/>
      <c r="K62" s="511"/>
      <c r="L62" s="511"/>
      <c r="M62" s="512"/>
      <c r="N62" s="519"/>
      <c r="O62" s="520"/>
      <c r="P62" s="520"/>
      <c r="Q62" s="521"/>
      <c r="R62" s="528"/>
      <c r="S62" s="529"/>
      <c r="T62" s="529"/>
      <c r="U62" s="530"/>
      <c r="V62" s="510"/>
      <c r="W62" s="511"/>
      <c r="X62" s="511"/>
      <c r="Y62" s="512"/>
      <c r="Z62" s="519"/>
      <c r="AA62" s="520"/>
      <c r="AB62" s="520"/>
      <c r="AC62" s="521"/>
      <c r="AD62" s="528"/>
      <c r="AE62" s="529"/>
      <c r="AF62" s="529"/>
      <c r="AG62" s="530"/>
      <c r="AH62" s="510"/>
      <c r="AI62" s="511"/>
      <c r="AJ62" s="511"/>
      <c r="AK62" s="512"/>
      <c r="AL62" s="519"/>
      <c r="AM62" s="520"/>
      <c r="AN62" s="520"/>
      <c r="AO62" s="521"/>
      <c r="AP62" s="528"/>
      <c r="AQ62" s="529"/>
      <c r="AR62" s="529"/>
      <c r="AS62" s="530"/>
      <c r="AT62" s="582"/>
      <c r="AU62" s="583"/>
      <c r="AV62" s="583"/>
      <c r="AW62" s="584"/>
      <c r="AX62" s="519"/>
      <c r="AY62" s="520"/>
      <c r="AZ62" s="520"/>
      <c r="BA62" s="521"/>
      <c r="BB62" s="528"/>
      <c r="BC62" s="529"/>
      <c r="BD62" s="529"/>
      <c r="BE62" s="530"/>
      <c r="BF62" s="537"/>
      <c r="BG62" s="538"/>
      <c r="BH62" s="538"/>
      <c r="BI62" s="539"/>
      <c r="BJ62" s="519"/>
      <c r="BK62" s="520"/>
      <c r="BL62" s="520"/>
      <c r="BM62" s="521"/>
      <c r="BN62" s="528"/>
      <c r="BO62" s="529"/>
      <c r="BP62" s="529"/>
      <c r="BQ62" s="530"/>
      <c r="BR62" s="537"/>
      <c r="BS62" s="538"/>
      <c r="BT62" s="538"/>
      <c r="BU62" s="539"/>
      <c r="BV62" s="519"/>
      <c r="BW62" s="520"/>
      <c r="BX62" s="520"/>
      <c r="BY62" s="521"/>
      <c r="BZ62" s="528"/>
      <c r="CA62" s="529"/>
      <c r="CB62" s="529"/>
      <c r="CC62" s="530"/>
      <c r="CD62" s="510"/>
      <c r="CE62" s="511"/>
      <c r="CF62" s="511"/>
      <c r="CG62" s="512"/>
      <c r="CH62" s="519"/>
      <c r="CI62" s="520"/>
      <c r="CJ62" s="520"/>
      <c r="CK62" s="521"/>
      <c r="CL62" s="528"/>
      <c r="CM62" s="529"/>
      <c r="CN62" s="529"/>
      <c r="CO62" s="530"/>
      <c r="CP62" s="510"/>
      <c r="CQ62" s="511"/>
      <c r="CR62" s="511"/>
      <c r="CS62" s="512"/>
      <c r="CT62" s="519"/>
      <c r="CU62" s="520"/>
      <c r="CV62" s="520"/>
      <c r="CW62" s="521"/>
      <c r="CX62" s="528"/>
      <c r="CY62" s="529"/>
      <c r="CZ62" s="529"/>
      <c r="DA62" s="530"/>
      <c r="DB62" s="510"/>
      <c r="DC62" s="511"/>
      <c r="DD62" s="511"/>
      <c r="DE62" s="512"/>
      <c r="DF62" s="519"/>
      <c r="DG62" s="520"/>
      <c r="DH62" s="520"/>
      <c r="DI62" s="521"/>
      <c r="DJ62" s="528"/>
      <c r="DK62" s="529"/>
      <c r="DL62" s="529"/>
      <c r="DM62" s="530"/>
      <c r="DN62" s="537"/>
      <c r="DO62" s="538"/>
      <c r="DP62" s="538"/>
      <c r="DQ62" s="539"/>
      <c r="DR62" s="519"/>
      <c r="DS62" s="520"/>
      <c r="DT62" s="520"/>
      <c r="DU62" s="521"/>
      <c r="DV62" s="528"/>
      <c r="DW62" s="529"/>
      <c r="DX62" s="529"/>
      <c r="DY62" s="530"/>
      <c r="DZ62" s="537"/>
      <c r="EA62" s="538"/>
      <c r="EB62" s="538"/>
      <c r="EC62" s="539"/>
      <c r="ED62" s="519"/>
      <c r="EE62" s="520"/>
      <c r="EF62" s="520"/>
      <c r="EG62" s="521"/>
      <c r="EH62" s="528"/>
      <c r="EI62" s="529"/>
      <c r="EJ62" s="529"/>
      <c r="EK62" s="530"/>
      <c r="EL62" s="537"/>
      <c r="EM62" s="538"/>
      <c r="EN62" s="538"/>
      <c r="EO62" s="539"/>
      <c r="EP62" s="71"/>
      <c r="EQ62" s="71"/>
      <c r="ER62" s="71"/>
      <c r="ES62" s="71"/>
      <c r="ET62" s="71"/>
      <c r="EU62" s="71"/>
      <c r="EV62" s="71"/>
      <c r="EW62" s="71"/>
      <c r="EX62" s="71"/>
      <c r="EY62" s="71"/>
      <c r="EZ62" s="71"/>
      <c r="FA62" s="71"/>
      <c r="FB62" s="71"/>
      <c r="FC62" s="71"/>
      <c r="FD62" s="71"/>
      <c r="FE62" s="71"/>
      <c r="FF62" s="71"/>
      <c r="FG62" s="71"/>
      <c r="FH62" s="71"/>
      <c r="FI62" s="71"/>
      <c r="FJ62" s="71"/>
      <c r="FK62" s="71"/>
      <c r="FL62" s="71"/>
      <c r="FM62" s="71"/>
      <c r="FN62" s="71"/>
      <c r="FO62" s="71"/>
      <c r="FP62" s="71"/>
      <c r="FQ62" s="71"/>
      <c r="FR62" s="71"/>
      <c r="FS62" s="71"/>
      <c r="FT62" s="71"/>
      <c r="FU62" s="71"/>
      <c r="FV62" s="71"/>
      <c r="FW62" s="71"/>
      <c r="FX62" s="71"/>
      <c r="FY62" s="71"/>
      <c r="FZ62" s="71"/>
      <c r="GA62" s="71"/>
      <c r="GB62" s="314"/>
      <c r="GC62" s="249"/>
      <c r="GD62" t="s">
        <v>14381</v>
      </c>
      <c r="GE62" s="76" t="str">
        <f>抽選会資料!C24</f>
        <v>西の台ＪＦＣ</v>
      </c>
      <c r="GF62" s="76" t="s">
        <v>617</v>
      </c>
    </row>
    <row r="63" spans="1:188" ht="13.5" customHeight="1" x14ac:dyDescent="0.25">
      <c r="A63" s="491"/>
      <c r="B63" s="519"/>
      <c r="C63" s="520"/>
      <c r="D63" s="520"/>
      <c r="E63" s="521"/>
      <c r="F63" s="528"/>
      <c r="G63" s="529"/>
      <c r="H63" s="529"/>
      <c r="I63" s="530"/>
      <c r="J63" s="510"/>
      <c r="K63" s="511"/>
      <c r="L63" s="511"/>
      <c r="M63" s="512"/>
      <c r="N63" s="519"/>
      <c r="O63" s="520"/>
      <c r="P63" s="520"/>
      <c r="Q63" s="521"/>
      <c r="R63" s="528"/>
      <c r="S63" s="529"/>
      <c r="T63" s="529"/>
      <c r="U63" s="530"/>
      <c r="V63" s="510"/>
      <c r="W63" s="511"/>
      <c r="X63" s="511"/>
      <c r="Y63" s="512"/>
      <c r="Z63" s="519"/>
      <c r="AA63" s="520"/>
      <c r="AB63" s="520"/>
      <c r="AC63" s="521"/>
      <c r="AD63" s="528"/>
      <c r="AE63" s="529"/>
      <c r="AF63" s="529"/>
      <c r="AG63" s="530"/>
      <c r="AH63" s="510"/>
      <c r="AI63" s="511"/>
      <c r="AJ63" s="511"/>
      <c r="AK63" s="512"/>
      <c r="AL63" s="519"/>
      <c r="AM63" s="520"/>
      <c r="AN63" s="520"/>
      <c r="AO63" s="521"/>
      <c r="AP63" s="528"/>
      <c r="AQ63" s="529"/>
      <c r="AR63" s="529"/>
      <c r="AS63" s="530"/>
      <c r="AT63" s="582"/>
      <c r="AU63" s="583"/>
      <c r="AV63" s="583"/>
      <c r="AW63" s="584"/>
      <c r="AX63" s="519"/>
      <c r="AY63" s="520"/>
      <c r="AZ63" s="520"/>
      <c r="BA63" s="521"/>
      <c r="BB63" s="528"/>
      <c r="BC63" s="529"/>
      <c r="BD63" s="529"/>
      <c r="BE63" s="530"/>
      <c r="BF63" s="537"/>
      <c r="BG63" s="538"/>
      <c r="BH63" s="538"/>
      <c r="BI63" s="539"/>
      <c r="BJ63" s="519"/>
      <c r="BK63" s="520"/>
      <c r="BL63" s="520"/>
      <c r="BM63" s="521"/>
      <c r="BN63" s="528"/>
      <c r="BO63" s="529"/>
      <c r="BP63" s="529"/>
      <c r="BQ63" s="530"/>
      <c r="BR63" s="537"/>
      <c r="BS63" s="538"/>
      <c r="BT63" s="538"/>
      <c r="BU63" s="539"/>
      <c r="BV63" s="519"/>
      <c r="BW63" s="520"/>
      <c r="BX63" s="520"/>
      <c r="BY63" s="521"/>
      <c r="BZ63" s="528"/>
      <c r="CA63" s="529"/>
      <c r="CB63" s="529"/>
      <c r="CC63" s="530"/>
      <c r="CD63" s="510"/>
      <c r="CE63" s="511"/>
      <c r="CF63" s="511"/>
      <c r="CG63" s="512"/>
      <c r="CH63" s="519"/>
      <c r="CI63" s="520"/>
      <c r="CJ63" s="520"/>
      <c r="CK63" s="521"/>
      <c r="CL63" s="528"/>
      <c r="CM63" s="529"/>
      <c r="CN63" s="529"/>
      <c r="CO63" s="530"/>
      <c r="CP63" s="510"/>
      <c r="CQ63" s="511"/>
      <c r="CR63" s="511"/>
      <c r="CS63" s="512"/>
      <c r="CT63" s="519"/>
      <c r="CU63" s="520"/>
      <c r="CV63" s="520"/>
      <c r="CW63" s="521"/>
      <c r="CX63" s="528"/>
      <c r="CY63" s="529"/>
      <c r="CZ63" s="529"/>
      <c r="DA63" s="530"/>
      <c r="DB63" s="510"/>
      <c r="DC63" s="511"/>
      <c r="DD63" s="511"/>
      <c r="DE63" s="512"/>
      <c r="DF63" s="519"/>
      <c r="DG63" s="520"/>
      <c r="DH63" s="520"/>
      <c r="DI63" s="521"/>
      <c r="DJ63" s="528"/>
      <c r="DK63" s="529"/>
      <c r="DL63" s="529"/>
      <c r="DM63" s="530"/>
      <c r="DN63" s="537"/>
      <c r="DO63" s="538"/>
      <c r="DP63" s="538"/>
      <c r="DQ63" s="539"/>
      <c r="DR63" s="519"/>
      <c r="DS63" s="520"/>
      <c r="DT63" s="520"/>
      <c r="DU63" s="521"/>
      <c r="DV63" s="528"/>
      <c r="DW63" s="529"/>
      <c r="DX63" s="529"/>
      <c r="DY63" s="530"/>
      <c r="DZ63" s="537"/>
      <c r="EA63" s="538"/>
      <c r="EB63" s="538"/>
      <c r="EC63" s="539"/>
      <c r="ED63" s="519"/>
      <c r="EE63" s="520"/>
      <c r="EF63" s="520"/>
      <c r="EG63" s="521"/>
      <c r="EH63" s="528"/>
      <c r="EI63" s="529"/>
      <c r="EJ63" s="529"/>
      <c r="EK63" s="530"/>
      <c r="EL63" s="537"/>
      <c r="EM63" s="538"/>
      <c r="EN63" s="538"/>
      <c r="EO63" s="539"/>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314"/>
      <c r="GC63" s="249"/>
      <c r="GD63" t="s">
        <v>14382</v>
      </c>
      <c r="GE63" s="76" t="str">
        <f>抽選会資料!C25</f>
        <v>アトレチコエラン横瀬</v>
      </c>
      <c r="GF63" s="76" t="s">
        <v>617</v>
      </c>
    </row>
    <row r="64" spans="1:188" ht="13.5" customHeight="1" x14ac:dyDescent="0.25">
      <c r="A64" s="491"/>
      <c r="B64" s="519"/>
      <c r="C64" s="520"/>
      <c r="D64" s="520"/>
      <c r="E64" s="521"/>
      <c r="F64" s="528"/>
      <c r="G64" s="529"/>
      <c r="H64" s="529"/>
      <c r="I64" s="530"/>
      <c r="J64" s="510"/>
      <c r="K64" s="511"/>
      <c r="L64" s="511"/>
      <c r="M64" s="512"/>
      <c r="N64" s="519"/>
      <c r="O64" s="520"/>
      <c r="P64" s="520"/>
      <c r="Q64" s="521"/>
      <c r="R64" s="528"/>
      <c r="S64" s="529"/>
      <c r="T64" s="529"/>
      <c r="U64" s="530"/>
      <c r="V64" s="510"/>
      <c r="W64" s="511"/>
      <c r="X64" s="511"/>
      <c r="Y64" s="512"/>
      <c r="Z64" s="519"/>
      <c r="AA64" s="520"/>
      <c r="AB64" s="520"/>
      <c r="AC64" s="521"/>
      <c r="AD64" s="528"/>
      <c r="AE64" s="529"/>
      <c r="AF64" s="529"/>
      <c r="AG64" s="530"/>
      <c r="AH64" s="510"/>
      <c r="AI64" s="511"/>
      <c r="AJ64" s="511"/>
      <c r="AK64" s="512"/>
      <c r="AL64" s="519"/>
      <c r="AM64" s="520"/>
      <c r="AN64" s="520"/>
      <c r="AO64" s="521"/>
      <c r="AP64" s="528"/>
      <c r="AQ64" s="529"/>
      <c r="AR64" s="529"/>
      <c r="AS64" s="530"/>
      <c r="AT64" s="582"/>
      <c r="AU64" s="583"/>
      <c r="AV64" s="583"/>
      <c r="AW64" s="584"/>
      <c r="AX64" s="519"/>
      <c r="AY64" s="520"/>
      <c r="AZ64" s="520"/>
      <c r="BA64" s="521"/>
      <c r="BB64" s="528"/>
      <c r="BC64" s="529"/>
      <c r="BD64" s="529"/>
      <c r="BE64" s="530"/>
      <c r="BF64" s="537"/>
      <c r="BG64" s="538"/>
      <c r="BH64" s="538"/>
      <c r="BI64" s="539"/>
      <c r="BJ64" s="519"/>
      <c r="BK64" s="520"/>
      <c r="BL64" s="520"/>
      <c r="BM64" s="521"/>
      <c r="BN64" s="528"/>
      <c r="BO64" s="529"/>
      <c r="BP64" s="529"/>
      <c r="BQ64" s="530"/>
      <c r="BR64" s="537"/>
      <c r="BS64" s="538"/>
      <c r="BT64" s="538"/>
      <c r="BU64" s="539"/>
      <c r="BV64" s="519"/>
      <c r="BW64" s="520"/>
      <c r="BX64" s="520"/>
      <c r="BY64" s="521"/>
      <c r="BZ64" s="528"/>
      <c r="CA64" s="529"/>
      <c r="CB64" s="529"/>
      <c r="CC64" s="530"/>
      <c r="CD64" s="510"/>
      <c r="CE64" s="511"/>
      <c r="CF64" s="511"/>
      <c r="CG64" s="512"/>
      <c r="CH64" s="519"/>
      <c r="CI64" s="520"/>
      <c r="CJ64" s="520"/>
      <c r="CK64" s="521"/>
      <c r="CL64" s="528"/>
      <c r="CM64" s="529"/>
      <c r="CN64" s="529"/>
      <c r="CO64" s="530"/>
      <c r="CP64" s="510"/>
      <c r="CQ64" s="511"/>
      <c r="CR64" s="511"/>
      <c r="CS64" s="512"/>
      <c r="CT64" s="519"/>
      <c r="CU64" s="520"/>
      <c r="CV64" s="520"/>
      <c r="CW64" s="521"/>
      <c r="CX64" s="528"/>
      <c r="CY64" s="529"/>
      <c r="CZ64" s="529"/>
      <c r="DA64" s="530"/>
      <c r="DB64" s="510"/>
      <c r="DC64" s="511"/>
      <c r="DD64" s="511"/>
      <c r="DE64" s="512"/>
      <c r="DF64" s="519"/>
      <c r="DG64" s="520"/>
      <c r="DH64" s="520"/>
      <c r="DI64" s="521"/>
      <c r="DJ64" s="528"/>
      <c r="DK64" s="529"/>
      <c r="DL64" s="529"/>
      <c r="DM64" s="530"/>
      <c r="DN64" s="537"/>
      <c r="DO64" s="538"/>
      <c r="DP64" s="538"/>
      <c r="DQ64" s="539"/>
      <c r="DR64" s="519"/>
      <c r="DS64" s="520"/>
      <c r="DT64" s="520"/>
      <c r="DU64" s="521"/>
      <c r="DV64" s="528"/>
      <c r="DW64" s="529"/>
      <c r="DX64" s="529"/>
      <c r="DY64" s="530"/>
      <c r="DZ64" s="537"/>
      <c r="EA64" s="538"/>
      <c r="EB64" s="538"/>
      <c r="EC64" s="539"/>
      <c r="ED64" s="519"/>
      <c r="EE64" s="520"/>
      <c r="EF64" s="520"/>
      <c r="EG64" s="521"/>
      <c r="EH64" s="528"/>
      <c r="EI64" s="529"/>
      <c r="EJ64" s="529"/>
      <c r="EK64" s="530"/>
      <c r="EL64" s="537"/>
      <c r="EM64" s="538"/>
      <c r="EN64" s="538"/>
      <c r="EO64" s="539"/>
      <c r="EP64" s="71"/>
      <c r="EQ64" s="71"/>
      <c r="ER64" s="71"/>
      <c r="ES64" s="71"/>
      <c r="ET64" s="71"/>
      <c r="EU64" s="71"/>
      <c r="EV64" s="71"/>
      <c r="EW64" s="71"/>
      <c r="EX64" s="71"/>
      <c r="EY64" s="71"/>
      <c r="EZ64" s="71"/>
      <c r="FA64" s="71"/>
      <c r="FB64" s="71"/>
      <c r="FC64" s="71"/>
      <c r="FD64" s="71"/>
      <c r="FE64" s="71"/>
      <c r="FF64" s="71"/>
      <c r="FG64" s="71"/>
      <c r="FH64" s="71"/>
      <c r="FI64" s="71"/>
      <c r="FJ64" s="71"/>
      <c r="FK64" s="71"/>
      <c r="FL64" s="71"/>
      <c r="FM64" s="71"/>
      <c r="FN64" s="71"/>
      <c r="FO64" s="71"/>
      <c r="FP64" s="71"/>
      <c r="FQ64" s="71"/>
      <c r="FR64" s="71"/>
      <c r="FS64" s="71"/>
      <c r="FT64" s="71"/>
      <c r="FU64" s="71"/>
      <c r="FV64" s="71"/>
      <c r="FW64" s="71"/>
      <c r="FX64" s="71"/>
      <c r="FY64" s="71"/>
      <c r="FZ64" s="71"/>
      <c r="GA64" s="71"/>
      <c r="GB64" s="314"/>
      <c r="GC64" s="249"/>
      <c r="GD64" t="s">
        <v>14383</v>
      </c>
      <c r="GE64" s="76" t="str">
        <f>抽選会資料!C26</f>
        <v>大分トリニータタートルズ</v>
      </c>
      <c r="GF64" s="76" t="s">
        <v>617</v>
      </c>
    </row>
    <row r="65" spans="1:188" ht="13.5" customHeight="1" x14ac:dyDescent="0.25">
      <c r="A65" s="491" t="s">
        <v>5601</v>
      </c>
      <c r="B65" s="519"/>
      <c r="C65" s="520"/>
      <c r="D65" s="520"/>
      <c r="E65" s="521"/>
      <c r="F65" s="528"/>
      <c r="G65" s="529"/>
      <c r="H65" s="529"/>
      <c r="I65" s="530"/>
      <c r="J65" s="510"/>
      <c r="K65" s="511"/>
      <c r="L65" s="511"/>
      <c r="M65" s="512"/>
      <c r="N65" s="519"/>
      <c r="O65" s="520"/>
      <c r="P65" s="520"/>
      <c r="Q65" s="521"/>
      <c r="R65" s="528"/>
      <c r="S65" s="529"/>
      <c r="T65" s="529"/>
      <c r="U65" s="530"/>
      <c r="V65" s="510"/>
      <c r="W65" s="511"/>
      <c r="X65" s="511"/>
      <c r="Y65" s="512"/>
      <c r="Z65" s="519"/>
      <c r="AA65" s="520"/>
      <c r="AB65" s="520"/>
      <c r="AC65" s="521"/>
      <c r="AD65" s="528"/>
      <c r="AE65" s="529"/>
      <c r="AF65" s="529"/>
      <c r="AG65" s="530"/>
      <c r="AH65" s="510"/>
      <c r="AI65" s="511"/>
      <c r="AJ65" s="511"/>
      <c r="AK65" s="512"/>
      <c r="AL65" s="519"/>
      <c r="AM65" s="520"/>
      <c r="AN65" s="520"/>
      <c r="AO65" s="521"/>
      <c r="AP65" s="528"/>
      <c r="AQ65" s="529"/>
      <c r="AR65" s="529"/>
      <c r="AS65" s="530"/>
      <c r="AT65" s="582"/>
      <c r="AU65" s="583"/>
      <c r="AV65" s="583"/>
      <c r="AW65" s="584"/>
      <c r="AX65" s="519"/>
      <c r="AY65" s="520"/>
      <c r="AZ65" s="520"/>
      <c r="BA65" s="521"/>
      <c r="BB65" s="528"/>
      <c r="BC65" s="529"/>
      <c r="BD65" s="529"/>
      <c r="BE65" s="530"/>
      <c r="BF65" s="537"/>
      <c r="BG65" s="538"/>
      <c r="BH65" s="538"/>
      <c r="BI65" s="539"/>
      <c r="BJ65" s="519"/>
      <c r="BK65" s="520"/>
      <c r="BL65" s="520"/>
      <c r="BM65" s="521"/>
      <c r="BN65" s="528"/>
      <c r="BO65" s="529"/>
      <c r="BP65" s="529"/>
      <c r="BQ65" s="530"/>
      <c r="BR65" s="537"/>
      <c r="BS65" s="538"/>
      <c r="BT65" s="538"/>
      <c r="BU65" s="539"/>
      <c r="BV65" s="519"/>
      <c r="BW65" s="520"/>
      <c r="BX65" s="520"/>
      <c r="BY65" s="521"/>
      <c r="BZ65" s="528"/>
      <c r="CA65" s="529"/>
      <c r="CB65" s="529"/>
      <c r="CC65" s="530"/>
      <c r="CD65" s="510"/>
      <c r="CE65" s="511"/>
      <c r="CF65" s="511"/>
      <c r="CG65" s="512"/>
      <c r="CH65" s="519"/>
      <c r="CI65" s="520"/>
      <c r="CJ65" s="520"/>
      <c r="CK65" s="521"/>
      <c r="CL65" s="528"/>
      <c r="CM65" s="529"/>
      <c r="CN65" s="529"/>
      <c r="CO65" s="530"/>
      <c r="CP65" s="510"/>
      <c r="CQ65" s="511"/>
      <c r="CR65" s="511"/>
      <c r="CS65" s="512"/>
      <c r="CT65" s="519"/>
      <c r="CU65" s="520"/>
      <c r="CV65" s="520"/>
      <c r="CW65" s="521"/>
      <c r="CX65" s="528"/>
      <c r="CY65" s="529"/>
      <c r="CZ65" s="529"/>
      <c r="DA65" s="530"/>
      <c r="DB65" s="510"/>
      <c r="DC65" s="511"/>
      <c r="DD65" s="511"/>
      <c r="DE65" s="512"/>
      <c r="DF65" s="519"/>
      <c r="DG65" s="520"/>
      <c r="DH65" s="520"/>
      <c r="DI65" s="521"/>
      <c r="DJ65" s="528"/>
      <c r="DK65" s="529"/>
      <c r="DL65" s="529"/>
      <c r="DM65" s="530"/>
      <c r="DN65" s="537"/>
      <c r="DO65" s="538"/>
      <c r="DP65" s="538"/>
      <c r="DQ65" s="539"/>
      <c r="DR65" s="519"/>
      <c r="DS65" s="520"/>
      <c r="DT65" s="520"/>
      <c r="DU65" s="521"/>
      <c r="DV65" s="528"/>
      <c r="DW65" s="529"/>
      <c r="DX65" s="529"/>
      <c r="DY65" s="530"/>
      <c r="DZ65" s="537"/>
      <c r="EA65" s="538"/>
      <c r="EB65" s="538"/>
      <c r="EC65" s="539"/>
      <c r="ED65" s="519"/>
      <c r="EE65" s="520"/>
      <c r="EF65" s="520"/>
      <c r="EG65" s="521"/>
      <c r="EH65" s="528"/>
      <c r="EI65" s="529"/>
      <c r="EJ65" s="529"/>
      <c r="EK65" s="530"/>
      <c r="EL65" s="537"/>
      <c r="EM65" s="538"/>
      <c r="EN65" s="538"/>
      <c r="EO65" s="539"/>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314"/>
      <c r="GC65" s="249"/>
      <c r="GD65" s="376" t="s">
        <v>14365</v>
      </c>
      <c r="GE65" s="76" t="str">
        <f>抽選会資料!C27</f>
        <v>ＮＦＣ・ＯＩＴＡ　Ｕ１２</v>
      </c>
      <c r="GF65" s="76" t="s">
        <v>617</v>
      </c>
    </row>
    <row r="66" spans="1:188" ht="13.5" customHeight="1" x14ac:dyDescent="0.25">
      <c r="A66" s="491"/>
      <c r="B66" s="519"/>
      <c r="C66" s="520"/>
      <c r="D66" s="520"/>
      <c r="E66" s="521"/>
      <c r="F66" s="528"/>
      <c r="G66" s="529"/>
      <c r="H66" s="529"/>
      <c r="I66" s="530"/>
      <c r="J66" s="510"/>
      <c r="K66" s="511"/>
      <c r="L66" s="511"/>
      <c r="M66" s="512"/>
      <c r="N66" s="519"/>
      <c r="O66" s="520"/>
      <c r="P66" s="520"/>
      <c r="Q66" s="521"/>
      <c r="R66" s="528"/>
      <c r="S66" s="529"/>
      <c r="T66" s="529"/>
      <c r="U66" s="530"/>
      <c r="V66" s="510"/>
      <c r="W66" s="511"/>
      <c r="X66" s="511"/>
      <c r="Y66" s="512"/>
      <c r="Z66" s="519"/>
      <c r="AA66" s="520"/>
      <c r="AB66" s="520"/>
      <c r="AC66" s="521"/>
      <c r="AD66" s="528"/>
      <c r="AE66" s="529"/>
      <c r="AF66" s="529"/>
      <c r="AG66" s="530"/>
      <c r="AH66" s="510"/>
      <c r="AI66" s="511"/>
      <c r="AJ66" s="511"/>
      <c r="AK66" s="512"/>
      <c r="AL66" s="519"/>
      <c r="AM66" s="520"/>
      <c r="AN66" s="520"/>
      <c r="AO66" s="521"/>
      <c r="AP66" s="528"/>
      <c r="AQ66" s="529"/>
      <c r="AR66" s="529"/>
      <c r="AS66" s="530"/>
      <c r="AT66" s="582"/>
      <c r="AU66" s="583"/>
      <c r="AV66" s="583"/>
      <c r="AW66" s="584"/>
      <c r="AX66" s="519"/>
      <c r="AY66" s="520"/>
      <c r="AZ66" s="520"/>
      <c r="BA66" s="521"/>
      <c r="BB66" s="528"/>
      <c r="BC66" s="529"/>
      <c r="BD66" s="529"/>
      <c r="BE66" s="530"/>
      <c r="BF66" s="537"/>
      <c r="BG66" s="538"/>
      <c r="BH66" s="538"/>
      <c r="BI66" s="539"/>
      <c r="BJ66" s="519"/>
      <c r="BK66" s="520"/>
      <c r="BL66" s="520"/>
      <c r="BM66" s="521"/>
      <c r="BN66" s="528"/>
      <c r="BO66" s="529"/>
      <c r="BP66" s="529"/>
      <c r="BQ66" s="530"/>
      <c r="BR66" s="537"/>
      <c r="BS66" s="538"/>
      <c r="BT66" s="538"/>
      <c r="BU66" s="539"/>
      <c r="BV66" s="519"/>
      <c r="BW66" s="520"/>
      <c r="BX66" s="520"/>
      <c r="BY66" s="521"/>
      <c r="BZ66" s="528"/>
      <c r="CA66" s="529"/>
      <c r="CB66" s="529"/>
      <c r="CC66" s="530"/>
      <c r="CD66" s="510"/>
      <c r="CE66" s="511"/>
      <c r="CF66" s="511"/>
      <c r="CG66" s="512"/>
      <c r="CH66" s="519"/>
      <c r="CI66" s="520"/>
      <c r="CJ66" s="520"/>
      <c r="CK66" s="521"/>
      <c r="CL66" s="528"/>
      <c r="CM66" s="529"/>
      <c r="CN66" s="529"/>
      <c r="CO66" s="530"/>
      <c r="CP66" s="510"/>
      <c r="CQ66" s="511"/>
      <c r="CR66" s="511"/>
      <c r="CS66" s="512"/>
      <c r="CT66" s="519"/>
      <c r="CU66" s="520"/>
      <c r="CV66" s="520"/>
      <c r="CW66" s="521"/>
      <c r="CX66" s="528"/>
      <c r="CY66" s="529"/>
      <c r="CZ66" s="529"/>
      <c r="DA66" s="530"/>
      <c r="DB66" s="510"/>
      <c r="DC66" s="511"/>
      <c r="DD66" s="511"/>
      <c r="DE66" s="512"/>
      <c r="DF66" s="519"/>
      <c r="DG66" s="520"/>
      <c r="DH66" s="520"/>
      <c r="DI66" s="521"/>
      <c r="DJ66" s="528"/>
      <c r="DK66" s="529"/>
      <c r="DL66" s="529"/>
      <c r="DM66" s="530"/>
      <c r="DN66" s="537"/>
      <c r="DO66" s="538"/>
      <c r="DP66" s="538"/>
      <c r="DQ66" s="539"/>
      <c r="DR66" s="519"/>
      <c r="DS66" s="520"/>
      <c r="DT66" s="520"/>
      <c r="DU66" s="521"/>
      <c r="DV66" s="528"/>
      <c r="DW66" s="529"/>
      <c r="DX66" s="529"/>
      <c r="DY66" s="530"/>
      <c r="DZ66" s="537"/>
      <c r="EA66" s="538"/>
      <c r="EB66" s="538"/>
      <c r="EC66" s="539"/>
      <c r="ED66" s="519"/>
      <c r="EE66" s="520"/>
      <c r="EF66" s="520"/>
      <c r="EG66" s="521"/>
      <c r="EH66" s="528"/>
      <c r="EI66" s="529"/>
      <c r="EJ66" s="529"/>
      <c r="EK66" s="530"/>
      <c r="EL66" s="537"/>
      <c r="EM66" s="538"/>
      <c r="EN66" s="538"/>
      <c r="EO66" s="539"/>
      <c r="EP66" s="71"/>
      <c r="EQ66" s="71"/>
      <c r="ER66" s="71"/>
      <c r="ES66" s="71"/>
      <c r="ET66" s="71"/>
      <c r="EU66" s="71"/>
      <c r="EV66" s="71"/>
      <c r="EW66" s="71"/>
      <c r="EX66" s="71"/>
      <c r="EY66" s="71"/>
      <c r="EZ66" s="71"/>
      <c r="FA66" s="71"/>
      <c r="FB66" s="71"/>
      <c r="FC66" s="71"/>
      <c r="FD66" s="71"/>
      <c r="FE66" s="71"/>
      <c r="FF66" s="71"/>
      <c r="FG66" s="71"/>
      <c r="FH66" s="71"/>
      <c r="FI66" s="71"/>
      <c r="FJ66" s="71"/>
      <c r="FK66" s="71"/>
      <c r="FL66" s="71"/>
      <c r="FM66" s="71"/>
      <c r="FN66" s="71"/>
      <c r="FO66" s="71"/>
      <c r="FP66" s="71"/>
      <c r="FQ66" s="71"/>
      <c r="FR66" s="71"/>
      <c r="FS66" s="71"/>
      <c r="FT66" s="71"/>
      <c r="FU66" s="71"/>
      <c r="FV66" s="71"/>
      <c r="FW66" s="71"/>
      <c r="FX66" s="71"/>
      <c r="FY66" s="71"/>
      <c r="FZ66" s="71"/>
      <c r="GA66" s="71"/>
      <c r="GB66" s="314"/>
    </row>
    <row r="67" spans="1:188" ht="13.5" customHeight="1" x14ac:dyDescent="0.25">
      <c r="A67" s="491"/>
      <c r="B67" s="519"/>
      <c r="C67" s="520"/>
      <c r="D67" s="520"/>
      <c r="E67" s="521"/>
      <c r="F67" s="528"/>
      <c r="G67" s="529"/>
      <c r="H67" s="529"/>
      <c r="I67" s="530"/>
      <c r="J67" s="510"/>
      <c r="K67" s="511"/>
      <c r="L67" s="511"/>
      <c r="M67" s="512"/>
      <c r="N67" s="519"/>
      <c r="O67" s="520"/>
      <c r="P67" s="520"/>
      <c r="Q67" s="521"/>
      <c r="R67" s="528"/>
      <c r="S67" s="529"/>
      <c r="T67" s="529"/>
      <c r="U67" s="530"/>
      <c r="V67" s="510"/>
      <c r="W67" s="511"/>
      <c r="X67" s="511"/>
      <c r="Y67" s="512"/>
      <c r="Z67" s="519"/>
      <c r="AA67" s="520"/>
      <c r="AB67" s="520"/>
      <c r="AC67" s="521"/>
      <c r="AD67" s="528"/>
      <c r="AE67" s="529"/>
      <c r="AF67" s="529"/>
      <c r="AG67" s="530"/>
      <c r="AH67" s="510"/>
      <c r="AI67" s="511"/>
      <c r="AJ67" s="511"/>
      <c r="AK67" s="512"/>
      <c r="AL67" s="519"/>
      <c r="AM67" s="520"/>
      <c r="AN67" s="520"/>
      <c r="AO67" s="521"/>
      <c r="AP67" s="528"/>
      <c r="AQ67" s="529"/>
      <c r="AR67" s="529"/>
      <c r="AS67" s="530"/>
      <c r="AT67" s="582"/>
      <c r="AU67" s="583"/>
      <c r="AV67" s="583"/>
      <c r="AW67" s="584"/>
      <c r="AX67" s="519"/>
      <c r="AY67" s="520"/>
      <c r="AZ67" s="520"/>
      <c r="BA67" s="521"/>
      <c r="BB67" s="528"/>
      <c r="BC67" s="529"/>
      <c r="BD67" s="529"/>
      <c r="BE67" s="530"/>
      <c r="BF67" s="537"/>
      <c r="BG67" s="538"/>
      <c r="BH67" s="538"/>
      <c r="BI67" s="539"/>
      <c r="BJ67" s="519"/>
      <c r="BK67" s="520"/>
      <c r="BL67" s="520"/>
      <c r="BM67" s="521"/>
      <c r="BN67" s="528"/>
      <c r="BO67" s="529"/>
      <c r="BP67" s="529"/>
      <c r="BQ67" s="530"/>
      <c r="BR67" s="537"/>
      <c r="BS67" s="538"/>
      <c r="BT67" s="538"/>
      <c r="BU67" s="539"/>
      <c r="BV67" s="519"/>
      <c r="BW67" s="520"/>
      <c r="BX67" s="520"/>
      <c r="BY67" s="521"/>
      <c r="BZ67" s="528"/>
      <c r="CA67" s="529"/>
      <c r="CB67" s="529"/>
      <c r="CC67" s="530"/>
      <c r="CD67" s="510"/>
      <c r="CE67" s="511"/>
      <c r="CF67" s="511"/>
      <c r="CG67" s="512"/>
      <c r="CH67" s="519"/>
      <c r="CI67" s="520"/>
      <c r="CJ67" s="520"/>
      <c r="CK67" s="521"/>
      <c r="CL67" s="528"/>
      <c r="CM67" s="529"/>
      <c r="CN67" s="529"/>
      <c r="CO67" s="530"/>
      <c r="CP67" s="510"/>
      <c r="CQ67" s="511"/>
      <c r="CR67" s="511"/>
      <c r="CS67" s="512"/>
      <c r="CT67" s="519"/>
      <c r="CU67" s="520"/>
      <c r="CV67" s="520"/>
      <c r="CW67" s="521"/>
      <c r="CX67" s="528"/>
      <c r="CY67" s="529"/>
      <c r="CZ67" s="529"/>
      <c r="DA67" s="530"/>
      <c r="DB67" s="510"/>
      <c r="DC67" s="511"/>
      <c r="DD67" s="511"/>
      <c r="DE67" s="512"/>
      <c r="DF67" s="519"/>
      <c r="DG67" s="520"/>
      <c r="DH67" s="520"/>
      <c r="DI67" s="521"/>
      <c r="DJ67" s="528"/>
      <c r="DK67" s="529"/>
      <c r="DL67" s="529"/>
      <c r="DM67" s="530"/>
      <c r="DN67" s="537"/>
      <c r="DO67" s="538"/>
      <c r="DP67" s="538"/>
      <c r="DQ67" s="539"/>
      <c r="DR67" s="519"/>
      <c r="DS67" s="520"/>
      <c r="DT67" s="520"/>
      <c r="DU67" s="521"/>
      <c r="DV67" s="528"/>
      <c r="DW67" s="529"/>
      <c r="DX67" s="529"/>
      <c r="DY67" s="530"/>
      <c r="DZ67" s="537"/>
      <c r="EA67" s="538"/>
      <c r="EB67" s="538"/>
      <c r="EC67" s="539"/>
      <c r="ED67" s="519"/>
      <c r="EE67" s="520"/>
      <c r="EF67" s="520"/>
      <c r="EG67" s="521"/>
      <c r="EH67" s="528"/>
      <c r="EI67" s="529"/>
      <c r="EJ67" s="529"/>
      <c r="EK67" s="530"/>
      <c r="EL67" s="537"/>
      <c r="EM67" s="538"/>
      <c r="EN67" s="538"/>
      <c r="EO67" s="539"/>
      <c r="EP67" s="71"/>
      <c r="EQ67" s="71"/>
      <c r="ER67" s="71"/>
      <c r="ES67" s="71"/>
      <c r="ET67" s="71"/>
      <c r="EU67" s="71"/>
      <c r="EV67" s="71"/>
      <c r="EW67" s="71"/>
      <c r="EX67" s="71"/>
      <c r="EY67" s="71"/>
      <c r="EZ67" s="71"/>
      <c r="FA67" s="71"/>
      <c r="FB67" s="71"/>
      <c r="FC67" s="71"/>
      <c r="FD67" s="71"/>
      <c r="FE67" s="71"/>
      <c r="FF67" s="71"/>
      <c r="FG67" s="71"/>
      <c r="FH67" s="71"/>
      <c r="FI67" s="71"/>
      <c r="FJ67" s="71"/>
      <c r="FK67" s="71"/>
      <c r="FL67" s="71"/>
      <c r="FM67" s="71"/>
      <c r="FN67" s="71"/>
      <c r="FO67" s="71"/>
      <c r="FP67" s="71"/>
      <c r="FQ67" s="71"/>
      <c r="FR67" s="71"/>
      <c r="FS67" s="71"/>
      <c r="FT67" s="71"/>
      <c r="FU67" s="71"/>
      <c r="FV67" s="71"/>
      <c r="FW67" s="71"/>
      <c r="FX67" s="71"/>
      <c r="FY67" s="71"/>
      <c r="FZ67" s="71"/>
      <c r="GA67" s="71"/>
      <c r="GB67" s="314"/>
    </row>
    <row r="68" spans="1:188" ht="13.5" customHeight="1" x14ac:dyDescent="0.25">
      <c r="A68" s="491"/>
      <c r="B68" s="519"/>
      <c r="C68" s="520"/>
      <c r="D68" s="520"/>
      <c r="E68" s="521"/>
      <c r="F68" s="528"/>
      <c r="G68" s="529"/>
      <c r="H68" s="529"/>
      <c r="I68" s="530"/>
      <c r="J68" s="510"/>
      <c r="K68" s="511"/>
      <c r="L68" s="511"/>
      <c r="M68" s="512"/>
      <c r="N68" s="519"/>
      <c r="O68" s="520"/>
      <c r="P68" s="520"/>
      <c r="Q68" s="521"/>
      <c r="R68" s="528"/>
      <c r="S68" s="529"/>
      <c r="T68" s="529"/>
      <c r="U68" s="530"/>
      <c r="V68" s="510"/>
      <c r="W68" s="511"/>
      <c r="X68" s="511"/>
      <c r="Y68" s="512"/>
      <c r="Z68" s="519"/>
      <c r="AA68" s="520"/>
      <c r="AB68" s="520"/>
      <c r="AC68" s="521"/>
      <c r="AD68" s="528"/>
      <c r="AE68" s="529"/>
      <c r="AF68" s="529"/>
      <c r="AG68" s="530"/>
      <c r="AH68" s="510"/>
      <c r="AI68" s="511"/>
      <c r="AJ68" s="511"/>
      <c r="AK68" s="512"/>
      <c r="AL68" s="519"/>
      <c r="AM68" s="520"/>
      <c r="AN68" s="520"/>
      <c r="AO68" s="521"/>
      <c r="AP68" s="528"/>
      <c r="AQ68" s="529"/>
      <c r="AR68" s="529"/>
      <c r="AS68" s="530"/>
      <c r="AT68" s="582"/>
      <c r="AU68" s="583"/>
      <c r="AV68" s="583"/>
      <c r="AW68" s="584"/>
      <c r="AX68" s="519"/>
      <c r="AY68" s="520"/>
      <c r="AZ68" s="520"/>
      <c r="BA68" s="521"/>
      <c r="BB68" s="528"/>
      <c r="BC68" s="529"/>
      <c r="BD68" s="529"/>
      <c r="BE68" s="530"/>
      <c r="BF68" s="537"/>
      <c r="BG68" s="538"/>
      <c r="BH68" s="538"/>
      <c r="BI68" s="539"/>
      <c r="BJ68" s="519"/>
      <c r="BK68" s="520"/>
      <c r="BL68" s="520"/>
      <c r="BM68" s="521"/>
      <c r="BN68" s="528"/>
      <c r="BO68" s="529"/>
      <c r="BP68" s="529"/>
      <c r="BQ68" s="530"/>
      <c r="BR68" s="537"/>
      <c r="BS68" s="538"/>
      <c r="BT68" s="538"/>
      <c r="BU68" s="539"/>
      <c r="BV68" s="519"/>
      <c r="BW68" s="520"/>
      <c r="BX68" s="520"/>
      <c r="BY68" s="521"/>
      <c r="BZ68" s="528"/>
      <c r="CA68" s="529"/>
      <c r="CB68" s="529"/>
      <c r="CC68" s="530"/>
      <c r="CD68" s="510"/>
      <c r="CE68" s="511"/>
      <c r="CF68" s="511"/>
      <c r="CG68" s="512"/>
      <c r="CH68" s="519"/>
      <c r="CI68" s="520"/>
      <c r="CJ68" s="520"/>
      <c r="CK68" s="521"/>
      <c r="CL68" s="528"/>
      <c r="CM68" s="529"/>
      <c r="CN68" s="529"/>
      <c r="CO68" s="530"/>
      <c r="CP68" s="510"/>
      <c r="CQ68" s="511"/>
      <c r="CR68" s="511"/>
      <c r="CS68" s="512"/>
      <c r="CT68" s="519"/>
      <c r="CU68" s="520"/>
      <c r="CV68" s="520"/>
      <c r="CW68" s="521"/>
      <c r="CX68" s="528"/>
      <c r="CY68" s="529"/>
      <c r="CZ68" s="529"/>
      <c r="DA68" s="530"/>
      <c r="DB68" s="510"/>
      <c r="DC68" s="511"/>
      <c r="DD68" s="511"/>
      <c r="DE68" s="512"/>
      <c r="DF68" s="519"/>
      <c r="DG68" s="520"/>
      <c r="DH68" s="520"/>
      <c r="DI68" s="521"/>
      <c r="DJ68" s="528"/>
      <c r="DK68" s="529"/>
      <c r="DL68" s="529"/>
      <c r="DM68" s="530"/>
      <c r="DN68" s="537"/>
      <c r="DO68" s="538"/>
      <c r="DP68" s="538"/>
      <c r="DQ68" s="539"/>
      <c r="DR68" s="519"/>
      <c r="DS68" s="520"/>
      <c r="DT68" s="520"/>
      <c r="DU68" s="521"/>
      <c r="DV68" s="528"/>
      <c r="DW68" s="529"/>
      <c r="DX68" s="529"/>
      <c r="DY68" s="530"/>
      <c r="DZ68" s="537"/>
      <c r="EA68" s="538"/>
      <c r="EB68" s="538"/>
      <c r="EC68" s="539"/>
      <c r="ED68" s="519"/>
      <c r="EE68" s="520"/>
      <c r="EF68" s="520"/>
      <c r="EG68" s="521"/>
      <c r="EH68" s="528"/>
      <c r="EI68" s="529"/>
      <c r="EJ68" s="529"/>
      <c r="EK68" s="530"/>
      <c r="EL68" s="537"/>
      <c r="EM68" s="538"/>
      <c r="EN68" s="538"/>
      <c r="EO68" s="539"/>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314"/>
    </row>
    <row r="69" spans="1:188" ht="13.5" customHeight="1" x14ac:dyDescent="0.25">
      <c r="A69" s="491"/>
      <c r="B69" s="519"/>
      <c r="C69" s="520"/>
      <c r="D69" s="520"/>
      <c r="E69" s="521"/>
      <c r="F69" s="528"/>
      <c r="G69" s="529"/>
      <c r="H69" s="529"/>
      <c r="I69" s="530"/>
      <c r="J69" s="510"/>
      <c r="K69" s="511"/>
      <c r="L69" s="511"/>
      <c r="M69" s="512"/>
      <c r="N69" s="519"/>
      <c r="O69" s="520"/>
      <c r="P69" s="520"/>
      <c r="Q69" s="521"/>
      <c r="R69" s="528"/>
      <c r="S69" s="529"/>
      <c r="T69" s="529"/>
      <c r="U69" s="530"/>
      <c r="V69" s="510"/>
      <c r="W69" s="511"/>
      <c r="X69" s="511"/>
      <c r="Y69" s="512"/>
      <c r="Z69" s="519"/>
      <c r="AA69" s="520"/>
      <c r="AB69" s="520"/>
      <c r="AC69" s="521"/>
      <c r="AD69" s="528"/>
      <c r="AE69" s="529"/>
      <c r="AF69" s="529"/>
      <c r="AG69" s="530"/>
      <c r="AH69" s="510"/>
      <c r="AI69" s="511"/>
      <c r="AJ69" s="511"/>
      <c r="AK69" s="512"/>
      <c r="AL69" s="519"/>
      <c r="AM69" s="520"/>
      <c r="AN69" s="520"/>
      <c r="AO69" s="521"/>
      <c r="AP69" s="528"/>
      <c r="AQ69" s="529"/>
      <c r="AR69" s="529"/>
      <c r="AS69" s="530"/>
      <c r="AT69" s="582"/>
      <c r="AU69" s="583"/>
      <c r="AV69" s="583"/>
      <c r="AW69" s="584"/>
      <c r="AX69" s="519"/>
      <c r="AY69" s="520"/>
      <c r="AZ69" s="520"/>
      <c r="BA69" s="521"/>
      <c r="BB69" s="528"/>
      <c r="BC69" s="529"/>
      <c r="BD69" s="529"/>
      <c r="BE69" s="530"/>
      <c r="BF69" s="537"/>
      <c r="BG69" s="538"/>
      <c r="BH69" s="538"/>
      <c r="BI69" s="539"/>
      <c r="BJ69" s="519"/>
      <c r="BK69" s="520"/>
      <c r="BL69" s="520"/>
      <c r="BM69" s="521"/>
      <c r="BN69" s="528"/>
      <c r="BO69" s="529"/>
      <c r="BP69" s="529"/>
      <c r="BQ69" s="530"/>
      <c r="BR69" s="537"/>
      <c r="BS69" s="538"/>
      <c r="BT69" s="538"/>
      <c r="BU69" s="539"/>
      <c r="BV69" s="519"/>
      <c r="BW69" s="520"/>
      <c r="BX69" s="520"/>
      <c r="BY69" s="521"/>
      <c r="BZ69" s="528"/>
      <c r="CA69" s="529"/>
      <c r="CB69" s="529"/>
      <c r="CC69" s="530"/>
      <c r="CD69" s="510"/>
      <c r="CE69" s="511"/>
      <c r="CF69" s="511"/>
      <c r="CG69" s="512"/>
      <c r="CH69" s="519"/>
      <c r="CI69" s="520"/>
      <c r="CJ69" s="520"/>
      <c r="CK69" s="521"/>
      <c r="CL69" s="528"/>
      <c r="CM69" s="529"/>
      <c r="CN69" s="529"/>
      <c r="CO69" s="530"/>
      <c r="CP69" s="510"/>
      <c r="CQ69" s="511"/>
      <c r="CR69" s="511"/>
      <c r="CS69" s="512"/>
      <c r="CT69" s="519"/>
      <c r="CU69" s="520"/>
      <c r="CV69" s="520"/>
      <c r="CW69" s="521"/>
      <c r="CX69" s="528"/>
      <c r="CY69" s="529"/>
      <c r="CZ69" s="529"/>
      <c r="DA69" s="530"/>
      <c r="DB69" s="510"/>
      <c r="DC69" s="511"/>
      <c r="DD69" s="511"/>
      <c r="DE69" s="512"/>
      <c r="DF69" s="519"/>
      <c r="DG69" s="520"/>
      <c r="DH69" s="520"/>
      <c r="DI69" s="521"/>
      <c r="DJ69" s="528"/>
      <c r="DK69" s="529"/>
      <c r="DL69" s="529"/>
      <c r="DM69" s="530"/>
      <c r="DN69" s="537"/>
      <c r="DO69" s="538"/>
      <c r="DP69" s="538"/>
      <c r="DQ69" s="539"/>
      <c r="DR69" s="519"/>
      <c r="DS69" s="520"/>
      <c r="DT69" s="520"/>
      <c r="DU69" s="521"/>
      <c r="DV69" s="528"/>
      <c r="DW69" s="529"/>
      <c r="DX69" s="529"/>
      <c r="DY69" s="530"/>
      <c r="DZ69" s="537"/>
      <c r="EA69" s="538"/>
      <c r="EB69" s="538"/>
      <c r="EC69" s="539"/>
      <c r="ED69" s="519"/>
      <c r="EE69" s="520"/>
      <c r="EF69" s="520"/>
      <c r="EG69" s="521"/>
      <c r="EH69" s="528"/>
      <c r="EI69" s="529"/>
      <c r="EJ69" s="529"/>
      <c r="EK69" s="530"/>
      <c r="EL69" s="537"/>
      <c r="EM69" s="538"/>
      <c r="EN69" s="538"/>
      <c r="EO69" s="539"/>
      <c r="EP69" s="71"/>
      <c r="EQ69" s="71"/>
      <c r="ER69" s="71"/>
      <c r="ES69" s="71"/>
      <c r="ET69" s="71"/>
      <c r="EU69" s="71"/>
      <c r="EV69" s="71"/>
      <c r="EW69" s="71"/>
      <c r="EX69" s="71"/>
      <c r="EY69" s="71"/>
      <c r="EZ69" s="71"/>
      <c r="FA69" s="71"/>
      <c r="FB69" s="71"/>
      <c r="FC69" s="71"/>
      <c r="FD69" s="71"/>
      <c r="FE69" s="71"/>
      <c r="FF69" s="71"/>
      <c r="FG69" s="71"/>
      <c r="FH69" s="71"/>
      <c r="FI69" s="71"/>
      <c r="FJ69" s="71"/>
      <c r="FK69" s="71"/>
      <c r="FL69" s="71"/>
      <c r="FM69" s="71"/>
      <c r="FN69" s="71"/>
      <c r="FO69" s="71"/>
      <c r="FP69" s="71"/>
      <c r="FQ69" s="71"/>
      <c r="FR69" s="71"/>
      <c r="FS69" s="71"/>
      <c r="FT69" s="71"/>
      <c r="FU69" s="71"/>
      <c r="FV69" s="71"/>
      <c r="FW69" s="71"/>
      <c r="FX69" s="71"/>
      <c r="FY69" s="71"/>
      <c r="FZ69" s="71"/>
      <c r="GA69" s="71"/>
      <c r="GB69" s="314"/>
      <c r="GD69" s="52" t="s">
        <v>643</v>
      </c>
      <c r="GE69" s="76" t="s">
        <v>646</v>
      </c>
      <c r="GF69" s="76" t="s">
        <v>222</v>
      </c>
    </row>
    <row r="70" spans="1:188" ht="13.5" customHeight="1" x14ac:dyDescent="0.25">
      <c r="A70" s="491"/>
      <c r="B70" s="519"/>
      <c r="C70" s="520"/>
      <c r="D70" s="520"/>
      <c r="E70" s="521"/>
      <c r="F70" s="528"/>
      <c r="G70" s="529"/>
      <c r="H70" s="529"/>
      <c r="I70" s="530"/>
      <c r="J70" s="510"/>
      <c r="K70" s="511"/>
      <c r="L70" s="511"/>
      <c r="M70" s="512"/>
      <c r="N70" s="519"/>
      <c r="O70" s="520"/>
      <c r="P70" s="520"/>
      <c r="Q70" s="521"/>
      <c r="R70" s="528"/>
      <c r="S70" s="529"/>
      <c r="T70" s="529"/>
      <c r="U70" s="530"/>
      <c r="V70" s="510"/>
      <c r="W70" s="511"/>
      <c r="X70" s="511"/>
      <c r="Y70" s="512"/>
      <c r="Z70" s="519"/>
      <c r="AA70" s="520"/>
      <c r="AB70" s="520"/>
      <c r="AC70" s="521"/>
      <c r="AD70" s="528"/>
      <c r="AE70" s="529"/>
      <c r="AF70" s="529"/>
      <c r="AG70" s="530"/>
      <c r="AH70" s="510"/>
      <c r="AI70" s="511"/>
      <c r="AJ70" s="511"/>
      <c r="AK70" s="512"/>
      <c r="AL70" s="519"/>
      <c r="AM70" s="520"/>
      <c r="AN70" s="520"/>
      <c r="AO70" s="521"/>
      <c r="AP70" s="528"/>
      <c r="AQ70" s="529"/>
      <c r="AR70" s="529"/>
      <c r="AS70" s="530"/>
      <c r="AT70" s="582"/>
      <c r="AU70" s="583"/>
      <c r="AV70" s="583"/>
      <c r="AW70" s="584"/>
      <c r="AX70" s="519"/>
      <c r="AY70" s="520"/>
      <c r="AZ70" s="520"/>
      <c r="BA70" s="521"/>
      <c r="BB70" s="528"/>
      <c r="BC70" s="529"/>
      <c r="BD70" s="529"/>
      <c r="BE70" s="530"/>
      <c r="BF70" s="537"/>
      <c r="BG70" s="538"/>
      <c r="BH70" s="538"/>
      <c r="BI70" s="539"/>
      <c r="BJ70" s="519"/>
      <c r="BK70" s="520"/>
      <c r="BL70" s="520"/>
      <c r="BM70" s="521"/>
      <c r="BN70" s="528"/>
      <c r="BO70" s="529"/>
      <c r="BP70" s="529"/>
      <c r="BQ70" s="530"/>
      <c r="BR70" s="537"/>
      <c r="BS70" s="538"/>
      <c r="BT70" s="538"/>
      <c r="BU70" s="539"/>
      <c r="BV70" s="519"/>
      <c r="BW70" s="520"/>
      <c r="BX70" s="520"/>
      <c r="BY70" s="521"/>
      <c r="BZ70" s="528"/>
      <c r="CA70" s="529"/>
      <c r="CB70" s="529"/>
      <c r="CC70" s="530"/>
      <c r="CD70" s="510"/>
      <c r="CE70" s="511"/>
      <c r="CF70" s="511"/>
      <c r="CG70" s="512"/>
      <c r="CH70" s="519"/>
      <c r="CI70" s="520"/>
      <c r="CJ70" s="520"/>
      <c r="CK70" s="521"/>
      <c r="CL70" s="528"/>
      <c r="CM70" s="529"/>
      <c r="CN70" s="529"/>
      <c r="CO70" s="530"/>
      <c r="CP70" s="510"/>
      <c r="CQ70" s="511"/>
      <c r="CR70" s="511"/>
      <c r="CS70" s="512"/>
      <c r="CT70" s="519"/>
      <c r="CU70" s="520"/>
      <c r="CV70" s="520"/>
      <c r="CW70" s="521"/>
      <c r="CX70" s="528"/>
      <c r="CY70" s="529"/>
      <c r="CZ70" s="529"/>
      <c r="DA70" s="530"/>
      <c r="DB70" s="510"/>
      <c r="DC70" s="511"/>
      <c r="DD70" s="511"/>
      <c r="DE70" s="512"/>
      <c r="DF70" s="519"/>
      <c r="DG70" s="520"/>
      <c r="DH70" s="520"/>
      <c r="DI70" s="521"/>
      <c r="DJ70" s="528"/>
      <c r="DK70" s="529"/>
      <c r="DL70" s="529"/>
      <c r="DM70" s="530"/>
      <c r="DN70" s="537"/>
      <c r="DO70" s="538"/>
      <c r="DP70" s="538"/>
      <c r="DQ70" s="539"/>
      <c r="DR70" s="519"/>
      <c r="DS70" s="520"/>
      <c r="DT70" s="520"/>
      <c r="DU70" s="521"/>
      <c r="DV70" s="528"/>
      <c r="DW70" s="529"/>
      <c r="DX70" s="529"/>
      <c r="DY70" s="530"/>
      <c r="DZ70" s="537"/>
      <c r="EA70" s="538"/>
      <c r="EB70" s="538"/>
      <c r="EC70" s="539"/>
      <c r="ED70" s="519"/>
      <c r="EE70" s="520"/>
      <c r="EF70" s="520"/>
      <c r="EG70" s="521"/>
      <c r="EH70" s="528"/>
      <c r="EI70" s="529"/>
      <c r="EJ70" s="529"/>
      <c r="EK70" s="530"/>
      <c r="EL70" s="537"/>
      <c r="EM70" s="538"/>
      <c r="EN70" s="538"/>
      <c r="EO70" s="539"/>
      <c r="EP70" s="71"/>
      <c r="EQ70" s="71"/>
      <c r="ER70" s="71"/>
      <c r="ES70" s="71"/>
      <c r="ET70" s="71"/>
      <c r="EU70" s="71"/>
      <c r="EV70" s="71"/>
      <c r="EW70" s="71"/>
      <c r="EX70" s="71"/>
      <c r="EY70" s="71"/>
      <c r="EZ70" s="71"/>
      <c r="FA70" s="71"/>
      <c r="FB70" s="71"/>
      <c r="FC70" s="71"/>
      <c r="FD70" s="71"/>
      <c r="FE70" s="72"/>
      <c r="FF70" s="72"/>
      <c r="FG70" s="72"/>
      <c r="FH70" s="72"/>
      <c r="FI70" s="72"/>
      <c r="FJ70" s="72"/>
      <c r="FK70" s="72"/>
      <c r="FL70" s="72"/>
      <c r="FM70" s="72"/>
      <c r="FN70" s="72"/>
      <c r="FO70" s="72"/>
      <c r="FP70" s="72"/>
      <c r="FQ70" s="72"/>
      <c r="FR70" s="72"/>
      <c r="FS70" s="72"/>
      <c r="FT70" s="72"/>
      <c r="FU70" s="72"/>
      <c r="FV70" s="72"/>
      <c r="FW70" s="72"/>
      <c r="FX70" s="72"/>
      <c r="FY70" s="72"/>
      <c r="FZ70" s="72"/>
      <c r="GA70" s="72"/>
      <c r="GB70" s="249"/>
      <c r="GC70" s="249">
        <v>4</v>
      </c>
      <c r="GD70" s="45" t="s">
        <v>14351</v>
      </c>
      <c r="GE70" s="76" t="str">
        <f>抽選会資料!J11</f>
        <v>ティエラフットボールクラブＵ－１２</v>
      </c>
      <c r="GF70" s="45" t="s">
        <v>7784</v>
      </c>
    </row>
    <row r="71" spans="1:188" ht="13.5" customHeight="1" x14ac:dyDescent="0.25">
      <c r="A71" s="268"/>
      <c r="B71" s="519"/>
      <c r="C71" s="520"/>
      <c r="D71" s="520"/>
      <c r="E71" s="521"/>
      <c r="F71" s="528"/>
      <c r="G71" s="529"/>
      <c r="H71" s="529"/>
      <c r="I71" s="530"/>
      <c r="J71" s="510"/>
      <c r="K71" s="511"/>
      <c r="L71" s="511"/>
      <c r="M71" s="512"/>
      <c r="N71" s="519"/>
      <c r="O71" s="520"/>
      <c r="P71" s="520"/>
      <c r="Q71" s="521"/>
      <c r="R71" s="528"/>
      <c r="S71" s="529"/>
      <c r="T71" s="529"/>
      <c r="U71" s="530"/>
      <c r="V71" s="510"/>
      <c r="W71" s="511"/>
      <c r="X71" s="511"/>
      <c r="Y71" s="512"/>
      <c r="Z71" s="519"/>
      <c r="AA71" s="520"/>
      <c r="AB71" s="520"/>
      <c r="AC71" s="521"/>
      <c r="AD71" s="528"/>
      <c r="AE71" s="529"/>
      <c r="AF71" s="529"/>
      <c r="AG71" s="530"/>
      <c r="AH71" s="510"/>
      <c r="AI71" s="511"/>
      <c r="AJ71" s="511"/>
      <c r="AK71" s="512"/>
      <c r="AL71" s="519"/>
      <c r="AM71" s="520"/>
      <c r="AN71" s="520"/>
      <c r="AO71" s="521"/>
      <c r="AP71" s="528"/>
      <c r="AQ71" s="529"/>
      <c r="AR71" s="529"/>
      <c r="AS71" s="530"/>
      <c r="AT71" s="582"/>
      <c r="AU71" s="583"/>
      <c r="AV71" s="583"/>
      <c r="AW71" s="584"/>
      <c r="AX71" s="519"/>
      <c r="AY71" s="520"/>
      <c r="AZ71" s="520"/>
      <c r="BA71" s="521"/>
      <c r="BB71" s="528"/>
      <c r="BC71" s="529"/>
      <c r="BD71" s="529"/>
      <c r="BE71" s="530"/>
      <c r="BF71" s="537"/>
      <c r="BG71" s="538"/>
      <c r="BH71" s="538"/>
      <c r="BI71" s="539"/>
      <c r="BJ71" s="519"/>
      <c r="BK71" s="520"/>
      <c r="BL71" s="520"/>
      <c r="BM71" s="521"/>
      <c r="BN71" s="528"/>
      <c r="BO71" s="529"/>
      <c r="BP71" s="529"/>
      <c r="BQ71" s="530"/>
      <c r="BR71" s="537"/>
      <c r="BS71" s="538"/>
      <c r="BT71" s="538"/>
      <c r="BU71" s="539"/>
      <c r="BV71" s="519"/>
      <c r="BW71" s="520"/>
      <c r="BX71" s="520"/>
      <c r="BY71" s="521"/>
      <c r="BZ71" s="528"/>
      <c r="CA71" s="529"/>
      <c r="CB71" s="529"/>
      <c r="CC71" s="530"/>
      <c r="CD71" s="510"/>
      <c r="CE71" s="511"/>
      <c r="CF71" s="511"/>
      <c r="CG71" s="512"/>
      <c r="CH71" s="519"/>
      <c r="CI71" s="520"/>
      <c r="CJ71" s="520"/>
      <c r="CK71" s="521"/>
      <c r="CL71" s="528"/>
      <c r="CM71" s="529"/>
      <c r="CN71" s="529"/>
      <c r="CO71" s="530"/>
      <c r="CP71" s="510"/>
      <c r="CQ71" s="511"/>
      <c r="CR71" s="511"/>
      <c r="CS71" s="512"/>
      <c r="CT71" s="519"/>
      <c r="CU71" s="520"/>
      <c r="CV71" s="520"/>
      <c r="CW71" s="521"/>
      <c r="CX71" s="528"/>
      <c r="CY71" s="529"/>
      <c r="CZ71" s="529"/>
      <c r="DA71" s="530"/>
      <c r="DB71" s="510"/>
      <c r="DC71" s="511"/>
      <c r="DD71" s="511"/>
      <c r="DE71" s="512"/>
      <c r="DF71" s="519"/>
      <c r="DG71" s="520"/>
      <c r="DH71" s="520"/>
      <c r="DI71" s="521"/>
      <c r="DJ71" s="528"/>
      <c r="DK71" s="529"/>
      <c r="DL71" s="529"/>
      <c r="DM71" s="530"/>
      <c r="DN71" s="537"/>
      <c r="DO71" s="538"/>
      <c r="DP71" s="538"/>
      <c r="DQ71" s="539"/>
      <c r="DR71" s="519"/>
      <c r="DS71" s="520"/>
      <c r="DT71" s="520"/>
      <c r="DU71" s="521"/>
      <c r="DV71" s="528"/>
      <c r="DW71" s="529"/>
      <c r="DX71" s="529"/>
      <c r="DY71" s="530"/>
      <c r="DZ71" s="537"/>
      <c r="EA71" s="538"/>
      <c r="EB71" s="538"/>
      <c r="EC71" s="539"/>
      <c r="ED71" s="519"/>
      <c r="EE71" s="520"/>
      <c r="EF71" s="520"/>
      <c r="EG71" s="521"/>
      <c r="EH71" s="528"/>
      <c r="EI71" s="529"/>
      <c r="EJ71" s="529"/>
      <c r="EK71" s="530"/>
      <c r="EL71" s="537"/>
      <c r="EM71" s="538"/>
      <c r="EN71" s="538"/>
      <c r="EO71" s="539"/>
      <c r="EP71" s="71"/>
      <c r="EQ71" s="71"/>
      <c r="ER71" s="71"/>
      <c r="ES71" s="71"/>
      <c r="ET71" s="71"/>
      <c r="EU71" s="71"/>
      <c r="EV71" s="71"/>
      <c r="EW71" s="71"/>
      <c r="EX71" s="71"/>
      <c r="EY71" s="71"/>
      <c r="EZ71" s="71"/>
      <c r="FA71" s="71"/>
      <c r="FB71" s="71"/>
      <c r="FC71" s="71"/>
      <c r="FD71" s="71"/>
      <c r="FE71" s="72"/>
      <c r="FF71" s="72"/>
      <c r="FG71" s="72"/>
      <c r="FH71" s="72"/>
      <c r="FI71" s="72"/>
      <c r="FJ71" s="72"/>
      <c r="FK71" s="72"/>
      <c r="FL71" s="72"/>
      <c r="FM71" s="72"/>
      <c r="FN71" s="72"/>
      <c r="FO71" s="72"/>
      <c r="FP71" s="72"/>
      <c r="FQ71" s="72"/>
      <c r="FR71" s="72"/>
      <c r="FS71" s="72"/>
      <c r="FT71" s="72"/>
      <c r="FU71" s="72"/>
      <c r="FV71" s="72"/>
      <c r="FW71" s="72"/>
      <c r="FX71" s="72"/>
      <c r="FY71" s="72"/>
      <c r="FZ71" s="72"/>
      <c r="GA71" s="72"/>
      <c r="GB71" s="249"/>
      <c r="GC71" s="249">
        <v>5</v>
      </c>
      <c r="GD71" s="45" t="s">
        <v>14352</v>
      </c>
      <c r="GE71" s="76" t="str">
        <f>抽選会資料!J12</f>
        <v>鶴居ＳＳＳ</v>
      </c>
      <c r="GF71" s="45" t="s">
        <v>7784</v>
      </c>
    </row>
    <row r="72" spans="1:188" ht="13.5" customHeight="1" x14ac:dyDescent="0.25">
      <c r="A72" s="268"/>
      <c r="B72" s="519"/>
      <c r="C72" s="520"/>
      <c r="D72" s="520"/>
      <c r="E72" s="521"/>
      <c r="F72" s="528"/>
      <c r="G72" s="529"/>
      <c r="H72" s="529"/>
      <c r="I72" s="530"/>
      <c r="J72" s="510"/>
      <c r="K72" s="511"/>
      <c r="L72" s="511"/>
      <c r="M72" s="512"/>
      <c r="N72" s="519"/>
      <c r="O72" s="520"/>
      <c r="P72" s="520"/>
      <c r="Q72" s="521"/>
      <c r="R72" s="528"/>
      <c r="S72" s="529"/>
      <c r="T72" s="529"/>
      <c r="U72" s="530"/>
      <c r="V72" s="510"/>
      <c r="W72" s="511"/>
      <c r="X72" s="511"/>
      <c r="Y72" s="512"/>
      <c r="Z72" s="519"/>
      <c r="AA72" s="520"/>
      <c r="AB72" s="520"/>
      <c r="AC72" s="521"/>
      <c r="AD72" s="528"/>
      <c r="AE72" s="529"/>
      <c r="AF72" s="529"/>
      <c r="AG72" s="530"/>
      <c r="AH72" s="510"/>
      <c r="AI72" s="511"/>
      <c r="AJ72" s="511"/>
      <c r="AK72" s="512"/>
      <c r="AL72" s="519"/>
      <c r="AM72" s="520"/>
      <c r="AN72" s="520"/>
      <c r="AO72" s="521"/>
      <c r="AP72" s="528"/>
      <c r="AQ72" s="529"/>
      <c r="AR72" s="529"/>
      <c r="AS72" s="530"/>
      <c r="AT72" s="582"/>
      <c r="AU72" s="583"/>
      <c r="AV72" s="583"/>
      <c r="AW72" s="584"/>
      <c r="AX72" s="519"/>
      <c r="AY72" s="520"/>
      <c r="AZ72" s="520"/>
      <c r="BA72" s="521"/>
      <c r="BB72" s="528"/>
      <c r="BC72" s="529"/>
      <c r="BD72" s="529"/>
      <c r="BE72" s="530"/>
      <c r="BF72" s="537"/>
      <c r="BG72" s="538"/>
      <c r="BH72" s="538"/>
      <c r="BI72" s="539"/>
      <c r="BJ72" s="519"/>
      <c r="BK72" s="520"/>
      <c r="BL72" s="520"/>
      <c r="BM72" s="521"/>
      <c r="BN72" s="528"/>
      <c r="BO72" s="529"/>
      <c r="BP72" s="529"/>
      <c r="BQ72" s="530"/>
      <c r="BR72" s="537"/>
      <c r="BS72" s="538"/>
      <c r="BT72" s="538"/>
      <c r="BU72" s="539"/>
      <c r="BV72" s="519"/>
      <c r="BW72" s="520"/>
      <c r="BX72" s="520"/>
      <c r="BY72" s="521"/>
      <c r="BZ72" s="528"/>
      <c r="CA72" s="529"/>
      <c r="CB72" s="529"/>
      <c r="CC72" s="530"/>
      <c r="CD72" s="510"/>
      <c r="CE72" s="511"/>
      <c r="CF72" s="511"/>
      <c r="CG72" s="512"/>
      <c r="CH72" s="519"/>
      <c r="CI72" s="520"/>
      <c r="CJ72" s="520"/>
      <c r="CK72" s="521"/>
      <c r="CL72" s="528"/>
      <c r="CM72" s="529"/>
      <c r="CN72" s="529"/>
      <c r="CO72" s="530"/>
      <c r="CP72" s="510"/>
      <c r="CQ72" s="511"/>
      <c r="CR72" s="511"/>
      <c r="CS72" s="512"/>
      <c r="CT72" s="519"/>
      <c r="CU72" s="520"/>
      <c r="CV72" s="520"/>
      <c r="CW72" s="521"/>
      <c r="CX72" s="528"/>
      <c r="CY72" s="529"/>
      <c r="CZ72" s="529"/>
      <c r="DA72" s="530"/>
      <c r="DB72" s="510"/>
      <c r="DC72" s="511"/>
      <c r="DD72" s="511"/>
      <c r="DE72" s="512"/>
      <c r="DF72" s="519"/>
      <c r="DG72" s="520"/>
      <c r="DH72" s="520"/>
      <c r="DI72" s="521"/>
      <c r="DJ72" s="528"/>
      <c r="DK72" s="529"/>
      <c r="DL72" s="529"/>
      <c r="DM72" s="530"/>
      <c r="DN72" s="537"/>
      <c r="DO72" s="538"/>
      <c r="DP72" s="538"/>
      <c r="DQ72" s="539"/>
      <c r="DR72" s="519"/>
      <c r="DS72" s="520"/>
      <c r="DT72" s="520"/>
      <c r="DU72" s="521"/>
      <c r="DV72" s="528"/>
      <c r="DW72" s="529"/>
      <c r="DX72" s="529"/>
      <c r="DY72" s="530"/>
      <c r="DZ72" s="537"/>
      <c r="EA72" s="538"/>
      <c r="EB72" s="538"/>
      <c r="EC72" s="539"/>
      <c r="ED72" s="519"/>
      <c r="EE72" s="520"/>
      <c r="EF72" s="520"/>
      <c r="EG72" s="521"/>
      <c r="EH72" s="528"/>
      <c r="EI72" s="529"/>
      <c r="EJ72" s="529"/>
      <c r="EK72" s="530"/>
      <c r="EL72" s="537"/>
      <c r="EM72" s="538"/>
      <c r="EN72" s="538"/>
      <c r="EO72" s="539"/>
      <c r="EP72" s="71"/>
      <c r="EQ72" s="71"/>
      <c r="ER72" s="71"/>
      <c r="ES72" s="71"/>
      <c r="ET72" s="71"/>
      <c r="EU72" s="71"/>
      <c r="EV72" s="71"/>
      <c r="EW72" s="71"/>
      <c r="EX72" s="71"/>
      <c r="EY72" s="71"/>
      <c r="EZ72" s="71"/>
      <c r="FA72" s="71"/>
      <c r="FB72" s="71"/>
      <c r="FC72" s="71"/>
      <c r="FD72" s="71"/>
      <c r="FE72" s="72"/>
      <c r="FF72" s="72"/>
      <c r="FG72" s="72"/>
      <c r="FH72" s="72"/>
      <c r="FI72" s="72"/>
      <c r="FJ72" s="72"/>
      <c r="FK72" s="72"/>
      <c r="FL72" s="72"/>
      <c r="FM72" s="72"/>
      <c r="FN72" s="72"/>
      <c r="FO72" s="72"/>
      <c r="FP72" s="72"/>
      <c r="FQ72" s="72"/>
      <c r="FR72" s="72"/>
      <c r="FS72" s="72"/>
      <c r="FT72" s="72"/>
      <c r="FU72" s="72"/>
      <c r="FV72" s="72"/>
      <c r="FW72" s="72"/>
      <c r="FX72" s="72"/>
      <c r="FY72" s="72"/>
      <c r="FZ72" s="72"/>
      <c r="GA72" s="72"/>
      <c r="GB72" s="249"/>
      <c r="GC72" s="249">
        <v>15</v>
      </c>
      <c r="GD72" s="45" t="s">
        <v>14363</v>
      </c>
      <c r="GE72" s="76" t="str">
        <f>抽選会資料!J13</f>
        <v>ＦＣ　ＪＵＮＩＯＲＳ</v>
      </c>
      <c r="GF72" s="45" t="s">
        <v>7784</v>
      </c>
    </row>
    <row r="73" spans="1:188" ht="13.5" customHeight="1" x14ac:dyDescent="0.25">
      <c r="A73" s="268"/>
      <c r="B73" s="519"/>
      <c r="C73" s="520"/>
      <c r="D73" s="520"/>
      <c r="E73" s="521"/>
      <c r="F73" s="528"/>
      <c r="G73" s="529"/>
      <c r="H73" s="529"/>
      <c r="I73" s="530"/>
      <c r="J73" s="510"/>
      <c r="K73" s="511"/>
      <c r="L73" s="511"/>
      <c r="M73" s="512"/>
      <c r="N73" s="519"/>
      <c r="O73" s="520"/>
      <c r="P73" s="520"/>
      <c r="Q73" s="521"/>
      <c r="R73" s="528"/>
      <c r="S73" s="529"/>
      <c r="T73" s="529"/>
      <c r="U73" s="530"/>
      <c r="V73" s="510"/>
      <c r="W73" s="511"/>
      <c r="X73" s="511"/>
      <c r="Y73" s="512"/>
      <c r="Z73" s="519"/>
      <c r="AA73" s="520"/>
      <c r="AB73" s="520"/>
      <c r="AC73" s="521"/>
      <c r="AD73" s="528"/>
      <c r="AE73" s="529"/>
      <c r="AF73" s="529"/>
      <c r="AG73" s="530"/>
      <c r="AH73" s="510"/>
      <c r="AI73" s="511"/>
      <c r="AJ73" s="511"/>
      <c r="AK73" s="512"/>
      <c r="AL73" s="519"/>
      <c r="AM73" s="520"/>
      <c r="AN73" s="520"/>
      <c r="AO73" s="521"/>
      <c r="AP73" s="528"/>
      <c r="AQ73" s="529"/>
      <c r="AR73" s="529"/>
      <c r="AS73" s="530"/>
      <c r="AT73" s="582"/>
      <c r="AU73" s="583"/>
      <c r="AV73" s="583"/>
      <c r="AW73" s="584"/>
      <c r="AX73" s="519"/>
      <c r="AY73" s="520"/>
      <c r="AZ73" s="520"/>
      <c r="BA73" s="521"/>
      <c r="BB73" s="528"/>
      <c r="BC73" s="529"/>
      <c r="BD73" s="529"/>
      <c r="BE73" s="530"/>
      <c r="BF73" s="537"/>
      <c r="BG73" s="538"/>
      <c r="BH73" s="538"/>
      <c r="BI73" s="539"/>
      <c r="BJ73" s="519"/>
      <c r="BK73" s="520"/>
      <c r="BL73" s="520"/>
      <c r="BM73" s="521"/>
      <c r="BN73" s="528"/>
      <c r="BO73" s="529"/>
      <c r="BP73" s="529"/>
      <c r="BQ73" s="530"/>
      <c r="BR73" s="537"/>
      <c r="BS73" s="538"/>
      <c r="BT73" s="538"/>
      <c r="BU73" s="539"/>
      <c r="BV73" s="519"/>
      <c r="BW73" s="520"/>
      <c r="BX73" s="520"/>
      <c r="BY73" s="521"/>
      <c r="BZ73" s="528"/>
      <c r="CA73" s="529"/>
      <c r="CB73" s="529"/>
      <c r="CC73" s="530"/>
      <c r="CD73" s="510"/>
      <c r="CE73" s="511"/>
      <c r="CF73" s="511"/>
      <c r="CG73" s="512"/>
      <c r="CH73" s="519"/>
      <c r="CI73" s="520"/>
      <c r="CJ73" s="520"/>
      <c r="CK73" s="521"/>
      <c r="CL73" s="528"/>
      <c r="CM73" s="529"/>
      <c r="CN73" s="529"/>
      <c r="CO73" s="530"/>
      <c r="CP73" s="510"/>
      <c r="CQ73" s="511"/>
      <c r="CR73" s="511"/>
      <c r="CS73" s="512"/>
      <c r="CT73" s="519"/>
      <c r="CU73" s="520"/>
      <c r="CV73" s="520"/>
      <c r="CW73" s="521"/>
      <c r="CX73" s="528"/>
      <c r="CY73" s="529"/>
      <c r="CZ73" s="529"/>
      <c r="DA73" s="530"/>
      <c r="DB73" s="510"/>
      <c r="DC73" s="511"/>
      <c r="DD73" s="511"/>
      <c r="DE73" s="512"/>
      <c r="DF73" s="519"/>
      <c r="DG73" s="520"/>
      <c r="DH73" s="520"/>
      <c r="DI73" s="521"/>
      <c r="DJ73" s="528"/>
      <c r="DK73" s="529"/>
      <c r="DL73" s="529"/>
      <c r="DM73" s="530"/>
      <c r="DN73" s="537"/>
      <c r="DO73" s="538"/>
      <c r="DP73" s="538"/>
      <c r="DQ73" s="539"/>
      <c r="DR73" s="519"/>
      <c r="DS73" s="520"/>
      <c r="DT73" s="520"/>
      <c r="DU73" s="521"/>
      <c r="DV73" s="528"/>
      <c r="DW73" s="529"/>
      <c r="DX73" s="529"/>
      <c r="DY73" s="530"/>
      <c r="DZ73" s="537"/>
      <c r="EA73" s="538"/>
      <c r="EB73" s="538"/>
      <c r="EC73" s="539"/>
      <c r="ED73" s="519"/>
      <c r="EE73" s="520"/>
      <c r="EF73" s="520"/>
      <c r="EG73" s="521"/>
      <c r="EH73" s="528"/>
      <c r="EI73" s="529"/>
      <c r="EJ73" s="529"/>
      <c r="EK73" s="530"/>
      <c r="EL73" s="537"/>
      <c r="EM73" s="538"/>
      <c r="EN73" s="538"/>
      <c r="EO73" s="539"/>
      <c r="EP73" s="71"/>
      <c r="EQ73" s="71"/>
      <c r="ER73" s="71"/>
      <c r="ES73" s="71"/>
      <c r="ET73" s="71"/>
      <c r="EU73" s="71"/>
      <c r="EV73" s="71"/>
      <c r="EW73" s="71"/>
      <c r="EX73" s="71"/>
      <c r="EY73" s="71"/>
      <c r="EZ73" s="71"/>
      <c r="FA73" s="71"/>
      <c r="FB73" s="71"/>
      <c r="FC73" s="71"/>
      <c r="FD73" s="71"/>
      <c r="FE73" s="72"/>
      <c r="FF73" s="72"/>
      <c r="FG73" s="72"/>
      <c r="FH73" s="72"/>
      <c r="FI73" s="72"/>
      <c r="FJ73" s="72"/>
      <c r="FK73" s="72"/>
      <c r="FL73" s="72"/>
      <c r="FM73" s="72"/>
      <c r="FN73" s="72"/>
      <c r="FO73" s="72"/>
      <c r="FP73" s="72"/>
      <c r="FQ73" s="72"/>
      <c r="FR73" s="72"/>
      <c r="FS73" s="72"/>
      <c r="FT73" s="72"/>
      <c r="FU73" s="72"/>
      <c r="FV73" s="72"/>
      <c r="FW73" s="72"/>
      <c r="FX73" s="72"/>
      <c r="FY73" s="72"/>
      <c r="FZ73" s="72"/>
      <c r="GA73" s="72"/>
      <c r="GB73" s="249"/>
      <c r="GC73" s="249">
        <v>16</v>
      </c>
      <c r="GD73" s="45" t="s">
        <v>14364</v>
      </c>
      <c r="GE73" s="76" t="str">
        <f>抽選会資料!J14</f>
        <v>はやぶさフットボールクラブ</v>
      </c>
      <c r="GF73" s="45" t="s">
        <v>7784</v>
      </c>
    </row>
    <row r="74" spans="1:188" ht="13.5" customHeight="1" x14ac:dyDescent="0.25">
      <c r="A74" s="268"/>
      <c r="B74" s="519"/>
      <c r="C74" s="520"/>
      <c r="D74" s="520"/>
      <c r="E74" s="521"/>
      <c r="F74" s="528"/>
      <c r="G74" s="529"/>
      <c r="H74" s="529"/>
      <c r="I74" s="530"/>
      <c r="J74" s="510"/>
      <c r="K74" s="511"/>
      <c r="L74" s="511"/>
      <c r="M74" s="512"/>
      <c r="N74" s="519"/>
      <c r="O74" s="520"/>
      <c r="P74" s="520"/>
      <c r="Q74" s="521"/>
      <c r="R74" s="528"/>
      <c r="S74" s="529"/>
      <c r="T74" s="529"/>
      <c r="U74" s="530"/>
      <c r="V74" s="510"/>
      <c r="W74" s="511"/>
      <c r="X74" s="511"/>
      <c r="Y74" s="512"/>
      <c r="Z74" s="519"/>
      <c r="AA74" s="520"/>
      <c r="AB74" s="520"/>
      <c r="AC74" s="521"/>
      <c r="AD74" s="528"/>
      <c r="AE74" s="529"/>
      <c r="AF74" s="529"/>
      <c r="AG74" s="530"/>
      <c r="AH74" s="510"/>
      <c r="AI74" s="511"/>
      <c r="AJ74" s="511"/>
      <c r="AK74" s="512"/>
      <c r="AL74" s="519"/>
      <c r="AM74" s="520"/>
      <c r="AN74" s="520"/>
      <c r="AO74" s="521"/>
      <c r="AP74" s="528"/>
      <c r="AQ74" s="529"/>
      <c r="AR74" s="529"/>
      <c r="AS74" s="530"/>
      <c r="AT74" s="582"/>
      <c r="AU74" s="583"/>
      <c r="AV74" s="583"/>
      <c r="AW74" s="584"/>
      <c r="AX74" s="519"/>
      <c r="AY74" s="520"/>
      <c r="AZ74" s="520"/>
      <c r="BA74" s="521"/>
      <c r="BB74" s="528"/>
      <c r="BC74" s="529"/>
      <c r="BD74" s="529"/>
      <c r="BE74" s="530"/>
      <c r="BF74" s="537"/>
      <c r="BG74" s="538"/>
      <c r="BH74" s="538"/>
      <c r="BI74" s="539"/>
      <c r="BJ74" s="519"/>
      <c r="BK74" s="520"/>
      <c r="BL74" s="520"/>
      <c r="BM74" s="521"/>
      <c r="BN74" s="528"/>
      <c r="BO74" s="529"/>
      <c r="BP74" s="529"/>
      <c r="BQ74" s="530"/>
      <c r="BR74" s="537"/>
      <c r="BS74" s="538"/>
      <c r="BT74" s="538"/>
      <c r="BU74" s="539"/>
      <c r="BV74" s="519"/>
      <c r="BW74" s="520"/>
      <c r="BX74" s="520"/>
      <c r="BY74" s="521"/>
      <c r="BZ74" s="528"/>
      <c r="CA74" s="529"/>
      <c r="CB74" s="529"/>
      <c r="CC74" s="530"/>
      <c r="CD74" s="510"/>
      <c r="CE74" s="511"/>
      <c r="CF74" s="511"/>
      <c r="CG74" s="512"/>
      <c r="CH74" s="519"/>
      <c r="CI74" s="520"/>
      <c r="CJ74" s="520"/>
      <c r="CK74" s="521"/>
      <c r="CL74" s="528"/>
      <c r="CM74" s="529"/>
      <c r="CN74" s="529"/>
      <c r="CO74" s="530"/>
      <c r="CP74" s="510"/>
      <c r="CQ74" s="511"/>
      <c r="CR74" s="511"/>
      <c r="CS74" s="512"/>
      <c r="CT74" s="519"/>
      <c r="CU74" s="520"/>
      <c r="CV74" s="520"/>
      <c r="CW74" s="521"/>
      <c r="CX74" s="528"/>
      <c r="CY74" s="529"/>
      <c r="CZ74" s="529"/>
      <c r="DA74" s="530"/>
      <c r="DB74" s="510"/>
      <c r="DC74" s="511"/>
      <c r="DD74" s="511"/>
      <c r="DE74" s="512"/>
      <c r="DF74" s="519"/>
      <c r="DG74" s="520"/>
      <c r="DH74" s="520"/>
      <c r="DI74" s="521"/>
      <c r="DJ74" s="528"/>
      <c r="DK74" s="529"/>
      <c r="DL74" s="529"/>
      <c r="DM74" s="530"/>
      <c r="DN74" s="537"/>
      <c r="DO74" s="538"/>
      <c r="DP74" s="538"/>
      <c r="DQ74" s="539"/>
      <c r="DR74" s="519"/>
      <c r="DS74" s="520"/>
      <c r="DT74" s="520"/>
      <c r="DU74" s="521"/>
      <c r="DV74" s="528"/>
      <c r="DW74" s="529"/>
      <c r="DX74" s="529"/>
      <c r="DY74" s="530"/>
      <c r="DZ74" s="537"/>
      <c r="EA74" s="538"/>
      <c r="EB74" s="538"/>
      <c r="EC74" s="539"/>
      <c r="ED74" s="519"/>
      <c r="EE74" s="520"/>
      <c r="EF74" s="520"/>
      <c r="EG74" s="521"/>
      <c r="EH74" s="528"/>
      <c r="EI74" s="529"/>
      <c r="EJ74" s="529"/>
      <c r="EK74" s="530"/>
      <c r="EL74" s="537"/>
      <c r="EM74" s="538"/>
      <c r="EN74" s="538"/>
      <c r="EO74" s="539"/>
      <c r="EP74" s="71"/>
      <c r="EQ74" s="71"/>
      <c r="ER74" s="71"/>
      <c r="ES74" s="71"/>
      <c r="ET74" s="71"/>
      <c r="EU74" s="71"/>
      <c r="EV74" s="71"/>
      <c r="EW74" s="71"/>
      <c r="EX74" s="71"/>
      <c r="EY74" s="71"/>
      <c r="EZ74" s="71"/>
      <c r="FA74" s="71"/>
      <c r="FB74" s="71"/>
      <c r="FC74" s="71"/>
      <c r="FD74" s="71"/>
      <c r="FE74" s="72"/>
      <c r="FF74" s="72"/>
      <c r="FG74" s="72"/>
      <c r="FH74" s="72"/>
      <c r="FI74" s="72"/>
      <c r="FJ74" s="72"/>
      <c r="FK74" s="72"/>
      <c r="FL74" s="72"/>
      <c r="FM74" s="72"/>
      <c r="FN74" s="72"/>
      <c r="FO74" s="72"/>
      <c r="FP74" s="72"/>
      <c r="FQ74" s="72"/>
      <c r="FR74" s="72"/>
      <c r="FS74" s="72"/>
      <c r="FT74" s="72"/>
      <c r="FU74" s="72"/>
      <c r="FV74" s="72"/>
      <c r="FW74" s="72"/>
      <c r="FX74" s="72"/>
      <c r="FY74" s="72"/>
      <c r="FZ74" s="72"/>
      <c r="GA74" s="72"/>
      <c r="GB74" s="249"/>
      <c r="GC74" s="249">
        <v>6</v>
      </c>
      <c r="GD74" s="45" t="s">
        <v>14353</v>
      </c>
      <c r="GE74" s="76" t="str">
        <f>抽選会資料!J15</f>
        <v>ＦＣアリアーレ</v>
      </c>
      <c r="GF74" s="45" t="s">
        <v>7766</v>
      </c>
    </row>
    <row r="75" spans="1:188" ht="13.5" customHeight="1" x14ac:dyDescent="0.25">
      <c r="A75" s="268"/>
      <c r="B75" s="519"/>
      <c r="C75" s="520"/>
      <c r="D75" s="520"/>
      <c r="E75" s="521"/>
      <c r="F75" s="528"/>
      <c r="G75" s="529"/>
      <c r="H75" s="529"/>
      <c r="I75" s="530"/>
      <c r="J75" s="510"/>
      <c r="K75" s="511"/>
      <c r="L75" s="511"/>
      <c r="M75" s="512"/>
      <c r="N75" s="519"/>
      <c r="O75" s="520"/>
      <c r="P75" s="520"/>
      <c r="Q75" s="521"/>
      <c r="R75" s="528"/>
      <c r="S75" s="529"/>
      <c r="T75" s="529"/>
      <c r="U75" s="530"/>
      <c r="V75" s="510"/>
      <c r="W75" s="511"/>
      <c r="X75" s="511"/>
      <c r="Y75" s="512"/>
      <c r="Z75" s="519"/>
      <c r="AA75" s="520"/>
      <c r="AB75" s="520"/>
      <c r="AC75" s="521"/>
      <c r="AD75" s="528"/>
      <c r="AE75" s="529"/>
      <c r="AF75" s="529"/>
      <c r="AG75" s="530"/>
      <c r="AH75" s="510"/>
      <c r="AI75" s="511"/>
      <c r="AJ75" s="511"/>
      <c r="AK75" s="512"/>
      <c r="AL75" s="519"/>
      <c r="AM75" s="520"/>
      <c r="AN75" s="520"/>
      <c r="AO75" s="521"/>
      <c r="AP75" s="528"/>
      <c r="AQ75" s="529"/>
      <c r="AR75" s="529"/>
      <c r="AS75" s="530"/>
      <c r="AT75" s="582"/>
      <c r="AU75" s="583"/>
      <c r="AV75" s="583"/>
      <c r="AW75" s="584"/>
      <c r="AX75" s="519"/>
      <c r="AY75" s="520"/>
      <c r="AZ75" s="520"/>
      <c r="BA75" s="521"/>
      <c r="BB75" s="528"/>
      <c r="BC75" s="529"/>
      <c r="BD75" s="529"/>
      <c r="BE75" s="530"/>
      <c r="BF75" s="537"/>
      <c r="BG75" s="538"/>
      <c r="BH75" s="538"/>
      <c r="BI75" s="539"/>
      <c r="BJ75" s="519"/>
      <c r="BK75" s="520"/>
      <c r="BL75" s="520"/>
      <c r="BM75" s="521"/>
      <c r="BN75" s="528"/>
      <c r="BO75" s="529"/>
      <c r="BP75" s="529"/>
      <c r="BQ75" s="530"/>
      <c r="BR75" s="537"/>
      <c r="BS75" s="538"/>
      <c r="BT75" s="538"/>
      <c r="BU75" s="539"/>
      <c r="BV75" s="519"/>
      <c r="BW75" s="520"/>
      <c r="BX75" s="520"/>
      <c r="BY75" s="521"/>
      <c r="BZ75" s="528"/>
      <c r="CA75" s="529"/>
      <c r="CB75" s="529"/>
      <c r="CC75" s="530"/>
      <c r="CD75" s="510"/>
      <c r="CE75" s="511"/>
      <c r="CF75" s="511"/>
      <c r="CG75" s="512"/>
      <c r="CH75" s="519"/>
      <c r="CI75" s="520"/>
      <c r="CJ75" s="520"/>
      <c r="CK75" s="521"/>
      <c r="CL75" s="528"/>
      <c r="CM75" s="529"/>
      <c r="CN75" s="529"/>
      <c r="CO75" s="530"/>
      <c r="CP75" s="510"/>
      <c r="CQ75" s="511"/>
      <c r="CR75" s="511"/>
      <c r="CS75" s="512"/>
      <c r="CT75" s="519"/>
      <c r="CU75" s="520"/>
      <c r="CV75" s="520"/>
      <c r="CW75" s="521"/>
      <c r="CX75" s="528"/>
      <c r="CY75" s="529"/>
      <c r="CZ75" s="529"/>
      <c r="DA75" s="530"/>
      <c r="DB75" s="510"/>
      <c r="DC75" s="511"/>
      <c r="DD75" s="511"/>
      <c r="DE75" s="512"/>
      <c r="DF75" s="519"/>
      <c r="DG75" s="520"/>
      <c r="DH75" s="520"/>
      <c r="DI75" s="521"/>
      <c r="DJ75" s="528"/>
      <c r="DK75" s="529"/>
      <c r="DL75" s="529"/>
      <c r="DM75" s="530"/>
      <c r="DN75" s="537"/>
      <c r="DO75" s="538"/>
      <c r="DP75" s="538"/>
      <c r="DQ75" s="539"/>
      <c r="DR75" s="519"/>
      <c r="DS75" s="520"/>
      <c r="DT75" s="520"/>
      <c r="DU75" s="521"/>
      <c r="DV75" s="528"/>
      <c r="DW75" s="529"/>
      <c r="DX75" s="529"/>
      <c r="DY75" s="530"/>
      <c r="DZ75" s="537"/>
      <c r="EA75" s="538"/>
      <c r="EB75" s="538"/>
      <c r="EC75" s="539"/>
      <c r="ED75" s="519"/>
      <c r="EE75" s="520"/>
      <c r="EF75" s="520"/>
      <c r="EG75" s="521"/>
      <c r="EH75" s="528"/>
      <c r="EI75" s="529"/>
      <c r="EJ75" s="529"/>
      <c r="EK75" s="530"/>
      <c r="EL75" s="537"/>
      <c r="EM75" s="538"/>
      <c r="EN75" s="538"/>
      <c r="EO75" s="539"/>
      <c r="EP75" s="71"/>
      <c r="EQ75" s="71"/>
      <c r="ER75" s="71"/>
      <c r="ES75" s="71"/>
      <c r="ET75" s="71"/>
      <c r="EU75" s="71"/>
      <c r="EV75" s="72"/>
      <c r="EW75" s="72"/>
      <c r="EX75" s="72"/>
      <c r="EY75" s="72"/>
      <c r="EZ75" s="72"/>
      <c r="FA75" s="72"/>
      <c r="FB75" s="72"/>
      <c r="FC75" s="72"/>
      <c r="FD75" s="72"/>
      <c r="FE75" s="72"/>
      <c r="FF75" s="72"/>
      <c r="FG75" s="72"/>
      <c r="FH75" s="72"/>
      <c r="FI75" s="72"/>
      <c r="FJ75" s="72"/>
      <c r="FK75" s="72"/>
      <c r="FL75" s="72"/>
      <c r="FM75" s="72"/>
      <c r="FN75" s="72"/>
      <c r="FO75" s="72"/>
      <c r="FP75" s="72"/>
      <c r="FQ75" s="72"/>
      <c r="FR75" s="72"/>
      <c r="FS75" s="72"/>
      <c r="FT75" s="72"/>
      <c r="FU75" s="72"/>
      <c r="FV75" s="72"/>
      <c r="FW75" s="72"/>
      <c r="FX75" s="72"/>
      <c r="FY75" s="72"/>
      <c r="FZ75" s="72"/>
      <c r="GA75" s="72"/>
      <c r="GB75" s="249"/>
      <c r="GC75" s="249">
        <v>7</v>
      </c>
      <c r="GD75" s="45" t="s">
        <v>14354</v>
      </c>
      <c r="GE75" s="76" t="str">
        <f>抽選会資料!J16</f>
        <v>玖珠サッカースポーツ少年団</v>
      </c>
      <c r="GF75" s="45" t="s">
        <v>7766</v>
      </c>
    </row>
    <row r="76" spans="1:188" ht="13.5" customHeight="1" x14ac:dyDescent="0.25">
      <c r="A76" s="268"/>
      <c r="B76" s="519"/>
      <c r="C76" s="520"/>
      <c r="D76" s="520"/>
      <c r="E76" s="521"/>
      <c r="F76" s="528"/>
      <c r="G76" s="529"/>
      <c r="H76" s="529"/>
      <c r="I76" s="530"/>
      <c r="J76" s="510"/>
      <c r="K76" s="511"/>
      <c r="L76" s="511"/>
      <c r="M76" s="512"/>
      <c r="N76" s="519"/>
      <c r="O76" s="520"/>
      <c r="P76" s="520"/>
      <c r="Q76" s="521"/>
      <c r="R76" s="528"/>
      <c r="S76" s="529"/>
      <c r="T76" s="529"/>
      <c r="U76" s="530"/>
      <c r="V76" s="510"/>
      <c r="W76" s="511"/>
      <c r="X76" s="511"/>
      <c r="Y76" s="512"/>
      <c r="Z76" s="519"/>
      <c r="AA76" s="520"/>
      <c r="AB76" s="520"/>
      <c r="AC76" s="521"/>
      <c r="AD76" s="528"/>
      <c r="AE76" s="529"/>
      <c r="AF76" s="529"/>
      <c r="AG76" s="530"/>
      <c r="AH76" s="510"/>
      <c r="AI76" s="511"/>
      <c r="AJ76" s="511"/>
      <c r="AK76" s="512"/>
      <c r="AL76" s="519"/>
      <c r="AM76" s="520"/>
      <c r="AN76" s="520"/>
      <c r="AO76" s="521"/>
      <c r="AP76" s="528"/>
      <c r="AQ76" s="529"/>
      <c r="AR76" s="529"/>
      <c r="AS76" s="530"/>
      <c r="AT76" s="582"/>
      <c r="AU76" s="583"/>
      <c r="AV76" s="583"/>
      <c r="AW76" s="584"/>
      <c r="AX76" s="519"/>
      <c r="AY76" s="520"/>
      <c r="AZ76" s="520"/>
      <c r="BA76" s="521"/>
      <c r="BB76" s="528"/>
      <c r="BC76" s="529"/>
      <c r="BD76" s="529"/>
      <c r="BE76" s="530"/>
      <c r="BF76" s="537"/>
      <c r="BG76" s="538"/>
      <c r="BH76" s="538"/>
      <c r="BI76" s="539"/>
      <c r="BJ76" s="519"/>
      <c r="BK76" s="520"/>
      <c r="BL76" s="520"/>
      <c r="BM76" s="521"/>
      <c r="BN76" s="528"/>
      <c r="BO76" s="529"/>
      <c r="BP76" s="529"/>
      <c r="BQ76" s="530"/>
      <c r="BR76" s="537"/>
      <c r="BS76" s="538"/>
      <c r="BT76" s="538"/>
      <c r="BU76" s="539"/>
      <c r="BV76" s="519"/>
      <c r="BW76" s="520"/>
      <c r="BX76" s="520"/>
      <c r="BY76" s="521"/>
      <c r="BZ76" s="528"/>
      <c r="CA76" s="529"/>
      <c r="CB76" s="529"/>
      <c r="CC76" s="530"/>
      <c r="CD76" s="510"/>
      <c r="CE76" s="511"/>
      <c r="CF76" s="511"/>
      <c r="CG76" s="512"/>
      <c r="CH76" s="519"/>
      <c r="CI76" s="520"/>
      <c r="CJ76" s="520"/>
      <c r="CK76" s="521"/>
      <c r="CL76" s="528"/>
      <c r="CM76" s="529"/>
      <c r="CN76" s="529"/>
      <c r="CO76" s="530"/>
      <c r="CP76" s="510"/>
      <c r="CQ76" s="511"/>
      <c r="CR76" s="511"/>
      <c r="CS76" s="512"/>
      <c r="CT76" s="519"/>
      <c r="CU76" s="520"/>
      <c r="CV76" s="520"/>
      <c r="CW76" s="521"/>
      <c r="CX76" s="528"/>
      <c r="CY76" s="529"/>
      <c r="CZ76" s="529"/>
      <c r="DA76" s="530"/>
      <c r="DB76" s="510"/>
      <c r="DC76" s="511"/>
      <c r="DD76" s="511"/>
      <c r="DE76" s="512"/>
      <c r="DF76" s="519"/>
      <c r="DG76" s="520"/>
      <c r="DH76" s="520"/>
      <c r="DI76" s="521"/>
      <c r="DJ76" s="528"/>
      <c r="DK76" s="529"/>
      <c r="DL76" s="529"/>
      <c r="DM76" s="530"/>
      <c r="DN76" s="537"/>
      <c r="DO76" s="538"/>
      <c r="DP76" s="538"/>
      <c r="DQ76" s="539"/>
      <c r="DR76" s="519"/>
      <c r="DS76" s="520"/>
      <c r="DT76" s="520"/>
      <c r="DU76" s="521"/>
      <c r="DV76" s="528"/>
      <c r="DW76" s="529"/>
      <c r="DX76" s="529"/>
      <c r="DY76" s="530"/>
      <c r="DZ76" s="537"/>
      <c r="EA76" s="538"/>
      <c r="EB76" s="538"/>
      <c r="EC76" s="539"/>
      <c r="ED76" s="519"/>
      <c r="EE76" s="520"/>
      <c r="EF76" s="520"/>
      <c r="EG76" s="521"/>
      <c r="EH76" s="528"/>
      <c r="EI76" s="529"/>
      <c r="EJ76" s="529"/>
      <c r="EK76" s="530"/>
      <c r="EL76" s="537"/>
      <c r="EM76" s="538"/>
      <c r="EN76" s="538"/>
      <c r="EO76" s="539"/>
      <c r="EP76" s="71"/>
      <c r="EQ76" s="71"/>
      <c r="ER76" s="71"/>
      <c r="ES76" s="71"/>
      <c r="ET76" s="71"/>
      <c r="EU76" s="71"/>
      <c r="EV76" s="72"/>
      <c r="EW76" s="72"/>
      <c r="EX76" s="72"/>
      <c r="EY76" s="72"/>
      <c r="EZ76" s="72"/>
      <c r="FA76" s="72"/>
      <c r="FB76" s="72"/>
      <c r="FC76" s="72"/>
      <c r="FD76" s="72"/>
      <c r="FE76" s="72"/>
      <c r="FF76" s="72"/>
      <c r="FG76" s="72"/>
      <c r="FH76" s="72"/>
      <c r="FI76" s="72"/>
      <c r="FJ76" s="72"/>
      <c r="FK76" s="72"/>
      <c r="FL76" s="72"/>
      <c r="FM76" s="72"/>
      <c r="FN76" s="72"/>
      <c r="FO76" s="72"/>
      <c r="FP76" s="72"/>
      <c r="FQ76" s="72"/>
      <c r="FR76" s="72"/>
      <c r="FS76" s="72"/>
      <c r="FT76" s="72"/>
      <c r="FU76" s="72"/>
      <c r="FV76" s="72"/>
      <c r="FW76" s="72"/>
      <c r="FX76" s="72"/>
      <c r="FY76" s="72"/>
      <c r="FZ76" s="72"/>
      <c r="GA76" s="72"/>
      <c r="GB76" s="249"/>
      <c r="GC76" s="249">
        <v>17</v>
      </c>
      <c r="GD76" s="377" t="s">
        <v>14384</v>
      </c>
      <c r="GE76" s="76" t="str">
        <f>抽選会資料!J17</f>
        <v>ＭＦＣ三花少年サッカー教室</v>
      </c>
      <c r="GF76" s="45" t="s">
        <v>7766</v>
      </c>
    </row>
    <row r="77" spans="1:188" ht="13.5" customHeight="1" x14ac:dyDescent="0.25">
      <c r="A77" s="268"/>
      <c r="B77" s="519"/>
      <c r="C77" s="520"/>
      <c r="D77" s="520"/>
      <c r="E77" s="521"/>
      <c r="F77" s="528"/>
      <c r="G77" s="529"/>
      <c r="H77" s="529"/>
      <c r="I77" s="530"/>
      <c r="J77" s="510"/>
      <c r="K77" s="511"/>
      <c r="L77" s="511"/>
      <c r="M77" s="512"/>
      <c r="N77" s="519"/>
      <c r="O77" s="520"/>
      <c r="P77" s="520"/>
      <c r="Q77" s="521"/>
      <c r="R77" s="528"/>
      <c r="S77" s="529"/>
      <c r="T77" s="529"/>
      <c r="U77" s="530"/>
      <c r="V77" s="510"/>
      <c r="W77" s="511"/>
      <c r="X77" s="511"/>
      <c r="Y77" s="512"/>
      <c r="Z77" s="519"/>
      <c r="AA77" s="520"/>
      <c r="AB77" s="520"/>
      <c r="AC77" s="521"/>
      <c r="AD77" s="528"/>
      <c r="AE77" s="529"/>
      <c r="AF77" s="529"/>
      <c r="AG77" s="530"/>
      <c r="AH77" s="510"/>
      <c r="AI77" s="511"/>
      <c r="AJ77" s="511"/>
      <c r="AK77" s="512"/>
      <c r="AL77" s="519"/>
      <c r="AM77" s="520"/>
      <c r="AN77" s="520"/>
      <c r="AO77" s="521"/>
      <c r="AP77" s="528"/>
      <c r="AQ77" s="529"/>
      <c r="AR77" s="529"/>
      <c r="AS77" s="530"/>
      <c r="AT77" s="582"/>
      <c r="AU77" s="583"/>
      <c r="AV77" s="583"/>
      <c r="AW77" s="584"/>
      <c r="AX77" s="519"/>
      <c r="AY77" s="520"/>
      <c r="AZ77" s="520"/>
      <c r="BA77" s="521"/>
      <c r="BB77" s="528"/>
      <c r="BC77" s="529"/>
      <c r="BD77" s="529"/>
      <c r="BE77" s="530"/>
      <c r="BF77" s="537"/>
      <c r="BG77" s="538"/>
      <c r="BH77" s="538"/>
      <c r="BI77" s="539"/>
      <c r="BJ77" s="519"/>
      <c r="BK77" s="520"/>
      <c r="BL77" s="520"/>
      <c r="BM77" s="521"/>
      <c r="BN77" s="528"/>
      <c r="BO77" s="529"/>
      <c r="BP77" s="529"/>
      <c r="BQ77" s="530"/>
      <c r="BR77" s="537"/>
      <c r="BS77" s="538"/>
      <c r="BT77" s="538"/>
      <c r="BU77" s="539"/>
      <c r="BV77" s="519"/>
      <c r="BW77" s="520"/>
      <c r="BX77" s="520"/>
      <c r="BY77" s="521"/>
      <c r="BZ77" s="528"/>
      <c r="CA77" s="529"/>
      <c r="CB77" s="529"/>
      <c r="CC77" s="530"/>
      <c r="CD77" s="510"/>
      <c r="CE77" s="511"/>
      <c r="CF77" s="511"/>
      <c r="CG77" s="512"/>
      <c r="CH77" s="519"/>
      <c r="CI77" s="520"/>
      <c r="CJ77" s="520"/>
      <c r="CK77" s="521"/>
      <c r="CL77" s="528"/>
      <c r="CM77" s="529"/>
      <c r="CN77" s="529"/>
      <c r="CO77" s="530"/>
      <c r="CP77" s="510"/>
      <c r="CQ77" s="511"/>
      <c r="CR77" s="511"/>
      <c r="CS77" s="512"/>
      <c r="CT77" s="519"/>
      <c r="CU77" s="520"/>
      <c r="CV77" s="520"/>
      <c r="CW77" s="521"/>
      <c r="CX77" s="528"/>
      <c r="CY77" s="529"/>
      <c r="CZ77" s="529"/>
      <c r="DA77" s="530"/>
      <c r="DB77" s="510"/>
      <c r="DC77" s="511"/>
      <c r="DD77" s="511"/>
      <c r="DE77" s="512"/>
      <c r="DF77" s="519"/>
      <c r="DG77" s="520"/>
      <c r="DH77" s="520"/>
      <c r="DI77" s="521"/>
      <c r="DJ77" s="528"/>
      <c r="DK77" s="529"/>
      <c r="DL77" s="529"/>
      <c r="DM77" s="530"/>
      <c r="DN77" s="537"/>
      <c r="DO77" s="538"/>
      <c r="DP77" s="538"/>
      <c r="DQ77" s="539"/>
      <c r="DR77" s="519"/>
      <c r="DS77" s="520"/>
      <c r="DT77" s="520"/>
      <c r="DU77" s="521"/>
      <c r="DV77" s="528"/>
      <c r="DW77" s="529"/>
      <c r="DX77" s="529"/>
      <c r="DY77" s="530"/>
      <c r="DZ77" s="537"/>
      <c r="EA77" s="538"/>
      <c r="EB77" s="538"/>
      <c r="EC77" s="539"/>
      <c r="ED77" s="519"/>
      <c r="EE77" s="520"/>
      <c r="EF77" s="520"/>
      <c r="EG77" s="521"/>
      <c r="EH77" s="528"/>
      <c r="EI77" s="529"/>
      <c r="EJ77" s="529"/>
      <c r="EK77" s="530"/>
      <c r="EL77" s="537"/>
      <c r="EM77" s="538"/>
      <c r="EN77" s="538"/>
      <c r="EO77" s="539"/>
      <c r="EP77" s="71"/>
      <c r="EQ77" s="71"/>
      <c r="ER77" s="71"/>
      <c r="ES77" s="71"/>
      <c r="ET77" s="71"/>
      <c r="EU77" s="71"/>
      <c r="EV77" s="72"/>
      <c r="EW77" s="72"/>
      <c r="EX77" s="72"/>
      <c r="EY77" s="72"/>
      <c r="EZ77" s="72"/>
      <c r="FA77" s="72"/>
      <c r="FB77" s="72"/>
      <c r="FC77" s="72"/>
      <c r="FD77" s="72"/>
      <c r="FE77" s="72"/>
      <c r="FF77" s="72"/>
      <c r="FG77" s="72"/>
      <c r="FH77" s="72"/>
      <c r="FI77" s="72"/>
      <c r="FJ77" s="72"/>
      <c r="FK77" s="72"/>
      <c r="FL77" s="72"/>
      <c r="FM77" s="72"/>
      <c r="FN77" s="72"/>
      <c r="FO77" s="72"/>
      <c r="FP77" s="72"/>
      <c r="FQ77" s="72"/>
      <c r="FR77" s="72"/>
      <c r="FS77" s="72"/>
      <c r="FT77" s="72"/>
      <c r="FU77" s="72"/>
      <c r="FV77" s="72"/>
      <c r="FW77" s="72"/>
      <c r="FX77" s="72"/>
      <c r="FY77" s="72"/>
      <c r="FZ77" s="72"/>
      <c r="GA77" s="72"/>
      <c r="GB77" s="249"/>
      <c r="GC77" s="249">
        <v>8</v>
      </c>
      <c r="GD77" s="45" t="s">
        <v>14355</v>
      </c>
      <c r="GE77" s="76" t="str">
        <f>抽選会資料!J18</f>
        <v>四日市南ＳＳＣ</v>
      </c>
      <c r="GF77" s="45" t="s">
        <v>7776</v>
      </c>
    </row>
    <row r="78" spans="1:188" ht="13.5" customHeight="1" x14ac:dyDescent="0.25">
      <c r="A78" s="268"/>
      <c r="B78" s="522"/>
      <c r="C78" s="523"/>
      <c r="D78" s="523"/>
      <c r="E78" s="524"/>
      <c r="F78" s="531"/>
      <c r="G78" s="532"/>
      <c r="H78" s="532"/>
      <c r="I78" s="533"/>
      <c r="J78" s="513"/>
      <c r="K78" s="514"/>
      <c r="L78" s="514"/>
      <c r="M78" s="515"/>
      <c r="N78" s="522"/>
      <c r="O78" s="523"/>
      <c r="P78" s="523"/>
      <c r="Q78" s="524"/>
      <c r="R78" s="531"/>
      <c r="S78" s="532"/>
      <c r="T78" s="532"/>
      <c r="U78" s="533"/>
      <c r="V78" s="513"/>
      <c r="W78" s="514"/>
      <c r="X78" s="514"/>
      <c r="Y78" s="515"/>
      <c r="Z78" s="522"/>
      <c r="AA78" s="523"/>
      <c r="AB78" s="523"/>
      <c r="AC78" s="524"/>
      <c r="AD78" s="531"/>
      <c r="AE78" s="532"/>
      <c r="AF78" s="532"/>
      <c r="AG78" s="533"/>
      <c r="AH78" s="513"/>
      <c r="AI78" s="514"/>
      <c r="AJ78" s="514"/>
      <c r="AK78" s="515"/>
      <c r="AL78" s="522"/>
      <c r="AM78" s="523"/>
      <c r="AN78" s="523"/>
      <c r="AO78" s="524"/>
      <c r="AP78" s="531"/>
      <c r="AQ78" s="532"/>
      <c r="AR78" s="532"/>
      <c r="AS78" s="533"/>
      <c r="AT78" s="585"/>
      <c r="AU78" s="586"/>
      <c r="AV78" s="586"/>
      <c r="AW78" s="587"/>
      <c r="AX78" s="522"/>
      <c r="AY78" s="523"/>
      <c r="AZ78" s="523"/>
      <c r="BA78" s="524"/>
      <c r="BB78" s="531"/>
      <c r="BC78" s="532"/>
      <c r="BD78" s="532"/>
      <c r="BE78" s="533"/>
      <c r="BF78" s="540"/>
      <c r="BG78" s="541"/>
      <c r="BH78" s="541"/>
      <c r="BI78" s="542"/>
      <c r="BJ78" s="522"/>
      <c r="BK78" s="523"/>
      <c r="BL78" s="523"/>
      <c r="BM78" s="524"/>
      <c r="BN78" s="531"/>
      <c r="BO78" s="532"/>
      <c r="BP78" s="532"/>
      <c r="BQ78" s="533"/>
      <c r="BR78" s="540"/>
      <c r="BS78" s="541"/>
      <c r="BT78" s="541"/>
      <c r="BU78" s="542"/>
      <c r="BV78" s="522"/>
      <c r="BW78" s="523"/>
      <c r="BX78" s="523"/>
      <c r="BY78" s="524"/>
      <c r="BZ78" s="531"/>
      <c r="CA78" s="532"/>
      <c r="CB78" s="532"/>
      <c r="CC78" s="533"/>
      <c r="CD78" s="513"/>
      <c r="CE78" s="514"/>
      <c r="CF78" s="514"/>
      <c r="CG78" s="515"/>
      <c r="CH78" s="522"/>
      <c r="CI78" s="523"/>
      <c r="CJ78" s="523"/>
      <c r="CK78" s="524"/>
      <c r="CL78" s="531"/>
      <c r="CM78" s="532"/>
      <c r="CN78" s="532"/>
      <c r="CO78" s="533"/>
      <c r="CP78" s="513"/>
      <c r="CQ78" s="514"/>
      <c r="CR78" s="514"/>
      <c r="CS78" s="515"/>
      <c r="CT78" s="522"/>
      <c r="CU78" s="523"/>
      <c r="CV78" s="523"/>
      <c r="CW78" s="524"/>
      <c r="CX78" s="531"/>
      <c r="CY78" s="532"/>
      <c r="CZ78" s="532"/>
      <c r="DA78" s="533"/>
      <c r="DB78" s="513"/>
      <c r="DC78" s="514"/>
      <c r="DD78" s="514"/>
      <c r="DE78" s="515"/>
      <c r="DF78" s="522"/>
      <c r="DG78" s="523"/>
      <c r="DH78" s="523"/>
      <c r="DI78" s="524"/>
      <c r="DJ78" s="531"/>
      <c r="DK78" s="532"/>
      <c r="DL78" s="532"/>
      <c r="DM78" s="533"/>
      <c r="DN78" s="540"/>
      <c r="DO78" s="541"/>
      <c r="DP78" s="541"/>
      <c r="DQ78" s="542"/>
      <c r="DR78" s="522"/>
      <c r="DS78" s="523"/>
      <c r="DT78" s="523"/>
      <c r="DU78" s="524"/>
      <c r="DV78" s="531"/>
      <c r="DW78" s="532"/>
      <c r="DX78" s="532"/>
      <c r="DY78" s="533"/>
      <c r="DZ78" s="540"/>
      <c r="EA78" s="541"/>
      <c r="EB78" s="541"/>
      <c r="EC78" s="542"/>
      <c r="ED78" s="522"/>
      <c r="EE78" s="523"/>
      <c r="EF78" s="523"/>
      <c r="EG78" s="524"/>
      <c r="EH78" s="531"/>
      <c r="EI78" s="532"/>
      <c r="EJ78" s="532"/>
      <c r="EK78" s="533"/>
      <c r="EL78" s="540"/>
      <c r="EM78" s="541"/>
      <c r="EN78" s="541"/>
      <c r="EO78" s="542"/>
      <c r="EP78" s="71"/>
      <c r="EQ78" s="71"/>
      <c r="ER78" s="71"/>
      <c r="ES78" s="71"/>
      <c r="ET78" s="71"/>
      <c r="EU78" s="71"/>
      <c r="EV78" s="72"/>
      <c r="EW78" s="72"/>
      <c r="EX78" s="72"/>
      <c r="EY78" s="72"/>
      <c r="EZ78" s="72"/>
      <c r="FA78" s="72"/>
      <c r="FB78" s="72"/>
      <c r="FC78" s="72"/>
      <c r="FD78" s="72"/>
      <c r="FE78" s="73"/>
      <c r="FF78" s="73"/>
      <c r="FG78" s="73"/>
      <c r="FH78" s="73"/>
      <c r="FI78" s="73"/>
      <c r="FJ78" s="73"/>
      <c r="FK78" s="73"/>
      <c r="FL78" s="73"/>
      <c r="FM78" s="73"/>
      <c r="FN78" s="73"/>
      <c r="FO78" s="73"/>
      <c r="FP78" s="73"/>
      <c r="FQ78" s="73"/>
      <c r="FR78" s="73"/>
      <c r="FS78" s="73"/>
      <c r="FT78" s="73"/>
      <c r="FU78" s="73"/>
      <c r="FV78" s="73"/>
      <c r="FW78" s="73"/>
      <c r="FX78" s="73"/>
      <c r="FY78" s="73"/>
      <c r="FZ78" s="73"/>
      <c r="GA78" s="73"/>
      <c r="GB78" s="249"/>
      <c r="GC78" s="249">
        <v>9</v>
      </c>
      <c r="GD78" s="45" t="s">
        <v>14356</v>
      </c>
      <c r="GE78" s="76" t="str">
        <f>抽選会資料!J19</f>
        <v>ＦＣ　ＷＡＹＳ</v>
      </c>
      <c r="GF78" s="45" t="s">
        <v>7776</v>
      </c>
    </row>
    <row r="79" spans="1:188" ht="13.5" customHeight="1" x14ac:dyDescent="0.25">
      <c r="A79" s="268"/>
      <c r="B79" s="498" t="str">
        <f>IF(ISERROR(VLOOKUP(B48,$GD:$GF,3,FALSE))=TRUE,"",VLOOKUP(B48,$GD:$GF,3,FALSE))</f>
        <v>中津</v>
      </c>
      <c r="C79" s="499"/>
      <c r="D79" s="499"/>
      <c r="E79" s="499"/>
      <c r="F79" s="504" t="str">
        <f>IF(ISERROR(VLOOKUP(F48,$GD:$GF,3,FALSE))=TRUE,"",VLOOKUP(F48,$GD:$GF,3,FALSE))</f>
        <v>大分</v>
      </c>
      <c r="G79" s="504"/>
      <c r="H79" s="504"/>
      <c r="I79" s="504"/>
      <c r="J79" s="492" t="str">
        <f>IF(ISERROR(VLOOKUP(J48,$GD:$GF,3,FALSE))=TRUE,"",VLOOKUP(J48,$GD:$GF,3,FALSE))</f>
        <v>大分</v>
      </c>
      <c r="K79" s="492"/>
      <c r="L79" s="492"/>
      <c r="M79" s="493"/>
      <c r="N79" s="498" t="str">
        <f>IF(ISERROR(VLOOKUP(N48,$GD:$GF,3,FALSE))=TRUE,"",VLOOKUP(N48,$GD:$GF,3,FALSE))</f>
        <v>臼杵・津久見</v>
      </c>
      <c r="O79" s="499"/>
      <c r="P79" s="499"/>
      <c r="Q79" s="499"/>
      <c r="R79" s="504" t="str">
        <f>IF(ISERROR(VLOOKUP(R48,$GD:$GF,3,FALSE))=TRUE,"",VLOOKUP(R48,$GD:$GF,3,FALSE))</f>
        <v>大分</v>
      </c>
      <c r="S79" s="504"/>
      <c r="T79" s="504"/>
      <c r="U79" s="504"/>
      <c r="V79" s="492" t="str">
        <f>IF(ISERROR(VLOOKUP(V48,$GD:$GF,3,FALSE))=TRUE,"",VLOOKUP(V48,$GD:$GF,3,FALSE))</f>
        <v>豊肥</v>
      </c>
      <c r="W79" s="492"/>
      <c r="X79" s="492"/>
      <c r="Y79" s="493"/>
      <c r="Z79" s="498" t="str">
        <f>IF(ISERROR(VLOOKUP(Z48,$GD:$GF,3,FALSE))=TRUE,"",VLOOKUP(Z48,$GD:$GF,3,FALSE))</f>
        <v>別府</v>
      </c>
      <c r="AA79" s="499"/>
      <c r="AB79" s="499"/>
      <c r="AC79" s="499"/>
      <c r="AD79" s="504" t="str">
        <f>IF(ISERROR(VLOOKUP(AD48,$GD:$GF,3,FALSE))=TRUE,"",VLOOKUP(AD48,$GD:$GF,3,FALSE))</f>
        <v>大分</v>
      </c>
      <c r="AE79" s="504"/>
      <c r="AF79" s="504"/>
      <c r="AG79" s="504"/>
      <c r="AH79" s="492" t="str">
        <f>IF(ISERROR(VLOOKUP(AH48,$GD:$GF,3,FALSE))=TRUE,"",VLOOKUP(AH48,$GD:$GF,3,FALSE))</f>
        <v>大分</v>
      </c>
      <c r="AI79" s="492"/>
      <c r="AJ79" s="492"/>
      <c r="AK79" s="493"/>
      <c r="AL79" s="498" t="str">
        <f>IF(ISERROR(VLOOKUP(AL48,$GD:$GF,3,FALSE))=TRUE,"",VLOOKUP(AL48,$GD:$GF,3,FALSE))</f>
        <v>速杵国東</v>
      </c>
      <c r="AM79" s="499"/>
      <c r="AN79" s="499"/>
      <c r="AO79" s="499"/>
      <c r="AP79" s="504" t="str">
        <f>IF(ISERROR(VLOOKUP(AP48,$GD:$GF,3,FALSE))=TRUE,"",VLOOKUP(AP48,$GD:$GF,3,FALSE))</f>
        <v>大分</v>
      </c>
      <c r="AQ79" s="504"/>
      <c r="AR79" s="504"/>
      <c r="AS79" s="504"/>
      <c r="AT79" s="543" t="str">
        <f>IF(ISERROR(VLOOKUP(AT48,$GD:$GF,3,FALSE))=TRUE,"",VLOOKUP(AT48,$GD:$GF,3,FALSE))</f>
        <v>佐伯</v>
      </c>
      <c r="AU79" s="543"/>
      <c r="AV79" s="543"/>
      <c r="AW79" s="544"/>
      <c r="AX79" s="498" t="str">
        <f>IF(ISERROR(VLOOKUP(AX48,$GD:$GF,3,FALSE))=TRUE,"",VLOOKUP(AX48,$GD:$GF,3,FALSE))</f>
        <v>宇佐高田</v>
      </c>
      <c r="AY79" s="499"/>
      <c r="AZ79" s="499"/>
      <c r="BA79" s="499"/>
      <c r="BB79" s="504" t="str">
        <f>IF(ISERROR(VLOOKUP(BB48,$GD:$GF,3,FALSE))=TRUE,"",VLOOKUP(BB48,$GD:$GF,3,FALSE))</f>
        <v>大分</v>
      </c>
      <c r="BC79" s="504"/>
      <c r="BD79" s="504"/>
      <c r="BE79" s="504"/>
      <c r="BF79" s="543" t="str">
        <f>IF(ISERROR(VLOOKUP(BF48,$GD:$GF,3,FALSE))=TRUE,"",VLOOKUP(BF48,$GD:$GF,3,FALSE))</f>
        <v>中津</v>
      </c>
      <c r="BG79" s="543"/>
      <c r="BH79" s="543"/>
      <c r="BI79" s="544"/>
      <c r="BJ79" s="498" t="str">
        <f>IF(ISERROR(VLOOKUP(BJ48,$GD:$GF,3,FALSE))=TRUE,"",VLOOKUP(BJ48,$GD:$GF,3,FALSE))</f>
        <v>日田・玖珠</v>
      </c>
      <c r="BK79" s="499"/>
      <c r="BL79" s="499"/>
      <c r="BM79" s="499"/>
      <c r="BN79" s="504" t="str">
        <f>IF(ISERROR(VLOOKUP(BN48,$GD:$GF,3,FALSE))=TRUE,"",VLOOKUP(BN48,$GD:$GF,3,FALSE))</f>
        <v>大分</v>
      </c>
      <c r="BO79" s="504"/>
      <c r="BP79" s="504"/>
      <c r="BQ79" s="504"/>
      <c r="BR79" s="543" t="str">
        <f>IF(ISERROR(VLOOKUP(BR48,$GD:$GF,3,FALSE))=TRUE,"",VLOOKUP(BR48,$GD:$GF,3,FALSE))</f>
        <v>別府</v>
      </c>
      <c r="BS79" s="543"/>
      <c r="BT79" s="543"/>
      <c r="BU79" s="544"/>
      <c r="BV79" s="498" t="str">
        <f>IF(ISERROR(VLOOKUP(BV48,$GD:$GF,3,FALSE))=TRUE,"",VLOOKUP(BV48,$GD:$GF,3,FALSE))</f>
        <v>中津</v>
      </c>
      <c r="BW79" s="499"/>
      <c r="BX79" s="499"/>
      <c r="BY79" s="499"/>
      <c r="BZ79" s="504" t="str">
        <f>IF(ISERROR(VLOOKUP(BZ48,$GD:$GF,3,FALSE))=TRUE,"",VLOOKUP(BZ48,$GD:$GF,3,FALSE))</f>
        <v>大分</v>
      </c>
      <c r="CA79" s="504"/>
      <c r="CB79" s="504"/>
      <c r="CC79" s="504"/>
      <c r="CD79" s="492" t="str">
        <f>IF(ISERROR(VLOOKUP(CD48,$GD:$GF,3,FALSE))=TRUE,"",VLOOKUP(CD48,$GD:$GF,3,FALSE))</f>
        <v>宇佐高田</v>
      </c>
      <c r="CE79" s="492"/>
      <c r="CF79" s="492"/>
      <c r="CG79" s="493"/>
      <c r="CH79" s="498" t="str">
        <f>IF(ISERROR(VLOOKUP(CH48,$GD:$GF,3,FALSE))=TRUE,"",VLOOKUP(CH48,$GD:$GF,3,FALSE))</f>
        <v>別府</v>
      </c>
      <c r="CI79" s="499"/>
      <c r="CJ79" s="499"/>
      <c r="CK79" s="499"/>
      <c r="CL79" s="504" t="str">
        <f>IF(ISERROR(VLOOKUP(CL48,$GD:$GF,3,FALSE))=TRUE,"",VLOOKUP(CL48,$GD:$GF,3,FALSE))</f>
        <v>大分</v>
      </c>
      <c r="CM79" s="504"/>
      <c r="CN79" s="504"/>
      <c r="CO79" s="504"/>
      <c r="CP79" s="492" t="str">
        <f>IF(ISERROR(VLOOKUP(CP48,$GD:$GF,3,FALSE))=TRUE,"",VLOOKUP(CP48,$GD:$GF,3,FALSE))</f>
        <v>大分</v>
      </c>
      <c r="CQ79" s="492"/>
      <c r="CR79" s="492"/>
      <c r="CS79" s="493"/>
      <c r="CT79" s="498" t="str">
        <f>IF(ISERROR(VLOOKUP(CT48,$GD:$GF,3,FALSE))=TRUE,"",VLOOKUP(CT48,$GD:$GF,3,FALSE))</f>
        <v>日田・玖珠</v>
      </c>
      <c r="CU79" s="499"/>
      <c r="CV79" s="499"/>
      <c r="CW79" s="499"/>
      <c r="CX79" s="504" t="str">
        <f>IF(ISERROR(VLOOKUP(CX48,$GD:$GF,3,FALSE))=TRUE,"",VLOOKUP(CX48,$GD:$GF,3,FALSE))</f>
        <v>大分</v>
      </c>
      <c r="CY79" s="504"/>
      <c r="CZ79" s="504"/>
      <c r="DA79" s="504"/>
      <c r="DB79" s="492" t="str">
        <f>IF(ISERROR(VLOOKUP(DB48,$GD:$GF,3,FALSE))=TRUE,"",VLOOKUP(DB48,$GD:$GF,3,FALSE))</f>
        <v>大分</v>
      </c>
      <c r="DC79" s="492"/>
      <c r="DD79" s="492"/>
      <c r="DE79" s="493"/>
      <c r="DF79" s="498" t="str">
        <f>IF(ISERROR(VLOOKUP(DF48,$GD:$GF,3,FALSE))=TRUE,"",VLOOKUP(DF48,$GD:$GF,3,FALSE))</f>
        <v>速杵国東</v>
      </c>
      <c r="DG79" s="499"/>
      <c r="DH79" s="499"/>
      <c r="DI79" s="499"/>
      <c r="DJ79" s="504" t="str">
        <f>IF(ISERROR(VLOOKUP(DJ48,$GD:$GF,3,FALSE))=TRUE,"",VLOOKUP(DJ48,$GD:$GF,3,FALSE))</f>
        <v>大分</v>
      </c>
      <c r="DK79" s="504"/>
      <c r="DL79" s="504"/>
      <c r="DM79" s="504"/>
      <c r="DN79" s="543" t="str">
        <f>IF(ISERROR(VLOOKUP(DN48,$GD:$GF,3,FALSE))=TRUE,"",VLOOKUP(DN48,$GD:$GF,3,FALSE))</f>
        <v>中津</v>
      </c>
      <c r="DO79" s="543"/>
      <c r="DP79" s="543"/>
      <c r="DQ79" s="544"/>
      <c r="DR79" s="498" t="str">
        <f>IF(ISERROR(VLOOKUP(DR48,$GD:$GF,3,FALSE))=TRUE,"",VLOOKUP(DR48,$GD:$GF,3,FALSE))</f>
        <v>日田・玖珠</v>
      </c>
      <c r="DS79" s="499"/>
      <c r="DT79" s="499"/>
      <c r="DU79" s="499"/>
      <c r="DV79" s="504" t="str">
        <f>IF(ISERROR(VLOOKUP(DV48,$GD:$GF,3,FALSE))=TRUE,"",VLOOKUP(DV48,$GD:$GF,3,FALSE))</f>
        <v>大分</v>
      </c>
      <c r="DW79" s="504"/>
      <c r="DX79" s="504"/>
      <c r="DY79" s="504"/>
      <c r="DZ79" s="543" t="str">
        <f>IF(ISERROR(VLOOKUP(DZ48,$GD:$GF,3,FALSE))=TRUE,"",VLOOKUP(DZ48,$GD:$GF,3,FALSE))</f>
        <v>大分</v>
      </c>
      <c r="EA79" s="543"/>
      <c r="EB79" s="543"/>
      <c r="EC79" s="544"/>
      <c r="ED79" s="498" t="str">
        <f>IF(ISERROR(VLOOKUP(ED48,$GD:$GF,3,FALSE))=TRUE,"",VLOOKUP(ED48,$GD:$GF,3,FALSE))</f>
        <v>宇佐高田</v>
      </c>
      <c r="EE79" s="499"/>
      <c r="EF79" s="499"/>
      <c r="EG79" s="499"/>
      <c r="EH79" s="504" t="str">
        <f>IF(ISERROR(VLOOKUP(EH48,$GD:$GF,3,FALSE))=TRUE,"",VLOOKUP(EH48,$GD:$GF,3,FALSE))</f>
        <v>大分</v>
      </c>
      <c r="EI79" s="504"/>
      <c r="EJ79" s="504"/>
      <c r="EK79" s="504"/>
      <c r="EL79" s="543" t="str">
        <f>IF(ISERROR(VLOOKUP(EL48,$GD:$GF,3,FALSE))=TRUE,"",VLOOKUP(EL48,$GD:$GF,3,FALSE))</f>
        <v>佐伯</v>
      </c>
      <c r="EM79" s="543"/>
      <c r="EN79" s="543"/>
      <c r="EO79" s="544"/>
      <c r="EP79" s="72"/>
      <c r="EQ79" s="72"/>
      <c r="ER79" s="72"/>
      <c r="ES79" s="72"/>
      <c r="ET79" s="72"/>
      <c r="EU79" s="72"/>
      <c r="EV79" s="72"/>
      <c r="EW79" s="72"/>
      <c r="EX79" s="72"/>
      <c r="EY79" s="72"/>
      <c r="EZ79" s="72"/>
      <c r="FA79" s="72"/>
      <c r="FB79" s="72"/>
      <c r="FC79" s="72"/>
      <c r="FD79" s="72"/>
      <c r="FE79" s="73"/>
      <c r="FF79" s="73"/>
      <c r="FG79" s="73"/>
      <c r="FH79" s="73"/>
      <c r="FI79" s="73"/>
      <c r="FJ79" s="73"/>
      <c r="FK79" s="73"/>
      <c r="FL79" s="73"/>
      <c r="FM79" s="73"/>
      <c r="FN79" s="73"/>
      <c r="FO79" s="73"/>
      <c r="FP79" s="73"/>
      <c r="FQ79" s="73"/>
      <c r="FR79" s="73"/>
      <c r="FS79" s="73"/>
      <c r="FT79" s="73"/>
      <c r="FU79" s="73"/>
      <c r="FV79" s="73"/>
      <c r="FW79" s="73"/>
      <c r="FX79" s="73"/>
      <c r="FY79" s="73"/>
      <c r="FZ79" s="73"/>
      <c r="GA79" s="73"/>
      <c r="GB79" s="249"/>
      <c r="GC79" s="249">
        <v>18</v>
      </c>
      <c r="GD79" s="45" t="s">
        <v>14366</v>
      </c>
      <c r="GE79" s="76" t="str">
        <f>抽選会資料!J20</f>
        <v>ＦＣ　ＵＮＩＴＥ</v>
      </c>
      <c r="GF79" s="45" t="s">
        <v>7776</v>
      </c>
    </row>
    <row r="80" spans="1:188" ht="13.5" customHeight="1" x14ac:dyDescent="0.25">
      <c r="A80" s="268"/>
      <c r="B80" s="500"/>
      <c r="C80" s="501"/>
      <c r="D80" s="501"/>
      <c r="E80" s="501"/>
      <c r="F80" s="505"/>
      <c r="G80" s="505"/>
      <c r="H80" s="505"/>
      <c r="I80" s="505"/>
      <c r="J80" s="494"/>
      <c r="K80" s="494"/>
      <c r="L80" s="494"/>
      <c r="M80" s="495"/>
      <c r="N80" s="500"/>
      <c r="O80" s="501"/>
      <c r="P80" s="501"/>
      <c r="Q80" s="501"/>
      <c r="R80" s="505"/>
      <c r="S80" s="505"/>
      <c r="T80" s="505"/>
      <c r="U80" s="505"/>
      <c r="V80" s="494"/>
      <c r="W80" s="494"/>
      <c r="X80" s="494"/>
      <c r="Y80" s="495"/>
      <c r="Z80" s="500"/>
      <c r="AA80" s="501"/>
      <c r="AB80" s="501"/>
      <c r="AC80" s="501"/>
      <c r="AD80" s="505"/>
      <c r="AE80" s="505"/>
      <c r="AF80" s="505"/>
      <c r="AG80" s="505"/>
      <c r="AH80" s="494"/>
      <c r="AI80" s="494"/>
      <c r="AJ80" s="494"/>
      <c r="AK80" s="495"/>
      <c r="AL80" s="500"/>
      <c r="AM80" s="501"/>
      <c r="AN80" s="501"/>
      <c r="AO80" s="501"/>
      <c r="AP80" s="505"/>
      <c r="AQ80" s="505"/>
      <c r="AR80" s="505"/>
      <c r="AS80" s="505"/>
      <c r="AT80" s="545"/>
      <c r="AU80" s="545"/>
      <c r="AV80" s="545"/>
      <c r="AW80" s="546"/>
      <c r="AX80" s="500"/>
      <c r="AY80" s="501"/>
      <c r="AZ80" s="501"/>
      <c r="BA80" s="501"/>
      <c r="BB80" s="505"/>
      <c r="BC80" s="505"/>
      <c r="BD80" s="505"/>
      <c r="BE80" s="505"/>
      <c r="BF80" s="545"/>
      <c r="BG80" s="545"/>
      <c r="BH80" s="545"/>
      <c r="BI80" s="546"/>
      <c r="BJ80" s="500"/>
      <c r="BK80" s="501"/>
      <c r="BL80" s="501"/>
      <c r="BM80" s="501"/>
      <c r="BN80" s="505"/>
      <c r="BO80" s="505"/>
      <c r="BP80" s="505"/>
      <c r="BQ80" s="505"/>
      <c r="BR80" s="545"/>
      <c r="BS80" s="545"/>
      <c r="BT80" s="545"/>
      <c r="BU80" s="546"/>
      <c r="BV80" s="500"/>
      <c r="BW80" s="501"/>
      <c r="BX80" s="501"/>
      <c r="BY80" s="501"/>
      <c r="BZ80" s="505"/>
      <c r="CA80" s="505"/>
      <c r="CB80" s="505"/>
      <c r="CC80" s="505"/>
      <c r="CD80" s="494"/>
      <c r="CE80" s="494"/>
      <c r="CF80" s="494"/>
      <c r="CG80" s="495"/>
      <c r="CH80" s="500"/>
      <c r="CI80" s="501"/>
      <c r="CJ80" s="501"/>
      <c r="CK80" s="501"/>
      <c r="CL80" s="505"/>
      <c r="CM80" s="505"/>
      <c r="CN80" s="505"/>
      <c r="CO80" s="505"/>
      <c r="CP80" s="494"/>
      <c r="CQ80" s="494"/>
      <c r="CR80" s="494"/>
      <c r="CS80" s="495"/>
      <c r="CT80" s="500"/>
      <c r="CU80" s="501"/>
      <c r="CV80" s="501"/>
      <c r="CW80" s="501"/>
      <c r="CX80" s="505"/>
      <c r="CY80" s="505"/>
      <c r="CZ80" s="505"/>
      <c r="DA80" s="505"/>
      <c r="DB80" s="494"/>
      <c r="DC80" s="494"/>
      <c r="DD80" s="494"/>
      <c r="DE80" s="495"/>
      <c r="DF80" s="500"/>
      <c r="DG80" s="501"/>
      <c r="DH80" s="501"/>
      <c r="DI80" s="501"/>
      <c r="DJ80" s="505"/>
      <c r="DK80" s="505"/>
      <c r="DL80" s="505"/>
      <c r="DM80" s="505"/>
      <c r="DN80" s="545"/>
      <c r="DO80" s="545"/>
      <c r="DP80" s="545"/>
      <c r="DQ80" s="546"/>
      <c r="DR80" s="500"/>
      <c r="DS80" s="501"/>
      <c r="DT80" s="501"/>
      <c r="DU80" s="501"/>
      <c r="DV80" s="505"/>
      <c r="DW80" s="505"/>
      <c r="DX80" s="505"/>
      <c r="DY80" s="505"/>
      <c r="DZ80" s="545"/>
      <c r="EA80" s="545"/>
      <c r="EB80" s="545"/>
      <c r="EC80" s="546"/>
      <c r="ED80" s="500"/>
      <c r="EE80" s="501"/>
      <c r="EF80" s="501"/>
      <c r="EG80" s="501"/>
      <c r="EH80" s="505"/>
      <c r="EI80" s="505"/>
      <c r="EJ80" s="505"/>
      <c r="EK80" s="505"/>
      <c r="EL80" s="545"/>
      <c r="EM80" s="545"/>
      <c r="EN80" s="545"/>
      <c r="EO80" s="546"/>
      <c r="EP80" s="72"/>
      <c r="EQ80" s="72"/>
      <c r="ER80" s="72"/>
      <c r="ES80" s="72"/>
      <c r="ET80" s="72"/>
      <c r="EU80" s="72"/>
      <c r="EV80" s="72"/>
      <c r="EW80" s="72"/>
      <c r="EX80" s="72"/>
      <c r="EY80" s="72"/>
      <c r="EZ80" s="72"/>
      <c r="FA80" s="72"/>
      <c r="FB80" s="72"/>
      <c r="FC80" s="72"/>
      <c r="FD80" s="72"/>
      <c r="GB80" s="249"/>
      <c r="GC80" s="249">
        <v>10</v>
      </c>
      <c r="GD80" s="45" t="s">
        <v>14357</v>
      </c>
      <c r="GE80" s="76" t="str">
        <f>抽選会資料!J21</f>
        <v>別府フットボールクラブ．ミネルバＵ－１２</v>
      </c>
      <c r="GF80" s="45" t="s">
        <v>7779</v>
      </c>
    </row>
    <row r="81" spans="1:188" ht="13.5" customHeight="1" x14ac:dyDescent="0.25">
      <c r="A81" s="268"/>
      <c r="B81" s="500"/>
      <c r="C81" s="501"/>
      <c r="D81" s="501"/>
      <c r="E81" s="501"/>
      <c r="F81" s="505"/>
      <c r="G81" s="505"/>
      <c r="H81" s="505"/>
      <c r="I81" s="505"/>
      <c r="J81" s="494"/>
      <c r="K81" s="494"/>
      <c r="L81" s="494"/>
      <c r="M81" s="495"/>
      <c r="N81" s="500"/>
      <c r="O81" s="501"/>
      <c r="P81" s="501"/>
      <c r="Q81" s="501"/>
      <c r="R81" s="505"/>
      <c r="S81" s="505"/>
      <c r="T81" s="505"/>
      <c r="U81" s="505"/>
      <c r="V81" s="494"/>
      <c r="W81" s="494"/>
      <c r="X81" s="494"/>
      <c r="Y81" s="495"/>
      <c r="Z81" s="500"/>
      <c r="AA81" s="501"/>
      <c r="AB81" s="501"/>
      <c r="AC81" s="501"/>
      <c r="AD81" s="505"/>
      <c r="AE81" s="505"/>
      <c r="AF81" s="505"/>
      <c r="AG81" s="505"/>
      <c r="AH81" s="494"/>
      <c r="AI81" s="494"/>
      <c r="AJ81" s="494"/>
      <c r="AK81" s="495"/>
      <c r="AL81" s="500"/>
      <c r="AM81" s="501"/>
      <c r="AN81" s="501"/>
      <c r="AO81" s="501"/>
      <c r="AP81" s="505"/>
      <c r="AQ81" s="505"/>
      <c r="AR81" s="505"/>
      <c r="AS81" s="505"/>
      <c r="AT81" s="545"/>
      <c r="AU81" s="545"/>
      <c r="AV81" s="545"/>
      <c r="AW81" s="546"/>
      <c r="AX81" s="500"/>
      <c r="AY81" s="501"/>
      <c r="AZ81" s="501"/>
      <c r="BA81" s="501"/>
      <c r="BB81" s="505"/>
      <c r="BC81" s="505"/>
      <c r="BD81" s="505"/>
      <c r="BE81" s="505"/>
      <c r="BF81" s="545"/>
      <c r="BG81" s="545"/>
      <c r="BH81" s="545"/>
      <c r="BI81" s="546"/>
      <c r="BJ81" s="500"/>
      <c r="BK81" s="501"/>
      <c r="BL81" s="501"/>
      <c r="BM81" s="501"/>
      <c r="BN81" s="505"/>
      <c r="BO81" s="505"/>
      <c r="BP81" s="505"/>
      <c r="BQ81" s="505"/>
      <c r="BR81" s="545"/>
      <c r="BS81" s="545"/>
      <c r="BT81" s="545"/>
      <c r="BU81" s="546"/>
      <c r="BV81" s="500"/>
      <c r="BW81" s="501"/>
      <c r="BX81" s="501"/>
      <c r="BY81" s="501"/>
      <c r="BZ81" s="505"/>
      <c r="CA81" s="505"/>
      <c r="CB81" s="505"/>
      <c r="CC81" s="505"/>
      <c r="CD81" s="494"/>
      <c r="CE81" s="494"/>
      <c r="CF81" s="494"/>
      <c r="CG81" s="495"/>
      <c r="CH81" s="500"/>
      <c r="CI81" s="501"/>
      <c r="CJ81" s="501"/>
      <c r="CK81" s="501"/>
      <c r="CL81" s="505"/>
      <c r="CM81" s="505"/>
      <c r="CN81" s="505"/>
      <c r="CO81" s="505"/>
      <c r="CP81" s="494"/>
      <c r="CQ81" s="494"/>
      <c r="CR81" s="494"/>
      <c r="CS81" s="495"/>
      <c r="CT81" s="500"/>
      <c r="CU81" s="501"/>
      <c r="CV81" s="501"/>
      <c r="CW81" s="501"/>
      <c r="CX81" s="505"/>
      <c r="CY81" s="505"/>
      <c r="CZ81" s="505"/>
      <c r="DA81" s="505"/>
      <c r="DB81" s="494"/>
      <c r="DC81" s="494"/>
      <c r="DD81" s="494"/>
      <c r="DE81" s="495"/>
      <c r="DF81" s="500"/>
      <c r="DG81" s="501"/>
      <c r="DH81" s="501"/>
      <c r="DI81" s="501"/>
      <c r="DJ81" s="505"/>
      <c r="DK81" s="505"/>
      <c r="DL81" s="505"/>
      <c r="DM81" s="505"/>
      <c r="DN81" s="545"/>
      <c r="DO81" s="545"/>
      <c r="DP81" s="545"/>
      <c r="DQ81" s="546"/>
      <c r="DR81" s="500"/>
      <c r="DS81" s="501"/>
      <c r="DT81" s="501"/>
      <c r="DU81" s="501"/>
      <c r="DV81" s="505"/>
      <c r="DW81" s="505"/>
      <c r="DX81" s="505"/>
      <c r="DY81" s="505"/>
      <c r="DZ81" s="545"/>
      <c r="EA81" s="545"/>
      <c r="EB81" s="545"/>
      <c r="EC81" s="546"/>
      <c r="ED81" s="500"/>
      <c r="EE81" s="501"/>
      <c r="EF81" s="501"/>
      <c r="EG81" s="501"/>
      <c r="EH81" s="505"/>
      <c r="EI81" s="505"/>
      <c r="EJ81" s="505"/>
      <c r="EK81" s="505"/>
      <c r="EL81" s="545"/>
      <c r="EM81" s="545"/>
      <c r="EN81" s="545"/>
      <c r="EO81" s="546"/>
      <c r="EP81" s="72"/>
      <c r="EQ81" s="72"/>
      <c r="ER81" s="72"/>
      <c r="ES81" s="72"/>
      <c r="ET81" s="72"/>
      <c r="EU81" s="72"/>
      <c r="EV81" s="72"/>
      <c r="EW81" s="72"/>
      <c r="EX81" s="72"/>
      <c r="EY81" s="72"/>
      <c r="EZ81" s="72"/>
      <c r="FA81" s="72"/>
      <c r="FB81" s="72"/>
      <c r="FC81" s="72"/>
      <c r="FD81" s="72"/>
      <c r="GB81" s="249"/>
      <c r="GC81" s="249">
        <v>11</v>
      </c>
      <c r="GD81" s="45" t="s">
        <v>14358</v>
      </c>
      <c r="GE81" s="76" t="str">
        <f>抽選会資料!J22</f>
        <v>スマイス・セレソン</v>
      </c>
      <c r="GF81" s="45" t="s">
        <v>7779</v>
      </c>
    </row>
    <row r="82" spans="1:188" ht="13.5" customHeight="1" x14ac:dyDescent="0.25">
      <c r="A82" s="268"/>
      <c r="B82" s="500"/>
      <c r="C82" s="501"/>
      <c r="D82" s="501"/>
      <c r="E82" s="501"/>
      <c r="F82" s="505"/>
      <c r="G82" s="505"/>
      <c r="H82" s="505"/>
      <c r="I82" s="505"/>
      <c r="J82" s="494"/>
      <c r="K82" s="494"/>
      <c r="L82" s="494"/>
      <c r="M82" s="495"/>
      <c r="N82" s="500"/>
      <c r="O82" s="501"/>
      <c r="P82" s="501"/>
      <c r="Q82" s="501"/>
      <c r="R82" s="505"/>
      <c r="S82" s="505"/>
      <c r="T82" s="505"/>
      <c r="U82" s="505"/>
      <c r="V82" s="494"/>
      <c r="W82" s="494"/>
      <c r="X82" s="494"/>
      <c r="Y82" s="495"/>
      <c r="Z82" s="500"/>
      <c r="AA82" s="501"/>
      <c r="AB82" s="501"/>
      <c r="AC82" s="501"/>
      <c r="AD82" s="505"/>
      <c r="AE82" s="505"/>
      <c r="AF82" s="505"/>
      <c r="AG82" s="505"/>
      <c r="AH82" s="494"/>
      <c r="AI82" s="494"/>
      <c r="AJ82" s="494"/>
      <c r="AK82" s="495"/>
      <c r="AL82" s="500"/>
      <c r="AM82" s="501"/>
      <c r="AN82" s="501"/>
      <c r="AO82" s="501"/>
      <c r="AP82" s="505"/>
      <c r="AQ82" s="505"/>
      <c r="AR82" s="505"/>
      <c r="AS82" s="505"/>
      <c r="AT82" s="545"/>
      <c r="AU82" s="545"/>
      <c r="AV82" s="545"/>
      <c r="AW82" s="546"/>
      <c r="AX82" s="500"/>
      <c r="AY82" s="501"/>
      <c r="AZ82" s="501"/>
      <c r="BA82" s="501"/>
      <c r="BB82" s="505"/>
      <c r="BC82" s="505"/>
      <c r="BD82" s="505"/>
      <c r="BE82" s="505"/>
      <c r="BF82" s="545"/>
      <c r="BG82" s="545"/>
      <c r="BH82" s="545"/>
      <c r="BI82" s="546"/>
      <c r="BJ82" s="500"/>
      <c r="BK82" s="501"/>
      <c r="BL82" s="501"/>
      <c r="BM82" s="501"/>
      <c r="BN82" s="505"/>
      <c r="BO82" s="505"/>
      <c r="BP82" s="505"/>
      <c r="BQ82" s="505"/>
      <c r="BR82" s="545"/>
      <c r="BS82" s="545"/>
      <c r="BT82" s="545"/>
      <c r="BU82" s="546"/>
      <c r="BV82" s="500"/>
      <c r="BW82" s="501"/>
      <c r="BX82" s="501"/>
      <c r="BY82" s="501"/>
      <c r="BZ82" s="505"/>
      <c r="CA82" s="505"/>
      <c r="CB82" s="505"/>
      <c r="CC82" s="505"/>
      <c r="CD82" s="494"/>
      <c r="CE82" s="494"/>
      <c r="CF82" s="494"/>
      <c r="CG82" s="495"/>
      <c r="CH82" s="500"/>
      <c r="CI82" s="501"/>
      <c r="CJ82" s="501"/>
      <c r="CK82" s="501"/>
      <c r="CL82" s="505"/>
      <c r="CM82" s="505"/>
      <c r="CN82" s="505"/>
      <c r="CO82" s="505"/>
      <c r="CP82" s="494"/>
      <c r="CQ82" s="494"/>
      <c r="CR82" s="494"/>
      <c r="CS82" s="495"/>
      <c r="CT82" s="500"/>
      <c r="CU82" s="501"/>
      <c r="CV82" s="501"/>
      <c r="CW82" s="501"/>
      <c r="CX82" s="505"/>
      <c r="CY82" s="505"/>
      <c r="CZ82" s="505"/>
      <c r="DA82" s="505"/>
      <c r="DB82" s="494"/>
      <c r="DC82" s="494"/>
      <c r="DD82" s="494"/>
      <c r="DE82" s="495"/>
      <c r="DF82" s="500"/>
      <c r="DG82" s="501"/>
      <c r="DH82" s="501"/>
      <c r="DI82" s="501"/>
      <c r="DJ82" s="505"/>
      <c r="DK82" s="505"/>
      <c r="DL82" s="505"/>
      <c r="DM82" s="505"/>
      <c r="DN82" s="545"/>
      <c r="DO82" s="545"/>
      <c r="DP82" s="545"/>
      <c r="DQ82" s="546"/>
      <c r="DR82" s="500"/>
      <c r="DS82" s="501"/>
      <c r="DT82" s="501"/>
      <c r="DU82" s="501"/>
      <c r="DV82" s="505"/>
      <c r="DW82" s="505"/>
      <c r="DX82" s="505"/>
      <c r="DY82" s="505"/>
      <c r="DZ82" s="545"/>
      <c r="EA82" s="545"/>
      <c r="EB82" s="545"/>
      <c r="EC82" s="546"/>
      <c r="ED82" s="500"/>
      <c r="EE82" s="501"/>
      <c r="EF82" s="501"/>
      <c r="EG82" s="501"/>
      <c r="EH82" s="505"/>
      <c r="EI82" s="505"/>
      <c r="EJ82" s="505"/>
      <c r="EK82" s="505"/>
      <c r="EL82" s="545"/>
      <c r="EM82" s="545"/>
      <c r="EN82" s="545"/>
      <c r="EO82" s="546"/>
      <c r="EP82" s="72"/>
      <c r="EQ82" s="72"/>
      <c r="ER82" s="72"/>
      <c r="ES82" s="72"/>
      <c r="ET82" s="72"/>
      <c r="EU82" s="72"/>
      <c r="EV82" s="72"/>
      <c r="EW82" s="72"/>
      <c r="EX82" s="72"/>
      <c r="EY82" s="72"/>
      <c r="EZ82" s="72"/>
      <c r="FA82" s="72"/>
      <c r="FB82" s="72"/>
      <c r="FC82" s="72"/>
      <c r="FD82" s="72"/>
      <c r="GB82" s="249"/>
      <c r="GC82" s="249">
        <v>19</v>
      </c>
      <c r="GD82" s="45" t="s">
        <v>14367</v>
      </c>
      <c r="GE82" s="76" t="str">
        <f>抽選会資料!J23</f>
        <v>大平山アソシエーション式フットボールクラブ</v>
      </c>
      <c r="GF82" s="45" t="s">
        <v>7779</v>
      </c>
    </row>
    <row r="83" spans="1:188" ht="14.25" customHeight="1" x14ac:dyDescent="0.25">
      <c r="A83" s="268"/>
      <c r="B83" s="500"/>
      <c r="C83" s="501"/>
      <c r="D83" s="501"/>
      <c r="E83" s="501"/>
      <c r="F83" s="505"/>
      <c r="G83" s="505"/>
      <c r="H83" s="505"/>
      <c r="I83" s="505"/>
      <c r="J83" s="494"/>
      <c r="K83" s="494"/>
      <c r="L83" s="494"/>
      <c r="M83" s="495"/>
      <c r="N83" s="500"/>
      <c r="O83" s="501"/>
      <c r="P83" s="501"/>
      <c r="Q83" s="501"/>
      <c r="R83" s="505"/>
      <c r="S83" s="505"/>
      <c r="T83" s="505"/>
      <c r="U83" s="505"/>
      <c r="V83" s="494"/>
      <c r="W83" s="494"/>
      <c r="X83" s="494"/>
      <c r="Y83" s="495"/>
      <c r="Z83" s="500"/>
      <c r="AA83" s="501"/>
      <c r="AB83" s="501"/>
      <c r="AC83" s="501"/>
      <c r="AD83" s="505"/>
      <c r="AE83" s="505"/>
      <c r="AF83" s="505"/>
      <c r="AG83" s="505"/>
      <c r="AH83" s="494"/>
      <c r="AI83" s="494"/>
      <c r="AJ83" s="494"/>
      <c r="AK83" s="495"/>
      <c r="AL83" s="500"/>
      <c r="AM83" s="501"/>
      <c r="AN83" s="501"/>
      <c r="AO83" s="501"/>
      <c r="AP83" s="505"/>
      <c r="AQ83" s="505"/>
      <c r="AR83" s="505"/>
      <c r="AS83" s="505"/>
      <c r="AT83" s="545"/>
      <c r="AU83" s="545"/>
      <c r="AV83" s="545"/>
      <c r="AW83" s="546"/>
      <c r="AX83" s="500"/>
      <c r="AY83" s="501"/>
      <c r="AZ83" s="501"/>
      <c r="BA83" s="501"/>
      <c r="BB83" s="505"/>
      <c r="BC83" s="505"/>
      <c r="BD83" s="505"/>
      <c r="BE83" s="505"/>
      <c r="BF83" s="545"/>
      <c r="BG83" s="545"/>
      <c r="BH83" s="545"/>
      <c r="BI83" s="546"/>
      <c r="BJ83" s="500"/>
      <c r="BK83" s="501"/>
      <c r="BL83" s="501"/>
      <c r="BM83" s="501"/>
      <c r="BN83" s="505"/>
      <c r="BO83" s="505"/>
      <c r="BP83" s="505"/>
      <c r="BQ83" s="505"/>
      <c r="BR83" s="545"/>
      <c r="BS83" s="545"/>
      <c r="BT83" s="545"/>
      <c r="BU83" s="546"/>
      <c r="BV83" s="500"/>
      <c r="BW83" s="501"/>
      <c r="BX83" s="501"/>
      <c r="BY83" s="501"/>
      <c r="BZ83" s="505"/>
      <c r="CA83" s="505"/>
      <c r="CB83" s="505"/>
      <c r="CC83" s="505"/>
      <c r="CD83" s="494"/>
      <c r="CE83" s="494"/>
      <c r="CF83" s="494"/>
      <c r="CG83" s="495"/>
      <c r="CH83" s="500"/>
      <c r="CI83" s="501"/>
      <c r="CJ83" s="501"/>
      <c r="CK83" s="501"/>
      <c r="CL83" s="505"/>
      <c r="CM83" s="505"/>
      <c r="CN83" s="505"/>
      <c r="CO83" s="505"/>
      <c r="CP83" s="494"/>
      <c r="CQ83" s="494"/>
      <c r="CR83" s="494"/>
      <c r="CS83" s="495"/>
      <c r="CT83" s="500"/>
      <c r="CU83" s="501"/>
      <c r="CV83" s="501"/>
      <c r="CW83" s="501"/>
      <c r="CX83" s="505"/>
      <c r="CY83" s="505"/>
      <c r="CZ83" s="505"/>
      <c r="DA83" s="505"/>
      <c r="DB83" s="494"/>
      <c r="DC83" s="494"/>
      <c r="DD83" s="494"/>
      <c r="DE83" s="495"/>
      <c r="DF83" s="500"/>
      <c r="DG83" s="501"/>
      <c r="DH83" s="501"/>
      <c r="DI83" s="501"/>
      <c r="DJ83" s="505"/>
      <c r="DK83" s="505"/>
      <c r="DL83" s="505"/>
      <c r="DM83" s="505"/>
      <c r="DN83" s="545"/>
      <c r="DO83" s="545"/>
      <c r="DP83" s="545"/>
      <c r="DQ83" s="546"/>
      <c r="DR83" s="500"/>
      <c r="DS83" s="501"/>
      <c r="DT83" s="501"/>
      <c r="DU83" s="501"/>
      <c r="DV83" s="505"/>
      <c r="DW83" s="505"/>
      <c r="DX83" s="505"/>
      <c r="DY83" s="505"/>
      <c r="DZ83" s="545"/>
      <c r="EA83" s="545"/>
      <c r="EB83" s="545"/>
      <c r="EC83" s="546"/>
      <c r="ED83" s="500"/>
      <c r="EE83" s="501"/>
      <c r="EF83" s="501"/>
      <c r="EG83" s="501"/>
      <c r="EH83" s="505"/>
      <c r="EI83" s="505"/>
      <c r="EJ83" s="505"/>
      <c r="EK83" s="505"/>
      <c r="EL83" s="545"/>
      <c r="EM83" s="545"/>
      <c r="EN83" s="545"/>
      <c r="EO83" s="546"/>
      <c r="EP83" s="72"/>
      <c r="EQ83" s="72"/>
      <c r="ER83" s="72"/>
      <c r="ES83" s="72"/>
      <c r="ET83" s="72"/>
      <c r="EU83" s="72"/>
      <c r="EV83" s="73"/>
      <c r="EW83" s="73"/>
      <c r="EX83" s="73"/>
      <c r="EY83" s="73"/>
      <c r="EZ83" s="73"/>
      <c r="FA83" s="73"/>
      <c r="FB83" s="73"/>
      <c r="FC83" s="73"/>
      <c r="FD83" s="73"/>
      <c r="GB83" s="249"/>
      <c r="GC83" s="249">
        <v>1</v>
      </c>
      <c r="GD83" s="45" t="s">
        <v>14348</v>
      </c>
      <c r="GE83" s="76" t="str">
        <f>抽選会資料!J24</f>
        <v>弥生少年サッカークラブ</v>
      </c>
      <c r="GF83" s="77" t="s">
        <v>7780</v>
      </c>
    </row>
    <row r="84" spans="1:188" ht="14.25" customHeight="1" x14ac:dyDescent="0.25">
      <c r="A84" s="268"/>
      <c r="B84" s="500"/>
      <c r="C84" s="501"/>
      <c r="D84" s="501"/>
      <c r="E84" s="501"/>
      <c r="F84" s="505"/>
      <c r="G84" s="505"/>
      <c r="H84" s="505"/>
      <c r="I84" s="505"/>
      <c r="J84" s="494"/>
      <c r="K84" s="494"/>
      <c r="L84" s="494"/>
      <c r="M84" s="495"/>
      <c r="N84" s="500"/>
      <c r="O84" s="501"/>
      <c r="P84" s="501"/>
      <c r="Q84" s="501"/>
      <c r="R84" s="505"/>
      <c r="S84" s="505"/>
      <c r="T84" s="505"/>
      <c r="U84" s="505"/>
      <c r="V84" s="494"/>
      <c r="W84" s="494"/>
      <c r="X84" s="494"/>
      <c r="Y84" s="495"/>
      <c r="Z84" s="500"/>
      <c r="AA84" s="501"/>
      <c r="AB84" s="501"/>
      <c r="AC84" s="501"/>
      <c r="AD84" s="505"/>
      <c r="AE84" s="505"/>
      <c r="AF84" s="505"/>
      <c r="AG84" s="505"/>
      <c r="AH84" s="494"/>
      <c r="AI84" s="494"/>
      <c r="AJ84" s="494"/>
      <c r="AK84" s="495"/>
      <c r="AL84" s="500"/>
      <c r="AM84" s="501"/>
      <c r="AN84" s="501"/>
      <c r="AO84" s="501"/>
      <c r="AP84" s="505"/>
      <c r="AQ84" s="505"/>
      <c r="AR84" s="505"/>
      <c r="AS84" s="505"/>
      <c r="AT84" s="545"/>
      <c r="AU84" s="545"/>
      <c r="AV84" s="545"/>
      <c r="AW84" s="546"/>
      <c r="AX84" s="500"/>
      <c r="AY84" s="501"/>
      <c r="AZ84" s="501"/>
      <c r="BA84" s="501"/>
      <c r="BB84" s="505"/>
      <c r="BC84" s="505"/>
      <c r="BD84" s="505"/>
      <c r="BE84" s="505"/>
      <c r="BF84" s="545"/>
      <c r="BG84" s="545"/>
      <c r="BH84" s="545"/>
      <c r="BI84" s="546"/>
      <c r="BJ84" s="500"/>
      <c r="BK84" s="501"/>
      <c r="BL84" s="501"/>
      <c r="BM84" s="501"/>
      <c r="BN84" s="505"/>
      <c r="BO84" s="505"/>
      <c r="BP84" s="505"/>
      <c r="BQ84" s="505"/>
      <c r="BR84" s="545"/>
      <c r="BS84" s="545"/>
      <c r="BT84" s="545"/>
      <c r="BU84" s="546"/>
      <c r="BV84" s="500"/>
      <c r="BW84" s="501"/>
      <c r="BX84" s="501"/>
      <c r="BY84" s="501"/>
      <c r="BZ84" s="505"/>
      <c r="CA84" s="505"/>
      <c r="CB84" s="505"/>
      <c r="CC84" s="505"/>
      <c r="CD84" s="494"/>
      <c r="CE84" s="494"/>
      <c r="CF84" s="494"/>
      <c r="CG84" s="495"/>
      <c r="CH84" s="500"/>
      <c r="CI84" s="501"/>
      <c r="CJ84" s="501"/>
      <c r="CK84" s="501"/>
      <c r="CL84" s="505"/>
      <c r="CM84" s="505"/>
      <c r="CN84" s="505"/>
      <c r="CO84" s="505"/>
      <c r="CP84" s="494"/>
      <c r="CQ84" s="494"/>
      <c r="CR84" s="494"/>
      <c r="CS84" s="495"/>
      <c r="CT84" s="500"/>
      <c r="CU84" s="501"/>
      <c r="CV84" s="501"/>
      <c r="CW84" s="501"/>
      <c r="CX84" s="505"/>
      <c r="CY84" s="505"/>
      <c r="CZ84" s="505"/>
      <c r="DA84" s="505"/>
      <c r="DB84" s="494"/>
      <c r="DC84" s="494"/>
      <c r="DD84" s="494"/>
      <c r="DE84" s="495"/>
      <c r="DF84" s="500"/>
      <c r="DG84" s="501"/>
      <c r="DH84" s="501"/>
      <c r="DI84" s="501"/>
      <c r="DJ84" s="505"/>
      <c r="DK84" s="505"/>
      <c r="DL84" s="505"/>
      <c r="DM84" s="505"/>
      <c r="DN84" s="545"/>
      <c r="DO84" s="545"/>
      <c r="DP84" s="545"/>
      <c r="DQ84" s="546"/>
      <c r="DR84" s="500"/>
      <c r="DS84" s="501"/>
      <c r="DT84" s="501"/>
      <c r="DU84" s="501"/>
      <c r="DV84" s="505"/>
      <c r="DW84" s="505"/>
      <c r="DX84" s="505"/>
      <c r="DY84" s="505"/>
      <c r="DZ84" s="545"/>
      <c r="EA84" s="545"/>
      <c r="EB84" s="545"/>
      <c r="EC84" s="546"/>
      <c r="ED84" s="500"/>
      <c r="EE84" s="501"/>
      <c r="EF84" s="501"/>
      <c r="EG84" s="501"/>
      <c r="EH84" s="505"/>
      <c r="EI84" s="505"/>
      <c r="EJ84" s="505"/>
      <c r="EK84" s="505"/>
      <c r="EL84" s="545"/>
      <c r="EM84" s="545"/>
      <c r="EN84" s="545"/>
      <c r="EO84" s="546"/>
      <c r="EP84" s="72"/>
      <c r="EQ84" s="72"/>
      <c r="ER84" s="72"/>
      <c r="ES84" s="72"/>
      <c r="ET84" s="72"/>
      <c r="EU84" s="72"/>
      <c r="EV84" s="73"/>
      <c r="EW84" s="73"/>
      <c r="EX84" s="73"/>
      <c r="EY84" s="73"/>
      <c r="EZ84" s="73"/>
      <c r="FA84" s="73"/>
      <c r="FB84" s="73"/>
      <c r="FC84" s="73"/>
      <c r="FD84" s="73"/>
      <c r="GB84" s="249"/>
      <c r="GC84" s="249">
        <v>2</v>
      </c>
      <c r="GD84" s="45" t="s">
        <v>14349</v>
      </c>
      <c r="GE84" s="76" t="str">
        <f>抽選会資料!J25</f>
        <v>佐伯リベロフットボールクラブ</v>
      </c>
      <c r="GF84" s="77" t="s">
        <v>7780</v>
      </c>
    </row>
    <row r="85" spans="1:188" ht="14.25" customHeight="1" x14ac:dyDescent="0.25">
      <c r="A85" s="268"/>
      <c r="B85" s="500"/>
      <c r="C85" s="501"/>
      <c r="D85" s="501"/>
      <c r="E85" s="501"/>
      <c r="F85" s="505"/>
      <c r="G85" s="505"/>
      <c r="H85" s="505"/>
      <c r="I85" s="505"/>
      <c r="J85" s="494"/>
      <c r="K85" s="494"/>
      <c r="L85" s="494"/>
      <c r="M85" s="495"/>
      <c r="N85" s="500"/>
      <c r="O85" s="501"/>
      <c r="P85" s="501"/>
      <c r="Q85" s="501"/>
      <c r="R85" s="505"/>
      <c r="S85" s="505"/>
      <c r="T85" s="505"/>
      <c r="U85" s="505"/>
      <c r="V85" s="494"/>
      <c r="W85" s="494"/>
      <c r="X85" s="494"/>
      <c r="Y85" s="495"/>
      <c r="Z85" s="500"/>
      <c r="AA85" s="501"/>
      <c r="AB85" s="501"/>
      <c r="AC85" s="501"/>
      <c r="AD85" s="505"/>
      <c r="AE85" s="505"/>
      <c r="AF85" s="505"/>
      <c r="AG85" s="505"/>
      <c r="AH85" s="494"/>
      <c r="AI85" s="494"/>
      <c r="AJ85" s="494"/>
      <c r="AK85" s="495"/>
      <c r="AL85" s="500"/>
      <c r="AM85" s="501"/>
      <c r="AN85" s="501"/>
      <c r="AO85" s="501"/>
      <c r="AP85" s="505"/>
      <c r="AQ85" s="505"/>
      <c r="AR85" s="505"/>
      <c r="AS85" s="505"/>
      <c r="AT85" s="545"/>
      <c r="AU85" s="545"/>
      <c r="AV85" s="545"/>
      <c r="AW85" s="546"/>
      <c r="AX85" s="500"/>
      <c r="AY85" s="501"/>
      <c r="AZ85" s="501"/>
      <c r="BA85" s="501"/>
      <c r="BB85" s="505"/>
      <c r="BC85" s="505"/>
      <c r="BD85" s="505"/>
      <c r="BE85" s="505"/>
      <c r="BF85" s="545"/>
      <c r="BG85" s="545"/>
      <c r="BH85" s="545"/>
      <c r="BI85" s="546"/>
      <c r="BJ85" s="500"/>
      <c r="BK85" s="501"/>
      <c r="BL85" s="501"/>
      <c r="BM85" s="501"/>
      <c r="BN85" s="505"/>
      <c r="BO85" s="505"/>
      <c r="BP85" s="505"/>
      <c r="BQ85" s="505"/>
      <c r="BR85" s="545"/>
      <c r="BS85" s="545"/>
      <c r="BT85" s="545"/>
      <c r="BU85" s="546"/>
      <c r="BV85" s="500"/>
      <c r="BW85" s="501"/>
      <c r="BX85" s="501"/>
      <c r="BY85" s="501"/>
      <c r="BZ85" s="505"/>
      <c r="CA85" s="505"/>
      <c r="CB85" s="505"/>
      <c r="CC85" s="505"/>
      <c r="CD85" s="494"/>
      <c r="CE85" s="494"/>
      <c r="CF85" s="494"/>
      <c r="CG85" s="495"/>
      <c r="CH85" s="500"/>
      <c r="CI85" s="501"/>
      <c r="CJ85" s="501"/>
      <c r="CK85" s="501"/>
      <c r="CL85" s="505"/>
      <c r="CM85" s="505"/>
      <c r="CN85" s="505"/>
      <c r="CO85" s="505"/>
      <c r="CP85" s="494"/>
      <c r="CQ85" s="494"/>
      <c r="CR85" s="494"/>
      <c r="CS85" s="495"/>
      <c r="CT85" s="500"/>
      <c r="CU85" s="501"/>
      <c r="CV85" s="501"/>
      <c r="CW85" s="501"/>
      <c r="CX85" s="505"/>
      <c r="CY85" s="505"/>
      <c r="CZ85" s="505"/>
      <c r="DA85" s="505"/>
      <c r="DB85" s="494"/>
      <c r="DC85" s="494"/>
      <c r="DD85" s="494"/>
      <c r="DE85" s="495"/>
      <c r="DF85" s="500"/>
      <c r="DG85" s="501"/>
      <c r="DH85" s="501"/>
      <c r="DI85" s="501"/>
      <c r="DJ85" s="505"/>
      <c r="DK85" s="505"/>
      <c r="DL85" s="505"/>
      <c r="DM85" s="505"/>
      <c r="DN85" s="545"/>
      <c r="DO85" s="545"/>
      <c r="DP85" s="545"/>
      <c r="DQ85" s="546"/>
      <c r="DR85" s="500"/>
      <c r="DS85" s="501"/>
      <c r="DT85" s="501"/>
      <c r="DU85" s="501"/>
      <c r="DV85" s="505"/>
      <c r="DW85" s="505"/>
      <c r="DX85" s="505"/>
      <c r="DY85" s="505"/>
      <c r="DZ85" s="545"/>
      <c r="EA85" s="545"/>
      <c r="EB85" s="545"/>
      <c r="EC85" s="546"/>
      <c r="ED85" s="500"/>
      <c r="EE85" s="501"/>
      <c r="EF85" s="501"/>
      <c r="EG85" s="501"/>
      <c r="EH85" s="505"/>
      <c r="EI85" s="505"/>
      <c r="EJ85" s="505"/>
      <c r="EK85" s="505"/>
      <c r="EL85" s="545"/>
      <c r="EM85" s="545"/>
      <c r="EN85" s="545"/>
      <c r="EO85" s="546"/>
      <c r="EP85" s="72"/>
      <c r="EQ85" s="72"/>
      <c r="ER85" s="72"/>
      <c r="ES85" s="72"/>
      <c r="ET85" s="72"/>
      <c r="EU85" s="72"/>
      <c r="EV85" s="74"/>
      <c r="EW85" s="74"/>
      <c r="GB85" s="249"/>
      <c r="GC85" s="249">
        <v>12</v>
      </c>
      <c r="GD85" s="45" t="s">
        <v>14359</v>
      </c>
      <c r="GE85" s="76" t="str">
        <f>抽選会資料!J26</f>
        <v>ＯＫＹ山香サッカークラブ</v>
      </c>
      <c r="GF85" s="45" t="s">
        <v>7777</v>
      </c>
    </row>
    <row r="86" spans="1:188" ht="14.25" customHeight="1" x14ac:dyDescent="0.25">
      <c r="A86" s="268"/>
      <c r="B86" s="502"/>
      <c r="C86" s="503"/>
      <c r="D86" s="503"/>
      <c r="E86" s="503"/>
      <c r="F86" s="506"/>
      <c r="G86" s="506"/>
      <c r="H86" s="506"/>
      <c r="I86" s="506"/>
      <c r="J86" s="496"/>
      <c r="K86" s="496"/>
      <c r="L86" s="496"/>
      <c r="M86" s="497"/>
      <c r="N86" s="502"/>
      <c r="O86" s="503"/>
      <c r="P86" s="503"/>
      <c r="Q86" s="503"/>
      <c r="R86" s="506"/>
      <c r="S86" s="506"/>
      <c r="T86" s="506"/>
      <c r="U86" s="506"/>
      <c r="V86" s="496"/>
      <c r="W86" s="496"/>
      <c r="X86" s="496"/>
      <c r="Y86" s="497"/>
      <c r="Z86" s="502"/>
      <c r="AA86" s="503"/>
      <c r="AB86" s="503"/>
      <c r="AC86" s="503"/>
      <c r="AD86" s="506"/>
      <c r="AE86" s="506"/>
      <c r="AF86" s="506"/>
      <c r="AG86" s="506"/>
      <c r="AH86" s="496"/>
      <c r="AI86" s="496"/>
      <c r="AJ86" s="496"/>
      <c r="AK86" s="497"/>
      <c r="AL86" s="502"/>
      <c r="AM86" s="503"/>
      <c r="AN86" s="503"/>
      <c r="AO86" s="503"/>
      <c r="AP86" s="506"/>
      <c r="AQ86" s="506"/>
      <c r="AR86" s="506"/>
      <c r="AS86" s="506"/>
      <c r="AT86" s="547"/>
      <c r="AU86" s="547"/>
      <c r="AV86" s="547"/>
      <c r="AW86" s="548"/>
      <c r="AX86" s="502"/>
      <c r="AY86" s="503"/>
      <c r="AZ86" s="503"/>
      <c r="BA86" s="503"/>
      <c r="BB86" s="506"/>
      <c r="BC86" s="506"/>
      <c r="BD86" s="506"/>
      <c r="BE86" s="506"/>
      <c r="BF86" s="547"/>
      <c r="BG86" s="547"/>
      <c r="BH86" s="547"/>
      <c r="BI86" s="548"/>
      <c r="BJ86" s="502"/>
      <c r="BK86" s="503"/>
      <c r="BL86" s="503"/>
      <c r="BM86" s="503"/>
      <c r="BN86" s="506"/>
      <c r="BO86" s="506"/>
      <c r="BP86" s="506"/>
      <c r="BQ86" s="506"/>
      <c r="BR86" s="547"/>
      <c r="BS86" s="547"/>
      <c r="BT86" s="547"/>
      <c r="BU86" s="548"/>
      <c r="BV86" s="502"/>
      <c r="BW86" s="503"/>
      <c r="BX86" s="503"/>
      <c r="BY86" s="503"/>
      <c r="BZ86" s="506"/>
      <c r="CA86" s="506"/>
      <c r="CB86" s="506"/>
      <c r="CC86" s="506"/>
      <c r="CD86" s="496"/>
      <c r="CE86" s="496"/>
      <c r="CF86" s="496"/>
      <c r="CG86" s="497"/>
      <c r="CH86" s="502"/>
      <c r="CI86" s="503"/>
      <c r="CJ86" s="503"/>
      <c r="CK86" s="503"/>
      <c r="CL86" s="506"/>
      <c r="CM86" s="506"/>
      <c r="CN86" s="506"/>
      <c r="CO86" s="506"/>
      <c r="CP86" s="496"/>
      <c r="CQ86" s="496"/>
      <c r="CR86" s="496"/>
      <c r="CS86" s="497"/>
      <c r="CT86" s="502"/>
      <c r="CU86" s="503"/>
      <c r="CV86" s="503"/>
      <c r="CW86" s="503"/>
      <c r="CX86" s="506"/>
      <c r="CY86" s="506"/>
      <c r="CZ86" s="506"/>
      <c r="DA86" s="506"/>
      <c r="DB86" s="496"/>
      <c r="DC86" s="496"/>
      <c r="DD86" s="496"/>
      <c r="DE86" s="497"/>
      <c r="DF86" s="502"/>
      <c r="DG86" s="503"/>
      <c r="DH86" s="503"/>
      <c r="DI86" s="503"/>
      <c r="DJ86" s="506"/>
      <c r="DK86" s="506"/>
      <c r="DL86" s="506"/>
      <c r="DM86" s="506"/>
      <c r="DN86" s="547"/>
      <c r="DO86" s="547"/>
      <c r="DP86" s="547"/>
      <c r="DQ86" s="548"/>
      <c r="DR86" s="502"/>
      <c r="DS86" s="503"/>
      <c r="DT86" s="503"/>
      <c r="DU86" s="503"/>
      <c r="DV86" s="506"/>
      <c r="DW86" s="506"/>
      <c r="DX86" s="506"/>
      <c r="DY86" s="506"/>
      <c r="DZ86" s="547"/>
      <c r="EA86" s="547"/>
      <c r="EB86" s="547"/>
      <c r="EC86" s="548"/>
      <c r="ED86" s="502"/>
      <c r="EE86" s="503"/>
      <c r="EF86" s="503"/>
      <c r="EG86" s="503"/>
      <c r="EH86" s="506"/>
      <c r="EI86" s="506"/>
      <c r="EJ86" s="506"/>
      <c r="EK86" s="506"/>
      <c r="EL86" s="547"/>
      <c r="EM86" s="547"/>
      <c r="EN86" s="547"/>
      <c r="EO86" s="548"/>
      <c r="EP86" s="72"/>
      <c r="EQ86" s="72"/>
      <c r="ER86" s="72"/>
      <c r="ES86" s="72"/>
      <c r="ET86" s="72"/>
      <c r="EU86" s="72"/>
      <c r="EV86" s="74"/>
      <c r="EW86" s="74"/>
      <c r="GB86" s="315"/>
      <c r="GC86" s="249">
        <v>13</v>
      </c>
      <c r="GD86" s="45" t="s">
        <v>14360</v>
      </c>
      <c r="GE86" s="76" t="str">
        <f>抽選会資料!J27</f>
        <v>日出サッカースポーツ少年団</v>
      </c>
      <c r="GF86" s="45" t="s">
        <v>7777</v>
      </c>
    </row>
    <row r="87" spans="1:188" ht="14.25" customHeight="1" x14ac:dyDescent="0.25">
      <c r="A87" s="571" t="s">
        <v>487</v>
      </c>
      <c r="B87" s="556" t="str">
        <f>IF(B79="","",B79)</f>
        <v>中津</v>
      </c>
      <c r="C87" s="557"/>
      <c r="D87" s="557"/>
      <c r="E87" s="557"/>
      <c r="F87" s="557"/>
      <c r="G87" s="557"/>
      <c r="H87" s="557"/>
      <c r="I87" s="557"/>
      <c r="J87" s="557"/>
      <c r="K87" s="557"/>
      <c r="L87" s="557"/>
      <c r="M87" s="558"/>
      <c r="N87" s="556" t="str">
        <f>IF(N79="","",N79)</f>
        <v>臼杵・津久見</v>
      </c>
      <c r="O87" s="557"/>
      <c r="P87" s="557"/>
      <c r="Q87" s="557"/>
      <c r="R87" s="557"/>
      <c r="S87" s="557"/>
      <c r="T87" s="557"/>
      <c r="U87" s="557"/>
      <c r="V87" s="557"/>
      <c r="W87" s="557"/>
      <c r="X87" s="557"/>
      <c r="Y87" s="558"/>
      <c r="Z87" s="556" t="str">
        <f>IF(Z79="","",Z79)</f>
        <v>別府</v>
      </c>
      <c r="AA87" s="557"/>
      <c r="AB87" s="557"/>
      <c r="AC87" s="557"/>
      <c r="AD87" s="557"/>
      <c r="AE87" s="557"/>
      <c r="AF87" s="557"/>
      <c r="AG87" s="557"/>
      <c r="AH87" s="557"/>
      <c r="AI87" s="557"/>
      <c r="AJ87" s="557"/>
      <c r="AK87" s="558"/>
      <c r="AL87" s="556" t="str">
        <f>IF(AL79="","",AL79)</f>
        <v>速杵国東</v>
      </c>
      <c r="AM87" s="557"/>
      <c r="AN87" s="557"/>
      <c r="AO87" s="557"/>
      <c r="AP87" s="557"/>
      <c r="AQ87" s="557"/>
      <c r="AR87" s="557"/>
      <c r="AS87" s="557"/>
      <c r="AT87" s="557"/>
      <c r="AU87" s="557"/>
      <c r="AV87" s="557"/>
      <c r="AW87" s="558"/>
      <c r="AX87" s="556" t="str">
        <f>IF(AX79="","",AX79)</f>
        <v>宇佐高田</v>
      </c>
      <c r="AY87" s="557"/>
      <c r="AZ87" s="557"/>
      <c r="BA87" s="557"/>
      <c r="BB87" s="557"/>
      <c r="BC87" s="557"/>
      <c r="BD87" s="557"/>
      <c r="BE87" s="557"/>
      <c r="BF87" s="557"/>
      <c r="BG87" s="557"/>
      <c r="BH87" s="557"/>
      <c r="BI87" s="558"/>
      <c r="BJ87" s="556" t="str">
        <f>IF(BJ79="","",BJ79)</f>
        <v>日田・玖珠</v>
      </c>
      <c r="BK87" s="557"/>
      <c r="BL87" s="557"/>
      <c r="BM87" s="557"/>
      <c r="BN87" s="557"/>
      <c r="BO87" s="557"/>
      <c r="BP87" s="557"/>
      <c r="BQ87" s="557"/>
      <c r="BR87" s="557"/>
      <c r="BS87" s="557"/>
      <c r="BT87" s="557"/>
      <c r="BU87" s="558"/>
      <c r="BV87" s="556" t="str">
        <f>IF(BV79="","",BV79)</f>
        <v>中津</v>
      </c>
      <c r="BW87" s="557"/>
      <c r="BX87" s="557"/>
      <c r="BY87" s="557"/>
      <c r="BZ87" s="557"/>
      <c r="CA87" s="557"/>
      <c r="CB87" s="557"/>
      <c r="CC87" s="557"/>
      <c r="CD87" s="557"/>
      <c r="CE87" s="557"/>
      <c r="CF87" s="557"/>
      <c r="CG87" s="558"/>
      <c r="CH87" s="556" t="str">
        <f>IF(CH79="","",CH79)</f>
        <v>別府</v>
      </c>
      <c r="CI87" s="557"/>
      <c r="CJ87" s="557"/>
      <c r="CK87" s="557"/>
      <c r="CL87" s="557"/>
      <c r="CM87" s="557"/>
      <c r="CN87" s="557"/>
      <c r="CO87" s="557"/>
      <c r="CP87" s="557"/>
      <c r="CQ87" s="557"/>
      <c r="CR87" s="557"/>
      <c r="CS87" s="558"/>
      <c r="CT87" s="556" t="s">
        <v>14362</v>
      </c>
      <c r="CU87" s="557"/>
      <c r="CV87" s="557"/>
      <c r="CW87" s="557"/>
      <c r="CX87" s="557"/>
      <c r="CY87" s="557"/>
      <c r="CZ87" s="557"/>
      <c r="DA87" s="557"/>
      <c r="DB87" s="557"/>
      <c r="DC87" s="557"/>
      <c r="DD87" s="557"/>
      <c r="DE87" s="558"/>
      <c r="DF87" s="556" t="str">
        <f>IF(DF79="","",DF79)</f>
        <v>速杵国東</v>
      </c>
      <c r="DG87" s="557"/>
      <c r="DH87" s="557"/>
      <c r="DI87" s="557"/>
      <c r="DJ87" s="557"/>
      <c r="DK87" s="557"/>
      <c r="DL87" s="557"/>
      <c r="DM87" s="557"/>
      <c r="DN87" s="557"/>
      <c r="DO87" s="557"/>
      <c r="DP87" s="557"/>
      <c r="DQ87" s="558"/>
      <c r="DR87" s="556" t="str">
        <f>IF(DR79="","",DR79)</f>
        <v>日田・玖珠</v>
      </c>
      <c r="DS87" s="557"/>
      <c r="DT87" s="557"/>
      <c r="DU87" s="557"/>
      <c r="DV87" s="557"/>
      <c r="DW87" s="557"/>
      <c r="DX87" s="557"/>
      <c r="DY87" s="557"/>
      <c r="DZ87" s="557"/>
      <c r="EA87" s="557"/>
      <c r="EB87" s="557"/>
      <c r="EC87" s="558"/>
      <c r="ED87" s="556" t="str">
        <f>IF(ED79="","",ED79)</f>
        <v>宇佐高田</v>
      </c>
      <c r="EE87" s="557"/>
      <c r="EF87" s="557"/>
      <c r="EG87" s="557"/>
      <c r="EH87" s="557"/>
      <c r="EI87" s="557"/>
      <c r="EJ87" s="557"/>
      <c r="EK87" s="557"/>
      <c r="EL87" s="557"/>
      <c r="EM87" s="557"/>
      <c r="EN87" s="557"/>
      <c r="EO87" s="558"/>
      <c r="EP87" s="73"/>
      <c r="EQ87" s="73"/>
      <c r="ER87" s="73"/>
      <c r="ES87" s="73"/>
      <c r="ET87" s="73"/>
      <c r="EU87" s="73"/>
      <c r="EY87" s="73"/>
      <c r="EZ87" s="73"/>
      <c r="FA87" s="73"/>
      <c r="FB87" s="73"/>
      <c r="FC87" s="73"/>
      <c r="FD87" s="73"/>
      <c r="FE87" s="73"/>
      <c r="FF87" s="73"/>
      <c r="FG87" s="73"/>
      <c r="FH87" s="73"/>
      <c r="FI87" s="73"/>
      <c r="FJ87" s="73"/>
      <c r="GB87" s="316"/>
      <c r="GC87" s="249">
        <v>14</v>
      </c>
      <c r="GD87" s="45" t="s">
        <v>14361</v>
      </c>
      <c r="GE87" s="76" t="str">
        <f>抽選会資料!J28</f>
        <v>臼杵ＳＳＳ</v>
      </c>
      <c r="GF87" s="45" t="s">
        <v>7782</v>
      </c>
    </row>
    <row r="88" spans="1:188" ht="14.25" customHeight="1" x14ac:dyDescent="0.25">
      <c r="A88" s="571"/>
      <c r="B88" s="559"/>
      <c r="C88" s="560"/>
      <c r="D88" s="560"/>
      <c r="E88" s="560"/>
      <c r="F88" s="560"/>
      <c r="G88" s="560"/>
      <c r="H88" s="560"/>
      <c r="I88" s="560"/>
      <c r="J88" s="560"/>
      <c r="K88" s="560"/>
      <c r="L88" s="560"/>
      <c r="M88" s="561"/>
      <c r="N88" s="559"/>
      <c r="O88" s="560"/>
      <c r="P88" s="560"/>
      <c r="Q88" s="560"/>
      <c r="R88" s="560"/>
      <c r="S88" s="560"/>
      <c r="T88" s="560"/>
      <c r="U88" s="560"/>
      <c r="V88" s="560"/>
      <c r="W88" s="560"/>
      <c r="X88" s="560"/>
      <c r="Y88" s="561"/>
      <c r="Z88" s="559"/>
      <c r="AA88" s="560"/>
      <c r="AB88" s="560"/>
      <c r="AC88" s="560"/>
      <c r="AD88" s="560"/>
      <c r="AE88" s="560"/>
      <c r="AF88" s="560"/>
      <c r="AG88" s="560"/>
      <c r="AH88" s="560"/>
      <c r="AI88" s="560"/>
      <c r="AJ88" s="560"/>
      <c r="AK88" s="561"/>
      <c r="AL88" s="559"/>
      <c r="AM88" s="560"/>
      <c r="AN88" s="560"/>
      <c r="AO88" s="560"/>
      <c r="AP88" s="560"/>
      <c r="AQ88" s="560"/>
      <c r="AR88" s="560"/>
      <c r="AS88" s="560"/>
      <c r="AT88" s="560"/>
      <c r="AU88" s="560"/>
      <c r="AV88" s="560"/>
      <c r="AW88" s="561"/>
      <c r="AX88" s="559"/>
      <c r="AY88" s="560"/>
      <c r="AZ88" s="560"/>
      <c r="BA88" s="560"/>
      <c r="BB88" s="560"/>
      <c r="BC88" s="560"/>
      <c r="BD88" s="560"/>
      <c r="BE88" s="560"/>
      <c r="BF88" s="560"/>
      <c r="BG88" s="560"/>
      <c r="BH88" s="560"/>
      <c r="BI88" s="561"/>
      <c r="BJ88" s="559"/>
      <c r="BK88" s="560"/>
      <c r="BL88" s="560"/>
      <c r="BM88" s="560"/>
      <c r="BN88" s="560"/>
      <c r="BO88" s="560"/>
      <c r="BP88" s="560"/>
      <c r="BQ88" s="560"/>
      <c r="BR88" s="560"/>
      <c r="BS88" s="560"/>
      <c r="BT88" s="560"/>
      <c r="BU88" s="561"/>
      <c r="BV88" s="559"/>
      <c r="BW88" s="560"/>
      <c r="BX88" s="560"/>
      <c r="BY88" s="560"/>
      <c r="BZ88" s="560"/>
      <c r="CA88" s="560"/>
      <c r="CB88" s="560"/>
      <c r="CC88" s="560"/>
      <c r="CD88" s="560"/>
      <c r="CE88" s="560"/>
      <c r="CF88" s="560"/>
      <c r="CG88" s="561"/>
      <c r="CH88" s="559"/>
      <c r="CI88" s="560"/>
      <c r="CJ88" s="560"/>
      <c r="CK88" s="560"/>
      <c r="CL88" s="560"/>
      <c r="CM88" s="560"/>
      <c r="CN88" s="560"/>
      <c r="CO88" s="560"/>
      <c r="CP88" s="560"/>
      <c r="CQ88" s="560"/>
      <c r="CR88" s="560"/>
      <c r="CS88" s="561"/>
      <c r="CT88" s="559"/>
      <c r="CU88" s="560"/>
      <c r="CV88" s="560"/>
      <c r="CW88" s="560"/>
      <c r="CX88" s="560"/>
      <c r="CY88" s="560"/>
      <c r="CZ88" s="560"/>
      <c r="DA88" s="560"/>
      <c r="DB88" s="560"/>
      <c r="DC88" s="560"/>
      <c r="DD88" s="560"/>
      <c r="DE88" s="561"/>
      <c r="DF88" s="559"/>
      <c r="DG88" s="560"/>
      <c r="DH88" s="560"/>
      <c r="DI88" s="560"/>
      <c r="DJ88" s="560"/>
      <c r="DK88" s="560"/>
      <c r="DL88" s="560"/>
      <c r="DM88" s="560"/>
      <c r="DN88" s="560"/>
      <c r="DO88" s="560"/>
      <c r="DP88" s="560"/>
      <c r="DQ88" s="561"/>
      <c r="DR88" s="559"/>
      <c r="DS88" s="560"/>
      <c r="DT88" s="560"/>
      <c r="DU88" s="560"/>
      <c r="DV88" s="560"/>
      <c r="DW88" s="560"/>
      <c r="DX88" s="560"/>
      <c r="DY88" s="560"/>
      <c r="DZ88" s="560"/>
      <c r="EA88" s="560"/>
      <c r="EB88" s="560"/>
      <c r="EC88" s="561"/>
      <c r="ED88" s="559"/>
      <c r="EE88" s="560"/>
      <c r="EF88" s="560"/>
      <c r="EG88" s="560"/>
      <c r="EH88" s="560"/>
      <c r="EI88" s="560"/>
      <c r="EJ88" s="560"/>
      <c r="EK88" s="560"/>
      <c r="EL88" s="560"/>
      <c r="EM88" s="560"/>
      <c r="EN88" s="560"/>
      <c r="EO88" s="561"/>
      <c r="EP88" s="73"/>
      <c r="EQ88" s="73"/>
      <c r="ER88" s="73"/>
      <c r="ES88" s="73"/>
      <c r="ET88" s="73"/>
      <c r="EU88" s="73"/>
      <c r="EY88" s="73"/>
      <c r="EZ88" s="73"/>
      <c r="FA88" s="73"/>
      <c r="FB88" s="73"/>
      <c r="FC88" s="73"/>
      <c r="FD88" s="73"/>
      <c r="FE88" s="73"/>
      <c r="FF88" s="73"/>
      <c r="FG88" s="73"/>
      <c r="FH88" s="73"/>
      <c r="FI88" s="73"/>
      <c r="FJ88" s="73"/>
      <c r="GB88" s="316"/>
      <c r="GC88" s="249">
        <v>3</v>
      </c>
      <c r="GD88" s="45" t="s">
        <v>14350</v>
      </c>
      <c r="GE88" s="76" t="str">
        <f>抽選会資料!J29</f>
        <v>竹田直入ＦＣ</v>
      </c>
      <c r="GF88" s="45" t="s">
        <v>7783</v>
      </c>
    </row>
    <row r="89" spans="1:188" ht="14.25" customHeight="1" x14ac:dyDescent="0.25">
      <c r="A89" s="567" t="s">
        <v>430</v>
      </c>
      <c r="B89" s="569" t="s">
        <v>649</v>
      </c>
      <c r="C89" s="569"/>
      <c r="D89" s="569"/>
      <c r="E89" s="569"/>
      <c r="F89" s="569"/>
      <c r="G89" s="569"/>
      <c r="H89" s="569"/>
      <c r="I89" s="569"/>
      <c r="J89" s="569"/>
      <c r="K89" s="569"/>
      <c r="L89" s="569"/>
      <c r="M89" s="569"/>
      <c r="N89" s="569" t="s">
        <v>328</v>
      </c>
      <c r="O89" s="569"/>
      <c r="P89" s="569"/>
      <c r="Q89" s="569"/>
      <c r="R89" s="569"/>
      <c r="S89" s="569"/>
      <c r="T89" s="569"/>
      <c r="U89" s="569"/>
      <c r="V89" s="569"/>
      <c r="W89" s="569"/>
      <c r="X89" s="569"/>
      <c r="Y89" s="569"/>
      <c r="Z89" s="569" t="s">
        <v>651</v>
      </c>
      <c r="AA89" s="569"/>
      <c r="AB89" s="569"/>
      <c r="AC89" s="569"/>
      <c r="AD89" s="569"/>
      <c r="AE89" s="569"/>
      <c r="AF89" s="569"/>
      <c r="AG89" s="569"/>
      <c r="AH89" s="569"/>
      <c r="AI89" s="569"/>
      <c r="AJ89" s="569"/>
      <c r="AK89" s="569"/>
      <c r="AL89" s="569" t="s">
        <v>628</v>
      </c>
      <c r="AM89" s="569"/>
      <c r="AN89" s="569"/>
      <c r="AO89" s="569"/>
      <c r="AP89" s="569"/>
      <c r="AQ89" s="569"/>
      <c r="AR89" s="569"/>
      <c r="AS89" s="569"/>
      <c r="AT89" s="569"/>
      <c r="AU89" s="569"/>
      <c r="AV89" s="569"/>
      <c r="AW89" s="569"/>
      <c r="AX89" s="569" t="s">
        <v>655</v>
      </c>
      <c r="AY89" s="569"/>
      <c r="AZ89" s="569"/>
      <c r="BA89" s="569"/>
      <c r="BB89" s="569"/>
      <c r="BC89" s="569"/>
      <c r="BD89" s="569"/>
      <c r="BE89" s="569"/>
      <c r="BF89" s="569"/>
      <c r="BG89" s="569"/>
      <c r="BH89" s="569"/>
      <c r="BI89" s="569"/>
      <c r="BJ89" s="569" t="s">
        <v>284</v>
      </c>
      <c r="BK89" s="569"/>
      <c r="BL89" s="569"/>
      <c r="BM89" s="569"/>
      <c r="BN89" s="569"/>
      <c r="BO89" s="569"/>
      <c r="BP89" s="569"/>
      <c r="BQ89" s="569"/>
      <c r="BR89" s="569"/>
      <c r="BS89" s="569"/>
      <c r="BT89" s="569"/>
      <c r="BU89" s="569"/>
      <c r="BV89" s="569" t="s">
        <v>395</v>
      </c>
      <c r="BW89" s="569"/>
      <c r="BX89" s="569"/>
      <c r="BY89" s="569"/>
      <c r="BZ89" s="569"/>
      <c r="CA89" s="569"/>
      <c r="CB89" s="569"/>
      <c r="CC89" s="569"/>
      <c r="CD89" s="569"/>
      <c r="CE89" s="569"/>
      <c r="CF89" s="569"/>
      <c r="CG89" s="569"/>
      <c r="CH89" s="569" t="s">
        <v>429</v>
      </c>
      <c r="CI89" s="569"/>
      <c r="CJ89" s="569"/>
      <c r="CK89" s="569"/>
      <c r="CL89" s="569"/>
      <c r="CM89" s="569"/>
      <c r="CN89" s="569"/>
      <c r="CO89" s="569"/>
      <c r="CP89" s="569"/>
      <c r="CQ89" s="569"/>
      <c r="CR89" s="569"/>
      <c r="CS89" s="569"/>
      <c r="CT89" s="569" t="s">
        <v>658</v>
      </c>
      <c r="CU89" s="569"/>
      <c r="CV89" s="569"/>
      <c r="CW89" s="569"/>
      <c r="CX89" s="569"/>
      <c r="CY89" s="569"/>
      <c r="CZ89" s="569"/>
      <c r="DA89" s="569"/>
      <c r="DB89" s="569"/>
      <c r="DC89" s="569"/>
      <c r="DD89" s="569"/>
      <c r="DE89" s="569"/>
      <c r="DF89" s="569" t="s">
        <v>269</v>
      </c>
      <c r="DG89" s="569"/>
      <c r="DH89" s="569"/>
      <c r="DI89" s="569"/>
      <c r="DJ89" s="569"/>
      <c r="DK89" s="569"/>
      <c r="DL89" s="569"/>
      <c r="DM89" s="569"/>
      <c r="DN89" s="569"/>
      <c r="DO89" s="569"/>
      <c r="DP89" s="569"/>
      <c r="DQ89" s="569"/>
      <c r="DR89" s="569" t="s">
        <v>571</v>
      </c>
      <c r="DS89" s="569"/>
      <c r="DT89" s="569"/>
      <c r="DU89" s="569"/>
      <c r="DV89" s="569"/>
      <c r="DW89" s="569"/>
      <c r="DX89" s="569"/>
      <c r="DY89" s="569"/>
      <c r="DZ89" s="569"/>
      <c r="EA89" s="569"/>
      <c r="EB89" s="569"/>
      <c r="EC89" s="569"/>
      <c r="ED89" s="569" t="s">
        <v>341</v>
      </c>
      <c r="EE89" s="569"/>
      <c r="EF89" s="569"/>
      <c r="EG89" s="569"/>
      <c r="EH89" s="569"/>
      <c r="EI89" s="569"/>
      <c r="EJ89" s="569"/>
      <c r="EK89" s="569"/>
      <c r="EL89" s="569"/>
      <c r="EM89" s="569"/>
      <c r="EN89" s="569"/>
      <c r="EO89" s="569"/>
      <c r="EP89" s="74"/>
      <c r="EQ89" s="74"/>
      <c r="ER89" s="74"/>
      <c r="ES89" s="74"/>
      <c r="ET89" s="74"/>
      <c r="EU89" s="74"/>
      <c r="GC89" s="249"/>
      <c r="GE89" s="76"/>
      <c r="GF89" s="76"/>
    </row>
    <row r="90" spans="1:188" ht="14.25" customHeight="1" x14ac:dyDescent="0.25">
      <c r="A90" s="568"/>
      <c r="B90" s="570"/>
      <c r="C90" s="570"/>
      <c r="D90" s="570"/>
      <c r="E90" s="570"/>
      <c r="F90" s="570"/>
      <c r="G90" s="570"/>
      <c r="H90" s="570"/>
      <c r="I90" s="570"/>
      <c r="J90" s="570"/>
      <c r="K90" s="570"/>
      <c r="L90" s="570"/>
      <c r="M90" s="570"/>
      <c r="N90" s="570"/>
      <c r="O90" s="570"/>
      <c r="P90" s="570"/>
      <c r="Q90" s="570"/>
      <c r="R90" s="570"/>
      <c r="S90" s="570"/>
      <c r="T90" s="570"/>
      <c r="U90" s="570"/>
      <c r="V90" s="570"/>
      <c r="W90" s="570"/>
      <c r="X90" s="570"/>
      <c r="Y90" s="570"/>
      <c r="Z90" s="570"/>
      <c r="AA90" s="570"/>
      <c r="AB90" s="570"/>
      <c r="AC90" s="570"/>
      <c r="AD90" s="570"/>
      <c r="AE90" s="570"/>
      <c r="AF90" s="570"/>
      <c r="AG90" s="570"/>
      <c r="AH90" s="570"/>
      <c r="AI90" s="570"/>
      <c r="AJ90" s="570"/>
      <c r="AK90" s="570"/>
      <c r="AL90" s="570"/>
      <c r="AM90" s="570"/>
      <c r="AN90" s="570"/>
      <c r="AO90" s="570"/>
      <c r="AP90" s="570"/>
      <c r="AQ90" s="570"/>
      <c r="AR90" s="570"/>
      <c r="AS90" s="570"/>
      <c r="AT90" s="570"/>
      <c r="AU90" s="570"/>
      <c r="AV90" s="570"/>
      <c r="AW90" s="570"/>
      <c r="AX90" s="570"/>
      <c r="AY90" s="570"/>
      <c r="AZ90" s="570"/>
      <c r="BA90" s="570"/>
      <c r="BB90" s="570"/>
      <c r="BC90" s="570"/>
      <c r="BD90" s="570"/>
      <c r="BE90" s="570"/>
      <c r="BF90" s="570"/>
      <c r="BG90" s="570"/>
      <c r="BH90" s="570"/>
      <c r="BI90" s="570"/>
      <c r="BJ90" s="570"/>
      <c r="BK90" s="570"/>
      <c r="BL90" s="570"/>
      <c r="BM90" s="570"/>
      <c r="BN90" s="570"/>
      <c r="BO90" s="570"/>
      <c r="BP90" s="570"/>
      <c r="BQ90" s="570"/>
      <c r="BR90" s="570"/>
      <c r="BS90" s="570"/>
      <c r="BT90" s="570"/>
      <c r="BU90" s="570"/>
      <c r="BV90" s="570"/>
      <c r="BW90" s="570"/>
      <c r="BX90" s="570"/>
      <c r="BY90" s="570"/>
      <c r="BZ90" s="570"/>
      <c r="CA90" s="570"/>
      <c r="CB90" s="570"/>
      <c r="CC90" s="570"/>
      <c r="CD90" s="570"/>
      <c r="CE90" s="570"/>
      <c r="CF90" s="570"/>
      <c r="CG90" s="570"/>
      <c r="CH90" s="570"/>
      <c r="CI90" s="570"/>
      <c r="CJ90" s="570"/>
      <c r="CK90" s="570"/>
      <c r="CL90" s="570"/>
      <c r="CM90" s="570"/>
      <c r="CN90" s="570"/>
      <c r="CO90" s="570"/>
      <c r="CP90" s="570"/>
      <c r="CQ90" s="570"/>
      <c r="CR90" s="570"/>
      <c r="CS90" s="570"/>
      <c r="CT90" s="570"/>
      <c r="CU90" s="570"/>
      <c r="CV90" s="570"/>
      <c r="CW90" s="570"/>
      <c r="CX90" s="570"/>
      <c r="CY90" s="570"/>
      <c r="CZ90" s="570"/>
      <c r="DA90" s="570"/>
      <c r="DB90" s="570"/>
      <c r="DC90" s="570"/>
      <c r="DD90" s="570"/>
      <c r="DE90" s="570"/>
      <c r="DF90" s="570"/>
      <c r="DG90" s="570"/>
      <c r="DH90" s="570"/>
      <c r="DI90" s="570"/>
      <c r="DJ90" s="570"/>
      <c r="DK90" s="570"/>
      <c r="DL90" s="570"/>
      <c r="DM90" s="570"/>
      <c r="DN90" s="570"/>
      <c r="DO90" s="570"/>
      <c r="DP90" s="570"/>
      <c r="DQ90" s="570"/>
      <c r="DR90" s="570"/>
      <c r="DS90" s="570"/>
      <c r="DT90" s="570"/>
      <c r="DU90" s="570"/>
      <c r="DV90" s="570"/>
      <c r="DW90" s="570"/>
      <c r="DX90" s="570"/>
      <c r="DY90" s="570"/>
      <c r="DZ90" s="570"/>
      <c r="EA90" s="570"/>
      <c r="EB90" s="570"/>
      <c r="EC90" s="570"/>
      <c r="ED90" s="570"/>
      <c r="EE90" s="570"/>
      <c r="EF90" s="570"/>
      <c r="EG90" s="570"/>
      <c r="EH90" s="570"/>
      <c r="EI90" s="570"/>
      <c r="EJ90" s="570"/>
      <c r="EK90" s="570"/>
      <c r="EL90" s="570"/>
      <c r="EM90" s="570"/>
      <c r="EN90" s="570"/>
      <c r="EO90" s="570"/>
      <c r="EP90" s="74"/>
      <c r="EQ90" s="74"/>
      <c r="ER90" s="74"/>
      <c r="ES90" s="74"/>
      <c r="ET90" s="74"/>
      <c r="EU90" s="74"/>
    </row>
    <row r="91" spans="1:188" ht="14.25" customHeight="1" x14ac:dyDescent="0.25"/>
    <row r="92" spans="1:188" ht="14.25" customHeight="1" x14ac:dyDescent="0.25"/>
    <row r="93" spans="1:188" ht="14.25" hidden="1" customHeight="1" x14ac:dyDescent="0.25">
      <c r="AX93" s="556" t="s">
        <v>430</v>
      </c>
      <c r="AY93" s="557"/>
      <c r="AZ93" s="557"/>
      <c r="BA93" s="557"/>
      <c r="BB93" s="557"/>
      <c r="BC93" s="557"/>
      <c r="BD93" s="557"/>
      <c r="BE93" s="557"/>
      <c r="BF93" s="557"/>
      <c r="BG93" s="557"/>
      <c r="BH93" s="557"/>
      <c r="BI93" s="558"/>
      <c r="BJ93" s="556" t="s">
        <v>430</v>
      </c>
      <c r="BK93" s="557"/>
      <c r="BL93" s="557"/>
      <c r="BM93" s="557"/>
      <c r="BN93" s="557"/>
      <c r="BO93" s="557"/>
      <c r="BP93" s="557"/>
      <c r="BQ93" s="557"/>
      <c r="BR93" s="557"/>
      <c r="BS93" s="557"/>
      <c r="BT93" s="557"/>
      <c r="BU93" s="558"/>
    </row>
    <row r="94" spans="1:188" ht="14.25" hidden="1" customHeight="1" x14ac:dyDescent="0.25">
      <c r="AX94" s="559"/>
      <c r="AY94" s="560"/>
      <c r="AZ94" s="560"/>
      <c r="BA94" s="560"/>
      <c r="BB94" s="560"/>
      <c r="BC94" s="560"/>
      <c r="BD94" s="560"/>
      <c r="BE94" s="560"/>
      <c r="BF94" s="560"/>
      <c r="BG94" s="560"/>
      <c r="BH94" s="560"/>
      <c r="BI94" s="561"/>
      <c r="BJ94" s="559"/>
      <c r="BK94" s="560"/>
      <c r="BL94" s="560"/>
      <c r="BM94" s="560"/>
      <c r="BN94" s="560"/>
      <c r="BO94" s="560"/>
      <c r="BP94" s="560"/>
      <c r="BQ94" s="560"/>
      <c r="BR94" s="560"/>
      <c r="BS94" s="560"/>
      <c r="BT94" s="560"/>
      <c r="BU94" s="561"/>
    </row>
    <row r="95" spans="1:188" ht="15" hidden="1" customHeight="1" x14ac:dyDescent="0.25">
      <c r="AL95" s="556" t="s">
        <v>454</v>
      </c>
      <c r="AM95" s="557"/>
      <c r="AN95" s="557"/>
      <c r="AO95" s="557"/>
      <c r="AP95" s="557"/>
      <c r="AQ95" s="557"/>
      <c r="AR95" s="557"/>
      <c r="AS95" s="557"/>
      <c r="AT95" s="557"/>
      <c r="AU95" s="557"/>
      <c r="AV95" s="557"/>
      <c r="AW95" s="558"/>
      <c r="AX95" s="556" t="s">
        <v>14385</v>
      </c>
      <c r="AY95" s="557"/>
      <c r="AZ95" s="557"/>
      <c r="BA95" s="557"/>
      <c r="BB95" s="557"/>
      <c r="BC95" s="557"/>
      <c r="BD95" s="557"/>
      <c r="BE95" s="557"/>
      <c r="BF95" s="557"/>
      <c r="BG95" s="557"/>
      <c r="BH95" s="557"/>
      <c r="BI95" s="558"/>
      <c r="BJ95" s="556" t="s">
        <v>14391</v>
      </c>
      <c r="BK95" s="557"/>
      <c r="BL95" s="557"/>
      <c r="BM95" s="557"/>
      <c r="BN95" s="557"/>
      <c r="BO95" s="557"/>
      <c r="BP95" s="557"/>
      <c r="BQ95" s="557"/>
      <c r="BR95" s="557"/>
      <c r="BS95" s="557"/>
      <c r="BT95" s="557"/>
      <c r="BU95" s="558"/>
    </row>
    <row r="96" spans="1:188" ht="14.25" hidden="1" customHeight="1" x14ac:dyDescent="0.25">
      <c r="AB96" s="45"/>
      <c r="AL96" s="559"/>
      <c r="AM96" s="560"/>
      <c r="AN96" s="560"/>
      <c r="AO96" s="560"/>
      <c r="AP96" s="560"/>
      <c r="AQ96" s="560"/>
      <c r="AR96" s="560"/>
      <c r="AS96" s="560"/>
      <c r="AT96" s="560"/>
      <c r="AU96" s="560"/>
      <c r="AV96" s="560"/>
      <c r="AW96" s="561"/>
      <c r="AX96" s="559"/>
      <c r="AY96" s="560"/>
      <c r="AZ96" s="560"/>
      <c r="BA96" s="560"/>
      <c r="BB96" s="560"/>
      <c r="BC96" s="560"/>
      <c r="BD96" s="560"/>
      <c r="BE96" s="560"/>
      <c r="BF96" s="560"/>
      <c r="BG96" s="560"/>
      <c r="BH96" s="560"/>
      <c r="BI96" s="561"/>
      <c r="BJ96" s="559"/>
      <c r="BK96" s="560"/>
      <c r="BL96" s="560"/>
      <c r="BM96" s="560"/>
      <c r="BN96" s="560"/>
      <c r="BO96" s="560"/>
      <c r="BP96" s="560"/>
      <c r="BQ96" s="560"/>
      <c r="BR96" s="560"/>
      <c r="BS96" s="560"/>
      <c r="BT96" s="560"/>
      <c r="BU96" s="561"/>
    </row>
    <row r="97" spans="28:73" ht="14.25" hidden="1" customHeight="1" x14ac:dyDescent="0.25">
      <c r="AB97" s="45"/>
      <c r="AL97" s="556" t="s">
        <v>2123</v>
      </c>
      <c r="AM97" s="557"/>
      <c r="AN97" s="557"/>
      <c r="AO97" s="557"/>
      <c r="AP97" s="557"/>
      <c r="AQ97" s="557"/>
      <c r="AR97" s="557"/>
      <c r="AS97" s="557"/>
      <c r="AT97" s="557"/>
      <c r="AU97" s="557"/>
      <c r="AV97" s="557"/>
      <c r="AW97" s="558"/>
      <c r="AX97" s="556" t="s">
        <v>14388</v>
      </c>
      <c r="AY97" s="557"/>
      <c r="AZ97" s="557"/>
      <c r="BA97" s="557"/>
      <c r="BB97" s="557"/>
      <c r="BC97" s="557"/>
      <c r="BD97" s="557"/>
      <c r="BE97" s="557"/>
      <c r="BF97" s="557"/>
      <c r="BG97" s="557"/>
      <c r="BH97" s="557"/>
      <c r="BI97" s="558"/>
      <c r="BJ97" s="556" t="s">
        <v>14394</v>
      </c>
      <c r="BK97" s="557"/>
      <c r="BL97" s="557"/>
      <c r="BM97" s="557"/>
      <c r="BN97" s="557"/>
      <c r="BO97" s="557"/>
      <c r="BP97" s="557"/>
      <c r="BQ97" s="557"/>
      <c r="BR97" s="557"/>
      <c r="BS97" s="557"/>
      <c r="BT97" s="557"/>
      <c r="BU97" s="558"/>
    </row>
    <row r="98" spans="28:73" ht="14.25" hidden="1" customHeight="1" x14ac:dyDescent="0.25">
      <c r="AB98" s="45"/>
      <c r="AL98" s="559"/>
      <c r="AM98" s="560"/>
      <c r="AN98" s="560"/>
      <c r="AO98" s="560"/>
      <c r="AP98" s="560"/>
      <c r="AQ98" s="560"/>
      <c r="AR98" s="560"/>
      <c r="AS98" s="560"/>
      <c r="AT98" s="560"/>
      <c r="AU98" s="560"/>
      <c r="AV98" s="560"/>
      <c r="AW98" s="561"/>
      <c r="AX98" s="559"/>
      <c r="AY98" s="560"/>
      <c r="AZ98" s="560"/>
      <c r="BA98" s="560"/>
      <c r="BB98" s="560"/>
      <c r="BC98" s="560"/>
      <c r="BD98" s="560"/>
      <c r="BE98" s="560"/>
      <c r="BF98" s="560"/>
      <c r="BG98" s="560"/>
      <c r="BH98" s="560"/>
      <c r="BI98" s="561"/>
      <c r="BJ98" s="559"/>
      <c r="BK98" s="560"/>
      <c r="BL98" s="560"/>
      <c r="BM98" s="560"/>
      <c r="BN98" s="560"/>
      <c r="BO98" s="560"/>
      <c r="BP98" s="560"/>
      <c r="BQ98" s="560"/>
      <c r="BR98" s="560"/>
      <c r="BS98" s="560"/>
      <c r="BT98" s="560"/>
      <c r="BU98" s="561"/>
    </row>
    <row r="99" spans="28:73" ht="15" hidden="1" customHeight="1" x14ac:dyDescent="0.25">
      <c r="AB99" s="45"/>
      <c r="AL99" s="556" t="s">
        <v>2867</v>
      </c>
      <c r="AM99" s="557"/>
      <c r="AN99" s="557"/>
      <c r="AO99" s="557"/>
      <c r="AP99" s="557"/>
      <c r="AQ99" s="557"/>
      <c r="AR99" s="557"/>
      <c r="AS99" s="557"/>
      <c r="AT99" s="557"/>
      <c r="AU99" s="557"/>
      <c r="AV99" s="557"/>
      <c r="AW99" s="558"/>
      <c r="AX99" s="556" t="s">
        <v>14390</v>
      </c>
      <c r="AY99" s="557"/>
      <c r="AZ99" s="557"/>
      <c r="BA99" s="557"/>
      <c r="BB99" s="557"/>
      <c r="BC99" s="557"/>
      <c r="BD99" s="557"/>
      <c r="BE99" s="557"/>
      <c r="BF99" s="557"/>
      <c r="BG99" s="557"/>
      <c r="BH99" s="557"/>
      <c r="BI99" s="558"/>
      <c r="BJ99" s="556" t="s">
        <v>14395</v>
      </c>
      <c r="BK99" s="557"/>
      <c r="BL99" s="557"/>
      <c r="BM99" s="557"/>
      <c r="BN99" s="557"/>
      <c r="BO99" s="557"/>
      <c r="BP99" s="557"/>
      <c r="BQ99" s="557"/>
      <c r="BR99" s="557"/>
      <c r="BS99" s="557"/>
      <c r="BT99" s="557"/>
      <c r="BU99" s="558"/>
    </row>
    <row r="100" spans="28:73" hidden="1" x14ac:dyDescent="0.25">
      <c r="AB100" s="45"/>
      <c r="AL100" s="559"/>
      <c r="AM100" s="560"/>
      <c r="AN100" s="560"/>
      <c r="AO100" s="560"/>
      <c r="AP100" s="560"/>
      <c r="AQ100" s="560"/>
      <c r="AR100" s="560"/>
      <c r="AS100" s="560"/>
      <c r="AT100" s="560"/>
      <c r="AU100" s="560"/>
      <c r="AV100" s="560"/>
      <c r="AW100" s="561"/>
      <c r="AX100" s="559"/>
      <c r="AY100" s="560"/>
      <c r="AZ100" s="560"/>
      <c r="BA100" s="560"/>
      <c r="BB100" s="560"/>
      <c r="BC100" s="560"/>
      <c r="BD100" s="560"/>
      <c r="BE100" s="560"/>
      <c r="BF100" s="560"/>
      <c r="BG100" s="560"/>
      <c r="BH100" s="560"/>
      <c r="BI100" s="561"/>
      <c r="BJ100" s="559"/>
      <c r="BK100" s="560"/>
      <c r="BL100" s="560"/>
      <c r="BM100" s="560"/>
      <c r="BN100" s="560"/>
      <c r="BO100" s="560"/>
      <c r="BP100" s="560"/>
      <c r="BQ100" s="560"/>
      <c r="BR100" s="560"/>
      <c r="BS100" s="560"/>
      <c r="BT100" s="560"/>
      <c r="BU100" s="561"/>
    </row>
    <row r="101" spans="28:73" hidden="1" x14ac:dyDescent="0.25">
      <c r="AB101" s="45"/>
      <c r="AL101" s="556" t="s">
        <v>457</v>
      </c>
      <c r="AM101" s="557"/>
      <c r="AN101" s="557"/>
      <c r="AO101" s="557"/>
      <c r="AP101" s="557"/>
      <c r="AQ101" s="557"/>
      <c r="AR101" s="557"/>
      <c r="AS101" s="557"/>
      <c r="AT101" s="557"/>
      <c r="AU101" s="557"/>
      <c r="AV101" s="557"/>
      <c r="AW101" s="558"/>
      <c r="AX101" s="556" t="s">
        <v>14387</v>
      </c>
      <c r="AY101" s="557"/>
      <c r="AZ101" s="557"/>
      <c r="BA101" s="557"/>
      <c r="BB101" s="557"/>
      <c r="BC101" s="557"/>
      <c r="BD101" s="557"/>
      <c r="BE101" s="557"/>
      <c r="BF101" s="557"/>
      <c r="BG101" s="557"/>
      <c r="BH101" s="557"/>
      <c r="BI101" s="558"/>
      <c r="BJ101" s="556" t="s">
        <v>14392</v>
      </c>
      <c r="BK101" s="557"/>
      <c r="BL101" s="557"/>
      <c r="BM101" s="557"/>
      <c r="BN101" s="557"/>
      <c r="BO101" s="557"/>
      <c r="BP101" s="557"/>
      <c r="BQ101" s="557"/>
      <c r="BR101" s="557"/>
      <c r="BS101" s="557"/>
      <c r="BT101" s="557"/>
      <c r="BU101" s="558"/>
    </row>
    <row r="102" spans="28:73" hidden="1" x14ac:dyDescent="0.25">
      <c r="AB102" s="45"/>
      <c r="AL102" s="559"/>
      <c r="AM102" s="560"/>
      <c r="AN102" s="560"/>
      <c r="AO102" s="560"/>
      <c r="AP102" s="560"/>
      <c r="AQ102" s="560"/>
      <c r="AR102" s="560"/>
      <c r="AS102" s="560"/>
      <c r="AT102" s="560"/>
      <c r="AU102" s="560"/>
      <c r="AV102" s="560"/>
      <c r="AW102" s="561"/>
      <c r="AX102" s="559"/>
      <c r="AY102" s="560"/>
      <c r="AZ102" s="560"/>
      <c r="BA102" s="560"/>
      <c r="BB102" s="560"/>
      <c r="BC102" s="560"/>
      <c r="BD102" s="560"/>
      <c r="BE102" s="560"/>
      <c r="BF102" s="560"/>
      <c r="BG102" s="560"/>
      <c r="BH102" s="560"/>
      <c r="BI102" s="561"/>
      <c r="BJ102" s="559"/>
      <c r="BK102" s="560"/>
      <c r="BL102" s="560"/>
      <c r="BM102" s="560"/>
      <c r="BN102" s="560"/>
      <c r="BO102" s="560"/>
      <c r="BP102" s="560"/>
      <c r="BQ102" s="560"/>
      <c r="BR102" s="560"/>
      <c r="BS102" s="560"/>
      <c r="BT102" s="560"/>
      <c r="BU102" s="561"/>
    </row>
    <row r="103" spans="28:73" hidden="1" x14ac:dyDescent="0.25">
      <c r="AB103" s="45"/>
      <c r="AL103" s="556" t="s">
        <v>624</v>
      </c>
      <c r="AM103" s="557"/>
      <c r="AN103" s="557"/>
      <c r="AO103" s="557"/>
      <c r="AP103" s="557"/>
      <c r="AQ103" s="557"/>
      <c r="AR103" s="557"/>
      <c r="AS103" s="557"/>
      <c r="AT103" s="557"/>
      <c r="AU103" s="557"/>
      <c r="AV103" s="557"/>
      <c r="AW103" s="558"/>
      <c r="AX103" s="556"/>
      <c r="AY103" s="557"/>
      <c r="AZ103" s="557"/>
      <c r="BA103" s="557"/>
      <c r="BB103" s="557"/>
      <c r="BC103" s="557"/>
      <c r="BD103" s="557"/>
      <c r="BE103" s="557"/>
      <c r="BF103" s="557"/>
      <c r="BG103" s="557"/>
      <c r="BH103" s="557"/>
      <c r="BI103" s="558"/>
      <c r="BJ103" s="556"/>
      <c r="BK103" s="557"/>
      <c r="BL103" s="557"/>
      <c r="BM103" s="557"/>
      <c r="BN103" s="557"/>
      <c r="BO103" s="557"/>
      <c r="BP103" s="557"/>
      <c r="BQ103" s="557"/>
      <c r="BR103" s="557"/>
      <c r="BS103" s="557"/>
      <c r="BT103" s="557"/>
      <c r="BU103" s="558"/>
    </row>
    <row r="104" spans="28:73" hidden="1" x14ac:dyDescent="0.25">
      <c r="AB104" s="45"/>
      <c r="AL104" s="559"/>
      <c r="AM104" s="560"/>
      <c r="AN104" s="560"/>
      <c r="AO104" s="560"/>
      <c r="AP104" s="560"/>
      <c r="AQ104" s="560"/>
      <c r="AR104" s="560"/>
      <c r="AS104" s="560"/>
      <c r="AT104" s="560"/>
      <c r="AU104" s="560"/>
      <c r="AV104" s="560"/>
      <c r="AW104" s="561"/>
      <c r="AX104" s="559"/>
      <c r="AY104" s="560"/>
      <c r="AZ104" s="560"/>
      <c r="BA104" s="560"/>
      <c r="BB104" s="560"/>
      <c r="BC104" s="560"/>
      <c r="BD104" s="560"/>
      <c r="BE104" s="560"/>
      <c r="BF104" s="560"/>
      <c r="BG104" s="560"/>
      <c r="BH104" s="560"/>
      <c r="BI104" s="561"/>
      <c r="BJ104" s="559"/>
      <c r="BK104" s="560"/>
      <c r="BL104" s="560"/>
      <c r="BM104" s="560"/>
      <c r="BN104" s="560"/>
      <c r="BO104" s="560"/>
      <c r="BP104" s="560"/>
      <c r="BQ104" s="560"/>
      <c r="BR104" s="560"/>
      <c r="BS104" s="560"/>
      <c r="BT104" s="560"/>
      <c r="BU104" s="561"/>
    </row>
    <row r="105" spans="28:73" hidden="1" x14ac:dyDescent="0.25">
      <c r="AL105" s="556" t="s">
        <v>711</v>
      </c>
      <c r="AM105" s="557"/>
      <c r="AN105" s="557"/>
      <c r="AO105" s="557"/>
      <c r="AP105" s="557"/>
      <c r="AQ105" s="557"/>
      <c r="AR105" s="557"/>
      <c r="AS105" s="557"/>
      <c r="AT105" s="557"/>
      <c r="AU105" s="557"/>
      <c r="AV105" s="557"/>
      <c r="AW105" s="558"/>
      <c r="AX105" s="556" t="s">
        <v>14389</v>
      </c>
      <c r="AY105" s="557"/>
      <c r="AZ105" s="557"/>
      <c r="BA105" s="557"/>
      <c r="BB105" s="557"/>
      <c r="BC105" s="557"/>
      <c r="BD105" s="557"/>
      <c r="BE105" s="557"/>
      <c r="BF105" s="557"/>
      <c r="BG105" s="557"/>
      <c r="BH105" s="557"/>
      <c r="BI105" s="558"/>
      <c r="BJ105" s="556" t="s">
        <v>14396</v>
      </c>
      <c r="BK105" s="557"/>
      <c r="BL105" s="557"/>
      <c r="BM105" s="557"/>
      <c r="BN105" s="557"/>
      <c r="BO105" s="557"/>
      <c r="BP105" s="557"/>
      <c r="BQ105" s="557"/>
      <c r="BR105" s="557"/>
      <c r="BS105" s="557"/>
      <c r="BT105" s="557"/>
      <c r="BU105" s="558"/>
    </row>
    <row r="106" spans="28:73" hidden="1" x14ac:dyDescent="0.25">
      <c r="AL106" s="559"/>
      <c r="AM106" s="560"/>
      <c r="AN106" s="560"/>
      <c r="AO106" s="560"/>
      <c r="AP106" s="560"/>
      <c r="AQ106" s="560"/>
      <c r="AR106" s="560"/>
      <c r="AS106" s="560"/>
      <c r="AT106" s="560"/>
      <c r="AU106" s="560"/>
      <c r="AV106" s="560"/>
      <c r="AW106" s="561"/>
      <c r="AX106" s="559"/>
      <c r="AY106" s="560"/>
      <c r="AZ106" s="560"/>
      <c r="BA106" s="560"/>
      <c r="BB106" s="560"/>
      <c r="BC106" s="560"/>
      <c r="BD106" s="560"/>
      <c r="BE106" s="560"/>
      <c r="BF106" s="560"/>
      <c r="BG106" s="560"/>
      <c r="BH106" s="560"/>
      <c r="BI106" s="561"/>
      <c r="BJ106" s="559"/>
      <c r="BK106" s="560"/>
      <c r="BL106" s="560"/>
      <c r="BM106" s="560"/>
      <c r="BN106" s="560"/>
      <c r="BO106" s="560"/>
      <c r="BP106" s="560"/>
      <c r="BQ106" s="560"/>
      <c r="BR106" s="560"/>
      <c r="BS106" s="560"/>
      <c r="BT106" s="560"/>
      <c r="BU106" s="561"/>
    </row>
    <row r="107" spans="28:73" hidden="1" x14ac:dyDescent="0.25">
      <c r="AL107" s="556" t="s">
        <v>733</v>
      </c>
      <c r="AM107" s="557"/>
      <c r="AN107" s="557"/>
      <c r="AO107" s="557"/>
      <c r="AP107" s="557"/>
      <c r="AQ107" s="557"/>
      <c r="AR107" s="557"/>
      <c r="AS107" s="557"/>
      <c r="AT107" s="557"/>
      <c r="AU107" s="557"/>
      <c r="AV107" s="557"/>
      <c r="AW107" s="558"/>
      <c r="AX107" s="556"/>
      <c r="AY107" s="557"/>
      <c r="AZ107" s="557"/>
      <c r="BA107" s="557"/>
      <c r="BB107" s="557"/>
      <c r="BC107" s="557"/>
      <c r="BD107" s="557"/>
      <c r="BE107" s="557"/>
      <c r="BF107" s="557"/>
      <c r="BG107" s="557"/>
      <c r="BH107" s="557"/>
      <c r="BI107" s="558"/>
      <c r="BJ107" s="556"/>
      <c r="BK107" s="557"/>
      <c r="BL107" s="557"/>
      <c r="BM107" s="557"/>
      <c r="BN107" s="557"/>
      <c r="BO107" s="557"/>
      <c r="BP107" s="557"/>
      <c r="BQ107" s="557"/>
      <c r="BR107" s="557"/>
      <c r="BS107" s="557"/>
      <c r="BT107" s="557"/>
      <c r="BU107" s="558"/>
    </row>
    <row r="108" spans="28:73" hidden="1" x14ac:dyDescent="0.25">
      <c r="AL108" s="559"/>
      <c r="AM108" s="560"/>
      <c r="AN108" s="560"/>
      <c r="AO108" s="560"/>
      <c r="AP108" s="560"/>
      <c r="AQ108" s="560"/>
      <c r="AR108" s="560"/>
      <c r="AS108" s="560"/>
      <c r="AT108" s="560"/>
      <c r="AU108" s="560"/>
      <c r="AV108" s="560"/>
      <c r="AW108" s="561"/>
      <c r="AX108" s="559"/>
      <c r="AY108" s="560"/>
      <c r="AZ108" s="560"/>
      <c r="BA108" s="560"/>
      <c r="BB108" s="560"/>
      <c r="BC108" s="560"/>
      <c r="BD108" s="560"/>
      <c r="BE108" s="560"/>
      <c r="BF108" s="560"/>
      <c r="BG108" s="560"/>
      <c r="BH108" s="560"/>
      <c r="BI108" s="561"/>
      <c r="BJ108" s="559"/>
      <c r="BK108" s="560"/>
      <c r="BL108" s="560"/>
      <c r="BM108" s="560"/>
      <c r="BN108" s="560"/>
      <c r="BO108" s="560"/>
      <c r="BP108" s="560"/>
      <c r="BQ108" s="560"/>
      <c r="BR108" s="560"/>
      <c r="BS108" s="560"/>
      <c r="BT108" s="560"/>
      <c r="BU108" s="561"/>
    </row>
    <row r="109" spans="28:73" hidden="1" x14ac:dyDescent="0.25">
      <c r="AL109" s="556" t="s">
        <v>5593</v>
      </c>
      <c r="AM109" s="557"/>
      <c r="AN109" s="557"/>
      <c r="AO109" s="557"/>
      <c r="AP109" s="557"/>
      <c r="AQ109" s="557"/>
      <c r="AR109" s="557"/>
      <c r="AS109" s="557"/>
      <c r="AT109" s="557"/>
      <c r="AU109" s="557"/>
      <c r="AV109" s="557"/>
      <c r="AW109" s="558"/>
      <c r="AX109" s="556" t="s">
        <v>14386</v>
      </c>
      <c r="AY109" s="557"/>
      <c r="AZ109" s="557"/>
      <c r="BA109" s="557"/>
      <c r="BB109" s="557"/>
      <c r="BC109" s="557"/>
      <c r="BD109" s="557"/>
      <c r="BE109" s="557"/>
      <c r="BF109" s="557"/>
      <c r="BG109" s="557"/>
      <c r="BH109" s="557"/>
      <c r="BI109" s="558"/>
      <c r="BJ109" s="556" t="s">
        <v>14393</v>
      </c>
      <c r="BK109" s="557"/>
      <c r="BL109" s="557"/>
      <c r="BM109" s="557"/>
      <c r="BN109" s="557"/>
      <c r="BO109" s="557"/>
      <c r="BP109" s="557"/>
      <c r="BQ109" s="557"/>
      <c r="BR109" s="557"/>
      <c r="BS109" s="557"/>
      <c r="BT109" s="557"/>
      <c r="BU109" s="558"/>
    </row>
    <row r="110" spans="28:73" hidden="1" x14ac:dyDescent="0.25">
      <c r="AL110" s="559"/>
      <c r="AM110" s="560"/>
      <c r="AN110" s="560"/>
      <c r="AO110" s="560"/>
      <c r="AP110" s="560"/>
      <c r="AQ110" s="560"/>
      <c r="AR110" s="560"/>
      <c r="AS110" s="560"/>
      <c r="AT110" s="560"/>
      <c r="AU110" s="560"/>
      <c r="AV110" s="560"/>
      <c r="AW110" s="561"/>
      <c r="AX110" s="559"/>
      <c r="AY110" s="560"/>
      <c r="AZ110" s="560"/>
      <c r="BA110" s="560"/>
      <c r="BB110" s="560"/>
      <c r="BC110" s="560"/>
      <c r="BD110" s="560"/>
      <c r="BE110" s="560"/>
      <c r="BF110" s="560"/>
      <c r="BG110" s="560"/>
      <c r="BH110" s="560"/>
      <c r="BI110" s="561"/>
      <c r="BJ110" s="559"/>
      <c r="BK110" s="560"/>
      <c r="BL110" s="560"/>
      <c r="BM110" s="560"/>
      <c r="BN110" s="560"/>
      <c r="BO110" s="560"/>
      <c r="BP110" s="560"/>
      <c r="BQ110" s="560"/>
      <c r="BR110" s="560"/>
      <c r="BS110" s="560"/>
      <c r="BT110" s="560"/>
      <c r="BU110" s="561"/>
    </row>
    <row r="111" spans="28:73" ht="13.5" hidden="1" customHeight="1" x14ac:dyDescent="0.25">
      <c r="AL111" s="556" t="s">
        <v>617</v>
      </c>
      <c r="AM111" s="557"/>
      <c r="AN111" s="557"/>
      <c r="AO111" s="557"/>
      <c r="AP111" s="557"/>
      <c r="AQ111" s="557"/>
      <c r="AR111" s="557"/>
      <c r="AS111" s="557"/>
      <c r="AT111" s="557"/>
      <c r="AU111" s="557"/>
      <c r="AV111" s="557"/>
      <c r="AW111" s="558"/>
      <c r="AX111" s="556"/>
      <c r="AY111" s="557"/>
      <c r="AZ111" s="557"/>
      <c r="BA111" s="557"/>
      <c r="BB111" s="557"/>
      <c r="BC111" s="557"/>
      <c r="BD111" s="557"/>
      <c r="BE111" s="557"/>
      <c r="BF111" s="557"/>
      <c r="BG111" s="557"/>
      <c r="BH111" s="557"/>
      <c r="BI111" s="558"/>
      <c r="BJ111" s="556"/>
      <c r="BK111" s="557"/>
      <c r="BL111" s="557"/>
      <c r="BM111" s="557"/>
      <c r="BN111" s="557"/>
      <c r="BO111" s="557"/>
      <c r="BP111" s="557"/>
      <c r="BQ111" s="557"/>
      <c r="BR111" s="557"/>
      <c r="BS111" s="557"/>
      <c r="BT111" s="557"/>
      <c r="BU111" s="558"/>
    </row>
    <row r="112" spans="28:73" ht="13.5" hidden="1" customHeight="1" x14ac:dyDescent="0.25">
      <c r="AL112" s="564"/>
      <c r="AM112" s="565"/>
      <c r="AN112" s="565"/>
      <c r="AO112" s="565"/>
      <c r="AP112" s="565"/>
      <c r="AQ112" s="565"/>
      <c r="AR112" s="565"/>
      <c r="AS112" s="565"/>
      <c r="AT112" s="565"/>
      <c r="AU112" s="565"/>
      <c r="AV112" s="565"/>
      <c r="AW112" s="566"/>
      <c r="AX112" s="564"/>
      <c r="AY112" s="565"/>
      <c r="AZ112" s="565"/>
      <c r="BA112" s="565"/>
      <c r="BB112" s="565"/>
      <c r="BC112" s="565"/>
      <c r="BD112" s="565"/>
      <c r="BE112" s="565"/>
      <c r="BF112" s="565"/>
      <c r="BG112" s="565"/>
      <c r="BH112" s="565"/>
      <c r="BI112" s="566"/>
      <c r="BJ112" s="564"/>
      <c r="BK112" s="565"/>
      <c r="BL112" s="565"/>
      <c r="BM112" s="565"/>
      <c r="BN112" s="565"/>
      <c r="BO112" s="565"/>
      <c r="BP112" s="565"/>
      <c r="BQ112" s="565"/>
      <c r="BR112" s="565"/>
      <c r="BS112" s="565"/>
      <c r="BT112" s="565"/>
      <c r="BU112" s="566"/>
    </row>
  </sheetData>
  <mergeCells count="312">
    <mergeCell ref="A1:FG1"/>
    <mergeCell ref="FH1:GA1"/>
    <mergeCell ref="D5:P5"/>
    <mergeCell ref="Q5:S5"/>
    <mergeCell ref="T5:DG5"/>
    <mergeCell ref="D6:K6"/>
    <mergeCell ref="L6:N6"/>
    <mergeCell ref="O6:BE6"/>
    <mergeCell ref="BF6:BM6"/>
    <mergeCell ref="BN6:BP6"/>
    <mergeCell ref="BQ6:DG6"/>
    <mergeCell ref="AL3:BD3"/>
    <mergeCell ref="BE3:BF3"/>
    <mergeCell ref="BG3:BR3"/>
    <mergeCell ref="BS3:BT3"/>
    <mergeCell ref="BU3:CF3"/>
    <mergeCell ref="CG3:CH3"/>
    <mergeCell ref="CI3:CT3"/>
    <mergeCell ref="CU3:CV3"/>
    <mergeCell ref="CW3:DH3"/>
    <mergeCell ref="D7:K7"/>
    <mergeCell ref="L7:N7"/>
    <mergeCell ref="O7:BE7"/>
    <mergeCell ref="BF7:BM7"/>
    <mergeCell ref="BN7:BP7"/>
    <mergeCell ref="BQ7:DG7"/>
    <mergeCell ref="DH7:DO7"/>
    <mergeCell ref="DP7:DR7"/>
    <mergeCell ref="DS7:FI7"/>
    <mergeCell ref="D8:K8"/>
    <mergeCell ref="L8:N8"/>
    <mergeCell ref="O8:BE8"/>
    <mergeCell ref="BF8:BM8"/>
    <mergeCell ref="BN8:BP8"/>
    <mergeCell ref="BQ8:DG8"/>
    <mergeCell ref="DH8:DO8"/>
    <mergeCell ref="DP8:DR8"/>
    <mergeCell ref="DS8:FI8"/>
    <mergeCell ref="EL48:EO48"/>
    <mergeCell ref="AX10:BG11"/>
    <mergeCell ref="BH10:CS11"/>
    <mergeCell ref="AN21:AY22"/>
    <mergeCell ref="BR21:BS22"/>
    <mergeCell ref="BT21:BW22"/>
    <mergeCell ref="BX21:BY22"/>
    <mergeCell ref="DH21:DS22"/>
    <mergeCell ref="DZ30:EK31"/>
    <mergeCell ref="DL34:DW35"/>
    <mergeCell ref="DX34:EI35"/>
    <mergeCell ref="DB36:DC37"/>
    <mergeCell ref="DD36:DG37"/>
    <mergeCell ref="DH36:DI37"/>
    <mergeCell ref="DL36:DO37"/>
    <mergeCell ref="DP36:EI37"/>
    <mergeCell ref="CD48:CG48"/>
    <mergeCell ref="CH48:CK48"/>
    <mergeCell ref="CL48:CO48"/>
    <mergeCell ref="DJ27:DO29"/>
    <mergeCell ref="DP27:EK29"/>
    <mergeCell ref="DB32:DC33"/>
    <mergeCell ref="DL33:EI33"/>
    <mergeCell ref="BJ48:BM48"/>
    <mergeCell ref="EP10:FF11"/>
    <mergeCell ref="EP12:GA13"/>
    <mergeCell ref="BP15:CA16"/>
    <mergeCell ref="EP16:FF17"/>
    <mergeCell ref="BR17:BY18"/>
    <mergeCell ref="X18:AY20"/>
    <mergeCell ref="CR18:DS20"/>
    <mergeCell ref="EP18:GA19"/>
    <mergeCell ref="BR19:BS20"/>
    <mergeCell ref="BT19:BW20"/>
    <mergeCell ref="BX19:BY20"/>
    <mergeCell ref="EP22:FF23"/>
    <mergeCell ref="BR23:BS24"/>
    <mergeCell ref="BT23:BW24"/>
    <mergeCell ref="BX23:BY24"/>
    <mergeCell ref="AF24:AQ25"/>
    <mergeCell ref="CZ24:DK25"/>
    <mergeCell ref="EP24:GA25"/>
    <mergeCell ref="AH26:AO27"/>
    <mergeCell ref="DB26:DI27"/>
    <mergeCell ref="AH30:AI31"/>
    <mergeCell ref="AJ30:AM31"/>
    <mergeCell ref="AN30:AO31"/>
    <mergeCell ref="BF30:BQ31"/>
    <mergeCell ref="CP30:DA31"/>
    <mergeCell ref="DB30:DC31"/>
    <mergeCell ref="DD30:DG31"/>
    <mergeCell ref="DH30:DI31"/>
    <mergeCell ref="F27:K29"/>
    <mergeCell ref="L27:AG29"/>
    <mergeCell ref="AP27:AU29"/>
    <mergeCell ref="AV27:BQ29"/>
    <mergeCell ref="BZ27:CE29"/>
    <mergeCell ref="CF27:DA29"/>
    <mergeCell ref="AH28:AI29"/>
    <mergeCell ref="AJ28:AM29"/>
    <mergeCell ref="AN28:AO29"/>
    <mergeCell ref="DB28:DC29"/>
    <mergeCell ref="DD28:DG29"/>
    <mergeCell ref="DH28:DI29"/>
    <mergeCell ref="DD32:DG33"/>
    <mergeCell ref="DH32:DI33"/>
    <mergeCell ref="H34:S35"/>
    <mergeCell ref="T34:AE35"/>
    <mergeCell ref="AH34:AI35"/>
    <mergeCell ref="AJ34:AM35"/>
    <mergeCell ref="AN34:AO35"/>
    <mergeCell ref="AR34:BC35"/>
    <mergeCell ref="BD34:BO35"/>
    <mergeCell ref="CB34:CM35"/>
    <mergeCell ref="CN34:CY35"/>
    <mergeCell ref="DB34:DC35"/>
    <mergeCell ref="DD34:DG35"/>
    <mergeCell ref="DH34:DI35"/>
    <mergeCell ref="H33:AE33"/>
    <mergeCell ref="AR33:BO33"/>
    <mergeCell ref="CB33:CY33"/>
    <mergeCell ref="AH36:AI37"/>
    <mergeCell ref="AJ36:AM37"/>
    <mergeCell ref="AN36:AO37"/>
    <mergeCell ref="AR36:AU37"/>
    <mergeCell ref="AV36:BO37"/>
    <mergeCell ref="CB36:CE37"/>
    <mergeCell ref="CF36:CY37"/>
    <mergeCell ref="AH32:AI33"/>
    <mergeCell ref="AJ32:AM33"/>
    <mergeCell ref="AN32:AO33"/>
    <mergeCell ref="CT87:DE88"/>
    <mergeCell ref="DF87:DQ88"/>
    <mergeCell ref="AH49:AK78"/>
    <mergeCell ref="AL49:AO78"/>
    <mergeCell ref="AP49:AS78"/>
    <mergeCell ref="AT49:AW78"/>
    <mergeCell ref="AX49:BA78"/>
    <mergeCell ref="BB49:BE78"/>
    <mergeCell ref="DP38:EI39"/>
    <mergeCell ref="AR40:AU41"/>
    <mergeCell ref="AV40:BO41"/>
    <mergeCell ref="CB40:CE41"/>
    <mergeCell ref="CF40:CY41"/>
    <mergeCell ref="DL40:DO41"/>
    <mergeCell ref="DP40:EI41"/>
    <mergeCell ref="ED48:EG48"/>
    <mergeCell ref="EH48:EK48"/>
    <mergeCell ref="BN48:BQ48"/>
    <mergeCell ref="BR48:BU48"/>
    <mergeCell ref="BV48:BY48"/>
    <mergeCell ref="BZ48:CC48"/>
    <mergeCell ref="DR48:DU48"/>
    <mergeCell ref="DV48:DY48"/>
    <mergeCell ref="DZ48:EC48"/>
    <mergeCell ref="AR38:AU39"/>
    <mergeCell ref="AV38:BO39"/>
    <mergeCell ref="CB38:CE39"/>
    <mergeCell ref="CF38:CY39"/>
    <mergeCell ref="DL38:DO39"/>
    <mergeCell ref="DN48:DQ48"/>
    <mergeCell ref="CP48:CS48"/>
    <mergeCell ref="CT48:CW48"/>
    <mergeCell ref="CX48:DA48"/>
    <mergeCell ref="DB48:DE48"/>
    <mergeCell ref="DF48:DI48"/>
    <mergeCell ref="DJ48:DM48"/>
    <mergeCell ref="AP48:AS48"/>
    <mergeCell ref="AT48:AW48"/>
    <mergeCell ref="AX48:BA48"/>
    <mergeCell ref="BB48:BE48"/>
    <mergeCell ref="BF48:BI48"/>
    <mergeCell ref="DR87:EC88"/>
    <mergeCell ref="ED87:EO88"/>
    <mergeCell ref="A89:A90"/>
    <mergeCell ref="B89:M90"/>
    <mergeCell ref="N89:Y90"/>
    <mergeCell ref="Z89:AK90"/>
    <mergeCell ref="AL89:AW90"/>
    <mergeCell ref="AX89:BI90"/>
    <mergeCell ref="BJ89:BU90"/>
    <mergeCell ref="BV89:CG90"/>
    <mergeCell ref="CH89:CS90"/>
    <mergeCell ref="CT89:DE90"/>
    <mergeCell ref="DF89:DQ90"/>
    <mergeCell ref="DR89:EC90"/>
    <mergeCell ref="ED89:EO90"/>
    <mergeCell ref="A87:A88"/>
    <mergeCell ref="B87:M88"/>
    <mergeCell ref="N87:Y88"/>
    <mergeCell ref="Z87:AK88"/>
    <mergeCell ref="AL87:AW88"/>
    <mergeCell ref="AX87:BI88"/>
    <mergeCell ref="BJ87:BU88"/>
    <mergeCell ref="BV87:CG88"/>
    <mergeCell ref="CH87:CS88"/>
    <mergeCell ref="AL109:AW110"/>
    <mergeCell ref="AX109:BI110"/>
    <mergeCell ref="BJ109:BU110"/>
    <mergeCell ref="AL111:AW112"/>
    <mergeCell ref="AX111:BI112"/>
    <mergeCell ref="BJ111:BU112"/>
    <mergeCell ref="AL101:AW102"/>
    <mergeCell ref="AX101:BI102"/>
    <mergeCell ref="BJ101:BU102"/>
    <mergeCell ref="AL103:AW104"/>
    <mergeCell ref="AX103:BI104"/>
    <mergeCell ref="BJ103:BU104"/>
    <mergeCell ref="AL105:AW106"/>
    <mergeCell ref="AX105:BI106"/>
    <mergeCell ref="BJ105:BU106"/>
    <mergeCell ref="B48:E48"/>
    <mergeCell ref="F48:I48"/>
    <mergeCell ref="J48:M48"/>
    <mergeCell ref="N48:Q48"/>
    <mergeCell ref="R48:U48"/>
    <mergeCell ref="V48:Y48"/>
    <mergeCell ref="AL107:AW108"/>
    <mergeCell ref="AX107:BI108"/>
    <mergeCell ref="BJ107:BU108"/>
    <mergeCell ref="AX93:BI94"/>
    <mergeCell ref="BJ93:BU94"/>
    <mergeCell ref="AL95:AW96"/>
    <mergeCell ref="AX95:BI96"/>
    <mergeCell ref="BJ95:BU96"/>
    <mergeCell ref="AL97:AW98"/>
    <mergeCell ref="AX97:BI98"/>
    <mergeCell ref="BJ97:BU98"/>
    <mergeCell ref="AL99:AW100"/>
    <mergeCell ref="AX99:BI100"/>
    <mergeCell ref="BJ99:BU100"/>
    <mergeCell ref="Z48:AC48"/>
    <mergeCell ref="AD48:AG48"/>
    <mergeCell ref="AH48:AK48"/>
    <mergeCell ref="AL48:AO48"/>
    <mergeCell ref="H36:K37"/>
    <mergeCell ref="L36:AE37"/>
    <mergeCell ref="V30:AG31"/>
    <mergeCell ref="Z49:AC78"/>
    <mergeCell ref="AD49:AG78"/>
    <mergeCell ref="H38:K39"/>
    <mergeCell ref="L38:AE39"/>
    <mergeCell ref="H40:K41"/>
    <mergeCell ref="L40:AE41"/>
    <mergeCell ref="CD49:CG78"/>
    <mergeCell ref="CH49:CK78"/>
    <mergeCell ref="CL49:CO78"/>
    <mergeCell ref="B49:E78"/>
    <mergeCell ref="F49:I78"/>
    <mergeCell ref="J49:M78"/>
    <mergeCell ref="N49:Q78"/>
    <mergeCell ref="R49:U78"/>
    <mergeCell ref="V49:Y78"/>
    <mergeCell ref="DZ49:EC78"/>
    <mergeCell ref="ED49:EG78"/>
    <mergeCell ref="EH49:EK78"/>
    <mergeCell ref="EL49:EO78"/>
    <mergeCell ref="B79:E86"/>
    <mergeCell ref="F79:I86"/>
    <mergeCell ref="J79:M86"/>
    <mergeCell ref="N79:Q86"/>
    <mergeCell ref="R79:U86"/>
    <mergeCell ref="V79:Y86"/>
    <mergeCell ref="Z79:AC86"/>
    <mergeCell ref="AD79:AG86"/>
    <mergeCell ref="AH79:AK86"/>
    <mergeCell ref="AL79:AO86"/>
    <mergeCell ref="AP79:AS86"/>
    <mergeCell ref="AT79:AW86"/>
    <mergeCell ref="AX79:BA86"/>
    <mergeCell ref="BB79:BE86"/>
    <mergeCell ref="BF79:BI86"/>
    <mergeCell ref="BJ79:BM86"/>
    <mergeCell ref="BN79:BQ86"/>
    <mergeCell ref="BR79:BU86"/>
    <mergeCell ref="BV79:BY86"/>
    <mergeCell ref="BZ79:CC86"/>
    <mergeCell ref="DZ79:EC86"/>
    <mergeCell ref="ED79:EG86"/>
    <mergeCell ref="EH79:EK86"/>
    <mergeCell ref="EL79:EO86"/>
    <mergeCell ref="CH79:CK86"/>
    <mergeCell ref="CL79:CO86"/>
    <mergeCell ref="CP79:CS86"/>
    <mergeCell ref="CT79:CW86"/>
    <mergeCell ref="CX79:DA86"/>
    <mergeCell ref="DB79:DE86"/>
    <mergeCell ref="DF79:DI86"/>
    <mergeCell ref="DJ79:DM86"/>
    <mergeCell ref="DN79:DQ86"/>
    <mergeCell ref="A14:A16"/>
    <mergeCell ref="A33:A35"/>
    <mergeCell ref="A36:A41"/>
    <mergeCell ref="A62:A64"/>
    <mergeCell ref="A65:A70"/>
    <mergeCell ref="A17:A24"/>
    <mergeCell ref="CD79:CG86"/>
    <mergeCell ref="DR79:DU86"/>
    <mergeCell ref="DV79:DY86"/>
    <mergeCell ref="CP49:CS78"/>
    <mergeCell ref="CT49:CW78"/>
    <mergeCell ref="CX49:DA78"/>
    <mergeCell ref="DB49:DE78"/>
    <mergeCell ref="DF49:DI78"/>
    <mergeCell ref="DJ49:DM78"/>
    <mergeCell ref="DN49:DQ78"/>
    <mergeCell ref="DR49:DU78"/>
    <mergeCell ref="DV49:DY78"/>
    <mergeCell ref="BF49:BI78"/>
    <mergeCell ref="BJ49:BM78"/>
    <mergeCell ref="BN49:BQ78"/>
    <mergeCell ref="BR49:BU78"/>
    <mergeCell ref="BV49:BY78"/>
    <mergeCell ref="BZ49:CC78"/>
  </mergeCells>
  <phoneticPr fontId="29"/>
  <printOptions horizontalCentered="1" verticalCentered="1"/>
  <pageMargins left="0" right="0" top="0" bottom="0" header="0.51181102362204722" footer="0.51181102362204722"/>
  <pageSetup paperSize="9" scale="4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CB80"/>
  <sheetViews>
    <sheetView zoomScale="70" zoomScaleNormal="70" workbookViewId="0">
      <pane ySplit="1" topLeftCell="A2" activePane="bottomLeft" state="frozen"/>
      <selection activeCell="A2" sqref="A2"/>
      <selection pane="bottomLeft" activeCell="A2" sqref="A2"/>
    </sheetView>
  </sheetViews>
  <sheetFormatPr defaultColWidth="9" defaultRowHeight="15.75" customHeight="1" x14ac:dyDescent="0.25"/>
  <cols>
    <col min="1" max="1" width="2.46484375" style="317" customWidth="1"/>
    <col min="2" max="2" width="11.265625" style="317" customWidth="1"/>
    <col min="3" max="3" width="18.73046875" style="317" customWidth="1"/>
    <col min="4" max="4" width="25.46484375" style="317" customWidth="1"/>
    <col min="5" max="5" width="10.265625" style="317" customWidth="1"/>
    <col min="6" max="6" width="25.46484375" style="317" customWidth="1"/>
    <col min="7" max="8" width="10.265625" style="317" customWidth="1"/>
    <col min="9" max="9" width="25.46484375" style="317" customWidth="1"/>
    <col min="10" max="10" width="10.265625" style="317" customWidth="1"/>
    <col min="11" max="11" width="25.46484375" style="317" customWidth="1"/>
    <col min="12" max="13" width="10.265625" style="317" customWidth="1"/>
    <col min="14" max="14" width="25.46484375" style="317" customWidth="1"/>
    <col min="15" max="15" width="9" style="317"/>
    <col min="16" max="16" width="25.46484375" style="317" customWidth="1"/>
    <col min="17" max="16384" width="9" style="317"/>
  </cols>
  <sheetData>
    <row r="1" spans="1:18" ht="18.75" x14ac:dyDescent="0.25">
      <c r="A1" s="410" t="str">
        <f>抽選会資料!A1</f>
        <v>OFA 第 57 回大分県U-12サッカー大会　兼　KYFA 九州U-12サッカー大会大分県大会</v>
      </c>
      <c r="B1" s="410"/>
      <c r="C1" s="410"/>
      <c r="D1" s="410"/>
      <c r="E1" s="410"/>
      <c r="F1" s="410"/>
      <c r="G1" s="410"/>
      <c r="H1" s="410"/>
      <c r="I1" s="410"/>
      <c r="J1" s="410"/>
      <c r="K1" s="410" t="s">
        <v>787</v>
      </c>
      <c r="L1" s="410"/>
      <c r="M1" s="410"/>
      <c r="Q1" s="260"/>
      <c r="R1" s="260"/>
    </row>
    <row r="3" spans="1:18" ht="15.75" customHeight="1" x14ac:dyDescent="0.25">
      <c r="B3" s="317" t="s">
        <v>443</v>
      </c>
      <c r="C3" s="710">
        <f>組み合わせ!BG3</f>
        <v>46047</v>
      </c>
      <c r="D3" s="710"/>
    </row>
    <row r="4" spans="1:18" ht="15.75" customHeight="1" x14ac:dyDescent="0.25">
      <c r="B4" s="317" t="s">
        <v>350</v>
      </c>
      <c r="C4" s="318" t="s">
        <v>2462</v>
      </c>
    </row>
    <row r="5" spans="1:18" ht="15.75" customHeight="1" x14ac:dyDescent="0.25">
      <c r="A5" s="319"/>
      <c r="B5" s="319"/>
      <c r="C5" s="320"/>
      <c r="D5" s="321" t="s">
        <v>204</v>
      </c>
      <c r="E5" s="322" t="str">
        <f>組み合わせ!D7</f>
        <v>中津</v>
      </c>
      <c r="F5" s="690" t="str">
        <f>VLOOKUP(E5,抽選会資料!$B$55:$F$63,2,FALSE)</f>
        <v>ディーアクト（D-ACT）スポーツパーク永添(永添運動公園)
人工芝多目的グラウンド</v>
      </c>
      <c r="G5" s="690"/>
      <c r="H5" s="691"/>
      <c r="I5" s="321" t="s">
        <v>204</v>
      </c>
      <c r="J5" s="322" t="str">
        <f>組み合わせ!BF7</f>
        <v>日田・玖珠</v>
      </c>
      <c r="K5" s="690" t="str">
        <f>VLOOKUP(J5,抽選会資料!$B$55:$F$63,2,FALSE)</f>
        <v>玖珠町総合運動公園</v>
      </c>
      <c r="L5" s="690"/>
      <c r="M5" s="691"/>
      <c r="N5" s="321" t="s">
        <v>204</v>
      </c>
      <c r="O5" s="322" t="str">
        <f>組み合わせ!DH7</f>
        <v>宇佐高田</v>
      </c>
      <c r="P5" s="690" t="str">
        <f>VLOOKUP(O5,抽選会資料!$B$55:$F$63,2,FALSE)</f>
        <v>宇佐市平成令和の森スポーツ公園</v>
      </c>
      <c r="Q5" s="690"/>
      <c r="R5" s="691"/>
    </row>
    <row r="6" spans="1:18" ht="15.75" customHeight="1" x14ac:dyDescent="0.25">
      <c r="A6" s="319"/>
      <c r="B6" s="323" t="s">
        <v>5606</v>
      </c>
      <c r="C6" s="324" t="s">
        <v>354</v>
      </c>
      <c r="D6" s="704" t="s">
        <v>503</v>
      </c>
      <c r="E6" s="705"/>
      <c r="F6" s="706"/>
      <c r="G6" s="657" t="s">
        <v>486</v>
      </c>
      <c r="H6" s="678"/>
      <c r="I6" s="707" t="s">
        <v>438</v>
      </c>
      <c r="J6" s="708"/>
      <c r="K6" s="709"/>
      <c r="L6" s="657" t="s">
        <v>486</v>
      </c>
      <c r="M6" s="678"/>
      <c r="N6" s="707" t="s">
        <v>438</v>
      </c>
      <c r="O6" s="708"/>
      <c r="P6" s="709"/>
      <c r="Q6" s="657" t="s">
        <v>486</v>
      </c>
      <c r="R6" s="678"/>
    </row>
    <row r="7" spans="1:18" s="330" customFormat="1" ht="13.5" customHeight="1" x14ac:dyDescent="0.25">
      <c r="A7" s="681" t="s">
        <v>357</v>
      </c>
      <c r="B7" s="679" t="s">
        <v>5607</v>
      </c>
      <c r="C7" s="688" t="s">
        <v>289</v>
      </c>
      <c r="D7" s="325"/>
      <c r="E7" s="326"/>
      <c r="F7" s="327"/>
      <c r="G7" s="328" t="s">
        <v>480</v>
      </c>
      <c r="H7" s="329" t="s">
        <v>459</v>
      </c>
      <c r="I7" s="325"/>
      <c r="J7" s="326"/>
      <c r="K7" s="327"/>
      <c r="L7" s="328" t="s">
        <v>480</v>
      </c>
      <c r="M7" s="329" t="s">
        <v>459</v>
      </c>
      <c r="N7" s="325"/>
      <c r="O7" s="326"/>
      <c r="P7" s="327"/>
      <c r="Q7" s="328" t="s">
        <v>480</v>
      </c>
      <c r="R7" s="329" t="s">
        <v>459</v>
      </c>
    </row>
    <row r="8" spans="1:18" s="330" customFormat="1" ht="14.25" customHeight="1" x14ac:dyDescent="0.25">
      <c r="A8" s="682"/>
      <c r="B8" s="680"/>
      <c r="C8" s="689"/>
      <c r="D8" s="331" t="str">
        <f>'１次リーグ（中津）'!$B$12</f>
        <v>鶴居ＳＳＳ</v>
      </c>
      <c r="E8" s="332" t="s">
        <v>451</v>
      </c>
      <c r="F8" s="333" t="str">
        <f>'１次リーグ（中津）'!$J$12</f>
        <v>ドリームキッズフットボールクラブ</v>
      </c>
      <c r="G8" s="334" t="s">
        <v>484</v>
      </c>
      <c r="H8" s="335" t="s">
        <v>462</v>
      </c>
      <c r="I8" s="331" t="str">
        <f>'１次リーグ（日田・玖珠）'!$B$12</f>
        <v>ＦＣアリアーレ</v>
      </c>
      <c r="J8" s="332" t="s">
        <v>451</v>
      </c>
      <c r="K8" s="333" t="str">
        <f>'１次リーグ（日田・玖珠）'!$J$12</f>
        <v>カティオーラフットボールクラブＵ－１２</v>
      </c>
      <c r="L8" s="334" t="s">
        <v>484</v>
      </c>
      <c r="M8" s="335" t="s">
        <v>462</v>
      </c>
      <c r="N8" s="331" t="str">
        <f>'１次リーグ（宇佐高田）'!$B$12</f>
        <v>ＦＣ　ＷＡＹＳ</v>
      </c>
      <c r="O8" s="332" t="s">
        <v>451</v>
      </c>
      <c r="P8" s="333" t="str">
        <f>'１次リーグ（宇佐高田）'!$J$12</f>
        <v>アトレチコエラン横瀬</v>
      </c>
      <c r="Q8" s="334" t="s">
        <v>484</v>
      </c>
      <c r="R8" s="335" t="s">
        <v>462</v>
      </c>
    </row>
    <row r="9" spans="1:18" s="330" customFormat="1" ht="14.25" customHeight="1" x14ac:dyDescent="0.25">
      <c r="A9" s="681" t="s">
        <v>360</v>
      </c>
      <c r="B9" s="679" t="s">
        <v>5608</v>
      </c>
      <c r="C9" s="683" t="s">
        <v>133</v>
      </c>
      <c r="D9" s="325"/>
      <c r="E9" s="336"/>
      <c r="F9" s="327"/>
      <c r="G9" s="328" t="s">
        <v>480</v>
      </c>
      <c r="H9" s="329" t="s">
        <v>428</v>
      </c>
      <c r="I9" s="325"/>
      <c r="J9" s="336"/>
      <c r="K9" s="327"/>
      <c r="L9" s="328" t="s">
        <v>480</v>
      </c>
      <c r="M9" s="329" t="s">
        <v>428</v>
      </c>
      <c r="N9" s="325"/>
      <c r="O9" s="336"/>
      <c r="P9" s="327"/>
      <c r="Q9" s="328" t="s">
        <v>480</v>
      </c>
      <c r="R9" s="329" t="s">
        <v>428</v>
      </c>
    </row>
    <row r="10" spans="1:18" s="330" customFormat="1" ht="14.25" customHeight="1" x14ac:dyDescent="0.25">
      <c r="A10" s="682"/>
      <c r="B10" s="680"/>
      <c r="C10" s="684"/>
      <c r="D10" s="331" t="str">
        <f>'１次リーグ（中津）'!$N$12</f>
        <v>ティエラフットボールクラブＵ－１２</v>
      </c>
      <c r="E10" s="332" t="s">
        <v>451</v>
      </c>
      <c r="F10" s="333" t="str">
        <f>'１次リーグ（中津）'!$V$12</f>
        <v>南大分サッカー少年団</v>
      </c>
      <c r="G10" s="334" t="s">
        <v>484</v>
      </c>
      <c r="H10" s="335" t="s">
        <v>464</v>
      </c>
      <c r="I10" s="331" t="str">
        <f>'１次リーグ（日田・玖珠）'!$N$12</f>
        <v>玖珠サッカースポーツ少年団</v>
      </c>
      <c r="J10" s="332" t="s">
        <v>451</v>
      </c>
      <c r="K10" s="333" t="str">
        <f>'１次リーグ（日田・玖珠）'!$V$12</f>
        <v>鶴崎ＳＳＳ</v>
      </c>
      <c r="L10" s="334" t="s">
        <v>484</v>
      </c>
      <c r="M10" s="335" t="s">
        <v>464</v>
      </c>
      <c r="N10" s="331" t="str">
        <f>'１次リーグ（宇佐高田）'!$N$12</f>
        <v>四日市南ＳＳＣ</v>
      </c>
      <c r="O10" s="332" t="s">
        <v>451</v>
      </c>
      <c r="P10" s="333" t="str">
        <f>'１次リーグ（宇佐高田）'!$V$12</f>
        <v>明野東サッカースポーツ少年団</v>
      </c>
      <c r="Q10" s="334" t="s">
        <v>484</v>
      </c>
      <c r="R10" s="335" t="s">
        <v>464</v>
      </c>
    </row>
    <row r="11" spans="1:18" s="330" customFormat="1" ht="14.25" customHeight="1" x14ac:dyDescent="0.25">
      <c r="A11" s="681" t="s">
        <v>388</v>
      </c>
      <c r="B11" s="679" t="s">
        <v>5609</v>
      </c>
      <c r="C11" s="683" t="s">
        <v>133</v>
      </c>
      <c r="D11" s="325"/>
      <c r="E11" s="336"/>
      <c r="F11" s="327"/>
      <c r="G11" s="328" t="s">
        <v>480</v>
      </c>
      <c r="H11" s="329" t="s">
        <v>466</v>
      </c>
      <c r="I11" s="325"/>
      <c r="J11" s="336"/>
      <c r="K11" s="327"/>
      <c r="L11" s="328" t="s">
        <v>480</v>
      </c>
      <c r="M11" s="329" t="s">
        <v>466</v>
      </c>
      <c r="N11" s="325"/>
      <c r="O11" s="336"/>
      <c r="P11" s="327"/>
      <c r="Q11" s="328" t="s">
        <v>480</v>
      </c>
      <c r="R11" s="329" t="s">
        <v>466</v>
      </c>
    </row>
    <row r="12" spans="1:18" s="330" customFormat="1" ht="14.25" customHeight="1" x14ac:dyDescent="0.25">
      <c r="A12" s="682"/>
      <c r="B12" s="680"/>
      <c r="C12" s="684"/>
      <c r="D12" s="331" t="str">
        <f>'１次リーグ（中津）'!$B$30</f>
        <v>ドリームキッズフットボールクラブ</v>
      </c>
      <c r="E12" s="332" t="s">
        <v>451</v>
      </c>
      <c r="F12" s="333" t="str">
        <f>'１次リーグ（中津）'!$J$30</f>
        <v>スマイス　セレソン　スポーツクラブ</v>
      </c>
      <c r="G12" s="334" t="s">
        <v>484</v>
      </c>
      <c r="H12" s="335" t="s">
        <v>471</v>
      </c>
      <c r="I12" s="331" t="str">
        <f>'１次リーグ（日田・玖珠）'!$B$30</f>
        <v>カティオーラフットボールクラブＵ－１２</v>
      </c>
      <c r="J12" s="332" t="s">
        <v>451</v>
      </c>
      <c r="K12" s="333" t="str">
        <f>'１次リーグ（日田・玖珠）'!$J$30</f>
        <v>大平山アソシエーション式フットボールクラブ</v>
      </c>
      <c r="L12" s="334" t="s">
        <v>484</v>
      </c>
      <c r="M12" s="335" t="s">
        <v>471</v>
      </c>
      <c r="N12" s="331" t="str">
        <f>'１次リーグ（宇佐高田）'!$B$30</f>
        <v>アトレチコエラン横瀬</v>
      </c>
      <c r="O12" s="332" t="s">
        <v>451</v>
      </c>
      <c r="P12" s="333" t="str">
        <f>'１次リーグ（宇佐高田）'!$J$30</f>
        <v>ＦＣ　ＪＵＮＩＯＲＳ</v>
      </c>
      <c r="Q12" s="334" t="s">
        <v>484</v>
      </c>
      <c r="R12" s="335" t="s">
        <v>471</v>
      </c>
    </row>
    <row r="13" spans="1:18" s="330" customFormat="1" ht="14.25" customHeight="1" x14ac:dyDescent="0.25">
      <c r="A13" s="681" t="s">
        <v>396</v>
      </c>
      <c r="B13" s="679" t="s">
        <v>5610</v>
      </c>
      <c r="C13" s="683" t="s">
        <v>133</v>
      </c>
      <c r="D13" s="325"/>
      <c r="E13" s="336"/>
      <c r="F13" s="327"/>
      <c r="G13" s="328" t="s">
        <v>480</v>
      </c>
      <c r="H13" s="329" t="s">
        <v>473</v>
      </c>
      <c r="I13" s="325"/>
      <c r="J13" s="336"/>
      <c r="K13" s="327"/>
      <c r="L13" s="328" t="s">
        <v>480</v>
      </c>
      <c r="M13" s="329" t="s">
        <v>473</v>
      </c>
      <c r="N13" s="325"/>
      <c r="O13" s="336"/>
      <c r="P13" s="327"/>
      <c r="Q13" s="328" t="s">
        <v>480</v>
      </c>
      <c r="R13" s="329" t="s">
        <v>473</v>
      </c>
    </row>
    <row r="14" spans="1:18" s="330" customFormat="1" ht="14.25" customHeight="1" x14ac:dyDescent="0.25">
      <c r="A14" s="682"/>
      <c r="B14" s="680"/>
      <c r="C14" s="684"/>
      <c r="D14" s="331" t="str">
        <f>'１次リーグ（中津）'!$N$30</f>
        <v>南大分サッカー少年団</v>
      </c>
      <c r="E14" s="332" t="s">
        <v>451</v>
      </c>
      <c r="F14" s="333" t="str">
        <f>'１次リーグ（中津）'!$V$30</f>
        <v>ＦＣ　ＵＮＩＴＥ</v>
      </c>
      <c r="G14" s="334" t="s">
        <v>484</v>
      </c>
      <c r="H14" s="335" t="s">
        <v>168</v>
      </c>
      <c r="I14" s="331" t="str">
        <f>'１次リーグ（日田・玖珠）'!$N$30</f>
        <v>鶴崎ＳＳＳ</v>
      </c>
      <c r="J14" s="332" t="s">
        <v>451</v>
      </c>
      <c r="K14" s="333" t="str">
        <f>'１次リーグ（日田・玖珠）'!$V$30</f>
        <v>戸次吉野ＳＳＳ</v>
      </c>
      <c r="L14" s="334" t="s">
        <v>484</v>
      </c>
      <c r="M14" s="335" t="s">
        <v>168</v>
      </c>
      <c r="N14" s="331" t="str">
        <f>'１次リーグ（宇佐高田）'!$N$30</f>
        <v>明野東サッカースポーツ少年団</v>
      </c>
      <c r="O14" s="332" t="s">
        <v>451</v>
      </c>
      <c r="P14" s="333" t="str">
        <f>'１次リーグ（宇佐高田）'!$V$30</f>
        <v>佐伯リベロフットボールクラブ</v>
      </c>
      <c r="Q14" s="334" t="s">
        <v>484</v>
      </c>
      <c r="R14" s="335" t="s">
        <v>168</v>
      </c>
    </row>
    <row r="15" spans="1:18" s="330" customFormat="1" ht="14.25" customHeight="1" x14ac:dyDescent="0.25">
      <c r="A15" s="681" t="s">
        <v>400</v>
      </c>
      <c r="B15" s="679" t="s">
        <v>5611</v>
      </c>
      <c r="C15" s="683" t="s">
        <v>133</v>
      </c>
      <c r="D15" s="325"/>
      <c r="E15" s="336"/>
      <c r="F15" s="327"/>
      <c r="G15" s="328" t="s">
        <v>480</v>
      </c>
      <c r="H15" s="329" t="s">
        <v>663</v>
      </c>
      <c r="I15" s="325"/>
      <c r="J15" s="336"/>
      <c r="K15" s="327"/>
      <c r="L15" s="328" t="s">
        <v>480</v>
      </c>
      <c r="M15" s="329" t="s">
        <v>663</v>
      </c>
      <c r="N15" s="325"/>
      <c r="O15" s="336"/>
      <c r="P15" s="327"/>
      <c r="Q15" s="328" t="s">
        <v>480</v>
      </c>
      <c r="R15" s="329" t="s">
        <v>663</v>
      </c>
    </row>
    <row r="16" spans="1:18" s="330" customFormat="1" ht="15" x14ac:dyDescent="0.25">
      <c r="A16" s="682"/>
      <c r="B16" s="680"/>
      <c r="C16" s="684"/>
      <c r="D16" s="331" t="str">
        <f>'１次リーグ（中津）'!$B$48</f>
        <v>スマイス　セレソン　スポーツクラブ</v>
      </c>
      <c r="E16" s="332" t="s">
        <v>451</v>
      </c>
      <c r="F16" s="333" t="str">
        <f>'１次リーグ（中津）'!$J$48</f>
        <v>鶴居ＳＳＳ</v>
      </c>
      <c r="G16" s="334" t="s">
        <v>484</v>
      </c>
      <c r="H16" s="335" t="s">
        <v>665</v>
      </c>
      <c r="I16" s="331" t="str">
        <f>'１次リーグ（日田・玖珠）'!$B$48</f>
        <v>大平山アソシエーション式フットボールクラブ</v>
      </c>
      <c r="J16" s="332" t="s">
        <v>451</v>
      </c>
      <c r="K16" s="333" t="str">
        <f>'１次リーグ（日田・玖珠）'!$J$48</f>
        <v>ＦＣアリアーレ</v>
      </c>
      <c r="L16" s="334" t="s">
        <v>484</v>
      </c>
      <c r="M16" s="335" t="s">
        <v>665</v>
      </c>
      <c r="N16" s="331" t="str">
        <f>'１次リーグ（宇佐高田）'!$B$48</f>
        <v>ＦＣ　ＪＵＮＩＯＲＳ</v>
      </c>
      <c r="O16" s="332" t="s">
        <v>451</v>
      </c>
      <c r="P16" s="333" t="str">
        <f>'１次リーグ（宇佐高田）'!$J$48</f>
        <v>ＦＣ　ＷＡＹＳ</v>
      </c>
      <c r="Q16" s="334" t="s">
        <v>484</v>
      </c>
      <c r="R16" s="335" t="s">
        <v>665</v>
      </c>
    </row>
    <row r="17" spans="1:80" s="330" customFormat="1" ht="15" x14ac:dyDescent="0.25">
      <c r="A17" s="681" t="s">
        <v>383</v>
      </c>
      <c r="B17" s="679" t="s">
        <v>5612</v>
      </c>
      <c r="C17" s="683" t="s">
        <v>133</v>
      </c>
      <c r="D17" s="325"/>
      <c r="E17" s="336"/>
      <c r="F17" s="327"/>
      <c r="G17" s="328" t="s">
        <v>480</v>
      </c>
      <c r="H17" s="329" t="s">
        <v>669</v>
      </c>
      <c r="I17" s="325"/>
      <c r="J17" s="336"/>
      <c r="K17" s="327"/>
      <c r="L17" s="328" t="s">
        <v>480</v>
      </c>
      <c r="M17" s="329" t="s">
        <v>669</v>
      </c>
      <c r="N17" s="325"/>
      <c r="O17" s="336"/>
      <c r="P17" s="327"/>
      <c r="Q17" s="328" t="s">
        <v>480</v>
      </c>
      <c r="R17" s="329" t="s">
        <v>669</v>
      </c>
    </row>
    <row r="18" spans="1:80" s="330" customFormat="1" ht="15" x14ac:dyDescent="0.25">
      <c r="A18" s="682"/>
      <c r="B18" s="680"/>
      <c r="C18" s="684"/>
      <c r="D18" s="331" t="str">
        <f>'１次リーグ（中津）'!$N$48</f>
        <v>ＦＣ　ＵＮＩＴＥ</v>
      </c>
      <c r="E18" s="332" t="s">
        <v>451</v>
      </c>
      <c r="F18" s="333" t="str">
        <f>'１次リーグ（中津）'!$V$48</f>
        <v>ティエラフットボールクラブＵ－１２</v>
      </c>
      <c r="G18" s="334" t="s">
        <v>484</v>
      </c>
      <c r="H18" s="335" t="s">
        <v>678</v>
      </c>
      <c r="I18" s="331" t="str">
        <f>'１次リーグ（日田・玖珠）'!$N$48</f>
        <v>戸次吉野ＳＳＳ</v>
      </c>
      <c r="J18" s="332" t="s">
        <v>451</v>
      </c>
      <c r="K18" s="333" t="str">
        <f>'１次リーグ（日田・玖珠）'!$V$48</f>
        <v>玖珠サッカースポーツ少年団</v>
      </c>
      <c r="L18" s="334" t="s">
        <v>484</v>
      </c>
      <c r="M18" s="335" t="s">
        <v>678</v>
      </c>
      <c r="N18" s="331" t="str">
        <f>'１次リーグ（宇佐高田）'!$N$48</f>
        <v>佐伯リベロフットボールクラブ</v>
      </c>
      <c r="O18" s="332" t="s">
        <v>451</v>
      </c>
      <c r="P18" s="333" t="str">
        <f>'１次リーグ（宇佐高田）'!$V$48</f>
        <v>四日市南ＳＳＣ</v>
      </c>
      <c r="Q18" s="334" t="s">
        <v>484</v>
      </c>
      <c r="R18" s="335" t="s">
        <v>678</v>
      </c>
    </row>
    <row r="19" spans="1:80" ht="15.75" customHeight="1" x14ac:dyDescent="0.25">
      <c r="A19" s="319"/>
      <c r="B19" s="319"/>
      <c r="C19" s="324" t="s">
        <v>365</v>
      </c>
      <c r="D19" s="685" t="s">
        <v>385</v>
      </c>
      <c r="E19" s="686"/>
      <c r="F19" s="686"/>
      <c r="G19" s="686"/>
      <c r="H19" s="686"/>
      <c r="I19" s="686"/>
      <c r="J19" s="686"/>
      <c r="K19" s="686"/>
      <c r="L19" s="686"/>
      <c r="M19" s="686"/>
      <c r="N19" s="686"/>
      <c r="O19" s="686"/>
      <c r="P19" s="686"/>
      <c r="Q19" s="686"/>
      <c r="R19" s="687"/>
    </row>
    <row r="20" spans="1:80" ht="15.75" customHeight="1" x14ac:dyDescent="0.25">
      <c r="AT20" s="330"/>
      <c r="AU20" s="330"/>
      <c r="AV20" s="330"/>
      <c r="AW20" s="330"/>
      <c r="AX20" s="330"/>
      <c r="AY20" s="330"/>
      <c r="AZ20" s="330"/>
      <c r="BV20" s="330"/>
      <c r="BW20" s="330"/>
      <c r="BX20" s="330"/>
      <c r="BY20" s="330"/>
      <c r="BZ20" s="330"/>
      <c r="CA20" s="330"/>
      <c r="CB20" s="330"/>
    </row>
    <row r="21" spans="1:80" ht="15.75" customHeight="1" x14ac:dyDescent="0.25">
      <c r="A21" s="319"/>
      <c r="B21" s="319"/>
      <c r="C21" s="320"/>
      <c r="D21" s="321" t="s">
        <v>204</v>
      </c>
      <c r="E21" s="322" t="str">
        <f>組み合わせ!D8</f>
        <v>別府</v>
      </c>
      <c r="F21" s="690" t="str">
        <f>VLOOKUP(E21,抽選会資料!$B$55:$F$63,2,FALSE)</f>
        <v>実相寺サッカー競技場(人工芝)</v>
      </c>
      <c r="G21" s="690"/>
      <c r="H21" s="691"/>
      <c r="I21" s="321" t="s">
        <v>204</v>
      </c>
      <c r="J21" s="322" t="str">
        <f>組み合わせ!BF8</f>
        <v>速杵国東</v>
      </c>
      <c r="K21" s="690" t="str">
        <f>VLOOKUP(J21,抽選会資料!$B$55:$F$63,2,FALSE)</f>
        <v>フットボールセンター大分きつき(杵築市営サッカー場)</v>
      </c>
      <c r="L21" s="690"/>
      <c r="M21" s="691"/>
      <c r="N21" s="321" t="s">
        <v>204</v>
      </c>
      <c r="O21" s="322" t="str">
        <f>組み合わせ!DH8</f>
        <v>臼杵・津久見</v>
      </c>
      <c r="P21" s="690" t="str">
        <f>VLOOKUP(O21,抽選会資料!$B$55:$F$63,2,FALSE)</f>
        <v>吉四六ランドレックス多目的広場
(吉四六ランド陸上競技場)</v>
      </c>
      <c r="Q21" s="690"/>
      <c r="R21" s="691"/>
    </row>
    <row r="22" spans="1:80" ht="15.75" customHeight="1" x14ac:dyDescent="0.25">
      <c r="A22" s="319"/>
      <c r="B22" s="323" t="s">
        <v>5606</v>
      </c>
      <c r="C22" s="324" t="s">
        <v>354</v>
      </c>
      <c r="D22" s="692" t="s">
        <v>503</v>
      </c>
      <c r="E22" s="693"/>
      <c r="F22" s="694"/>
      <c r="G22" s="675" t="s">
        <v>486</v>
      </c>
      <c r="H22" s="695"/>
      <c r="I22" s="696" t="s">
        <v>438</v>
      </c>
      <c r="J22" s="697"/>
      <c r="K22" s="698"/>
      <c r="L22" s="675" t="s">
        <v>486</v>
      </c>
      <c r="M22" s="695"/>
      <c r="N22" s="696" t="s">
        <v>438</v>
      </c>
      <c r="O22" s="697"/>
      <c r="P22" s="698"/>
      <c r="Q22" s="675" t="s">
        <v>486</v>
      </c>
      <c r="R22" s="695"/>
    </row>
    <row r="23" spans="1:80" s="330" customFormat="1" ht="15" x14ac:dyDescent="0.25">
      <c r="A23" s="681" t="s">
        <v>357</v>
      </c>
      <c r="B23" s="679" t="s">
        <v>5607</v>
      </c>
      <c r="C23" s="683" t="s">
        <v>289</v>
      </c>
      <c r="D23" s="325"/>
      <c r="E23" s="326"/>
      <c r="F23" s="327"/>
      <c r="G23" s="328" t="s">
        <v>480</v>
      </c>
      <c r="H23" s="329" t="s">
        <v>459</v>
      </c>
      <c r="I23" s="325"/>
      <c r="J23" s="326"/>
      <c r="K23" s="327"/>
      <c r="L23" s="328" t="s">
        <v>480</v>
      </c>
      <c r="M23" s="329" t="s">
        <v>459</v>
      </c>
      <c r="N23" s="325"/>
      <c r="O23" s="326"/>
      <c r="P23" s="327"/>
      <c r="Q23" s="328" t="s">
        <v>480</v>
      </c>
      <c r="R23" s="329" t="s">
        <v>459</v>
      </c>
    </row>
    <row r="24" spans="1:80" s="330" customFormat="1" ht="14.25" customHeight="1" x14ac:dyDescent="0.25">
      <c r="A24" s="682"/>
      <c r="B24" s="680"/>
      <c r="C24" s="684"/>
      <c r="D24" s="331" t="str">
        <f>'１次リーグ（別府）'!$B$12</f>
        <v>別府フットボールクラブ．ミネルバＵ－１２</v>
      </c>
      <c r="E24" s="332" t="s">
        <v>451</v>
      </c>
      <c r="F24" s="333" t="str">
        <f>'１次リーグ（別府）'!$J$12</f>
        <v>カティオーラフットボールクラブＵ－１２　Ｎｅｘｔ</v>
      </c>
      <c r="G24" s="334" t="s">
        <v>484</v>
      </c>
      <c r="H24" s="335" t="s">
        <v>462</v>
      </c>
      <c r="I24" s="331" t="str">
        <f>'１次リーグ（速杵国東）'!$B$12</f>
        <v>日出サッカースポーツ少年団</v>
      </c>
      <c r="J24" s="332" t="s">
        <v>451</v>
      </c>
      <c r="K24" s="333" t="str">
        <f>'１次リーグ（速杵国東）'!$J$12</f>
        <v>大分トリニータＵ－１２</v>
      </c>
      <c r="L24" s="334" t="s">
        <v>484</v>
      </c>
      <c r="M24" s="335" t="s">
        <v>462</v>
      </c>
      <c r="N24" s="331" t="str">
        <f>'１次リーグ（臼杵・津久見）'!$B$12</f>
        <v>臼杵ＳＳＳ</v>
      </c>
      <c r="O24" s="332" t="s">
        <v>451</v>
      </c>
      <c r="P24" s="333" t="str">
        <f>'１次リーグ（臼杵・津久見）'!$J$12</f>
        <v>ＦＣ　ＲＥＧＡＴＥ</v>
      </c>
      <c r="Q24" s="334" t="s">
        <v>484</v>
      </c>
      <c r="R24" s="335" t="s">
        <v>462</v>
      </c>
    </row>
    <row r="25" spans="1:80" s="330" customFormat="1" ht="14.25" customHeight="1" x14ac:dyDescent="0.25">
      <c r="A25" s="681" t="s">
        <v>360</v>
      </c>
      <c r="B25" s="679" t="s">
        <v>5608</v>
      </c>
      <c r="C25" s="683" t="s">
        <v>133</v>
      </c>
      <c r="D25" s="325"/>
      <c r="E25" s="336"/>
      <c r="F25" s="327"/>
      <c r="G25" s="328" t="s">
        <v>480</v>
      </c>
      <c r="H25" s="329" t="s">
        <v>428</v>
      </c>
      <c r="I25" s="325"/>
      <c r="J25" s="336"/>
      <c r="K25" s="327"/>
      <c r="L25" s="328" t="s">
        <v>480</v>
      </c>
      <c r="M25" s="329" t="s">
        <v>428</v>
      </c>
      <c r="N25" s="325"/>
      <c r="O25" s="336"/>
      <c r="P25" s="327"/>
      <c r="Q25" s="328" t="s">
        <v>480</v>
      </c>
      <c r="R25" s="329" t="s">
        <v>428</v>
      </c>
    </row>
    <row r="26" spans="1:80" s="330" customFormat="1" ht="14.25" customHeight="1" x14ac:dyDescent="0.25">
      <c r="A26" s="682"/>
      <c r="B26" s="680"/>
      <c r="C26" s="684"/>
      <c r="D26" s="331" t="str">
        <f>'１次リーグ（別府）'!$N$12</f>
        <v>スマイス・セレソン</v>
      </c>
      <c r="E26" s="332" t="s">
        <v>451</v>
      </c>
      <c r="F26" s="333" t="str">
        <f>'１次リーグ（別府）'!$V$12</f>
        <v>明治北ＳＳＣ</v>
      </c>
      <c r="G26" s="334" t="s">
        <v>484</v>
      </c>
      <c r="H26" s="335" t="s">
        <v>464</v>
      </c>
      <c r="I26" s="331" t="str">
        <f>'１次リーグ（速杵国東）'!$N$12</f>
        <v>ＯＫＹ山香サッカークラブ</v>
      </c>
      <c r="J26" s="332" t="s">
        <v>451</v>
      </c>
      <c r="K26" s="333" t="str">
        <f>'１次リーグ（速杵国東）'!$V$12</f>
        <v>滝尾下郡サッカースポーツ少年団</v>
      </c>
      <c r="L26" s="334" t="s">
        <v>484</v>
      </c>
      <c r="M26" s="335" t="s">
        <v>464</v>
      </c>
      <c r="N26" s="331" t="str">
        <f>'１次リーグ（臼杵・津久見）'!$N$12</f>
        <v>ＭＦＣ三花少年サッカー教室</v>
      </c>
      <c r="O26" s="332" t="s">
        <v>451</v>
      </c>
      <c r="P26" s="333" t="str">
        <f>'１次リーグ（臼杵・津久見）'!$V$12</f>
        <v>リノスフットボールクラブ　Ｕ－１２</v>
      </c>
      <c r="Q26" s="334" t="s">
        <v>484</v>
      </c>
      <c r="R26" s="335" t="s">
        <v>464</v>
      </c>
    </row>
    <row r="27" spans="1:80" s="330" customFormat="1" ht="14.25" customHeight="1" x14ac:dyDescent="0.25">
      <c r="A27" s="681" t="s">
        <v>388</v>
      </c>
      <c r="B27" s="679" t="s">
        <v>5609</v>
      </c>
      <c r="C27" s="683" t="s">
        <v>133</v>
      </c>
      <c r="D27" s="325"/>
      <c r="E27" s="336"/>
      <c r="F27" s="327"/>
      <c r="G27" s="328" t="s">
        <v>480</v>
      </c>
      <c r="H27" s="329" t="s">
        <v>466</v>
      </c>
      <c r="I27" s="325"/>
      <c r="J27" s="336"/>
      <c r="K27" s="327"/>
      <c r="L27" s="328" t="s">
        <v>480</v>
      </c>
      <c r="M27" s="329" t="s">
        <v>466</v>
      </c>
      <c r="N27" s="325"/>
      <c r="O27" s="336"/>
      <c r="P27" s="327"/>
      <c r="Q27" s="328" t="s">
        <v>480</v>
      </c>
      <c r="R27" s="329" t="s">
        <v>466</v>
      </c>
    </row>
    <row r="28" spans="1:80" s="330" customFormat="1" ht="14.25" customHeight="1" x14ac:dyDescent="0.25">
      <c r="A28" s="682"/>
      <c r="B28" s="680"/>
      <c r="C28" s="684"/>
      <c r="D28" s="331" t="str">
        <f>'１次リーグ（別府）'!$B$30</f>
        <v>カティオーラフットボールクラブＵ－１２　Ｎｅｘｔ</v>
      </c>
      <c r="E28" s="332" t="s">
        <v>451</v>
      </c>
      <c r="F28" s="333" t="str">
        <f>'１次リーグ（別府）'!$J$30</f>
        <v>西の台ＪＦＣ</v>
      </c>
      <c r="G28" s="334" t="s">
        <v>484</v>
      </c>
      <c r="H28" s="335" t="s">
        <v>471</v>
      </c>
      <c r="I28" s="331" t="str">
        <f>'１次リーグ（速杵国東）'!$B$30</f>
        <v>大分トリニータＵ－１２</v>
      </c>
      <c r="J28" s="332" t="s">
        <v>451</v>
      </c>
      <c r="K28" s="333" t="str">
        <f>'１次リーグ（速杵国東）'!$J$30</f>
        <v>弥生少年サッカークラブ</v>
      </c>
      <c r="L28" s="334" t="s">
        <v>484</v>
      </c>
      <c r="M28" s="335" t="s">
        <v>471</v>
      </c>
      <c r="N28" s="331" t="str">
        <f>'１次リーグ（臼杵・津久見）'!$B$30</f>
        <v>ＦＣ　ＲＥＧＡＴＥ</v>
      </c>
      <c r="O28" s="332" t="s">
        <v>451</v>
      </c>
      <c r="P28" s="333" t="str">
        <f>'１次リーグ（臼杵・津久見）'!$J$30</f>
        <v>竹田直入ＦＣ</v>
      </c>
      <c r="Q28" s="334" t="s">
        <v>484</v>
      </c>
      <c r="R28" s="335" t="s">
        <v>471</v>
      </c>
    </row>
    <row r="29" spans="1:80" s="330" customFormat="1" ht="14.25" customHeight="1" x14ac:dyDescent="0.25">
      <c r="A29" s="681" t="s">
        <v>396</v>
      </c>
      <c r="B29" s="679" t="s">
        <v>5610</v>
      </c>
      <c r="C29" s="683" t="s">
        <v>133</v>
      </c>
      <c r="D29" s="325"/>
      <c r="E29" s="336"/>
      <c r="F29" s="327"/>
      <c r="G29" s="328" t="s">
        <v>480</v>
      </c>
      <c r="H29" s="329" t="s">
        <v>473</v>
      </c>
      <c r="I29" s="325"/>
      <c r="J29" s="336"/>
      <c r="K29" s="327"/>
      <c r="L29" s="328" t="s">
        <v>480</v>
      </c>
      <c r="M29" s="329" t="s">
        <v>473</v>
      </c>
      <c r="N29" s="325"/>
      <c r="O29" s="336"/>
      <c r="P29" s="327"/>
      <c r="Q29" s="328" t="s">
        <v>480</v>
      </c>
      <c r="R29" s="329" t="s">
        <v>473</v>
      </c>
    </row>
    <row r="30" spans="1:80" s="330" customFormat="1" ht="14.25" customHeight="1" x14ac:dyDescent="0.25">
      <c r="A30" s="682"/>
      <c r="B30" s="680"/>
      <c r="C30" s="684"/>
      <c r="D30" s="331" t="str">
        <f>'１次リーグ（別府）'!$N$30</f>
        <v>明治北ＳＳＣ</v>
      </c>
      <c r="E30" s="332" t="s">
        <v>451</v>
      </c>
      <c r="F30" s="333" t="str">
        <f>'１次リーグ（別府）'!$V$30</f>
        <v>大分トリニータタートルズ</v>
      </c>
      <c r="G30" s="334" t="s">
        <v>484</v>
      </c>
      <c r="H30" s="335" t="s">
        <v>168</v>
      </c>
      <c r="I30" s="331" t="str">
        <f>'１次リーグ（速杵国東）'!$N$30</f>
        <v>滝尾下郡サッカースポーツ少年団</v>
      </c>
      <c r="J30" s="332" t="s">
        <v>451</v>
      </c>
      <c r="K30" s="333" t="str">
        <f>'１次リーグ（速杵国東）'!$V$30</f>
        <v>はやぶさフットボールクラブ</v>
      </c>
      <c r="L30" s="334" t="s">
        <v>484</v>
      </c>
      <c r="M30" s="335" t="s">
        <v>168</v>
      </c>
      <c r="N30" s="331" t="str">
        <f>'１次リーグ（臼杵・津久見）'!$N$30</f>
        <v>リノスフットボールクラブ　Ｕ－１２</v>
      </c>
      <c r="O30" s="332" t="s">
        <v>451</v>
      </c>
      <c r="P30" s="333" t="str">
        <f>'１次リーグ（臼杵・津久見）'!$V$30</f>
        <v>ＮＦＣ・ＯＩＴＡ　Ｕ１２</v>
      </c>
      <c r="Q30" s="334" t="s">
        <v>484</v>
      </c>
      <c r="R30" s="335" t="s">
        <v>168</v>
      </c>
    </row>
    <row r="31" spans="1:80" s="330" customFormat="1" ht="14.25" customHeight="1" x14ac:dyDescent="0.25">
      <c r="A31" s="681" t="s">
        <v>400</v>
      </c>
      <c r="B31" s="679" t="s">
        <v>5611</v>
      </c>
      <c r="C31" s="683" t="s">
        <v>133</v>
      </c>
      <c r="D31" s="325"/>
      <c r="E31" s="336"/>
      <c r="F31" s="327"/>
      <c r="G31" s="328" t="s">
        <v>480</v>
      </c>
      <c r="H31" s="329" t="s">
        <v>663</v>
      </c>
      <c r="I31" s="325"/>
      <c r="J31" s="336"/>
      <c r="K31" s="327"/>
      <c r="L31" s="328" t="s">
        <v>480</v>
      </c>
      <c r="M31" s="329" t="s">
        <v>663</v>
      </c>
      <c r="N31" s="325"/>
      <c r="O31" s="336"/>
      <c r="P31" s="327"/>
      <c r="Q31" s="328" t="s">
        <v>480</v>
      </c>
      <c r="R31" s="329" t="s">
        <v>663</v>
      </c>
    </row>
    <row r="32" spans="1:80" s="330" customFormat="1" ht="15" x14ac:dyDescent="0.25">
      <c r="A32" s="682"/>
      <c r="B32" s="680"/>
      <c r="C32" s="684"/>
      <c r="D32" s="331" t="str">
        <f>'１次リーグ（別府）'!$B$48</f>
        <v>西の台ＪＦＣ</v>
      </c>
      <c r="E32" s="332" t="s">
        <v>451</v>
      </c>
      <c r="F32" s="333" t="str">
        <f>'１次リーグ（別府）'!$J$48</f>
        <v>別府フットボールクラブ．ミネルバＵ－１２</v>
      </c>
      <c r="G32" s="334" t="s">
        <v>484</v>
      </c>
      <c r="H32" s="335" t="s">
        <v>665</v>
      </c>
      <c r="I32" s="331" t="str">
        <f>'１次リーグ（速杵国東）'!$B$48</f>
        <v>弥生少年サッカークラブ</v>
      </c>
      <c r="J32" s="332" t="s">
        <v>451</v>
      </c>
      <c r="K32" s="333" t="str">
        <f>'１次リーグ（速杵国東）'!$J$48</f>
        <v>日出サッカースポーツ少年団</v>
      </c>
      <c r="L32" s="334" t="s">
        <v>484</v>
      </c>
      <c r="M32" s="335" t="s">
        <v>665</v>
      </c>
      <c r="N32" s="331" t="str">
        <f>'１次リーグ（臼杵・津久見）'!$B$48</f>
        <v>竹田直入ＦＣ</v>
      </c>
      <c r="O32" s="332" t="s">
        <v>451</v>
      </c>
      <c r="P32" s="333" t="str">
        <f>'１次リーグ（臼杵・津久見）'!$J$48</f>
        <v>臼杵ＳＳＳ</v>
      </c>
      <c r="Q32" s="334" t="s">
        <v>484</v>
      </c>
      <c r="R32" s="335" t="s">
        <v>665</v>
      </c>
    </row>
    <row r="33" spans="1:18" s="330" customFormat="1" ht="15" x14ac:dyDescent="0.25">
      <c r="A33" s="681" t="s">
        <v>383</v>
      </c>
      <c r="B33" s="679" t="s">
        <v>5612</v>
      </c>
      <c r="C33" s="683" t="s">
        <v>133</v>
      </c>
      <c r="D33" s="325"/>
      <c r="E33" s="336"/>
      <c r="F33" s="327"/>
      <c r="G33" s="328" t="s">
        <v>480</v>
      </c>
      <c r="H33" s="329" t="s">
        <v>669</v>
      </c>
      <c r="I33" s="325"/>
      <c r="J33" s="336"/>
      <c r="K33" s="327"/>
      <c r="L33" s="328" t="s">
        <v>480</v>
      </c>
      <c r="M33" s="329" t="s">
        <v>669</v>
      </c>
      <c r="N33" s="325"/>
      <c r="O33" s="336"/>
      <c r="P33" s="327"/>
      <c r="Q33" s="328" t="s">
        <v>480</v>
      </c>
      <c r="R33" s="329" t="s">
        <v>669</v>
      </c>
    </row>
    <row r="34" spans="1:18" s="330" customFormat="1" ht="15" x14ac:dyDescent="0.25">
      <c r="A34" s="682"/>
      <c r="B34" s="680"/>
      <c r="C34" s="684"/>
      <c r="D34" s="331" t="str">
        <f>'１次リーグ（別府）'!$N$48</f>
        <v>大分トリニータタートルズ</v>
      </c>
      <c r="E34" s="332" t="s">
        <v>451</v>
      </c>
      <c r="F34" s="333" t="str">
        <f>'１次リーグ（別府）'!$V$48</f>
        <v>スマイス・セレソン</v>
      </c>
      <c r="G34" s="334" t="s">
        <v>484</v>
      </c>
      <c r="H34" s="335" t="s">
        <v>678</v>
      </c>
      <c r="I34" s="331" t="str">
        <f>'１次リーグ（速杵国東）'!$N$48</f>
        <v>はやぶさフットボールクラブ</v>
      </c>
      <c r="J34" s="332" t="s">
        <v>451</v>
      </c>
      <c r="K34" s="333" t="str">
        <f>'１次リーグ（速杵国東）'!$V$48</f>
        <v>ＯＫＹ山香サッカークラブ</v>
      </c>
      <c r="L34" s="334" t="s">
        <v>484</v>
      </c>
      <c r="M34" s="335" t="s">
        <v>678</v>
      </c>
      <c r="N34" s="331" t="str">
        <f>'１次リーグ（臼杵・津久見）'!$N$48</f>
        <v>ＮＦＣ・ＯＩＴＡ　Ｕ１２</v>
      </c>
      <c r="O34" s="332" t="s">
        <v>451</v>
      </c>
      <c r="P34" s="333" t="str">
        <f>'１次リーグ（臼杵・津久見）'!$V$48</f>
        <v>ＭＦＣ三花少年サッカー教室</v>
      </c>
      <c r="Q34" s="334" t="s">
        <v>484</v>
      </c>
      <c r="R34" s="335" t="s">
        <v>678</v>
      </c>
    </row>
    <row r="35" spans="1:18" ht="15.75" customHeight="1" x14ac:dyDescent="0.25">
      <c r="A35" s="319"/>
      <c r="B35" s="319"/>
      <c r="C35" s="324" t="s">
        <v>365</v>
      </c>
      <c r="D35" s="685" t="s">
        <v>385</v>
      </c>
      <c r="E35" s="686"/>
      <c r="F35" s="686"/>
      <c r="G35" s="686"/>
      <c r="H35" s="686"/>
      <c r="I35" s="686"/>
      <c r="J35" s="686"/>
      <c r="K35" s="686"/>
      <c r="L35" s="686"/>
      <c r="M35" s="686"/>
      <c r="N35" s="686"/>
      <c r="O35" s="686"/>
      <c r="P35" s="686"/>
      <c r="Q35" s="686"/>
      <c r="R35" s="687"/>
    </row>
    <row r="37" spans="1:18" ht="15.75" customHeight="1" x14ac:dyDescent="0.25">
      <c r="A37" s="337"/>
      <c r="B37" s="337"/>
      <c r="C37" s="337"/>
      <c r="D37" s="337"/>
      <c r="E37" s="337"/>
      <c r="F37" s="337"/>
      <c r="G37" s="337"/>
      <c r="H37" s="337"/>
      <c r="I37" s="337"/>
      <c r="J37" s="337"/>
      <c r="K37" s="337"/>
      <c r="L37" s="337"/>
      <c r="M37" s="337"/>
      <c r="N37" s="337"/>
      <c r="O37" s="337"/>
      <c r="P37" s="337"/>
      <c r="Q37" s="337"/>
      <c r="R37" s="337"/>
    </row>
    <row r="38" spans="1:18" ht="15.75" customHeight="1" x14ac:dyDescent="0.25">
      <c r="B38" s="317" t="s">
        <v>443</v>
      </c>
      <c r="C38" s="702">
        <f>組み合わせ!BU3</f>
        <v>46054</v>
      </c>
      <c r="D38" s="702"/>
    </row>
    <row r="39" spans="1:18" ht="15.75" customHeight="1" x14ac:dyDescent="0.25">
      <c r="B39" s="317" t="s">
        <v>350</v>
      </c>
      <c r="C39" s="318" t="s">
        <v>2462</v>
      </c>
    </row>
    <row r="40" spans="1:18" ht="15.75" customHeight="1" x14ac:dyDescent="0.25">
      <c r="A40" s="319"/>
      <c r="B40" s="319"/>
      <c r="C40" s="320"/>
      <c r="D40" s="321" t="s">
        <v>204</v>
      </c>
      <c r="E40" s="338" t="str">
        <f>組み合わせ!D6</f>
        <v>豊肥</v>
      </c>
      <c r="F40" s="690" t="str">
        <f>VLOOKUP(E40,抽選会資料!$B$55:$F$63,2,FALSE)</f>
        <v>恵藤建設サン・スポーツランド(サン・スポーツランドみえ)</v>
      </c>
      <c r="G40" s="690"/>
      <c r="H40" s="691"/>
      <c r="I40" s="321" t="s">
        <v>204</v>
      </c>
      <c r="J40" s="338" t="str">
        <f>組み合わせ!BF6</f>
        <v>佐伯</v>
      </c>
      <c r="K40" s="690" t="str">
        <f>VLOOKUP(J40,抽選会資料!$B$55:$F$63,2,FALSE)</f>
        <v>佐伯市総合運動公園人工芝グラウンド</v>
      </c>
      <c r="L40" s="690"/>
      <c r="M40" s="691"/>
      <c r="N40" s="339"/>
      <c r="O40" s="339"/>
      <c r="P40" s="339"/>
      <c r="Q40" s="339"/>
      <c r="R40" s="339"/>
    </row>
    <row r="41" spans="1:18" ht="15.75" customHeight="1" x14ac:dyDescent="0.25">
      <c r="A41" s="319"/>
      <c r="B41" s="323" t="s">
        <v>5606</v>
      </c>
      <c r="C41" s="324" t="s">
        <v>354</v>
      </c>
      <c r="D41" s="692" t="s">
        <v>503</v>
      </c>
      <c r="E41" s="693"/>
      <c r="F41" s="694"/>
      <c r="G41" s="675" t="s">
        <v>486</v>
      </c>
      <c r="H41" s="695"/>
      <c r="I41" s="696" t="s">
        <v>438</v>
      </c>
      <c r="J41" s="697"/>
      <c r="K41" s="698"/>
      <c r="L41" s="675" t="s">
        <v>486</v>
      </c>
      <c r="M41" s="695"/>
      <c r="N41" s="339"/>
      <c r="O41" s="339"/>
      <c r="P41" s="339"/>
      <c r="Q41" s="339"/>
      <c r="R41" s="339"/>
    </row>
    <row r="42" spans="1:18" ht="13.5" customHeight="1" x14ac:dyDescent="0.25">
      <c r="A42" s="664" t="s">
        <v>357</v>
      </c>
      <c r="B42" s="679" t="s">
        <v>5607</v>
      </c>
      <c r="C42" s="670" t="s">
        <v>174</v>
      </c>
      <c r="D42" s="325"/>
      <c r="E42" s="326"/>
      <c r="F42" s="327"/>
      <c r="G42" s="340" t="s">
        <v>480</v>
      </c>
      <c r="H42" s="341" t="s">
        <v>459</v>
      </c>
      <c r="I42" s="325"/>
      <c r="J42" s="326"/>
      <c r="K42" s="327"/>
      <c r="L42" s="340" t="s">
        <v>480</v>
      </c>
      <c r="M42" s="341" t="s">
        <v>459</v>
      </c>
      <c r="N42" s="339"/>
      <c r="O42" s="339"/>
      <c r="P42" s="339"/>
      <c r="Q42" s="339"/>
      <c r="R42" s="339"/>
    </row>
    <row r="43" spans="1:18" ht="14.25" customHeight="1" x14ac:dyDescent="0.25">
      <c r="A43" s="666"/>
      <c r="B43" s="680"/>
      <c r="C43" s="672"/>
      <c r="D43" s="331" t="str">
        <f>'２次リーグ（豊肥）'!$B$12</f>
        <v>ドリームキッズフットボールクラブ</v>
      </c>
      <c r="E43" s="332" t="s">
        <v>451</v>
      </c>
      <c r="F43" s="333" t="str">
        <f>'２次リーグ（豊肥）'!$J$12</f>
        <v>臼杵ＳＳＳ</v>
      </c>
      <c r="G43" s="343" t="s">
        <v>484</v>
      </c>
      <c r="H43" s="344" t="s">
        <v>462</v>
      </c>
      <c r="I43" s="331" t="str">
        <f>'２次リーグ（佐伯）'!$B$12</f>
        <v>弥生少年サッカークラブ</v>
      </c>
      <c r="J43" s="332" t="s">
        <v>451</v>
      </c>
      <c r="K43" s="333" t="str">
        <f>'２次リーグ（佐伯）'!$J$12</f>
        <v>アトレチコエラン横瀬</v>
      </c>
      <c r="L43" s="343" t="s">
        <v>484</v>
      </c>
      <c r="M43" s="344" t="s">
        <v>462</v>
      </c>
      <c r="N43" s="339"/>
      <c r="O43" s="339"/>
      <c r="P43" s="339"/>
      <c r="Q43" s="339"/>
      <c r="R43" s="339"/>
    </row>
    <row r="44" spans="1:18" ht="14.25" customHeight="1" x14ac:dyDescent="0.25">
      <c r="A44" s="664" t="s">
        <v>360</v>
      </c>
      <c r="B44" s="679" t="s">
        <v>5608</v>
      </c>
      <c r="C44" s="670" t="s">
        <v>133</v>
      </c>
      <c r="D44" s="325"/>
      <c r="E44" s="336"/>
      <c r="F44" s="327"/>
      <c r="G44" s="340" t="s">
        <v>480</v>
      </c>
      <c r="H44" s="341" t="s">
        <v>428</v>
      </c>
      <c r="I44" s="325"/>
      <c r="J44" s="336"/>
      <c r="K44" s="327"/>
      <c r="L44" s="340" t="s">
        <v>480</v>
      </c>
      <c r="M44" s="341" t="s">
        <v>428</v>
      </c>
      <c r="N44" s="339"/>
      <c r="O44" s="339"/>
      <c r="P44" s="339"/>
      <c r="Q44" s="339"/>
      <c r="R44" s="339"/>
    </row>
    <row r="45" spans="1:18" ht="14.25" customHeight="1" x14ac:dyDescent="0.25">
      <c r="A45" s="666"/>
      <c r="B45" s="680"/>
      <c r="C45" s="672"/>
      <c r="D45" s="331" t="str">
        <f>'２次リーグ（豊肥）'!$N$12</f>
        <v>ティエラフットボールクラブＵ－１２</v>
      </c>
      <c r="E45" s="332" t="s">
        <v>451</v>
      </c>
      <c r="F45" s="333" t="str">
        <f>'２次リーグ（豊肥）'!$V$12</f>
        <v>大分トリニータタートルズ</v>
      </c>
      <c r="G45" s="343" t="s">
        <v>484</v>
      </c>
      <c r="H45" s="344" t="s">
        <v>464</v>
      </c>
      <c r="I45" s="331" t="str">
        <f>'２次リーグ（佐伯）'!$N$12</f>
        <v>滝尾下郡サッカースポーツ少年団</v>
      </c>
      <c r="J45" s="332" t="s">
        <v>451</v>
      </c>
      <c r="K45" s="333" t="str">
        <f>'２次リーグ（佐伯）'!$V$12</f>
        <v>戸次吉野ＳＳＳ</v>
      </c>
      <c r="L45" s="343" t="s">
        <v>484</v>
      </c>
      <c r="M45" s="344" t="s">
        <v>464</v>
      </c>
      <c r="N45" s="339"/>
      <c r="O45" s="339"/>
      <c r="P45" s="339"/>
      <c r="Q45" s="339"/>
      <c r="R45" s="339"/>
    </row>
    <row r="46" spans="1:18" ht="14.25" customHeight="1" x14ac:dyDescent="0.25">
      <c r="A46" s="664" t="s">
        <v>388</v>
      </c>
      <c r="B46" s="679" t="s">
        <v>5609</v>
      </c>
      <c r="C46" s="670" t="s">
        <v>133</v>
      </c>
      <c r="D46" s="325"/>
      <c r="E46" s="336"/>
      <c r="F46" s="327"/>
      <c r="G46" s="340" t="s">
        <v>480</v>
      </c>
      <c r="H46" s="341" t="s">
        <v>466</v>
      </c>
      <c r="I46" s="325"/>
      <c r="J46" s="336"/>
      <c r="K46" s="327"/>
      <c r="L46" s="340" t="s">
        <v>480</v>
      </c>
      <c r="M46" s="341" t="s">
        <v>466</v>
      </c>
      <c r="N46" s="339"/>
      <c r="O46" s="339"/>
      <c r="P46" s="339"/>
      <c r="Q46" s="339"/>
      <c r="R46" s="339"/>
    </row>
    <row r="47" spans="1:18" ht="14.25" customHeight="1" x14ac:dyDescent="0.25">
      <c r="A47" s="666"/>
      <c r="B47" s="680"/>
      <c r="C47" s="672"/>
      <c r="D47" s="331" t="str">
        <f>'２次リーグ（豊肥）'!$B$30</f>
        <v>臼杵ＳＳＳ</v>
      </c>
      <c r="E47" s="332" t="s">
        <v>451</v>
      </c>
      <c r="F47" s="333" t="str">
        <f>'２次リーグ（豊肥）'!$J$30</f>
        <v>別府フットボールクラブ．ミネルバＵ－１２</v>
      </c>
      <c r="G47" s="343" t="s">
        <v>484</v>
      </c>
      <c r="H47" s="344" t="s">
        <v>471</v>
      </c>
      <c r="I47" s="331" t="str">
        <f>'２次リーグ（佐伯）'!$B$30</f>
        <v>アトレチコエラン横瀬</v>
      </c>
      <c r="J47" s="332" t="s">
        <v>451</v>
      </c>
      <c r="K47" s="333" t="str">
        <f>'２次リーグ（佐伯）'!$J$30</f>
        <v>カティオーラフットボールクラブＵ－１２</v>
      </c>
      <c r="L47" s="343" t="s">
        <v>484</v>
      </c>
      <c r="M47" s="344" t="s">
        <v>471</v>
      </c>
      <c r="N47" s="339"/>
      <c r="O47" s="339"/>
      <c r="P47" s="339"/>
      <c r="Q47" s="339"/>
      <c r="R47" s="339"/>
    </row>
    <row r="48" spans="1:18" ht="14.25" customHeight="1" x14ac:dyDescent="0.25">
      <c r="A48" s="664" t="s">
        <v>396</v>
      </c>
      <c r="B48" s="679" t="s">
        <v>5610</v>
      </c>
      <c r="C48" s="670" t="s">
        <v>133</v>
      </c>
      <c r="D48" s="325"/>
      <c r="E48" s="336"/>
      <c r="F48" s="327"/>
      <c r="G48" s="340" t="s">
        <v>480</v>
      </c>
      <c r="H48" s="341" t="s">
        <v>473</v>
      </c>
      <c r="I48" s="325"/>
      <c r="J48" s="336"/>
      <c r="K48" s="327"/>
      <c r="L48" s="340" t="s">
        <v>480</v>
      </c>
      <c r="M48" s="341" t="s">
        <v>473</v>
      </c>
      <c r="N48" s="339"/>
      <c r="O48" s="339"/>
      <c r="P48" s="339"/>
      <c r="Q48" s="339"/>
      <c r="R48" s="339"/>
    </row>
    <row r="49" spans="1:18" ht="14.25" customHeight="1" x14ac:dyDescent="0.25">
      <c r="A49" s="666"/>
      <c r="B49" s="680"/>
      <c r="C49" s="672"/>
      <c r="D49" s="331" t="str">
        <f>'２次リーグ（豊肥）'!$N$30</f>
        <v>大分トリニータタートルズ</v>
      </c>
      <c r="E49" s="332" t="s">
        <v>451</v>
      </c>
      <c r="F49" s="333" t="str">
        <f>'２次リーグ（豊肥）'!$V$30</f>
        <v>リノスフットボールクラブ　Ｕ－１２</v>
      </c>
      <c r="G49" s="343" t="s">
        <v>484</v>
      </c>
      <c r="H49" s="344" t="s">
        <v>168</v>
      </c>
      <c r="I49" s="331" t="str">
        <f>'２次リーグ（佐伯）'!$N$30</f>
        <v>戸次吉野ＳＳＳ</v>
      </c>
      <c r="J49" s="332" t="s">
        <v>451</v>
      </c>
      <c r="K49" s="333" t="str">
        <f>'２次リーグ（佐伯）'!$V$30</f>
        <v>四日市南ＳＳＣ</v>
      </c>
      <c r="L49" s="343" t="s">
        <v>484</v>
      </c>
      <c r="M49" s="344" t="s">
        <v>168</v>
      </c>
      <c r="N49" s="339"/>
      <c r="O49" s="339"/>
      <c r="P49" s="339"/>
      <c r="Q49" s="339"/>
      <c r="R49" s="339"/>
    </row>
    <row r="50" spans="1:18" ht="14.25" customHeight="1" x14ac:dyDescent="0.25">
      <c r="A50" s="664" t="s">
        <v>400</v>
      </c>
      <c r="B50" s="679" t="s">
        <v>5611</v>
      </c>
      <c r="C50" s="670" t="s">
        <v>133</v>
      </c>
      <c r="D50" s="325"/>
      <c r="E50" s="336"/>
      <c r="F50" s="327"/>
      <c r="G50" s="340" t="s">
        <v>480</v>
      </c>
      <c r="H50" s="341" t="s">
        <v>663</v>
      </c>
      <c r="I50" s="325"/>
      <c r="J50" s="336"/>
      <c r="K50" s="327"/>
      <c r="L50" s="340" t="s">
        <v>480</v>
      </c>
      <c r="M50" s="341" t="s">
        <v>663</v>
      </c>
      <c r="N50" s="339"/>
      <c r="O50" s="339"/>
      <c r="P50" s="339"/>
      <c r="Q50" s="339"/>
      <c r="R50" s="339"/>
    </row>
    <row r="51" spans="1:18" ht="15" x14ac:dyDescent="0.25">
      <c r="A51" s="666"/>
      <c r="B51" s="680"/>
      <c r="C51" s="672"/>
      <c r="D51" s="331" t="str">
        <f>'２次リーグ（豊肥）'!$B$48</f>
        <v>別府フットボールクラブ．ミネルバＵ－１２</v>
      </c>
      <c r="E51" s="332" t="s">
        <v>451</v>
      </c>
      <c r="F51" s="333" t="str">
        <f>'２次リーグ（豊肥）'!$J$48</f>
        <v>ドリームキッズフットボールクラブ</v>
      </c>
      <c r="G51" s="343" t="s">
        <v>484</v>
      </c>
      <c r="H51" s="344" t="s">
        <v>665</v>
      </c>
      <c r="I51" s="331" t="str">
        <f>'２次リーグ（佐伯）'!$B$48</f>
        <v>カティオーラフットボールクラブＵ－１２</v>
      </c>
      <c r="J51" s="332" t="s">
        <v>451</v>
      </c>
      <c r="K51" s="333" t="str">
        <f>'２次リーグ（佐伯）'!$J$48</f>
        <v>弥生少年サッカークラブ</v>
      </c>
      <c r="L51" s="343" t="s">
        <v>484</v>
      </c>
      <c r="M51" s="344" t="s">
        <v>665</v>
      </c>
      <c r="N51" s="339"/>
      <c r="O51" s="339"/>
      <c r="P51" s="339"/>
      <c r="Q51" s="339"/>
      <c r="R51" s="339"/>
    </row>
    <row r="52" spans="1:18" ht="15" x14ac:dyDescent="0.25">
      <c r="A52" s="664" t="s">
        <v>383</v>
      </c>
      <c r="B52" s="679" t="s">
        <v>5612</v>
      </c>
      <c r="C52" s="670" t="s">
        <v>133</v>
      </c>
      <c r="D52" s="325"/>
      <c r="E52" s="336"/>
      <c r="F52" s="327"/>
      <c r="G52" s="340" t="s">
        <v>480</v>
      </c>
      <c r="H52" s="341" t="s">
        <v>669</v>
      </c>
      <c r="I52" s="325"/>
      <c r="J52" s="336"/>
      <c r="K52" s="327"/>
      <c r="L52" s="340" t="s">
        <v>480</v>
      </c>
      <c r="M52" s="341" t="s">
        <v>669</v>
      </c>
      <c r="N52" s="339"/>
      <c r="O52" s="339"/>
      <c r="P52" s="339"/>
      <c r="Q52" s="339"/>
      <c r="R52" s="339"/>
    </row>
    <row r="53" spans="1:18" ht="15" x14ac:dyDescent="0.25">
      <c r="A53" s="666"/>
      <c r="B53" s="680"/>
      <c r="C53" s="672"/>
      <c r="D53" s="331" t="str">
        <f>'２次リーグ（豊肥）'!$N$48</f>
        <v>リノスフットボールクラブ　Ｕ－１２</v>
      </c>
      <c r="E53" s="332" t="s">
        <v>451</v>
      </c>
      <c r="F53" s="333" t="str">
        <f>'２次リーグ（豊肥）'!$V$48</f>
        <v>ティエラフットボールクラブＵ－１２</v>
      </c>
      <c r="G53" s="343" t="s">
        <v>484</v>
      </c>
      <c r="H53" s="344" t="s">
        <v>678</v>
      </c>
      <c r="I53" s="331" t="str">
        <f>'２次リーグ（佐伯）'!$N$48</f>
        <v>四日市南ＳＳＣ</v>
      </c>
      <c r="J53" s="332" t="s">
        <v>451</v>
      </c>
      <c r="K53" s="333" t="str">
        <f>'２次リーグ（佐伯）'!$V$48</f>
        <v>滝尾下郡サッカースポーツ少年団</v>
      </c>
      <c r="L53" s="343" t="s">
        <v>484</v>
      </c>
      <c r="M53" s="344" t="s">
        <v>678</v>
      </c>
      <c r="N53" s="339"/>
      <c r="O53" s="339"/>
      <c r="P53" s="339"/>
      <c r="Q53" s="339"/>
      <c r="R53" s="339"/>
    </row>
    <row r="54" spans="1:18" ht="15.75" customHeight="1" x14ac:dyDescent="0.25">
      <c r="A54" s="319"/>
      <c r="B54" s="319"/>
      <c r="C54" s="324" t="s">
        <v>365</v>
      </c>
      <c r="D54" s="685" t="s">
        <v>385</v>
      </c>
      <c r="E54" s="686"/>
      <c r="F54" s="686"/>
      <c r="G54" s="686"/>
      <c r="H54" s="686"/>
      <c r="I54" s="686"/>
      <c r="J54" s="686"/>
      <c r="K54" s="686"/>
      <c r="L54" s="686"/>
      <c r="M54" s="687"/>
    </row>
    <row r="56" spans="1:18" ht="15.75" customHeight="1" x14ac:dyDescent="0.25">
      <c r="A56" s="337"/>
      <c r="B56" s="337"/>
      <c r="C56" s="337"/>
      <c r="D56" s="337"/>
      <c r="E56" s="337"/>
      <c r="F56" s="337"/>
      <c r="G56" s="337"/>
      <c r="H56" s="337"/>
      <c r="I56" s="337"/>
      <c r="J56" s="337"/>
      <c r="K56" s="337"/>
      <c r="L56" s="337"/>
      <c r="M56" s="337"/>
    </row>
    <row r="57" spans="1:18" ht="15.75" customHeight="1" x14ac:dyDescent="0.25">
      <c r="B57" s="317" t="s">
        <v>443</v>
      </c>
      <c r="C57" s="703">
        <f>組み合わせ!CI3</f>
        <v>46061</v>
      </c>
      <c r="D57" s="703"/>
      <c r="E57" s="703"/>
      <c r="F57" s="703"/>
    </row>
    <row r="58" spans="1:18" ht="15.75" customHeight="1" x14ac:dyDescent="0.25">
      <c r="B58" s="317" t="s">
        <v>350</v>
      </c>
    </row>
    <row r="59" spans="1:18" ht="15.75" customHeight="1" x14ac:dyDescent="0.25">
      <c r="D59" s="345" t="s">
        <v>276</v>
      </c>
      <c r="E59" s="317" t="str">
        <f>組み合わせ!D5</f>
        <v>県人工芝</v>
      </c>
      <c r="F59" s="317" t="str">
        <f>VLOOKUP(E59,抽選会資料!$B$55:$F$63,2,FALSE)</f>
        <v>大分県サッカー協会人工芝グラウンド</v>
      </c>
      <c r="N59" s="345"/>
    </row>
    <row r="60" spans="1:18" ht="15.75" customHeight="1" x14ac:dyDescent="0.25">
      <c r="A60" s="319"/>
      <c r="B60" s="323" t="s">
        <v>5613</v>
      </c>
      <c r="C60" s="324" t="s">
        <v>354</v>
      </c>
      <c r="D60" s="699" t="s">
        <v>370</v>
      </c>
      <c r="E60" s="700"/>
      <c r="F60" s="700"/>
      <c r="G60" s="700"/>
      <c r="H60" s="700"/>
      <c r="I60" s="700"/>
      <c r="J60" s="700"/>
      <c r="K60" s="700"/>
      <c r="L60" s="700"/>
      <c r="M60" s="701"/>
    </row>
    <row r="61" spans="1:18" ht="15.75" customHeight="1" x14ac:dyDescent="0.25">
      <c r="A61" s="664" t="s">
        <v>357</v>
      </c>
      <c r="B61" s="1017" t="s">
        <v>15346</v>
      </c>
      <c r="C61" s="324" t="s">
        <v>723</v>
      </c>
      <c r="D61" s="676" t="s">
        <v>715</v>
      </c>
      <c r="E61" s="677"/>
      <c r="F61" s="677"/>
      <c r="G61" s="677"/>
      <c r="H61" s="677"/>
      <c r="I61" s="677"/>
      <c r="J61" s="677"/>
      <c r="K61" s="677"/>
      <c r="L61" s="677"/>
      <c r="M61" s="678"/>
    </row>
    <row r="62" spans="1:18" ht="15.75" customHeight="1" x14ac:dyDescent="0.25">
      <c r="A62" s="665"/>
      <c r="B62" s="408" t="s">
        <v>15346</v>
      </c>
      <c r="C62" s="324" t="s">
        <v>723</v>
      </c>
      <c r="D62" s="676" t="s">
        <v>685</v>
      </c>
      <c r="E62" s="677"/>
      <c r="F62" s="677"/>
      <c r="G62" s="677"/>
      <c r="H62" s="677"/>
      <c r="I62" s="677"/>
      <c r="J62" s="677"/>
      <c r="K62" s="677"/>
      <c r="L62" s="677"/>
      <c r="M62" s="678"/>
    </row>
    <row r="63" spans="1:18" ht="13.5" customHeight="1" x14ac:dyDescent="0.25">
      <c r="A63" s="665"/>
      <c r="B63" s="655" t="s">
        <v>15347</v>
      </c>
      <c r="C63" s="656" t="s">
        <v>595</v>
      </c>
      <c r="D63" s="673" t="s">
        <v>1473</v>
      </c>
      <c r="E63" s="674"/>
      <c r="F63" s="674"/>
      <c r="G63" s="674"/>
      <c r="H63" s="674"/>
      <c r="I63" s="674"/>
      <c r="J63" s="674"/>
      <c r="K63" s="675"/>
      <c r="L63" s="342" t="s">
        <v>375</v>
      </c>
      <c r="M63" s="347" t="s">
        <v>728</v>
      </c>
    </row>
    <row r="64" spans="1:18" ht="14.25" customHeight="1" x14ac:dyDescent="0.25">
      <c r="A64" s="665"/>
      <c r="B64" s="655"/>
      <c r="C64" s="657"/>
      <c r="D64" s="348"/>
      <c r="E64" s="349" t="str">
        <f>組み合わせ!V30</f>
        <v>（　大分　市）</v>
      </c>
      <c r="G64" s="659" t="str">
        <f>組み合わせ!D5</f>
        <v>県人工芝</v>
      </c>
      <c r="H64" s="659"/>
      <c r="J64" s="349" t="str">
        <f>組み合わせ!BF30</f>
        <v>（　大分　市）</v>
      </c>
      <c r="K64" s="350"/>
      <c r="L64" s="346" t="s">
        <v>445</v>
      </c>
      <c r="M64" s="351" t="s">
        <v>728</v>
      </c>
    </row>
    <row r="65" spans="1:13" ht="14.25" customHeight="1" x14ac:dyDescent="0.25">
      <c r="A65" s="665"/>
      <c r="B65" s="655"/>
      <c r="C65" s="657"/>
      <c r="D65" s="658" t="str">
        <f>組み合わせ!$L$27</f>
        <v>ドリームキッズフットボールクラブ</v>
      </c>
      <c r="E65" s="659"/>
      <c r="F65" s="659"/>
      <c r="G65" s="659" t="s">
        <v>451</v>
      </c>
      <c r="H65" s="659"/>
      <c r="I65" s="659" t="str">
        <f>組み合わせ!$AV$27</f>
        <v>カティオーラフットボールクラブＵ－１２</v>
      </c>
      <c r="J65" s="659"/>
      <c r="K65" s="662"/>
      <c r="L65" s="346" t="s">
        <v>445</v>
      </c>
      <c r="M65" s="351" t="s">
        <v>728</v>
      </c>
    </row>
    <row r="66" spans="1:13" ht="14.25" customHeight="1" x14ac:dyDescent="0.25">
      <c r="A66" s="665"/>
      <c r="B66" s="655"/>
      <c r="C66" s="657"/>
      <c r="D66" s="660"/>
      <c r="E66" s="661"/>
      <c r="F66" s="661"/>
      <c r="G66" s="661"/>
      <c r="H66" s="661"/>
      <c r="I66" s="661"/>
      <c r="J66" s="661"/>
      <c r="K66" s="663"/>
      <c r="L66" s="346" t="s">
        <v>387</v>
      </c>
      <c r="M66" s="351" t="s">
        <v>728</v>
      </c>
    </row>
    <row r="67" spans="1:13" ht="15.75" customHeight="1" x14ac:dyDescent="0.25">
      <c r="A67" s="665"/>
      <c r="B67" s="655" t="s">
        <v>15347</v>
      </c>
      <c r="C67" s="656" t="s">
        <v>1370</v>
      </c>
      <c r="D67" s="673" t="s">
        <v>1468</v>
      </c>
      <c r="E67" s="674"/>
      <c r="F67" s="674"/>
      <c r="G67" s="674"/>
      <c r="H67" s="674"/>
      <c r="I67" s="674"/>
      <c r="J67" s="674"/>
      <c r="K67" s="675"/>
      <c r="L67" s="342" t="s">
        <v>375</v>
      </c>
      <c r="M67" s="347" t="s">
        <v>728</v>
      </c>
    </row>
    <row r="68" spans="1:13" ht="15.75" customHeight="1" x14ac:dyDescent="0.25">
      <c r="A68" s="665"/>
      <c r="B68" s="655"/>
      <c r="C68" s="657"/>
      <c r="D68" s="348"/>
      <c r="E68" s="349" t="str">
        <f>組み合わせ!CP30</f>
        <v>（　中津　市）</v>
      </c>
      <c r="G68" s="659" t="str">
        <f>組み合わせ!D5</f>
        <v>県人工芝</v>
      </c>
      <c r="H68" s="659"/>
      <c r="J68" s="349" t="str">
        <f>組み合わせ!DZ30</f>
        <v>（　宇佐　市）</v>
      </c>
      <c r="K68" s="350"/>
      <c r="L68" s="346" t="s">
        <v>445</v>
      </c>
      <c r="M68" s="351" t="s">
        <v>728</v>
      </c>
    </row>
    <row r="69" spans="1:13" ht="15.75" customHeight="1" x14ac:dyDescent="0.25">
      <c r="A69" s="665"/>
      <c r="B69" s="655"/>
      <c r="C69" s="657"/>
      <c r="D69" s="658" t="str">
        <f>組み合わせ!CF27</f>
        <v>ティエラフットボールクラブＵ－１２</v>
      </c>
      <c r="E69" s="659"/>
      <c r="F69" s="659"/>
      <c r="G69" s="659" t="s">
        <v>451</v>
      </c>
      <c r="H69" s="659"/>
      <c r="I69" s="659" t="str">
        <f>組み合わせ!DP27</f>
        <v>四日市南ＳＳＣ</v>
      </c>
      <c r="J69" s="659"/>
      <c r="K69" s="662"/>
      <c r="L69" s="346" t="s">
        <v>445</v>
      </c>
      <c r="M69" s="351" t="s">
        <v>728</v>
      </c>
    </row>
    <row r="70" spans="1:13" ht="15" x14ac:dyDescent="0.25">
      <c r="A70" s="666"/>
      <c r="B70" s="655"/>
      <c r="C70" s="657"/>
      <c r="D70" s="660"/>
      <c r="E70" s="661"/>
      <c r="F70" s="661"/>
      <c r="G70" s="661"/>
      <c r="H70" s="661"/>
      <c r="I70" s="661"/>
      <c r="J70" s="661"/>
      <c r="K70" s="663"/>
      <c r="L70" s="346" t="s">
        <v>387</v>
      </c>
      <c r="M70" s="351" t="s">
        <v>728</v>
      </c>
    </row>
    <row r="71" spans="1:13" ht="15.75" customHeight="1" x14ac:dyDescent="0.25">
      <c r="A71" s="664" t="s">
        <v>360</v>
      </c>
      <c r="B71" s="408" t="s">
        <v>15348</v>
      </c>
      <c r="C71" s="349" t="s">
        <v>723</v>
      </c>
      <c r="D71" s="676" t="s">
        <v>716</v>
      </c>
      <c r="E71" s="677"/>
      <c r="F71" s="677"/>
      <c r="G71" s="677"/>
      <c r="H71" s="677"/>
      <c r="I71" s="677"/>
      <c r="J71" s="677"/>
      <c r="K71" s="677"/>
      <c r="L71" s="677"/>
      <c r="M71" s="678"/>
    </row>
    <row r="72" spans="1:13" ht="15.75" customHeight="1" x14ac:dyDescent="0.25">
      <c r="A72" s="665"/>
      <c r="B72" s="667" t="s">
        <v>15341</v>
      </c>
      <c r="C72" s="670" t="s">
        <v>724</v>
      </c>
      <c r="D72" s="673" t="s">
        <v>35</v>
      </c>
      <c r="E72" s="674"/>
      <c r="F72" s="674"/>
      <c r="G72" s="674"/>
      <c r="H72" s="674"/>
      <c r="I72" s="674"/>
      <c r="J72" s="674"/>
      <c r="K72" s="675"/>
      <c r="L72" s="352" t="s">
        <v>375</v>
      </c>
      <c r="M72" s="347" t="s">
        <v>728</v>
      </c>
    </row>
    <row r="73" spans="1:13" ht="15.75" customHeight="1" x14ac:dyDescent="0.25">
      <c r="A73" s="665"/>
      <c r="B73" s="668"/>
      <c r="C73" s="671"/>
      <c r="D73" s="348"/>
      <c r="E73" s="349" t="str">
        <f>組み合わせ!AN21</f>
        <v>（　大分　市）</v>
      </c>
      <c r="G73" s="659" t="str">
        <f>組み合わせ!BP15</f>
        <v>県人工芝</v>
      </c>
      <c r="H73" s="659"/>
      <c r="J73" s="349" t="str">
        <f>組み合わせ!DH21</f>
        <v>（　宇佐　市）</v>
      </c>
      <c r="K73" s="350"/>
      <c r="L73" s="353" t="s">
        <v>445</v>
      </c>
      <c r="M73" s="351" t="s">
        <v>728</v>
      </c>
    </row>
    <row r="74" spans="1:13" ht="15.75" customHeight="1" x14ac:dyDescent="0.25">
      <c r="A74" s="665"/>
      <c r="B74" s="668"/>
      <c r="C74" s="671"/>
      <c r="D74" s="658" t="str">
        <f>組み合わせ!X18</f>
        <v>ドリームキッズフットボールクラブ</v>
      </c>
      <c r="E74" s="659"/>
      <c r="F74" s="659"/>
      <c r="G74" s="659" t="s">
        <v>451</v>
      </c>
      <c r="H74" s="659"/>
      <c r="I74" s="659" t="str">
        <f>組み合わせ!CR18</f>
        <v>四日市南ＳＳＣ</v>
      </c>
      <c r="J74" s="659"/>
      <c r="K74" s="662"/>
      <c r="L74" s="353" t="s">
        <v>445</v>
      </c>
      <c r="M74" s="351" t="s">
        <v>728</v>
      </c>
    </row>
    <row r="75" spans="1:13" s="354" customFormat="1" ht="22.5" customHeight="1" x14ac:dyDescent="0.45">
      <c r="A75" s="666"/>
      <c r="B75" s="669"/>
      <c r="C75" s="672"/>
      <c r="D75" s="660"/>
      <c r="E75" s="661"/>
      <c r="F75" s="661"/>
      <c r="G75" s="661"/>
      <c r="H75" s="661"/>
      <c r="I75" s="661"/>
      <c r="J75" s="661"/>
      <c r="K75" s="663"/>
      <c r="L75" s="353" t="s">
        <v>387</v>
      </c>
      <c r="M75" s="351" t="s">
        <v>728</v>
      </c>
    </row>
    <row r="76" spans="1:13" s="354" customFormat="1" ht="22.5" customHeight="1" x14ac:dyDescent="0.45">
      <c r="A76" s="319"/>
      <c r="B76" s="407" t="s">
        <v>15344</v>
      </c>
      <c r="C76" s="324" t="s">
        <v>372</v>
      </c>
      <c r="D76" s="685" t="s">
        <v>7790</v>
      </c>
      <c r="E76" s="686"/>
      <c r="F76" s="686"/>
      <c r="G76" s="686"/>
      <c r="H76" s="686"/>
      <c r="I76" s="686"/>
      <c r="J76" s="686"/>
      <c r="K76" s="686"/>
      <c r="L76" s="686"/>
      <c r="M76" s="687"/>
    </row>
    <row r="77" spans="1:13" s="354" customFormat="1" ht="22.5" customHeight="1" x14ac:dyDescent="0.45">
      <c r="B77" s="317"/>
      <c r="C77" s="317"/>
      <c r="D77" s="317"/>
      <c r="E77" s="317"/>
      <c r="F77" s="317"/>
      <c r="G77" s="317"/>
      <c r="H77" s="317"/>
      <c r="I77" s="317"/>
      <c r="J77" s="317"/>
      <c r="K77" s="317"/>
      <c r="L77" s="317"/>
      <c r="M77" s="317"/>
    </row>
    <row r="79" spans="1:13" ht="15.75" customHeight="1" x14ac:dyDescent="0.25">
      <c r="A79" s="317" t="s">
        <v>2818</v>
      </c>
    </row>
    <row r="80" spans="1:13" ht="15.75" customHeight="1" x14ac:dyDescent="0.25">
      <c r="A80" s="355" t="s">
        <v>500</v>
      </c>
      <c r="B80" s="355"/>
      <c r="C80" s="355"/>
      <c r="D80" s="355"/>
      <c r="E80" s="355"/>
      <c r="F80" s="355"/>
      <c r="G80" s="355"/>
      <c r="H80" s="355"/>
      <c r="I80" s="355"/>
      <c r="J80" s="355"/>
      <c r="K80" s="355"/>
      <c r="L80" s="355"/>
      <c r="M80" s="355"/>
    </row>
  </sheetData>
  <mergeCells count="114">
    <mergeCell ref="A1:J1"/>
    <mergeCell ref="K1:M1"/>
    <mergeCell ref="F5:H5"/>
    <mergeCell ref="K5:M5"/>
    <mergeCell ref="P5:R5"/>
    <mergeCell ref="D6:F6"/>
    <mergeCell ref="G6:H6"/>
    <mergeCell ref="I6:K6"/>
    <mergeCell ref="L6:M6"/>
    <mergeCell ref="N6:P6"/>
    <mergeCell ref="Q6:R6"/>
    <mergeCell ref="C3:D3"/>
    <mergeCell ref="D19:R19"/>
    <mergeCell ref="F21:H21"/>
    <mergeCell ref="K21:M21"/>
    <mergeCell ref="P21:R21"/>
    <mergeCell ref="D22:F22"/>
    <mergeCell ref="G22:H22"/>
    <mergeCell ref="I22:K22"/>
    <mergeCell ref="L22:M22"/>
    <mergeCell ref="N22:P22"/>
    <mergeCell ref="Q22:R22"/>
    <mergeCell ref="D35:R35"/>
    <mergeCell ref="F40:H40"/>
    <mergeCell ref="K40:M40"/>
    <mergeCell ref="D41:F41"/>
    <mergeCell ref="G41:H41"/>
    <mergeCell ref="I41:K41"/>
    <mergeCell ref="L41:M41"/>
    <mergeCell ref="D54:M54"/>
    <mergeCell ref="D60:M60"/>
    <mergeCell ref="C38:D38"/>
    <mergeCell ref="C57:F57"/>
    <mergeCell ref="D76:M76"/>
    <mergeCell ref="A7:A8"/>
    <mergeCell ref="B7:B8"/>
    <mergeCell ref="C7:C8"/>
    <mergeCell ref="A9:A10"/>
    <mergeCell ref="B9:B10"/>
    <mergeCell ref="C9:C10"/>
    <mergeCell ref="A11:A12"/>
    <mergeCell ref="B11:B12"/>
    <mergeCell ref="C11:C12"/>
    <mergeCell ref="A13:A14"/>
    <mergeCell ref="B13:B14"/>
    <mergeCell ref="C13:C14"/>
    <mergeCell ref="A15:A16"/>
    <mergeCell ref="B15:B16"/>
    <mergeCell ref="C15:C16"/>
    <mergeCell ref="A17:A18"/>
    <mergeCell ref="B17:B18"/>
    <mergeCell ref="C17:C18"/>
    <mergeCell ref="A23:A24"/>
    <mergeCell ref="B23:B24"/>
    <mergeCell ref="C23:C24"/>
    <mergeCell ref="A25:A26"/>
    <mergeCell ref="B25:B26"/>
    <mergeCell ref="C25:C26"/>
    <mergeCell ref="A27:A28"/>
    <mergeCell ref="B27:B28"/>
    <mergeCell ref="C27:C28"/>
    <mergeCell ref="A29:A30"/>
    <mergeCell ref="B29:B30"/>
    <mergeCell ref="C29:C30"/>
    <mergeCell ref="A31:A32"/>
    <mergeCell ref="B31:B32"/>
    <mergeCell ref="C31:C32"/>
    <mergeCell ref="A33:A34"/>
    <mergeCell ref="B33:B34"/>
    <mergeCell ref="C33:C34"/>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B63:B66"/>
    <mergeCell ref="C63:C66"/>
    <mergeCell ref="D65:F66"/>
    <mergeCell ref="G65:H66"/>
    <mergeCell ref="I65:K66"/>
    <mergeCell ref="D61:M61"/>
    <mergeCell ref="D62:M62"/>
    <mergeCell ref="D63:K63"/>
    <mergeCell ref="G64:H64"/>
    <mergeCell ref="B67:B70"/>
    <mergeCell ref="C67:C70"/>
    <mergeCell ref="D69:F70"/>
    <mergeCell ref="G69:H70"/>
    <mergeCell ref="I69:K70"/>
    <mergeCell ref="A71:A75"/>
    <mergeCell ref="B72:B75"/>
    <mergeCell ref="C72:C75"/>
    <mergeCell ref="D74:F75"/>
    <mergeCell ref="G74:H75"/>
    <mergeCell ref="I74:K75"/>
    <mergeCell ref="D67:K67"/>
    <mergeCell ref="G68:H68"/>
    <mergeCell ref="D71:M71"/>
    <mergeCell ref="D72:K72"/>
    <mergeCell ref="G73:H73"/>
    <mergeCell ref="A61:A70"/>
  </mergeCells>
  <phoneticPr fontId="72"/>
  <printOptions horizontalCentered="1" verticalCentered="1"/>
  <pageMargins left="0" right="0" top="0" bottom="0" header="0.51181102362204722" footer="0.51181102362204722"/>
  <pageSetup paperSize="9" scale="75"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L41"/>
  <sheetViews>
    <sheetView zoomScale="55" zoomScaleNormal="55" workbookViewId="0">
      <pane xSplit="3" ySplit="4" topLeftCell="K17" activePane="bottomRight" state="frozen"/>
      <selection activeCell="A2" sqref="A2"/>
      <selection pane="topRight" activeCell="A2" sqref="A2"/>
      <selection pane="bottomLeft" activeCell="A2" sqref="A2"/>
      <selection pane="bottomRight" activeCell="K1" sqref="K1"/>
    </sheetView>
  </sheetViews>
  <sheetFormatPr defaultColWidth="9" defaultRowHeight="12.75" x14ac:dyDescent="0.25"/>
  <cols>
    <col min="1" max="1" width="7.265625" style="39" bestFit="1" customWidth="1"/>
    <col min="2" max="2" width="13.59765625" style="40" bestFit="1" customWidth="1"/>
    <col min="3" max="3" width="27" style="39" bestFit="1" customWidth="1"/>
    <col min="4" max="4" width="11.1328125" style="40" bestFit="1" customWidth="1"/>
    <col min="5" max="5" width="15.46484375" style="40" customWidth="1"/>
    <col min="6" max="6" width="14" style="40" bestFit="1" customWidth="1"/>
    <col min="7" max="7" width="9.265625" style="40" bestFit="1" customWidth="1"/>
    <col min="8" max="8" width="11.1328125" style="40" bestFit="1" customWidth="1"/>
    <col min="9" max="9" width="18.3984375" style="40" bestFit="1" customWidth="1"/>
    <col min="10" max="10" width="14" style="40" bestFit="1" customWidth="1"/>
    <col min="11" max="11" width="9.265625" style="40" bestFit="1" customWidth="1"/>
    <col min="12" max="12" width="11.1328125" style="40" bestFit="1" customWidth="1"/>
    <col min="13" max="13" width="15.46484375" style="40" customWidth="1"/>
    <col min="14" max="14" width="14" style="40" bestFit="1" customWidth="1"/>
    <col min="15" max="15" width="9.265625" style="40" bestFit="1" customWidth="1"/>
    <col min="16" max="16" width="11.1328125" style="40" bestFit="1" customWidth="1"/>
    <col min="17" max="17" width="15.46484375" style="40" customWidth="1"/>
    <col min="18" max="18" width="14" style="40" bestFit="1" customWidth="1"/>
    <col min="19" max="19" width="9.265625" style="40" bestFit="1" customWidth="1"/>
    <col min="20" max="20" width="11.1328125" style="40" bestFit="1" customWidth="1"/>
    <col min="21" max="21" width="15.46484375" style="40" customWidth="1"/>
    <col min="22" max="22" width="14" style="40" bestFit="1" customWidth="1"/>
    <col min="23" max="23" width="9.265625" style="40" bestFit="1" customWidth="1"/>
    <col min="24" max="24" width="11.1328125" style="40" bestFit="1" customWidth="1"/>
    <col min="25" max="25" width="15.46484375" style="40" customWidth="1"/>
    <col min="26" max="26" width="14" style="40" bestFit="1" customWidth="1"/>
    <col min="27" max="27" width="9.265625" style="40" bestFit="1" customWidth="1"/>
    <col min="28" max="28" width="11.1328125" style="40" bestFit="1" customWidth="1"/>
    <col min="29" max="29" width="15.46484375" style="40" customWidth="1"/>
    <col min="30" max="30" width="14" style="40" bestFit="1" customWidth="1"/>
    <col min="31" max="31" width="9.265625" style="40" bestFit="1" customWidth="1"/>
    <col min="32" max="33" width="9" style="39"/>
    <col min="34" max="34" width="28.3984375" style="39" bestFit="1" customWidth="1"/>
    <col min="35" max="35" width="9" style="39"/>
    <col min="36" max="36" width="15.1328125" style="39" bestFit="1" customWidth="1"/>
    <col min="37" max="16384" width="9" style="39"/>
  </cols>
  <sheetData>
    <row r="1" spans="1:38" x14ac:dyDescent="0.25">
      <c r="A1" s="39" t="s">
        <v>410</v>
      </c>
      <c r="C1" s="39" t="str">
        <f>抽選会資料!A1</f>
        <v>OFA 第 57 回大分県U-12サッカー大会　兼　KYFA 九州U-12サッカー大会大分県大会</v>
      </c>
      <c r="AH1" s="97" t="s">
        <v>469</v>
      </c>
      <c r="AI1" s="97"/>
      <c r="AJ1" s="97" t="s">
        <v>739</v>
      </c>
    </row>
    <row r="2" spans="1:38" x14ac:dyDescent="0.25">
      <c r="AH2" s="97" t="s">
        <v>579</v>
      </c>
      <c r="AI2" s="97"/>
      <c r="AJ2" s="97" t="s">
        <v>742</v>
      </c>
      <c r="AL2" s="39" t="s">
        <v>742</v>
      </c>
    </row>
    <row r="3" spans="1:38" s="41" customFormat="1" ht="13.15" thickBot="1" x14ac:dyDescent="0.3">
      <c r="D3" s="39" t="s">
        <v>165</v>
      </c>
      <c r="H3" s="39" t="s">
        <v>776</v>
      </c>
      <c r="L3" s="39" t="s">
        <v>779</v>
      </c>
      <c r="P3" s="39" t="s">
        <v>781</v>
      </c>
      <c r="T3" s="39" t="s">
        <v>786</v>
      </c>
      <c r="X3" s="41" t="s">
        <v>28</v>
      </c>
      <c r="AB3" s="41" t="s">
        <v>40</v>
      </c>
      <c r="AH3" s="97" t="s">
        <v>748</v>
      </c>
      <c r="AI3" s="98"/>
      <c r="AJ3" s="98" t="s">
        <v>749</v>
      </c>
      <c r="AL3" s="39" t="s">
        <v>749</v>
      </c>
    </row>
    <row r="4" spans="1:38" ht="30" customHeight="1" thickBot="1" x14ac:dyDescent="0.3">
      <c r="A4" s="39" t="s">
        <v>544</v>
      </c>
      <c r="B4" s="78" t="s">
        <v>505</v>
      </c>
      <c r="C4" s="79" t="s">
        <v>437</v>
      </c>
      <c r="D4" s="83" t="s">
        <v>234</v>
      </c>
      <c r="E4" s="86" t="s">
        <v>606</v>
      </c>
      <c r="F4" s="86" t="s">
        <v>469</v>
      </c>
      <c r="G4" s="91" t="s">
        <v>750</v>
      </c>
      <c r="H4" s="94" t="s">
        <v>234</v>
      </c>
      <c r="I4" s="86" t="s">
        <v>606</v>
      </c>
      <c r="J4" s="86" t="s">
        <v>469</v>
      </c>
      <c r="K4" s="91" t="s">
        <v>750</v>
      </c>
      <c r="L4" s="94" t="s">
        <v>234</v>
      </c>
      <c r="M4" s="86" t="s">
        <v>606</v>
      </c>
      <c r="N4" s="86" t="s">
        <v>469</v>
      </c>
      <c r="O4" s="91" t="s">
        <v>750</v>
      </c>
      <c r="P4" s="94" t="s">
        <v>234</v>
      </c>
      <c r="Q4" s="86" t="s">
        <v>606</v>
      </c>
      <c r="R4" s="86" t="s">
        <v>469</v>
      </c>
      <c r="S4" s="91" t="s">
        <v>750</v>
      </c>
      <c r="T4" s="94" t="s">
        <v>234</v>
      </c>
      <c r="U4" s="86" t="s">
        <v>606</v>
      </c>
      <c r="V4" s="86" t="s">
        <v>469</v>
      </c>
      <c r="W4" s="91" t="s">
        <v>750</v>
      </c>
      <c r="X4" s="94" t="s">
        <v>234</v>
      </c>
      <c r="Y4" s="86" t="s">
        <v>606</v>
      </c>
      <c r="Z4" s="86" t="s">
        <v>469</v>
      </c>
      <c r="AA4" s="91" t="s">
        <v>750</v>
      </c>
      <c r="AB4" s="94" t="s">
        <v>234</v>
      </c>
      <c r="AC4" s="86" t="s">
        <v>606</v>
      </c>
      <c r="AD4" s="86" t="s">
        <v>469</v>
      </c>
      <c r="AE4" s="91" t="s">
        <v>750</v>
      </c>
      <c r="AH4" s="41" t="s">
        <v>320</v>
      </c>
      <c r="AI4" s="97"/>
      <c r="AJ4" s="97" t="s">
        <v>752</v>
      </c>
      <c r="AL4" s="39" t="s">
        <v>752</v>
      </c>
    </row>
    <row r="5" spans="1:38" ht="30" customHeight="1" x14ac:dyDescent="0.25">
      <c r="B5" s="417" t="s">
        <v>454</v>
      </c>
      <c r="C5" s="406" t="str">
        <f>抽選会資料!J11</f>
        <v>ティエラフットボールクラブＵ－１２</v>
      </c>
      <c r="D5" s="84"/>
      <c r="E5" s="87" t="str">
        <f>IF(D5="","",VLOOKUP(CONCATENATE($C5,"_",D5),選手名簿!$A:$H,5,FALSE))</f>
        <v/>
      </c>
      <c r="F5" s="89"/>
      <c r="G5" s="92"/>
      <c r="H5" s="95"/>
      <c r="I5" s="87" t="str">
        <f>IF(H5="","",VLOOKUP(CONCATENATE($C5,"_",H5),選手名簿!$A:$H,5,FALSE))</f>
        <v/>
      </c>
      <c r="J5" s="89"/>
      <c r="K5" s="92"/>
      <c r="L5" s="95"/>
      <c r="M5" s="87" t="str">
        <f>IF(L5="","",VLOOKUP(CONCATENATE($C5,"_",L5),選手名簿!$A:$H,5,FALSE))</f>
        <v/>
      </c>
      <c r="N5" s="89"/>
      <c r="O5" s="92"/>
      <c r="P5" s="95"/>
      <c r="Q5" s="87" t="str">
        <f>IF(P5="","",VLOOKUP(CONCATENATE($C5,"_",P5),選手名簿!$A:$H,5,FALSE))</f>
        <v/>
      </c>
      <c r="R5" s="89"/>
      <c r="S5" s="92"/>
      <c r="T5" s="95"/>
      <c r="U5" s="87" t="str">
        <f>IF(T5="","",VLOOKUP(CONCATENATE($C5,"_",T5),選手名簿!$A:$H,5,FALSE))</f>
        <v/>
      </c>
      <c r="V5" s="89"/>
      <c r="W5" s="92"/>
      <c r="X5" s="95"/>
      <c r="Y5" s="87" t="str">
        <f>IF(X5="","",VLOOKUP(CONCATENATE($C5,"_",X5),選手名簿!$A:$H,5,FALSE))</f>
        <v/>
      </c>
      <c r="Z5" s="89"/>
      <c r="AA5" s="92"/>
      <c r="AB5" s="95"/>
      <c r="AC5" s="87" t="str">
        <f>IF(AB5="","",VLOOKUP(CONCATENATE($C5,"_",AB5),選手名簿!$A:$H,5,FALSE))</f>
        <v/>
      </c>
      <c r="AD5" s="89"/>
      <c r="AE5" s="92"/>
      <c r="AH5" s="97"/>
      <c r="AI5" s="97"/>
      <c r="AJ5" s="97" t="s">
        <v>754</v>
      </c>
      <c r="AL5" s="39" t="s">
        <v>754</v>
      </c>
    </row>
    <row r="6" spans="1:38" ht="30" customHeight="1" x14ac:dyDescent="0.25">
      <c r="B6" s="418"/>
      <c r="C6" s="80" t="str">
        <f>抽選会資料!J12</f>
        <v>鶴居ＳＳＳ</v>
      </c>
      <c r="D6" s="84"/>
      <c r="E6" s="87" t="str">
        <f>IF(D6="","",VLOOKUP(CONCATENATE($C6,"_",D6),選手名簿!$A:$H,5,FALSE))</f>
        <v/>
      </c>
      <c r="F6" s="89"/>
      <c r="G6" s="92"/>
      <c r="H6" s="95"/>
      <c r="I6" s="87" t="str">
        <f>IF(H6="","",VLOOKUP(CONCATENATE($C6,"_",H6),選手名簿!$A:$H,5,FALSE))</f>
        <v/>
      </c>
      <c r="J6" s="89"/>
      <c r="K6" s="92"/>
      <c r="L6" s="95"/>
      <c r="M6" s="87" t="str">
        <f>IF(L6="","",VLOOKUP(CONCATENATE($C6,"_",L6),選手名簿!$A:$H,5,FALSE))</f>
        <v/>
      </c>
      <c r="N6" s="89"/>
      <c r="O6" s="92"/>
      <c r="P6" s="95"/>
      <c r="Q6" s="87" t="str">
        <f>IF(P6="","",VLOOKUP(CONCATENATE($C6,"_",P6),選手名簿!$A:$H,5,FALSE))</f>
        <v/>
      </c>
      <c r="R6" s="89"/>
      <c r="S6" s="92"/>
      <c r="T6" s="95"/>
      <c r="U6" s="87" t="str">
        <f>IF(T6="","",VLOOKUP(CONCATENATE($C6,"_",T6),選手名簿!$A:$H,5,FALSE))</f>
        <v/>
      </c>
      <c r="V6" s="89"/>
      <c r="W6" s="92"/>
      <c r="X6" s="95"/>
      <c r="Y6" s="87" t="str">
        <f>IF(X6="","",VLOOKUP(CONCATENATE($C6,"_",X6),選手名簿!$A:$H,5,FALSE))</f>
        <v/>
      </c>
      <c r="Z6" s="89"/>
      <c r="AA6" s="92"/>
      <c r="AB6" s="95"/>
      <c r="AC6" s="87" t="str">
        <f>IF(AB6="","",VLOOKUP(CONCATENATE($C6,"_",AB6),選手名簿!$A:$H,5,FALSE))</f>
        <v/>
      </c>
      <c r="AD6" s="89"/>
      <c r="AE6" s="92"/>
      <c r="AH6" s="97"/>
      <c r="AI6" s="97"/>
      <c r="AJ6" s="97" t="s">
        <v>757</v>
      </c>
      <c r="AL6" s="39" t="s">
        <v>757</v>
      </c>
    </row>
    <row r="7" spans="1:38" ht="30" customHeight="1" x14ac:dyDescent="0.25">
      <c r="B7" s="418"/>
      <c r="C7" s="80" t="str">
        <f>抽選会資料!J13</f>
        <v>ＦＣ　ＪＵＮＩＯＲＳ</v>
      </c>
      <c r="D7" s="84"/>
      <c r="E7" s="87" t="str">
        <f>IF(D7="","",VLOOKUP(CONCATENATE($C7,"_",D7),選手名簿!$A:$H,5,FALSE))</f>
        <v/>
      </c>
      <c r="F7" s="89"/>
      <c r="G7" s="92"/>
      <c r="H7" s="383" t="s">
        <v>15253</v>
      </c>
      <c r="I7" s="384" t="s">
        <v>15254</v>
      </c>
      <c r="J7" s="89" t="s">
        <v>579</v>
      </c>
      <c r="K7" s="92" t="s">
        <v>752</v>
      </c>
      <c r="L7" s="95"/>
      <c r="M7" s="87" t="str">
        <f>IF(L7="","",VLOOKUP(CONCATENATE($C7,"_",L7),選手名簿!$A:$H,5,FALSE))</f>
        <v/>
      </c>
      <c r="N7" s="89"/>
      <c r="O7" s="92"/>
      <c r="P7" s="95"/>
      <c r="Q7" s="87" t="str">
        <f>IF(P7="","",VLOOKUP(CONCATENATE($C7,"_",P7),選手名簿!$A:$H,5,FALSE))</f>
        <v/>
      </c>
      <c r="R7" s="89"/>
      <c r="S7" s="92"/>
      <c r="T7" s="95"/>
      <c r="U7" s="87" t="str">
        <f>IF(T7="","",VLOOKUP(CONCATENATE($C7,"_",T7),選手名簿!$A:$H,5,FALSE))</f>
        <v/>
      </c>
      <c r="V7" s="89"/>
      <c r="W7" s="92"/>
      <c r="X7" s="95"/>
      <c r="Y7" s="87" t="str">
        <f>IF(X7="","",VLOOKUP(CONCATENATE($C7,"_",X7),選手名簿!$A:$H,5,FALSE))</f>
        <v/>
      </c>
      <c r="Z7" s="89"/>
      <c r="AA7" s="92"/>
      <c r="AB7" s="95"/>
      <c r="AC7" s="87" t="str">
        <f>IF(AB7="","",VLOOKUP(CONCATENATE($C7,"_",AB7),選手名簿!$A:$H,5,FALSE))</f>
        <v/>
      </c>
      <c r="AD7" s="89"/>
      <c r="AE7" s="92"/>
      <c r="AH7" s="97"/>
      <c r="AI7" s="97"/>
      <c r="AJ7" s="97" t="s">
        <v>760</v>
      </c>
      <c r="AL7" s="39" t="s">
        <v>760</v>
      </c>
    </row>
    <row r="8" spans="1:38" ht="30" customHeight="1" x14ac:dyDescent="0.25">
      <c r="B8" s="418"/>
      <c r="C8" s="80"/>
      <c r="D8" s="84"/>
      <c r="E8" s="87"/>
      <c r="F8" s="89"/>
      <c r="G8" s="92"/>
      <c r="H8" s="95">
        <v>5</v>
      </c>
      <c r="I8" s="87" t="str">
        <f>IF(H8="","",VLOOKUP(CONCATENATE($C7,"_",H8),選手名簿!$A:$H,5,FALSE))</f>
        <v>熊谷　琉星</v>
      </c>
      <c r="J8" s="89" t="s">
        <v>579</v>
      </c>
      <c r="K8" s="92" t="s">
        <v>742</v>
      </c>
      <c r="L8" s="95"/>
      <c r="M8" s="87"/>
      <c r="N8" s="89"/>
      <c r="O8" s="92"/>
      <c r="P8" s="95"/>
      <c r="Q8" s="87"/>
      <c r="R8" s="89"/>
      <c r="S8" s="92"/>
      <c r="T8" s="95"/>
      <c r="U8" s="87"/>
      <c r="V8" s="89"/>
      <c r="W8" s="92"/>
      <c r="X8" s="95"/>
      <c r="Y8" s="87"/>
      <c r="Z8" s="89"/>
      <c r="AA8" s="92"/>
      <c r="AB8" s="95"/>
      <c r="AC8" s="87"/>
      <c r="AD8" s="89"/>
      <c r="AE8" s="92"/>
      <c r="AH8" s="97"/>
      <c r="AI8" s="97"/>
      <c r="AJ8" s="97"/>
    </row>
    <row r="9" spans="1:38" ht="30" customHeight="1" thickBot="1" x14ac:dyDescent="0.3">
      <c r="B9" s="419"/>
      <c r="C9" s="80" t="str">
        <f>抽選会資料!J14</f>
        <v>はやぶさフットボールクラブ</v>
      </c>
      <c r="D9" s="84"/>
      <c r="E9" s="87" t="str">
        <f>IF(D9="","",VLOOKUP(CONCATENATE($C9,"_",D9),選手名簿!$A:$H,5,FALSE))</f>
        <v/>
      </c>
      <c r="F9" s="89"/>
      <c r="G9" s="92"/>
      <c r="H9" s="95"/>
      <c r="I9" s="87" t="str">
        <f>IF(H9="","",VLOOKUP(CONCATENATE($C9,"_",H9),選手名簿!$A:$H,5,FALSE))</f>
        <v/>
      </c>
      <c r="J9" s="89"/>
      <c r="K9" s="92"/>
      <c r="L9" s="95"/>
      <c r="M9" s="87" t="str">
        <f>IF(L9="","",VLOOKUP(CONCATENATE($C9,"_",L9),選手名簿!$A:$H,5,FALSE))</f>
        <v/>
      </c>
      <c r="N9" s="89"/>
      <c r="O9" s="92"/>
      <c r="P9" s="95"/>
      <c r="Q9" s="87" t="str">
        <f>IF(P9="","",VLOOKUP(CONCATENATE($C9,"_",P9),選手名簿!$A:$H,5,FALSE))</f>
        <v/>
      </c>
      <c r="R9" s="89"/>
      <c r="S9" s="92"/>
      <c r="T9" s="95"/>
      <c r="U9" s="87" t="str">
        <f>IF(T9="","",VLOOKUP(CONCATENATE($C9,"_",T9),選手名簿!$A:$H,5,FALSE))</f>
        <v/>
      </c>
      <c r="V9" s="89"/>
      <c r="W9" s="92"/>
      <c r="X9" s="95"/>
      <c r="Y9" s="87" t="str">
        <f>IF(X9="","",VLOOKUP(CONCATENATE($C9,"_",X9),選手名簿!$A:$H,5,FALSE))</f>
        <v/>
      </c>
      <c r="Z9" s="89"/>
      <c r="AA9" s="92"/>
      <c r="AB9" s="95"/>
      <c r="AC9" s="87" t="str">
        <f>IF(AB9="","",VLOOKUP(CONCATENATE($C9,"_",AB9),選手名簿!$A:$H,5,FALSE))</f>
        <v/>
      </c>
      <c r="AD9" s="89"/>
      <c r="AE9" s="92"/>
      <c r="AH9" s="97"/>
      <c r="AI9" s="97"/>
      <c r="AJ9" s="97" t="s">
        <v>765</v>
      </c>
      <c r="AL9" s="39" t="s">
        <v>765</v>
      </c>
    </row>
    <row r="10" spans="1:38" ht="30" customHeight="1" x14ac:dyDescent="0.25">
      <c r="B10" s="420" t="s">
        <v>7778</v>
      </c>
      <c r="C10" s="80" t="str">
        <f>抽選会資料!J15</f>
        <v>ＦＣアリアーレ</v>
      </c>
      <c r="D10" s="84"/>
      <c r="E10" s="87" t="str">
        <f>IF(D10="","",VLOOKUP(CONCATENATE($C10,"_",D10),選手名簿!$A:$H,5,FALSE))</f>
        <v/>
      </c>
      <c r="F10" s="89"/>
      <c r="G10" s="92"/>
      <c r="H10" s="95">
        <v>9</v>
      </c>
      <c r="I10" s="87" t="str">
        <f>IF(H10="","",VLOOKUP(CONCATENATE($C10,"_",H10),選手名簿!$A:$H,5,FALSE))</f>
        <v>トーマス　ヘイデン</v>
      </c>
      <c r="J10" s="89" t="s">
        <v>579</v>
      </c>
      <c r="K10" s="92" t="s">
        <v>749</v>
      </c>
      <c r="L10" s="95"/>
      <c r="M10" s="87" t="str">
        <f>IF(L10="","",VLOOKUP(CONCATENATE($C10,"_",L10),選手名簿!$A:$H,5,FALSE))</f>
        <v/>
      </c>
      <c r="N10" s="89"/>
      <c r="O10" s="92"/>
      <c r="P10" s="95"/>
      <c r="Q10" s="87" t="str">
        <f>IF(P10="","",VLOOKUP(CONCATENATE($C10,"_",P10),選手名簿!$A:$H,5,FALSE))</f>
        <v/>
      </c>
      <c r="R10" s="89"/>
      <c r="S10" s="92"/>
      <c r="T10" s="95"/>
      <c r="U10" s="87" t="str">
        <f>IF(T10="","",VLOOKUP(CONCATENATE($C10,"_",T10),選手名簿!$A:$H,5,FALSE))</f>
        <v/>
      </c>
      <c r="V10" s="89"/>
      <c r="W10" s="92"/>
      <c r="X10" s="95"/>
      <c r="Y10" s="87" t="str">
        <f>IF(X10="","",VLOOKUP(CONCATENATE($C10,"_",X10),選手名簿!$A:$H,5,FALSE))</f>
        <v/>
      </c>
      <c r="Z10" s="89"/>
      <c r="AA10" s="92"/>
      <c r="AB10" s="95"/>
      <c r="AC10" s="87" t="str">
        <f>IF(AB10="","",VLOOKUP(CONCATENATE($C10,"_",AB10),選手名簿!$A:$H,5,FALSE))</f>
        <v/>
      </c>
      <c r="AD10" s="89"/>
      <c r="AE10" s="92"/>
      <c r="AH10" s="97"/>
      <c r="AI10" s="97"/>
      <c r="AJ10" s="97" t="s">
        <v>770</v>
      </c>
      <c r="AL10" s="39" t="s">
        <v>770</v>
      </c>
    </row>
    <row r="11" spans="1:38" ht="30" customHeight="1" x14ac:dyDescent="0.25">
      <c r="B11" s="421"/>
      <c r="C11" s="80" t="str">
        <f>抽選会資料!J16</f>
        <v>玖珠サッカースポーツ少年団</v>
      </c>
      <c r="D11" s="84"/>
      <c r="E11" s="87" t="str">
        <f>IF(D11="","",VLOOKUP(CONCATENATE($C11,"_",D11),選手名簿!$A:$H,5,FALSE))</f>
        <v/>
      </c>
      <c r="F11" s="89"/>
      <c r="G11" s="92"/>
      <c r="H11" s="95"/>
      <c r="I11" s="87" t="str">
        <f>IF(H11="","",VLOOKUP(CONCATENATE($C11,"_",H11),選手名簿!$A:$H,5,FALSE))</f>
        <v/>
      </c>
      <c r="J11" s="89"/>
      <c r="K11" s="92"/>
      <c r="L11" s="95"/>
      <c r="M11" s="87" t="str">
        <f>IF(L11="","",VLOOKUP(CONCATENATE($C11,"_",L11),選手名簿!$A:$H,5,FALSE))</f>
        <v/>
      </c>
      <c r="N11" s="89"/>
      <c r="O11" s="92"/>
      <c r="P11" s="95"/>
      <c r="Q11" s="87" t="str">
        <f>IF(P11="","",VLOOKUP(CONCATENATE($C11,"_",P11),選手名簿!$A:$H,5,FALSE))</f>
        <v/>
      </c>
      <c r="R11" s="89"/>
      <c r="S11" s="92"/>
      <c r="T11" s="95"/>
      <c r="U11" s="87" t="str">
        <f>IF(T11="","",VLOOKUP(CONCATENATE($C11,"_",T11),選手名簿!$A:$H,5,FALSE))</f>
        <v/>
      </c>
      <c r="V11" s="89"/>
      <c r="W11" s="92"/>
      <c r="X11" s="95"/>
      <c r="Y11" s="87" t="str">
        <f>IF(X11="","",VLOOKUP(CONCATENATE($C11,"_",X11),選手名簿!$A:$H,5,FALSE))</f>
        <v/>
      </c>
      <c r="Z11" s="89"/>
      <c r="AA11" s="92"/>
      <c r="AB11" s="95"/>
      <c r="AC11" s="87" t="str">
        <f>IF(AB11="","",VLOOKUP(CONCATENATE($C11,"_",AB11),選手名簿!$A:$H,5,FALSE))</f>
        <v/>
      </c>
      <c r="AD11" s="89"/>
      <c r="AE11" s="92"/>
      <c r="AH11" s="97"/>
      <c r="AI11" s="97"/>
      <c r="AJ11" s="97" t="s">
        <v>771</v>
      </c>
    </row>
    <row r="12" spans="1:38" ht="30" customHeight="1" thickBot="1" x14ac:dyDescent="0.3">
      <c r="B12" s="422"/>
      <c r="C12" s="80" t="str">
        <f>抽選会資料!J17</f>
        <v>ＭＦＣ三花少年サッカー教室</v>
      </c>
      <c r="D12" s="84"/>
      <c r="E12" s="87" t="str">
        <f>IF(D12="","",VLOOKUP(CONCATENATE($C12,"_",D12),選手名簿!$A:$H,5,FALSE))</f>
        <v/>
      </c>
      <c r="F12" s="89"/>
      <c r="G12" s="92"/>
      <c r="H12" s="95"/>
      <c r="I12" s="87" t="str">
        <f>IF(H12="","",VLOOKUP(CONCATENATE($C12,"_",H12),選手名簿!$A:$H,5,FALSE))</f>
        <v/>
      </c>
      <c r="J12" s="89"/>
      <c r="K12" s="92"/>
      <c r="L12" s="95"/>
      <c r="M12" s="87" t="str">
        <f>IF(L12="","",VLOOKUP(CONCATENATE($C12,"_",L12),選手名簿!$A:$H,5,FALSE))</f>
        <v/>
      </c>
      <c r="N12" s="89"/>
      <c r="O12" s="92"/>
      <c r="P12" s="95"/>
      <c r="Q12" s="87" t="str">
        <f>IF(P12="","",VLOOKUP(CONCATENATE($C12,"_",P12),選手名簿!$A:$H,5,FALSE))</f>
        <v/>
      </c>
      <c r="R12" s="89"/>
      <c r="S12" s="92"/>
      <c r="T12" s="95"/>
      <c r="U12" s="87" t="str">
        <f>IF(T12="","",VLOOKUP(CONCATENATE($C12,"_",T12),選手名簿!$A:$H,5,FALSE))</f>
        <v/>
      </c>
      <c r="V12" s="89"/>
      <c r="W12" s="92"/>
      <c r="X12" s="95"/>
      <c r="Y12" s="87" t="str">
        <f>IF(X12="","",VLOOKUP(CONCATENATE($C12,"_",X12),選手名簿!$A:$H,5,FALSE))</f>
        <v/>
      </c>
      <c r="Z12" s="89"/>
      <c r="AA12" s="92"/>
      <c r="AB12" s="95"/>
      <c r="AC12" s="87" t="str">
        <f>IF(AB12="","",VLOOKUP(CONCATENATE($C12,"_",AB12),選手名簿!$A:$H,5,FALSE))</f>
        <v/>
      </c>
      <c r="AD12" s="89"/>
      <c r="AE12" s="92"/>
      <c r="AH12" s="97"/>
      <c r="AI12" s="97"/>
      <c r="AJ12" s="97" t="s">
        <v>270</v>
      </c>
    </row>
    <row r="13" spans="1:38" ht="30" customHeight="1" x14ac:dyDescent="0.25">
      <c r="B13" s="420" t="s">
        <v>711</v>
      </c>
      <c r="C13" s="406" t="str">
        <f>抽選会資料!J18</f>
        <v>四日市南ＳＳＣ</v>
      </c>
      <c r="D13" s="84"/>
      <c r="E13" s="87" t="str">
        <f>IF(D13="","",VLOOKUP(CONCATENATE($C13,"_",D13),選手名簿!$A:$H,5,FALSE))</f>
        <v/>
      </c>
      <c r="F13" s="89"/>
      <c r="G13" s="92"/>
      <c r="H13" s="95"/>
      <c r="I13" s="87" t="str">
        <f>IF(H13="","",VLOOKUP(CONCATENATE($C13,"_",H13),選手名簿!$A:$H,5,FALSE))</f>
        <v/>
      </c>
      <c r="J13" s="89"/>
      <c r="K13" s="92"/>
      <c r="L13" s="95"/>
      <c r="M13" s="87" t="str">
        <f>IF(L13="","",VLOOKUP(CONCATENATE($C13,"_",L13),選手名簿!$A:$H,5,FALSE))</f>
        <v/>
      </c>
      <c r="N13" s="89"/>
      <c r="O13" s="92"/>
      <c r="P13" s="95"/>
      <c r="Q13" s="87" t="str">
        <f>IF(P13="","",VLOOKUP(CONCATENATE($C13,"_",P13),選手名簿!$A:$H,5,FALSE))</f>
        <v/>
      </c>
      <c r="R13" s="89"/>
      <c r="S13" s="92"/>
      <c r="T13" s="95"/>
      <c r="U13" s="87" t="str">
        <f>IF(T13="","",VLOOKUP(CONCATENATE($C13,"_",T13),選手名簿!$A:$H,5,FALSE))</f>
        <v/>
      </c>
      <c r="V13" s="89"/>
      <c r="W13" s="92"/>
      <c r="X13" s="95"/>
      <c r="Y13" s="87" t="str">
        <f>IF(X13="","",VLOOKUP(CONCATENATE($C13,"_",X13),選手名簿!$A:$H,5,FALSE))</f>
        <v/>
      </c>
      <c r="Z13" s="89"/>
      <c r="AA13" s="92"/>
      <c r="AB13" s="95"/>
      <c r="AC13" s="87" t="str">
        <f>IF(AB13="","",VLOOKUP(CONCATENATE($C13,"_",AB13),選手名簿!$A:$H,5,FALSE))</f>
        <v/>
      </c>
      <c r="AD13" s="89"/>
      <c r="AE13" s="92"/>
      <c r="AH13" s="97"/>
      <c r="AI13" s="97"/>
      <c r="AJ13" s="97" t="s">
        <v>212</v>
      </c>
    </row>
    <row r="14" spans="1:38" ht="30" customHeight="1" x14ac:dyDescent="0.25">
      <c r="B14" s="421"/>
      <c r="C14" s="80" t="str">
        <f>抽選会資料!J19</f>
        <v>ＦＣ　ＷＡＹＳ</v>
      </c>
      <c r="D14" s="84"/>
      <c r="E14" s="87" t="str">
        <f>IF(D14="","",VLOOKUP(CONCATENATE($C14,"_",D14),選手名簿!$A:$H,5,FALSE))</f>
        <v/>
      </c>
      <c r="F14" s="89"/>
      <c r="G14" s="92"/>
      <c r="H14" s="95"/>
      <c r="I14" s="87" t="str">
        <f>IF(H14="","",VLOOKUP(CONCATENATE($C14,"_",H14),選手名簿!$A:$H,5,FALSE))</f>
        <v/>
      </c>
      <c r="J14" s="89"/>
      <c r="K14" s="92"/>
      <c r="L14" s="95"/>
      <c r="M14" s="87" t="str">
        <f>IF(L14="","",VLOOKUP(CONCATENATE($C14,"_",L14),選手名簿!$A:$H,5,FALSE))</f>
        <v/>
      </c>
      <c r="N14" s="89"/>
      <c r="O14" s="92"/>
      <c r="P14" s="95"/>
      <c r="Q14" s="87" t="str">
        <f>IF(P14="","",VLOOKUP(CONCATENATE($C14,"_",P14),選手名簿!$A:$H,5,FALSE))</f>
        <v/>
      </c>
      <c r="R14" s="89"/>
      <c r="S14" s="92"/>
      <c r="T14" s="95"/>
      <c r="U14" s="87" t="str">
        <f>IF(T14="","",VLOOKUP(CONCATENATE($C14,"_",T14),選手名簿!$A:$H,5,FALSE))</f>
        <v/>
      </c>
      <c r="V14" s="89"/>
      <c r="W14" s="92"/>
      <c r="X14" s="95"/>
      <c r="Y14" s="87" t="str">
        <f>IF(X14="","",VLOOKUP(CONCATENATE($C14,"_",X14),選手名簿!$A:$H,5,FALSE))</f>
        <v/>
      </c>
      <c r="Z14" s="89"/>
      <c r="AA14" s="92"/>
      <c r="AB14" s="95"/>
      <c r="AC14" s="87" t="str">
        <f>IF(AB14="","",VLOOKUP(CONCATENATE($C14,"_",AB14),選手名簿!$A:$H,5,FALSE))</f>
        <v/>
      </c>
      <c r="AD14" s="89"/>
      <c r="AE14" s="92"/>
      <c r="AH14" s="97"/>
      <c r="AI14" s="97"/>
      <c r="AJ14" s="97" t="s">
        <v>773</v>
      </c>
    </row>
    <row r="15" spans="1:38" ht="30" customHeight="1" thickBot="1" x14ac:dyDescent="0.3">
      <c r="B15" s="421"/>
      <c r="C15" s="80" t="str">
        <f>抽選会資料!J20</f>
        <v>ＦＣ　ＵＮＩＴＥ</v>
      </c>
      <c r="D15" s="84"/>
      <c r="E15" s="87" t="str">
        <f>IF(D15="","",VLOOKUP(CONCATENATE($C15,"_",D15),選手名簿!$A:$H,5,FALSE))</f>
        <v/>
      </c>
      <c r="F15" s="89"/>
      <c r="G15" s="92"/>
      <c r="H15" s="95"/>
      <c r="I15" s="87" t="str">
        <f>IF(H15="","",VLOOKUP(CONCATENATE($C15,"_",H15),選手名簿!$A:$H,5,FALSE))</f>
        <v/>
      </c>
      <c r="J15" s="89"/>
      <c r="K15" s="92"/>
      <c r="L15" s="95"/>
      <c r="M15" s="87" t="str">
        <f>IF(L15="","",VLOOKUP(CONCATENATE($C15,"_",L15),選手名簿!$A:$H,5,FALSE))</f>
        <v/>
      </c>
      <c r="N15" s="89"/>
      <c r="O15" s="92"/>
      <c r="P15" s="95"/>
      <c r="Q15" s="87" t="str">
        <f>IF(P15="","",VLOOKUP(CONCATENATE($C15,"_",P15),選手名簿!$A:$H,5,FALSE))</f>
        <v/>
      </c>
      <c r="R15" s="89"/>
      <c r="S15" s="92"/>
      <c r="T15" s="95"/>
      <c r="U15" s="87" t="str">
        <f>IF(T15="","",VLOOKUP(CONCATENATE($C15,"_",T15),選手名簿!$A:$H,5,FALSE))</f>
        <v/>
      </c>
      <c r="V15" s="89"/>
      <c r="W15" s="92"/>
      <c r="X15" s="95"/>
      <c r="Y15" s="87" t="str">
        <f>IF(X15="","",VLOOKUP(CONCATENATE($C15,"_",X15),選手名簿!$A:$H,5,FALSE))</f>
        <v/>
      </c>
      <c r="Z15" s="89"/>
      <c r="AA15" s="92"/>
      <c r="AB15" s="95"/>
      <c r="AC15" s="87" t="str">
        <f>IF(AB15="","",VLOOKUP(CONCATENATE($C15,"_",AB15),選手名簿!$A:$H,5,FALSE))</f>
        <v/>
      </c>
      <c r="AD15" s="89"/>
      <c r="AE15" s="92"/>
      <c r="AH15" s="97"/>
      <c r="AI15" s="97"/>
      <c r="AJ15" s="97" t="s">
        <v>231</v>
      </c>
    </row>
    <row r="16" spans="1:38" ht="30" customHeight="1" x14ac:dyDescent="0.25">
      <c r="B16" s="417" t="s">
        <v>457</v>
      </c>
      <c r="C16" s="80" t="str">
        <f>抽選会資料!J21</f>
        <v>別府フットボールクラブ．ミネルバＵ－１２</v>
      </c>
      <c r="D16" s="84"/>
      <c r="E16" s="87" t="str">
        <f>IF(D16="","",VLOOKUP(CONCATENATE($C16,"_",D16),選手名簿!$A:$H,5,FALSE))</f>
        <v/>
      </c>
      <c r="F16" s="89"/>
      <c r="G16" s="92"/>
      <c r="H16" s="95"/>
      <c r="I16" s="87" t="str">
        <f>IF(H16="","",VLOOKUP(CONCATENATE($C16,"_",H16),選手名簿!$A:$H,5,FALSE))</f>
        <v/>
      </c>
      <c r="J16" s="89"/>
      <c r="K16" s="92"/>
      <c r="L16" s="95"/>
      <c r="M16" s="87" t="str">
        <f>IF(L16="","",VLOOKUP(CONCATENATE($C16,"_",L16),選手名簿!$A:$H,5,FALSE))</f>
        <v/>
      </c>
      <c r="N16" s="89"/>
      <c r="O16" s="92"/>
      <c r="P16" s="95"/>
      <c r="Q16" s="87" t="str">
        <f>IF(P16="","",VLOOKUP(CONCATENATE($C16,"_",P16),選手名簿!$A:$H,5,FALSE))</f>
        <v/>
      </c>
      <c r="R16" s="89"/>
      <c r="S16" s="92"/>
      <c r="T16" s="95"/>
      <c r="U16" s="87" t="str">
        <f>IF(T16="","",VLOOKUP(CONCATENATE($C16,"_",T16),選手名簿!$A:$H,5,FALSE))</f>
        <v/>
      </c>
      <c r="V16" s="89"/>
      <c r="W16" s="92"/>
      <c r="X16" s="95"/>
      <c r="Y16" s="87" t="str">
        <f>IF(X16="","",VLOOKUP(CONCATENATE($C16,"_",X16),選手名簿!$A:$H,5,FALSE))</f>
        <v/>
      </c>
      <c r="Z16" s="89"/>
      <c r="AA16" s="92"/>
      <c r="AB16" s="95"/>
      <c r="AC16" s="87" t="str">
        <f>IF(AB16="","",VLOOKUP(CONCATENATE($C16,"_",AB16),選手名簿!$A:$H,5,FALSE))</f>
        <v/>
      </c>
      <c r="AD16" s="89"/>
      <c r="AE16" s="92"/>
      <c r="AH16" s="97"/>
      <c r="AI16" s="97"/>
      <c r="AJ16" s="97" t="s">
        <v>683</v>
      </c>
    </row>
    <row r="17" spans="2:36" ht="30" customHeight="1" x14ac:dyDescent="0.25">
      <c r="B17" s="418"/>
      <c r="C17" s="80" t="str">
        <f>抽選会資料!J22</f>
        <v>スマイス・セレソン</v>
      </c>
      <c r="D17" s="84"/>
      <c r="E17" s="87" t="str">
        <f>IF(D17="","",VLOOKUP(CONCATENATE($C17,"_",D17),選手名簿!$A:$H,5,FALSE))</f>
        <v/>
      </c>
      <c r="F17" s="89"/>
      <c r="G17" s="92"/>
      <c r="H17" s="95"/>
      <c r="I17" s="87" t="str">
        <f>IF(H17="","",VLOOKUP(CONCATENATE($C17,"_",H17),選手名簿!$A:$H,5,FALSE))</f>
        <v/>
      </c>
      <c r="J17" s="89"/>
      <c r="K17" s="92"/>
      <c r="L17" s="95"/>
      <c r="M17" s="87" t="str">
        <f>IF(L17="","",VLOOKUP(CONCATENATE($C17,"_",L17),選手名簿!$A:$H,5,FALSE))</f>
        <v/>
      </c>
      <c r="N17" s="89"/>
      <c r="O17" s="92"/>
      <c r="P17" s="95"/>
      <c r="Q17" s="87" t="str">
        <f>IF(P17="","",VLOOKUP(CONCATENATE($C17,"_",P17),選手名簿!$A:$H,5,FALSE))</f>
        <v/>
      </c>
      <c r="R17" s="89"/>
      <c r="S17" s="92"/>
      <c r="T17" s="95"/>
      <c r="U17" s="87" t="str">
        <f>IF(T17="","",VLOOKUP(CONCATENATE($C17,"_",T17),選手名簿!$A:$H,5,FALSE))</f>
        <v/>
      </c>
      <c r="V17" s="89"/>
      <c r="W17" s="92"/>
      <c r="X17" s="95"/>
      <c r="Y17" s="87" t="str">
        <f>IF(X17="","",VLOOKUP(CONCATENATE($C17,"_",X17),選手名簿!$A:$H,5,FALSE))</f>
        <v/>
      </c>
      <c r="Z17" s="89"/>
      <c r="AA17" s="92"/>
      <c r="AB17" s="95"/>
      <c r="AC17" s="87" t="str">
        <f>IF(AB17="","",VLOOKUP(CONCATENATE($C17,"_",AB17),選手名簿!$A:$H,5,FALSE))</f>
        <v/>
      </c>
      <c r="AD17" s="89"/>
      <c r="AE17" s="92"/>
      <c r="AH17" s="97"/>
      <c r="AI17" s="97"/>
      <c r="AJ17" s="97" t="s">
        <v>308</v>
      </c>
    </row>
    <row r="18" spans="2:36" ht="30" customHeight="1" thickBot="1" x14ac:dyDescent="0.3">
      <c r="B18" s="419"/>
      <c r="C18" s="80" t="str">
        <f>抽選会資料!J23</f>
        <v>大平山アソシエーション式フットボールクラブ</v>
      </c>
      <c r="D18" s="84"/>
      <c r="E18" s="87" t="str">
        <f>IF(D18="","",VLOOKUP(CONCATENATE($C18,"_",D18),選手名簿!$A:$H,5,FALSE))</f>
        <v/>
      </c>
      <c r="F18" s="89"/>
      <c r="G18" s="92"/>
      <c r="H18" s="95"/>
      <c r="I18" s="87" t="str">
        <f>IF(H18="","",VLOOKUP(CONCATENATE($C18,"_",H18),選手名簿!$A:$H,5,FALSE))</f>
        <v/>
      </c>
      <c r="J18" s="89"/>
      <c r="K18" s="92"/>
      <c r="L18" s="95"/>
      <c r="M18" s="87" t="str">
        <f>IF(L18="","",VLOOKUP(CONCATENATE($C18,"_",L18),選手名簿!$A:$H,5,FALSE))</f>
        <v/>
      </c>
      <c r="N18" s="89"/>
      <c r="O18" s="92"/>
      <c r="P18" s="95"/>
      <c r="Q18" s="87" t="str">
        <f>IF(P18="","",VLOOKUP(CONCATENATE($C18,"_",P18),選手名簿!$A:$H,5,FALSE))</f>
        <v/>
      </c>
      <c r="R18" s="89"/>
      <c r="S18" s="92"/>
      <c r="T18" s="95"/>
      <c r="U18" s="87" t="str">
        <f>IF(T18="","",VLOOKUP(CONCATENATE($C18,"_",T18),選手名簿!$A:$H,5,FALSE))</f>
        <v/>
      </c>
      <c r="V18" s="89"/>
      <c r="W18" s="92"/>
      <c r="X18" s="95"/>
      <c r="Y18" s="87" t="str">
        <f>IF(X18="","",VLOOKUP(CONCATENATE($C18,"_",X18),選手名簿!$A:$H,5,FALSE))</f>
        <v/>
      </c>
      <c r="Z18" s="89"/>
      <c r="AA18" s="92"/>
      <c r="AB18" s="95"/>
      <c r="AC18" s="87" t="str">
        <f>IF(AB18="","",VLOOKUP(CONCATENATE($C18,"_",AB18),選手名簿!$A:$H,5,FALSE))</f>
        <v/>
      </c>
      <c r="AD18" s="89"/>
      <c r="AE18" s="92"/>
      <c r="AH18" s="97"/>
      <c r="AI18" s="97"/>
      <c r="AJ18" s="97" t="s">
        <v>66</v>
      </c>
    </row>
    <row r="19" spans="2:36" ht="30" customHeight="1" x14ac:dyDescent="0.25">
      <c r="B19" s="417" t="s">
        <v>7781</v>
      </c>
      <c r="C19" s="80" t="str">
        <f>抽選会資料!J24</f>
        <v>弥生少年サッカークラブ</v>
      </c>
      <c r="D19" s="84"/>
      <c r="E19" s="87" t="str">
        <f>IF(D19="","",VLOOKUP(CONCATENATE($C19,"_",D19),選手名簿!$A:$H,5,FALSE))</f>
        <v/>
      </c>
      <c r="F19" s="89"/>
      <c r="G19" s="92"/>
      <c r="H19" s="95"/>
      <c r="I19" s="87" t="str">
        <f>IF(H19="","",VLOOKUP(CONCATENATE($C19,"_",H19),選手名簿!$A:$H,5,FALSE))</f>
        <v/>
      </c>
      <c r="J19" s="89"/>
      <c r="K19" s="92"/>
      <c r="L19" s="95"/>
      <c r="M19" s="87" t="str">
        <f>IF(L19="","",VLOOKUP(CONCATENATE($C19,"_",L19),選手名簿!$A:$H,5,FALSE))</f>
        <v/>
      </c>
      <c r="N19" s="89"/>
      <c r="O19" s="92"/>
      <c r="P19" s="95">
        <v>1</v>
      </c>
      <c r="Q19" s="87" t="str">
        <f>IF(P19="","",VLOOKUP(CONCATENATE($C19,"_",P19),選手名簿!$A:$H,5,FALSE))</f>
        <v>狩生　健太</v>
      </c>
      <c r="R19" s="89" t="s">
        <v>579</v>
      </c>
      <c r="S19" s="92" t="s">
        <v>749</v>
      </c>
      <c r="T19" s="95"/>
      <c r="U19" s="87" t="str">
        <f>IF(T19="","",VLOOKUP(CONCATENATE($C19,"_",T19),選手名簿!$A:$H,5,FALSE))</f>
        <v/>
      </c>
      <c r="V19" s="89"/>
      <c r="W19" s="92"/>
      <c r="X19" s="95"/>
      <c r="Y19" s="87" t="str">
        <f>IF(X19="","",VLOOKUP(CONCATENATE($C19,"_",X19),選手名簿!$A:$H,5,FALSE))</f>
        <v/>
      </c>
      <c r="Z19" s="89"/>
      <c r="AA19" s="92"/>
      <c r="AB19" s="95"/>
      <c r="AC19" s="87" t="str">
        <f>IF(AB19="","",VLOOKUP(CONCATENATE($C19,"_",AB19),選手名簿!$A:$H,5,FALSE))</f>
        <v/>
      </c>
      <c r="AD19" s="89"/>
      <c r="AE19" s="92"/>
      <c r="AH19" s="97"/>
      <c r="AI19" s="97"/>
    </row>
    <row r="20" spans="2:36" ht="30" customHeight="1" thickBot="1" x14ac:dyDescent="0.3">
      <c r="B20" s="418"/>
      <c r="C20" s="80" t="str">
        <f>抽選会資料!J25</f>
        <v>佐伯リベロフットボールクラブ</v>
      </c>
      <c r="D20" s="84"/>
      <c r="E20" s="87" t="str">
        <f>IF(D20="","",VLOOKUP(CONCATENATE($C20,"_",D20),選手名簿!$A:$H,5,FALSE))</f>
        <v/>
      </c>
      <c r="F20" s="89"/>
      <c r="G20" s="92"/>
      <c r="H20" s="95"/>
      <c r="I20" s="87" t="str">
        <f>IF(H20="","",VLOOKUP(CONCATENATE($C20,"_",H20),選手名簿!$A:$H,5,FALSE))</f>
        <v/>
      </c>
      <c r="J20" s="89"/>
      <c r="K20" s="92"/>
      <c r="L20" s="95"/>
      <c r="M20" s="87" t="str">
        <f>IF(L20="","",VLOOKUP(CONCATENATE($C20,"_",L20),選手名簿!$A:$H,5,FALSE))</f>
        <v/>
      </c>
      <c r="N20" s="89"/>
      <c r="O20" s="92"/>
      <c r="P20" s="95"/>
      <c r="Q20" s="87" t="str">
        <f>IF(P20="","",VLOOKUP(CONCATENATE($C20,"_",P20),選手名簿!$A:$H,5,FALSE))</f>
        <v/>
      </c>
      <c r="R20" s="89"/>
      <c r="S20" s="92"/>
      <c r="T20" s="95"/>
      <c r="U20" s="87" t="str">
        <f>IF(T20="","",VLOOKUP(CONCATENATE($C20,"_",T20),選手名簿!$A:$H,5,FALSE))</f>
        <v/>
      </c>
      <c r="V20" s="89"/>
      <c r="W20" s="92"/>
      <c r="X20" s="95"/>
      <c r="Y20" s="87" t="str">
        <f>IF(X20="","",VLOOKUP(CONCATENATE($C20,"_",X20),選手名簿!$A:$H,5,FALSE))</f>
        <v/>
      </c>
      <c r="Z20" s="89"/>
      <c r="AA20" s="92"/>
      <c r="AB20" s="95"/>
      <c r="AC20" s="87" t="str">
        <f>IF(AB20="","",VLOOKUP(CONCATENATE($C20,"_",AB20),選手名簿!$A:$H,5,FALSE))</f>
        <v/>
      </c>
      <c r="AD20" s="89"/>
      <c r="AE20" s="92"/>
    </row>
    <row r="21" spans="2:36" ht="30" customHeight="1" x14ac:dyDescent="0.25">
      <c r="B21" s="417" t="s">
        <v>7785</v>
      </c>
      <c r="C21" s="80" t="str">
        <f>抽選会資料!J26</f>
        <v>ＯＫＹ山香サッカークラブ</v>
      </c>
      <c r="D21" s="84"/>
      <c r="E21" s="87" t="str">
        <f>IF(D21="","",VLOOKUP(CONCATENATE($C21,"_",D21),選手名簿!$A:$H,5,FALSE))</f>
        <v/>
      </c>
      <c r="F21" s="89"/>
      <c r="G21" s="92"/>
      <c r="H21" s="95"/>
      <c r="I21" s="87" t="str">
        <f>IF(H21="","",VLOOKUP(CONCATENATE($C21,"_",H21),選手名簿!$A:$H,5,FALSE))</f>
        <v/>
      </c>
      <c r="J21" s="89"/>
      <c r="K21" s="92"/>
      <c r="L21" s="95"/>
      <c r="M21" s="87" t="str">
        <f>IF(L21="","",VLOOKUP(CONCATENATE($C21,"_",L21),選手名簿!$A:$H,5,FALSE))</f>
        <v/>
      </c>
      <c r="N21" s="89"/>
      <c r="O21" s="92"/>
      <c r="P21" s="95"/>
      <c r="Q21" s="87" t="str">
        <f>IF(P21="","",VLOOKUP(CONCATENATE($C21,"_",P21),選手名簿!$A:$H,5,FALSE))</f>
        <v/>
      </c>
      <c r="R21" s="89"/>
      <c r="S21" s="92"/>
      <c r="T21" s="95"/>
      <c r="U21" s="87" t="str">
        <f>IF(T21="","",VLOOKUP(CONCATENATE($C21,"_",T21),選手名簿!$A:$H,5,FALSE))</f>
        <v/>
      </c>
      <c r="V21" s="89"/>
      <c r="W21" s="92"/>
      <c r="X21" s="95"/>
      <c r="Y21" s="87" t="str">
        <f>IF(X21="","",VLOOKUP(CONCATENATE($C21,"_",X21),選手名簿!$A:$H,5,FALSE))</f>
        <v/>
      </c>
      <c r="Z21" s="89"/>
      <c r="AA21" s="92"/>
      <c r="AB21" s="95"/>
      <c r="AC21" s="87" t="str">
        <f>IF(AB21="","",VLOOKUP(CONCATENATE($C21,"_",AB21),選手名簿!$A:$H,5,FALSE))</f>
        <v/>
      </c>
      <c r="AD21" s="89"/>
      <c r="AE21" s="92"/>
    </row>
    <row r="22" spans="2:36" ht="30" customHeight="1" thickBot="1" x14ac:dyDescent="0.3">
      <c r="B22" s="419"/>
      <c r="C22" s="80" t="str">
        <f>抽選会資料!J27</f>
        <v>日出サッカースポーツ少年団</v>
      </c>
      <c r="D22" s="84">
        <v>3</v>
      </c>
      <c r="E22" s="87" t="str">
        <f>IF(D22="","",VLOOKUP(CONCATENATE($C22,"_",D22),選手名簿!$A:$H,5,FALSE))</f>
        <v>伊藤　美結</v>
      </c>
      <c r="F22" s="89" t="s">
        <v>579</v>
      </c>
      <c r="G22" s="92" t="s">
        <v>749</v>
      </c>
      <c r="H22" s="95"/>
      <c r="I22" s="87" t="str">
        <f>IF(H22="","",VLOOKUP(CONCATENATE($C22,"_",H22),選手名簿!$A:$H,5,FALSE))</f>
        <v/>
      </c>
      <c r="J22" s="89"/>
      <c r="K22" s="92"/>
      <c r="L22" s="95"/>
      <c r="M22" s="87" t="str">
        <f>IF(L22="","",VLOOKUP(CONCATENATE($C22,"_",L22),選手名簿!$A:$H,5,FALSE))</f>
        <v/>
      </c>
      <c r="N22" s="89"/>
      <c r="O22" s="92"/>
      <c r="P22" s="95"/>
      <c r="Q22" s="87" t="str">
        <f>IF(P22="","",VLOOKUP(CONCATENATE($C22,"_",P22),選手名簿!$A:$H,5,FALSE))</f>
        <v/>
      </c>
      <c r="R22" s="89"/>
      <c r="S22" s="92"/>
      <c r="T22" s="95"/>
      <c r="U22" s="87" t="str">
        <f>IF(T22="","",VLOOKUP(CONCATENATE($C22,"_",T22),選手名簿!$A:$H,5,FALSE))</f>
        <v/>
      </c>
      <c r="V22" s="89"/>
      <c r="W22" s="92"/>
      <c r="X22" s="95"/>
      <c r="Y22" s="87" t="str">
        <f>IF(X22="","",VLOOKUP(CONCATENATE($C22,"_",X22),選手名簿!$A:$H,5,FALSE))</f>
        <v/>
      </c>
      <c r="Z22" s="89"/>
      <c r="AA22" s="92"/>
      <c r="AB22" s="95"/>
      <c r="AC22" s="87" t="str">
        <f>IF(AB22="","",VLOOKUP(CONCATENATE($C22,"_",AB22),選手名簿!$A:$H,5,FALSE))</f>
        <v/>
      </c>
      <c r="AD22" s="89"/>
      <c r="AE22" s="92"/>
    </row>
    <row r="23" spans="2:36" ht="30" customHeight="1" thickBot="1" x14ac:dyDescent="0.3">
      <c r="B23" s="29" t="s">
        <v>1669</v>
      </c>
      <c r="C23" s="80" t="str">
        <f>抽選会資料!J28</f>
        <v>臼杵ＳＳＳ</v>
      </c>
      <c r="D23" s="84"/>
      <c r="E23" s="87" t="str">
        <f>IF(D23="","",VLOOKUP(CONCATENATE($C23,"_",D23),選手名簿!$A:$H,5,FALSE))</f>
        <v/>
      </c>
      <c r="F23" s="89"/>
      <c r="G23" s="92"/>
      <c r="H23" s="95"/>
      <c r="I23" s="87" t="str">
        <f>IF(H23="","",VLOOKUP(CONCATENATE($C23,"_",H23),選手名簿!$A:$H,5,FALSE))</f>
        <v/>
      </c>
      <c r="J23" s="89"/>
      <c r="K23" s="92"/>
      <c r="L23" s="95"/>
      <c r="M23" s="87" t="str">
        <f>IF(L23="","",VLOOKUP(CONCATENATE($C23,"_",L23),選手名簿!$A:$H,5,FALSE))</f>
        <v/>
      </c>
      <c r="N23" s="89"/>
      <c r="O23" s="92"/>
      <c r="P23" s="95"/>
      <c r="Q23" s="87" t="str">
        <f>IF(P23="","",VLOOKUP(CONCATENATE($C23,"_",P23),選手名簿!$A:$H,5,FALSE))</f>
        <v/>
      </c>
      <c r="R23" s="89"/>
      <c r="S23" s="92"/>
      <c r="T23" s="95"/>
      <c r="U23" s="87" t="str">
        <f>IF(T23="","",VLOOKUP(CONCATENATE($C23,"_",T23),選手名簿!$A:$H,5,FALSE))</f>
        <v/>
      </c>
      <c r="V23" s="89"/>
      <c r="W23" s="92"/>
      <c r="X23" s="95"/>
      <c r="Y23" s="87" t="str">
        <f>IF(X23="","",VLOOKUP(CONCATENATE($C23,"_",X23),選手名簿!$A:$H,5,FALSE))</f>
        <v/>
      </c>
      <c r="Z23" s="89"/>
      <c r="AA23" s="92"/>
      <c r="AB23" s="95"/>
      <c r="AC23" s="87" t="str">
        <f>IF(AB23="","",VLOOKUP(CONCATENATE($C23,"_",AB23),選手名簿!$A:$H,5,FALSE))</f>
        <v/>
      </c>
      <c r="AD23" s="89"/>
      <c r="AE23" s="92"/>
    </row>
    <row r="24" spans="2:36" ht="30" customHeight="1" thickBot="1" x14ac:dyDescent="0.3">
      <c r="B24" s="29" t="s">
        <v>733</v>
      </c>
      <c r="C24" s="80" t="str">
        <f>抽選会資料!J29</f>
        <v>竹田直入ＦＣ</v>
      </c>
      <c r="D24" s="84"/>
      <c r="E24" s="87" t="str">
        <f>IF(D24="","",VLOOKUP(CONCATENATE($C24,"_",D24),選手名簿!$A:$H,5,FALSE))</f>
        <v/>
      </c>
      <c r="F24" s="89"/>
      <c r="G24" s="92"/>
      <c r="H24" s="95"/>
      <c r="I24" s="87" t="str">
        <f>IF(H24="","",VLOOKUP(CONCATENATE($C24,"_",H24),選手名簿!$A:$H,5,FALSE))</f>
        <v/>
      </c>
      <c r="J24" s="89"/>
      <c r="K24" s="92"/>
      <c r="L24" s="95"/>
      <c r="M24" s="87" t="str">
        <f>IF(L24="","",VLOOKUP(CONCATENATE($C24,"_",L24),選手名簿!$A:$H,5,FALSE))</f>
        <v/>
      </c>
      <c r="N24" s="89"/>
      <c r="O24" s="92"/>
      <c r="P24" s="95"/>
      <c r="Q24" s="87" t="str">
        <f>IF(P24="","",VLOOKUP(CONCATENATE($C24,"_",P24),選手名簿!$A:$H,5,FALSE))</f>
        <v/>
      </c>
      <c r="R24" s="89"/>
      <c r="S24" s="92"/>
      <c r="T24" s="95"/>
      <c r="U24" s="87" t="str">
        <f>IF(T24="","",VLOOKUP(CONCATENATE($C24,"_",T24),選手名簿!$A:$H,5,FALSE))</f>
        <v/>
      </c>
      <c r="V24" s="89"/>
      <c r="W24" s="92"/>
      <c r="X24" s="95"/>
      <c r="Y24" s="87" t="str">
        <f>IF(X24="","",VLOOKUP(CONCATENATE($C24,"_",X24),選手名簿!$A:$H,5,FALSE))</f>
        <v/>
      </c>
      <c r="Z24" s="89"/>
      <c r="AA24" s="92"/>
      <c r="AB24" s="95"/>
      <c r="AC24" s="87" t="str">
        <f>IF(AB24="","",VLOOKUP(CONCATENATE($C24,"_",AB24),選手名簿!$A:$H,5,FALSE))</f>
        <v/>
      </c>
      <c r="AD24" s="89"/>
      <c r="AE24" s="92"/>
    </row>
    <row r="25" spans="2:36" ht="30" customHeight="1" x14ac:dyDescent="0.25">
      <c r="B25" s="711" t="s">
        <v>617</v>
      </c>
      <c r="C25" s="405" t="str">
        <f>抽選会資料!C11</f>
        <v>カティオーラフットボールクラブＵ－１２</v>
      </c>
      <c r="D25" s="84"/>
      <c r="E25" s="87" t="str">
        <f>IF(D25="","",VLOOKUP(CONCATENATE($C25,"_",D25),選手名簿!$A:$H,5,FALSE))</f>
        <v/>
      </c>
      <c r="F25" s="89"/>
      <c r="G25" s="92"/>
      <c r="H25" s="95"/>
      <c r="I25" s="87" t="str">
        <f>IF(H25="","",VLOOKUP(CONCATENATE($C25,"_",H25),選手名簿!$A:$H,5,FALSE))</f>
        <v/>
      </c>
      <c r="J25" s="89"/>
      <c r="K25" s="92"/>
      <c r="L25" s="95"/>
      <c r="M25" s="87" t="str">
        <f>IF(L25="","",VLOOKUP(CONCATENATE($C25,"_",L25),選手名簿!$A:$H,5,FALSE))</f>
        <v/>
      </c>
      <c r="N25" s="89"/>
      <c r="O25" s="92"/>
      <c r="P25" s="95"/>
      <c r="Q25" s="87" t="str">
        <f>IF(P25="","",VLOOKUP(CONCATENATE($C25,"_",P25),選手名簿!$A:$H,5,FALSE))</f>
        <v/>
      </c>
      <c r="R25" s="89"/>
      <c r="S25" s="92"/>
      <c r="T25" s="95"/>
      <c r="U25" s="87" t="str">
        <f>IF(T25="","",VLOOKUP(CONCATENATE($C25,"_",T25),選手名簿!$A:$H,5,FALSE))</f>
        <v/>
      </c>
      <c r="V25" s="89"/>
      <c r="W25" s="92"/>
      <c r="X25" s="95"/>
      <c r="Y25" s="87" t="str">
        <f>IF(X25="","",VLOOKUP(CONCATENATE($C25,"_",X25),選手名簿!$A:$H,5,FALSE))</f>
        <v/>
      </c>
      <c r="Z25" s="89"/>
      <c r="AA25" s="92"/>
      <c r="AB25" s="95"/>
      <c r="AC25" s="87" t="str">
        <f>IF(AB25="","",VLOOKUP(CONCATENATE($C25,"_",AB25),選手名簿!$A:$H,5,FALSE))</f>
        <v/>
      </c>
      <c r="AD25" s="89"/>
      <c r="AE25" s="92"/>
    </row>
    <row r="26" spans="2:36" ht="30" customHeight="1" x14ac:dyDescent="0.25">
      <c r="B26" s="711"/>
      <c r="C26" s="404" t="str">
        <f>抽選会資料!C12</f>
        <v>ドリームキッズフットボールクラブ</v>
      </c>
      <c r="D26" s="84"/>
      <c r="E26" s="87" t="str">
        <f>IF(D26="","",VLOOKUP(CONCATENATE($C26,"_",D26),選手名簿!$A:$H,5,FALSE))</f>
        <v/>
      </c>
      <c r="F26" s="89"/>
      <c r="G26" s="92"/>
      <c r="H26" s="95"/>
      <c r="I26" s="87" t="str">
        <f>IF(H26="","",VLOOKUP(CONCATENATE($C26,"_",H26),選手名簿!$A:$H,5,FALSE))</f>
        <v/>
      </c>
      <c r="J26" s="89"/>
      <c r="K26" s="92"/>
      <c r="L26" s="95"/>
      <c r="M26" s="87" t="str">
        <f>IF(L26="","",VLOOKUP(CONCATENATE($C26,"_",L26),選手名簿!$A:$H,5,FALSE))</f>
        <v/>
      </c>
      <c r="N26" s="89"/>
      <c r="O26" s="92"/>
      <c r="P26" s="95"/>
      <c r="Q26" s="87" t="str">
        <f>IF(P26="","",VLOOKUP(CONCATENATE($C26,"_",P26),選手名簿!$A:$H,5,FALSE))</f>
        <v/>
      </c>
      <c r="R26" s="89"/>
      <c r="S26" s="92"/>
      <c r="T26" s="95"/>
      <c r="U26" s="87" t="str">
        <f>IF(T26="","",VLOOKUP(CONCATENATE($C26,"_",T26),選手名簿!$A:$H,5,FALSE))</f>
        <v/>
      </c>
      <c r="V26" s="89"/>
      <c r="W26" s="92"/>
      <c r="X26" s="95"/>
      <c r="Y26" s="87" t="str">
        <f>IF(X26="","",VLOOKUP(CONCATENATE($C26,"_",X26),選手名簿!$A:$H,5,FALSE))</f>
        <v/>
      </c>
      <c r="Z26" s="89"/>
      <c r="AA26" s="92"/>
      <c r="AB26" s="95">
        <v>11</v>
      </c>
      <c r="AC26" s="87" t="str">
        <f>IF(AB26="","",VLOOKUP(CONCATENATE($C26,"_",AB26),選手名簿!$A:$H,5,FALSE))</f>
        <v>上田　大耀</v>
      </c>
      <c r="AD26" s="89" t="s">
        <v>579</v>
      </c>
      <c r="AE26" s="92" t="s">
        <v>757</v>
      </c>
    </row>
    <row r="27" spans="2:36" ht="30" customHeight="1" x14ac:dyDescent="0.25">
      <c r="B27" s="711"/>
      <c r="C27" s="81" t="str">
        <f>抽選会資料!C13</f>
        <v>リノスフットボールクラブ　Ｕ－１２</v>
      </c>
      <c r="D27" s="84"/>
      <c r="E27" s="87" t="str">
        <f>IF(D27="","",VLOOKUP(CONCATENATE($C27,"_",D27),選手名簿!$A:$H,5,FALSE))</f>
        <v/>
      </c>
      <c r="F27" s="89"/>
      <c r="G27" s="92"/>
      <c r="H27" s="95"/>
      <c r="I27" s="87" t="str">
        <f>IF(H27="","",VLOOKUP(CONCATENATE($C27,"_",H27),選手名簿!$A:$H,5,FALSE))</f>
        <v/>
      </c>
      <c r="J27" s="89"/>
      <c r="K27" s="92"/>
      <c r="L27" s="95"/>
      <c r="M27" s="87" t="str">
        <f>IF(L27="","",VLOOKUP(CONCATENATE($C27,"_",L27),選手名簿!$A:$H,5,FALSE))</f>
        <v/>
      </c>
      <c r="N27" s="89"/>
      <c r="O27" s="92"/>
      <c r="P27" s="95">
        <v>22</v>
      </c>
      <c r="Q27" s="87" t="str">
        <f>IF(P27="","",VLOOKUP(CONCATENATE($C27,"_",P27),選手名簿!$A:$H,5,FALSE))</f>
        <v>菅　泰輔</v>
      </c>
      <c r="R27" s="89" t="s">
        <v>579</v>
      </c>
      <c r="S27" s="92" t="s">
        <v>749</v>
      </c>
      <c r="T27" s="95"/>
      <c r="U27" s="87" t="str">
        <f>IF(T27="","",VLOOKUP(CONCATENATE($C27,"_",T27),選手名簿!$A:$H,5,FALSE))</f>
        <v/>
      </c>
      <c r="V27" s="89"/>
      <c r="W27" s="92"/>
      <c r="X27" s="95"/>
      <c r="Y27" s="87" t="str">
        <f>IF(X27="","",VLOOKUP(CONCATENATE($C27,"_",X27),選手名簿!$A:$H,5,FALSE))</f>
        <v/>
      </c>
      <c r="Z27" s="89"/>
      <c r="AA27" s="92"/>
      <c r="AB27" s="95"/>
      <c r="AC27" s="87" t="str">
        <f>IF(AB27="","",VLOOKUP(CONCATENATE($C27,"_",AB27),選手名簿!$A:$H,5,FALSE))</f>
        <v/>
      </c>
      <c r="AD27" s="89"/>
      <c r="AE27" s="92"/>
    </row>
    <row r="28" spans="2:36" ht="30" customHeight="1" x14ac:dyDescent="0.25">
      <c r="B28" s="711"/>
      <c r="C28" s="81" t="str">
        <f>抽選会資料!C14</f>
        <v>鶴崎ＳＳＳ</v>
      </c>
      <c r="D28" s="84"/>
      <c r="E28" s="87" t="str">
        <f>IF(D28="","",VLOOKUP(CONCATENATE($C28,"_",D28),選手名簿!$A:$H,5,FALSE))</f>
        <v/>
      </c>
      <c r="F28" s="89"/>
      <c r="G28" s="92"/>
      <c r="H28" s="95"/>
      <c r="I28" s="87" t="str">
        <f>IF(H28="","",VLOOKUP(CONCATENATE($C28,"_",H28),選手名簿!$A:$H,5,FALSE))</f>
        <v/>
      </c>
      <c r="J28" s="89"/>
      <c r="K28" s="92"/>
      <c r="L28" s="95"/>
      <c r="M28" s="87" t="str">
        <f>IF(L28="","",VLOOKUP(CONCATENATE($C28,"_",L28),選手名簿!$A:$H,5,FALSE))</f>
        <v/>
      </c>
      <c r="N28" s="89"/>
      <c r="O28" s="92"/>
      <c r="P28" s="95"/>
      <c r="Q28" s="87" t="str">
        <f>IF(P28="","",VLOOKUP(CONCATENATE($C28,"_",P28),選手名簿!$A:$H,5,FALSE))</f>
        <v/>
      </c>
      <c r="R28" s="89"/>
      <c r="S28" s="92"/>
      <c r="T28" s="95"/>
      <c r="U28" s="87" t="str">
        <f>IF(T28="","",VLOOKUP(CONCATENATE($C28,"_",T28),選手名簿!$A:$H,5,FALSE))</f>
        <v/>
      </c>
      <c r="V28" s="89"/>
      <c r="W28" s="92"/>
      <c r="X28" s="95"/>
      <c r="Y28" s="87" t="str">
        <f>IF(X28="","",VLOOKUP(CONCATENATE($C28,"_",X28),選手名簿!$A:$H,5,FALSE))</f>
        <v/>
      </c>
      <c r="Z28" s="89"/>
      <c r="AA28" s="92"/>
      <c r="AB28" s="95"/>
      <c r="AC28" s="87" t="str">
        <f>IF(AB28="","",VLOOKUP(CONCATENATE($C28,"_",AB28),選手名簿!$A:$H,5,FALSE))</f>
        <v/>
      </c>
      <c r="AD28" s="89"/>
      <c r="AE28" s="92"/>
    </row>
    <row r="29" spans="2:36" ht="30" customHeight="1" x14ac:dyDescent="0.25">
      <c r="B29" s="711"/>
      <c r="C29" s="81" t="str">
        <f>抽選会資料!C15</f>
        <v>カティオーラフットボールクラブＵ－１２　Ｎｅｘｔ</v>
      </c>
      <c r="D29" s="84"/>
      <c r="E29" s="87" t="str">
        <f>IF(D29="","",VLOOKUP(CONCATENATE($C29,"_",D29),選手名簿!$A:$H,5,FALSE))</f>
        <v/>
      </c>
      <c r="F29" s="89"/>
      <c r="G29" s="92"/>
      <c r="H29" s="95">
        <v>8</v>
      </c>
      <c r="I29" s="87" t="str">
        <f>IF(H29="","",VLOOKUP(CONCATENATE($C29,"_",H29),選手名簿!$A:$H,5,FALSE))</f>
        <v>江藤　浩介</v>
      </c>
      <c r="J29" s="89" t="s">
        <v>579</v>
      </c>
      <c r="K29" s="92" t="s">
        <v>742</v>
      </c>
      <c r="L29" s="95"/>
      <c r="M29" s="87" t="str">
        <f>IF(L29="","",VLOOKUP(CONCATENATE($C29,"_",L29),選手名簿!$A:$H,5,FALSE))</f>
        <v/>
      </c>
      <c r="N29" s="89"/>
      <c r="O29" s="92"/>
      <c r="P29" s="95"/>
      <c r="Q29" s="87" t="str">
        <f>IF(P29="","",VLOOKUP(CONCATENATE($C29,"_",P29),選手名簿!$A:$H,5,FALSE))</f>
        <v/>
      </c>
      <c r="R29" s="89"/>
      <c r="S29" s="92"/>
      <c r="T29" s="95"/>
      <c r="U29" s="87" t="str">
        <f>IF(T29="","",VLOOKUP(CONCATENATE($C29,"_",T29),選手名簿!$A:$H,5,FALSE))</f>
        <v/>
      </c>
      <c r="V29" s="89"/>
      <c r="W29" s="92"/>
      <c r="X29" s="95"/>
      <c r="Y29" s="87" t="str">
        <f>IF(X29="","",VLOOKUP(CONCATENATE($C29,"_",X29),選手名簿!$A:$H,5,FALSE))</f>
        <v/>
      </c>
      <c r="Z29" s="89"/>
      <c r="AA29" s="92"/>
      <c r="AB29" s="95"/>
      <c r="AC29" s="87" t="str">
        <f>IF(AB29="","",VLOOKUP(CONCATENATE($C29,"_",AB29),選手名簿!$A:$H,5,FALSE))</f>
        <v/>
      </c>
      <c r="AD29" s="89"/>
      <c r="AE29" s="92"/>
    </row>
    <row r="30" spans="2:36" ht="30" customHeight="1" x14ac:dyDescent="0.25">
      <c r="B30" s="711"/>
      <c r="C30" s="81" t="str">
        <f>抽選会資料!C16</f>
        <v>明治北ＳＳＣ</v>
      </c>
      <c r="D30" s="84"/>
      <c r="E30" s="87" t="str">
        <f>IF(D30="","",VLOOKUP(CONCATENATE($C30,"_",D30),選手名簿!$A:$H,5,FALSE))</f>
        <v/>
      </c>
      <c r="F30" s="89"/>
      <c r="G30" s="92"/>
      <c r="H30" s="95"/>
      <c r="I30" s="87" t="str">
        <f>IF(H30="","",VLOOKUP(CONCATENATE($C30,"_",H30),選手名簿!$A:$H,5,FALSE))</f>
        <v/>
      </c>
      <c r="J30" s="89"/>
      <c r="K30" s="92"/>
      <c r="L30" s="95"/>
      <c r="M30" s="87" t="str">
        <f>IF(L30="","",VLOOKUP(CONCATENATE($C30,"_",L30),選手名簿!$A:$H,5,FALSE))</f>
        <v/>
      </c>
      <c r="N30" s="89"/>
      <c r="O30" s="92"/>
      <c r="P30" s="95"/>
      <c r="Q30" s="87" t="str">
        <f>IF(P30="","",VLOOKUP(CONCATENATE($C30,"_",P30),選手名簿!$A:$H,5,FALSE))</f>
        <v/>
      </c>
      <c r="R30" s="89"/>
      <c r="S30" s="92"/>
      <c r="T30" s="95"/>
      <c r="U30" s="87" t="str">
        <f>IF(T30="","",VLOOKUP(CONCATENATE($C30,"_",T30),選手名簿!$A:$H,5,FALSE))</f>
        <v/>
      </c>
      <c r="V30" s="89"/>
      <c r="W30" s="92"/>
      <c r="X30" s="95"/>
      <c r="Y30" s="87" t="str">
        <f>IF(X30="","",VLOOKUP(CONCATENATE($C30,"_",X30),選手名簿!$A:$H,5,FALSE))</f>
        <v/>
      </c>
      <c r="Z30" s="89"/>
      <c r="AA30" s="92"/>
      <c r="AB30" s="95"/>
      <c r="AC30" s="87" t="str">
        <f>IF(AB30="","",VLOOKUP(CONCATENATE($C30,"_",AB30),選手名簿!$A:$H,5,FALSE))</f>
        <v/>
      </c>
      <c r="AD30" s="89"/>
      <c r="AE30" s="92"/>
    </row>
    <row r="31" spans="2:36" ht="30" customHeight="1" x14ac:dyDescent="0.25">
      <c r="B31" s="711"/>
      <c r="C31" s="81" t="str">
        <f>抽選会資料!C17</f>
        <v>滝尾下郡サッカースポーツ少年団</v>
      </c>
      <c r="D31" s="84"/>
      <c r="E31" s="87" t="str">
        <f>IF(D31="","",VLOOKUP(CONCATENATE($C31,"_",D31),選手名簿!$A:$H,5,FALSE))</f>
        <v/>
      </c>
      <c r="F31" s="89"/>
      <c r="G31" s="92"/>
      <c r="H31" s="95"/>
      <c r="I31" s="87" t="str">
        <f>IF(H31="","",VLOOKUP(CONCATENATE($C31,"_",H31),選手名簿!$A:$H,5,FALSE))</f>
        <v/>
      </c>
      <c r="J31" s="89"/>
      <c r="K31" s="92"/>
      <c r="L31" s="95"/>
      <c r="M31" s="87" t="str">
        <f>IF(L31="","",VLOOKUP(CONCATENATE($C31,"_",L31),選手名簿!$A:$H,5,FALSE))</f>
        <v/>
      </c>
      <c r="N31" s="89"/>
      <c r="O31" s="92"/>
      <c r="P31" s="95"/>
      <c r="Q31" s="87" t="str">
        <f>IF(P31="","",VLOOKUP(CONCATENATE($C31,"_",P31),選手名簿!$A:$H,5,FALSE))</f>
        <v/>
      </c>
      <c r="R31" s="89"/>
      <c r="S31" s="92"/>
      <c r="T31" s="95"/>
      <c r="U31" s="87" t="str">
        <f>IF(T31="","",VLOOKUP(CONCATENATE($C31,"_",T31),選手名簿!$A:$H,5,FALSE))</f>
        <v/>
      </c>
      <c r="V31" s="89"/>
      <c r="W31" s="92"/>
      <c r="X31" s="95"/>
      <c r="Y31" s="87" t="str">
        <f>IF(X31="","",VLOOKUP(CONCATENATE($C31,"_",X31),選手名簿!$A:$H,5,FALSE))</f>
        <v/>
      </c>
      <c r="Z31" s="89"/>
      <c r="AA31" s="92"/>
      <c r="AB31" s="95"/>
      <c r="AC31" s="87" t="str">
        <f>IF(AB31="","",VLOOKUP(CONCATENATE($C31,"_",AB31),選手名簿!$A:$H,5,FALSE))</f>
        <v/>
      </c>
      <c r="AD31" s="89"/>
      <c r="AE31" s="92"/>
    </row>
    <row r="32" spans="2:36" ht="30" customHeight="1" x14ac:dyDescent="0.25">
      <c r="B32" s="711"/>
      <c r="C32" s="81" t="str">
        <f>抽選会資料!C18</f>
        <v>戸次吉野ＳＳＳ</v>
      </c>
      <c r="D32" s="84"/>
      <c r="E32" s="87" t="str">
        <f>IF(D32="","",VLOOKUP(CONCATENATE($C32,"_",D32),選手名簿!$A:$H,5,FALSE))</f>
        <v/>
      </c>
      <c r="F32" s="89"/>
      <c r="G32" s="92"/>
      <c r="H32" s="95"/>
      <c r="I32" s="87" t="str">
        <f>IF(H32="","",VLOOKUP(CONCATENATE($C32,"_",H32),選手名簿!$A:$H,5,FALSE))</f>
        <v/>
      </c>
      <c r="J32" s="89"/>
      <c r="K32" s="92"/>
      <c r="L32" s="95"/>
      <c r="M32" s="87" t="str">
        <f>IF(L32="","",VLOOKUP(CONCATENATE($C32,"_",L32),選手名簿!$A:$H,5,FALSE))</f>
        <v/>
      </c>
      <c r="N32" s="89"/>
      <c r="O32" s="92"/>
      <c r="P32" s="95"/>
      <c r="Q32" s="87" t="str">
        <f>IF(P32="","",VLOOKUP(CONCATENATE($C32,"_",P32),選手名簿!$A:$H,5,FALSE))</f>
        <v/>
      </c>
      <c r="R32" s="89"/>
      <c r="S32" s="92"/>
      <c r="T32" s="95"/>
      <c r="U32" s="87" t="str">
        <f>IF(T32="","",VLOOKUP(CONCATENATE($C32,"_",T32),選手名簿!$A:$H,5,FALSE))</f>
        <v/>
      </c>
      <c r="V32" s="89"/>
      <c r="W32" s="92"/>
      <c r="X32" s="95"/>
      <c r="Y32" s="87" t="str">
        <f>IF(X32="","",VLOOKUP(CONCATENATE($C32,"_",X32),選手名簿!$A:$H,5,FALSE))</f>
        <v/>
      </c>
      <c r="Z32" s="89"/>
      <c r="AA32" s="92"/>
      <c r="AB32" s="95"/>
      <c r="AC32" s="87" t="str">
        <f>IF(AB32="","",VLOOKUP(CONCATENATE($C32,"_",AB32),選手名簿!$A:$H,5,FALSE))</f>
        <v/>
      </c>
      <c r="AD32" s="89"/>
      <c r="AE32" s="92"/>
    </row>
    <row r="33" spans="2:31" ht="30" customHeight="1" x14ac:dyDescent="0.25">
      <c r="B33" s="711"/>
      <c r="C33" s="81" t="str">
        <f>抽選会資料!C19</f>
        <v>大分トリニータＵ－１２</v>
      </c>
      <c r="D33" s="84"/>
      <c r="E33" s="87" t="str">
        <f>IF(D33="","",VLOOKUP(CONCATENATE($C33,"_",D33),選手名簿!$A:$H,5,FALSE))</f>
        <v/>
      </c>
      <c r="F33" s="89"/>
      <c r="G33" s="92"/>
      <c r="H33" s="95"/>
      <c r="I33" s="87" t="str">
        <f>IF(H33="","",VLOOKUP(CONCATENATE($C33,"_",H33),選手名簿!$A:$H,5,FALSE))</f>
        <v/>
      </c>
      <c r="J33" s="89"/>
      <c r="K33" s="92"/>
      <c r="L33" s="95"/>
      <c r="M33" s="87" t="str">
        <f>IF(L33="","",VLOOKUP(CONCATENATE($C33,"_",L33),選手名簿!$A:$H,5,FALSE))</f>
        <v/>
      </c>
      <c r="N33" s="89"/>
      <c r="O33" s="92"/>
      <c r="P33" s="95"/>
      <c r="Q33" s="87" t="str">
        <f>IF(P33="","",VLOOKUP(CONCATENATE($C33,"_",P33),選手名簿!$A:$H,5,FALSE))</f>
        <v/>
      </c>
      <c r="R33" s="89"/>
      <c r="S33" s="92"/>
      <c r="T33" s="95"/>
      <c r="U33" s="87" t="str">
        <f>IF(T33="","",VLOOKUP(CONCATENATE($C33,"_",T33),選手名簿!$A:$H,5,FALSE))</f>
        <v/>
      </c>
      <c r="V33" s="89"/>
      <c r="W33" s="92"/>
      <c r="X33" s="95"/>
      <c r="Y33" s="87" t="str">
        <f>IF(X33="","",VLOOKUP(CONCATENATE($C33,"_",X33),選手名簿!$A:$H,5,FALSE))</f>
        <v/>
      </c>
      <c r="Z33" s="89"/>
      <c r="AA33" s="92"/>
      <c r="AB33" s="95"/>
      <c r="AC33" s="87" t="str">
        <f>IF(AB33="","",VLOOKUP(CONCATENATE($C33,"_",AB33),選手名簿!$A:$H,5,FALSE))</f>
        <v/>
      </c>
      <c r="AD33" s="89"/>
      <c r="AE33" s="92"/>
    </row>
    <row r="34" spans="2:31" ht="30" customHeight="1" x14ac:dyDescent="0.25">
      <c r="B34" s="711"/>
      <c r="C34" s="81" t="str">
        <f>抽選会資料!C20</f>
        <v>ＦＣ　ＲＥＧＡＴＥ</v>
      </c>
      <c r="D34" s="84"/>
      <c r="E34" s="87" t="str">
        <f>IF(D34="","",VLOOKUP(CONCATENATE($C34,"_",D34),選手名簿!$A:$H,5,FALSE))</f>
        <v/>
      </c>
      <c r="F34" s="89"/>
      <c r="G34" s="92"/>
      <c r="H34" s="95"/>
      <c r="I34" s="87" t="str">
        <f>IF(H34="","",VLOOKUP(CONCATENATE($C34,"_",H34),選手名簿!$A:$H,5,FALSE))</f>
        <v/>
      </c>
      <c r="J34" s="89"/>
      <c r="K34" s="92"/>
      <c r="L34" s="95"/>
      <c r="M34" s="87" t="str">
        <f>IF(L34="","",VLOOKUP(CONCATENATE($C34,"_",L34),選手名簿!$A:$H,5,FALSE))</f>
        <v/>
      </c>
      <c r="N34" s="89"/>
      <c r="O34" s="92"/>
      <c r="P34" s="95"/>
      <c r="Q34" s="87" t="str">
        <f>IF(P34="","",VLOOKUP(CONCATENATE($C34,"_",P34),選手名簿!$A:$H,5,FALSE))</f>
        <v/>
      </c>
      <c r="R34" s="89"/>
      <c r="S34" s="92"/>
      <c r="T34" s="95"/>
      <c r="U34" s="87" t="str">
        <f>IF(T34="","",VLOOKUP(CONCATENATE($C34,"_",T34),選手名簿!$A:$H,5,FALSE))</f>
        <v/>
      </c>
      <c r="V34" s="89"/>
      <c r="W34" s="92"/>
      <c r="X34" s="95"/>
      <c r="Y34" s="87" t="str">
        <f>IF(X34="","",VLOOKUP(CONCATENATE($C34,"_",X34),選手名簿!$A:$H,5,FALSE))</f>
        <v/>
      </c>
      <c r="Z34" s="89"/>
      <c r="AA34" s="92"/>
      <c r="AB34" s="95"/>
      <c r="AC34" s="87" t="str">
        <f>IF(AB34="","",VLOOKUP(CONCATENATE($C34,"_",AB34),選手名簿!$A:$H,5,FALSE))</f>
        <v/>
      </c>
      <c r="AD34" s="89"/>
      <c r="AE34" s="92"/>
    </row>
    <row r="35" spans="2:31" ht="30" customHeight="1" x14ac:dyDescent="0.25">
      <c r="B35" s="711"/>
      <c r="C35" s="81" t="str">
        <f>抽選会資料!C21</f>
        <v>スマイス　セレソン　スポーツクラブ</v>
      </c>
      <c r="D35" s="84"/>
      <c r="E35" s="87" t="str">
        <f>IF(D35="","",VLOOKUP(CONCATENATE($C35,"_",D35),選手名簿!$A:$H,5,FALSE))</f>
        <v/>
      </c>
      <c r="F35" s="89"/>
      <c r="G35" s="92"/>
      <c r="H35" s="95"/>
      <c r="I35" s="87" t="str">
        <f>IF(H35="","",VLOOKUP(CONCATENATE($C35,"_",H35),選手名簿!$A:$H,5,FALSE))</f>
        <v/>
      </c>
      <c r="J35" s="89"/>
      <c r="K35" s="92"/>
      <c r="L35" s="95"/>
      <c r="M35" s="87" t="str">
        <f>IF(L35="","",VLOOKUP(CONCATENATE($C35,"_",L35),選手名簿!$A:$H,5,FALSE))</f>
        <v/>
      </c>
      <c r="N35" s="89"/>
      <c r="O35" s="92"/>
      <c r="P35" s="95"/>
      <c r="Q35" s="87" t="str">
        <f>IF(P35="","",VLOOKUP(CONCATENATE($C35,"_",P35),選手名簿!$A:$H,5,FALSE))</f>
        <v/>
      </c>
      <c r="R35" s="89"/>
      <c r="S35" s="92"/>
      <c r="T35" s="95"/>
      <c r="U35" s="87" t="str">
        <f>IF(T35="","",VLOOKUP(CONCATENATE($C35,"_",T35),選手名簿!$A:$H,5,FALSE))</f>
        <v/>
      </c>
      <c r="V35" s="89"/>
      <c r="W35" s="92"/>
      <c r="X35" s="95"/>
      <c r="Y35" s="87" t="str">
        <f>IF(X35="","",VLOOKUP(CONCATENATE($C35,"_",X35),選手名簿!$A:$H,5,FALSE))</f>
        <v/>
      </c>
      <c r="Z35" s="89"/>
      <c r="AA35" s="92"/>
      <c r="AB35" s="95"/>
      <c r="AC35" s="87" t="str">
        <f>IF(AB35="","",VLOOKUP(CONCATENATE($C35,"_",AB35),選手名簿!$A:$H,5,FALSE))</f>
        <v/>
      </c>
      <c r="AD35" s="89"/>
      <c r="AE35" s="92"/>
    </row>
    <row r="36" spans="2:31" ht="30" customHeight="1" x14ac:dyDescent="0.25">
      <c r="B36" s="711"/>
      <c r="C36" s="81" t="str">
        <f>抽選会資料!C22</f>
        <v>明野東サッカースポーツ少年団</v>
      </c>
      <c r="D36" s="84"/>
      <c r="E36" s="87" t="str">
        <f>IF(D36="","",VLOOKUP(CONCATENATE($C36,"_",D36),選手名簿!$A:$H,5,FALSE))</f>
        <v/>
      </c>
      <c r="F36" s="89"/>
      <c r="G36" s="92"/>
      <c r="H36" s="95"/>
      <c r="I36" s="87" t="str">
        <f>IF(H36="","",VLOOKUP(CONCATENATE($C36,"_",H36),選手名簿!$A:$H,5,FALSE))</f>
        <v/>
      </c>
      <c r="J36" s="89"/>
      <c r="K36" s="92"/>
      <c r="L36" s="95">
        <v>13</v>
      </c>
      <c r="M36" s="87" t="str">
        <f>IF(L36="","",VLOOKUP(CONCATENATE($C36,"_",L36),選手名簿!$A:$H,5,FALSE))</f>
        <v>御幡　悠希</v>
      </c>
      <c r="N36" s="89" t="s">
        <v>579</v>
      </c>
      <c r="O36" s="92" t="s">
        <v>742</v>
      </c>
      <c r="P36" s="95"/>
      <c r="Q36" s="87" t="str">
        <f>IF(P36="","",VLOOKUP(CONCATENATE($C36,"_",P36),選手名簿!$A:$H,5,FALSE))</f>
        <v/>
      </c>
      <c r="R36" s="89"/>
      <c r="S36" s="92"/>
      <c r="T36" s="95"/>
      <c r="U36" s="87" t="str">
        <f>IF(T36="","",VLOOKUP(CONCATENATE($C36,"_",T36),選手名簿!$A:$H,5,FALSE))</f>
        <v/>
      </c>
      <c r="V36" s="89"/>
      <c r="W36" s="92"/>
      <c r="X36" s="95"/>
      <c r="Y36" s="87" t="str">
        <f>IF(X36="","",VLOOKUP(CONCATENATE($C36,"_",X36),選手名簿!$A:$H,5,FALSE))</f>
        <v/>
      </c>
      <c r="Z36" s="89"/>
      <c r="AA36" s="92"/>
      <c r="AB36" s="95"/>
      <c r="AC36" s="87" t="str">
        <f>IF(AB36="","",VLOOKUP(CONCATENATE($C36,"_",AB36),選手名簿!$A:$H,5,FALSE))</f>
        <v/>
      </c>
      <c r="AD36" s="89"/>
      <c r="AE36" s="92"/>
    </row>
    <row r="37" spans="2:31" ht="30" customHeight="1" x14ac:dyDescent="0.25">
      <c r="B37" s="711"/>
      <c r="C37" s="81" t="str">
        <f>抽選会資料!C23</f>
        <v>南大分サッカー少年団</v>
      </c>
      <c r="D37" s="84"/>
      <c r="E37" s="87" t="str">
        <f>IF(D37="","",VLOOKUP(CONCATENATE($C37,"_",D37),選手名簿!$A:$H,5,FALSE))</f>
        <v/>
      </c>
      <c r="F37" s="89"/>
      <c r="G37" s="92"/>
      <c r="H37" s="95"/>
      <c r="I37" s="87" t="str">
        <f>IF(H37="","",VLOOKUP(CONCATENATE($C37,"_",H37),選手名簿!$A:$H,5,FALSE))</f>
        <v/>
      </c>
      <c r="J37" s="89"/>
      <c r="K37" s="92"/>
      <c r="L37" s="95"/>
      <c r="M37" s="87" t="str">
        <f>IF(L37="","",VLOOKUP(CONCATENATE($C37,"_",L37),選手名簿!$A:$H,5,FALSE))</f>
        <v/>
      </c>
      <c r="N37" s="89"/>
      <c r="O37" s="92"/>
      <c r="P37" s="95"/>
      <c r="Q37" s="87" t="str">
        <f>IF(P37="","",VLOOKUP(CONCATENATE($C37,"_",P37),選手名簿!$A:$H,5,FALSE))</f>
        <v/>
      </c>
      <c r="R37" s="89"/>
      <c r="S37" s="92"/>
      <c r="T37" s="95"/>
      <c r="U37" s="87" t="str">
        <f>IF(T37="","",VLOOKUP(CONCATENATE($C37,"_",T37),選手名簿!$A:$H,5,FALSE))</f>
        <v/>
      </c>
      <c r="V37" s="89"/>
      <c r="W37" s="92"/>
      <c r="X37" s="95"/>
      <c r="Y37" s="87" t="str">
        <f>IF(X37="","",VLOOKUP(CONCATENATE($C37,"_",X37),選手名簿!$A:$H,5,FALSE))</f>
        <v/>
      </c>
      <c r="Z37" s="89"/>
      <c r="AA37" s="92"/>
      <c r="AB37" s="95"/>
      <c r="AC37" s="87" t="str">
        <f>IF(AB37="","",VLOOKUP(CONCATENATE($C37,"_",AB37),選手名簿!$A:$H,5,FALSE))</f>
        <v/>
      </c>
      <c r="AD37" s="89"/>
      <c r="AE37" s="92"/>
    </row>
    <row r="38" spans="2:31" ht="30" customHeight="1" x14ac:dyDescent="0.25">
      <c r="B38" s="711"/>
      <c r="C38" s="81" t="str">
        <f>抽選会資料!C24</f>
        <v>西の台ＪＦＣ</v>
      </c>
      <c r="D38" s="84"/>
      <c r="E38" s="87" t="str">
        <f>IF(D38="","",VLOOKUP(CONCATENATE($C38,"_",D38),選手名簿!$A:$H,5,FALSE))</f>
        <v/>
      </c>
      <c r="F38" s="89"/>
      <c r="G38" s="92"/>
      <c r="H38" s="95"/>
      <c r="I38" s="87" t="str">
        <f>IF(H38="","",VLOOKUP(CONCATENATE($C38,"_",H38),選手名簿!$A:$H,5,FALSE))</f>
        <v/>
      </c>
      <c r="J38" s="89"/>
      <c r="K38" s="92"/>
      <c r="L38" s="95"/>
      <c r="M38" s="87" t="str">
        <f>IF(L38="","",VLOOKUP(CONCATENATE($C38,"_",L38),選手名簿!$A:$H,5,FALSE))</f>
        <v/>
      </c>
      <c r="N38" s="89"/>
      <c r="O38" s="92"/>
      <c r="P38" s="95"/>
      <c r="Q38" s="87" t="str">
        <f>IF(P38="","",VLOOKUP(CONCATENATE($C38,"_",P38),選手名簿!$A:$H,5,FALSE))</f>
        <v/>
      </c>
      <c r="R38" s="89"/>
      <c r="S38" s="92"/>
      <c r="T38" s="95"/>
      <c r="U38" s="87" t="str">
        <f>IF(T38="","",VLOOKUP(CONCATENATE($C38,"_",T38),選手名簿!$A:$H,5,FALSE))</f>
        <v/>
      </c>
      <c r="V38" s="89"/>
      <c r="W38" s="92"/>
      <c r="X38" s="95"/>
      <c r="Y38" s="87" t="str">
        <f>IF(X38="","",VLOOKUP(CONCATENATE($C38,"_",X38),選手名簿!$A:$H,5,FALSE))</f>
        <v/>
      </c>
      <c r="Z38" s="89"/>
      <c r="AA38" s="92"/>
      <c r="AB38" s="95"/>
      <c r="AC38" s="87" t="str">
        <f>IF(AB38="","",VLOOKUP(CONCATENATE($C38,"_",AB38),選手名簿!$A:$H,5,FALSE))</f>
        <v/>
      </c>
      <c r="AD38" s="89"/>
      <c r="AE38" s="92"/>
    </row>
    <row r="39" spans="2:31" ht="30" customHeight="1" x14ac:dyDescent="0.25">
      <c r="B39" s="711"/>
      <c r="C39" s="81" t="str">
        <f>抽選会資料!C25</f>
        <v>アトレチコエラン横瀬</v>
      </c>
      <c r="D39" s="84"/>
      <c r="E39" s="87" t="str">
        <f>IF(D39="","",VLOOKUP(CONCATENATE($C39,"_",D39),選手名簿!$A:$H,5,FALSE))</f>
        <v/>
      </c>
      <c r="F39" s="89"/>
      <c r="G39" s="92"/>
      <c r="H39" s="95"/>
      <c r="I39" s="87" t="str">
        <f>IF(H39="","",VLOOKUP(CONCATENATE($C39,"_",H39),選手名簿!$A:$H,5,FALSE))</f>
        <v/>
      </c>
      <c r="J39" s="89"/>
      <c r="K39" s="92"/>
      <c r="L39" s="95"/>
      <c r="M39" s="87" t="str">
        <f>IF(L39="","",VLOOKUP(CONCATENATE($C39,"_",L39),選手名簿!$A:$H,5,FALSE))</f>
        <v/>
      </c>
      <c r="N39" s="89"/>
      <c r="O39" s="92"/>
      <c r="P39" s="95">
        <v>9</v>
      </c>
      <c r="Q39" s="87" t="str">
        <f>IF(P39="","",VLOOKUP(CONCATENATE($C39,"_",P39),選手名簿!$A:$H,5,FALSE))</f>
        <v>丸田　恵也</v>
      </c>
      <c r="R39" s="89" t="s">
        <v>579</v>
      </c>
      <c r="S39" s="92" t="s">
        <v>749</v>
      </c>
      <c r="T39" s="95"/>
      <c r="U39" s="87" t="str">
        <f>IF(T39="","",VLOOKUP(CONCATENATE($C39,"_",T39),選手名簿!$A:$H,5,FALSE))</f>
        <v/>
      </c>
      <c r="V39" s="89"/>
      <c r="W39" s="92"/>
      <c r="X39" s="95"/>
      <c r="Y39" s="87" t="str">
        <f>IF(X39="","",VLOOKUP(CONCATENATE($C39,"_",X39),選手名簿!$A:$H,5,FALSE))</f>
        <v/>
      </c>
      <c r="Z39" s="89"/>
      <c r="AA39" s="92"/>
      <c r="AB39" s="95"/>
      <c r="AC39" s="87" t="str">
        <f>IF(AB39="","",VLOOKUP(CONCATENATE($C39,"_",AB39),選手名簿!$A:$H,5,FALSE))</f>
        <v/>
      </c>
      <c r="AD39" s="89"/>
      <c r="AE39" s="92"/>
    </row>
    <row r="40" spans="2:31" ht="30" customHeight="1" x14ac:dyDescent="0.25">
      <c r="B40" s="711"/>
      <c r="C40" s="81" t="str">
        <f>抽選会資料!C26</f>
        <v>大分トリニータタートルズ</v>
      </c>
      <c r="D40" s="84"/>
      <c r="E40" s="87" t="str">
        <f>IF(D40="","",VLOOKUP(CONCATENATE($C40,"_",D40),選手名簿!$A:$H,5,FALSE))</f>
        <v/>
      </c>
      <c r="F40" s="89"/>
      <c r="G40" s="92"/>
      <c r="H40" s="95"/>
      <c r="I40" s="87" t="str">
        <f>IF(H40="","",VLOOKUP(CONCATENATE($C40,"_",H40),選手名簿!$A:$H,5,FALSE))</f>
        <v/>
      </c>
      <c r="J40" s="89"/>
      <c r="K40" s="92"/>
      <c r="L40" s="95"/>
      <c r="M40" s="87" t="str">
        <f>IF(L40="","",VLOOKUP(CONCATENATE($C40,"_",L40),選手名簿!$A:$H,5,FALSE))</f>
        <v/>
      </c>
      <c r="N40" s="89"/>
      <c r="O40" s="92"/>
      <c r="P40" s="95"/>
      <c r="Q40" s="87" t="str">
        <f>IF(P40="","",VLOOKUP(CONCATENATE($C40,"_",P40),選手名簿!$A:$H,5,FALSE))</f>
        <v/>
      </c>
      <c r="R40" s="89"/>
      <c r="S40" s="92"/>
      <c r="T40" s="95"/>
      <c r="U40" s="87" t="str">
        <f>IF(T40="","",VLOOKUP(CONCATENATE($C40,"_",T40),選手名簿!$A:$H,5,FALSE))</f>
        <v/>
      </c>
      <c r="V40" s="89"/>
      <c r="W40" s="92"/>
      <c r="X40" s="95"/>
      <c r="Y40" s="87" t="str">
        <f>IF(X40="","",VLOOKUP(CONCATENATE($C40,"_",X40),選手名簿!$A:$H,5,FALSE))</f>
        <v/>
      </c>
      <c r="Z40" s="89"/>
      <c r="AA40" s="92"/>
      <c r="AB40" s="95"/>
      <c r="AC40" s="87" t="str">
        <f>IF(AB40="","",VLOOKUP(CONCATENATE($C40,"_",AB40),選手名簿!$A:$H,5,FALSE))</f>
        <v/>
      </c>
      <c r="AD40" s="89"/>
      <c r="AE40" s="92"/>
    </row>
    <row r="41" spans="2:31" ht="30" customHeight="1" thickBot="1" x14ac:dyDescent="0.3">
      <c r="B41" s="712"/>
      <c r="C41" s="82" t="str">
        <f>抽選会資料!C27</f>
        <v>ＮＦＣ・ＯＩＴＡ　Ｕ１２</v>
      </c>
      <c r="D41" s="85"/>
      <c r="E41" s="88" t="str">
        <f>IF(D41="","",VLOOKUP(CONCATENATE($C41,"_",D41),選手名簿!$A:$H,5,FALSE))</f>
        <v/>
      </c>
      <c r="F41" s="90"/>
      <c r="G41" s="93"/>
      <c r="H41" s="96"/>
      <c r="I41" s="88" t="str">
        <f>IF(H41="","",VLOOKUP(CONCATENATE($C41,"_",H41),選手名簿!$A:$H,5,FALSE))</f>
        <v/>
      </c>
      <c r="J41" s="90"/>
      <c r="K41" s="93"/>
      <c r="L41" s="96"/>
      <c r="M41" s="88" t="str">
        <f>IF(L41="","",VLOOKUP(CONCATENATE($C41,"_",L41),選手名簿!$A:$H,5,FALSE))</f>
        <v/>
      </c>
      <c r="N41" s="90"/>
      <c r="O41" s="93"/>
      <c r="P41" s="96"/>
      <c r="Q41" s="88" t="str">
        <f>IF(P41="","",VLOOKUP(CONCATENATE($C41,"_",P41),選手名簿!$A:$H,5,FALSE))</f>
        <v/>
      </c>
      <c r="R41" s="90"/>
      <c r="S41" s="93"/>
      <c r="T41" s="96"/>
      <c r="U41" s="88" t="str">
        <f>IF(T41="","",VLOOKUP(CONCATENATE($C41,"_",T41),選手名簿!$A:$H,5,FALSE))</f>
        <v/>
      </c>
      <c r="V41" s="90"/>
      <c r="W41" s="93"/>
      <c r="X41" s="96"/>
      <c r="Y41" s="88" t="str">
        <f>IF(X41="","",VLOOKUP(CONCATENATE($C41,"_",X41),選手名簿!$A:$H,5,FALSE))</f>
        <v/>
      </c>
      <c r="Z41" s="90"/>
      <c r="AA41" s="93"/>
      <c r="AB41" s="96"/>
      <c r="AC41" s="88" t="str">
        <f>IF(AB41="","",VLOOKUP(CONCATENATE($C41,"_",AB41),選手名簿!$A:$H,5,FALSE))</f>
        <v/>
      </c>
      <c r="AD41" s="90"/>
      <c r="AE41" s="93"/>
    </row>
  </sheetData>
  <autoFilter ref="A4:AA41" xr:uid="{00000000-0009-0000-0000-000007000000}"/>
  <mergeCells count="7">
    <mergeCell ref="B21:B22"/>
    <mergeCell ref="B25:B41"/>
    <mergeCell ref="B5:B9"/>
    <mergeCell ref="B10:B12"/>
    <mergeCell ref="B13:B15"/>
    <mergeCell ref="B16:B18"/>
    <mergeCell ref="B19:B20"/>
  </mergeCells>
  <phoneticPr fontId="29"/>
  <conditionalFormatting sqref="A1:A1048576 N1:O1048576 Q1:Y1048576 P2:P65528 C5:H41 B42:C65528 Z42:AA1048576 AB1:AC1048576 AD42:IZ1048576">
    <cfRule type="cellIs" dxfId="11" priority="76" stopIfTrue="1" operator="equal">
      <formula>"退場"</formula>
    </cfRule>
    <cfRule type="cellIs" dxfId="10" priority="77" stopIfTrue="1" operator="equal">
      <formula>"警告"</formula>
    </cfRule>
    <cfRule type="cellIs" dxfId="9" priority="78" stopIfTrue="1" operator="equal">
      <formula>"警告(累積2枚目次節出場停止）"</formula>
    </cfRule>
  </conditionalFormatting>
  <conditionalFormatting sqref="B5 I5:M43 B7:B10 B14 B17 B20 B23 B25 G43:H43 D44:M1048576">
    <cfRule type="cellIs" dxfId="8" priority="79" stopIfTrue="1" operator="equal">
      <formula>"退場"</formula>
    </cfRule>
    <cfRule type="cellIs" dxfId="7" priority="80" stopIfTrue="1" operator="equal">
      <formula>"警告"</formula>
    </cfRule>
    <cfRule type="cellIs" dxfId="6" priority="81" stopIfTrue="1" operator="equal">
      <formula>"警告(累積2枚目次節出場停止）"</formula>
    </cfRule>
  </conditionalFormatting>
  <conditionalFormatting sqref="D43:E43">
    <cfRule type="cellIs" dxfId="5" priority="40" stopIfTrue="1" operator="equal">
      <formula>"退場"</formula>
    </cfRule>
    <cfRule type="cellIs" dxfId="4" priority="41" stopIfTrue="1" operator="equal">
      <formula>"警告"</formula>
    </cfRule>
    <cfRule type="cellIs" dxfId="3" priority="42" stopIfTrue="1" operator="equal">
      <formula>"警告(累積2枚目次節出場停止）"</formula>
    </cfRule>
  </conditionalFormatting>
  <conditionalFormatting sqref="B1:M4 AL2:AL10 AM2:IZ12 AJ6:AJ19 Z1:AA41 AF13:IZ41 D42:H42 AF2:AK12 AF1:IZ1 AD1:AE41">
    <cfRule type="cellIs" dxfId="2" priority="82" stopIfTrue="1" operator="equal">
      <formula>"退場"</formula>
    </cfRule>
    <cfRule type="cellIs" dxfId="1" priority="83" stopIfTrue="1" operator="equal">
      <formula>"警告"</formula>
    </cfRule>
    <cfRule type="cellIs" dxfId="0" priority="84" stopIfTrue="1" operator="equal">
      <formula>"警告(累積2枚目次節出場停止）"</formula>
    </cfRule>
  </conditionalFormatting>
  <dataValidations count="3">
    <dataValidation type="list" allowBlank="1" showInputMessage="1" showErrorMessage="1" sqref="N4:N41 R4:R41 V4:V41 Z4:Z41 F4:F41 J4:J41 AD4:AD41" xr:uid="{00000000-0002-0000-0700-000000000000}">
      <formula1>$AH$1:$AH$4</formula1>
    </dataValidation>
    <dataValidation type="list" allowBlank="1" showInputMessage="1" showErrorMessage="1" sqref="A5:A19" xr:uid="{00000000-0002-0000-0700-000001000000}">
      <formula1>$A$1</formula1>
    </dataValidation>
    <dataValidation type="list" allowBlank="1" showInputMessage="1" showErrorMessage="1" sqref="S5:S41 W5:W41 O5:O41 G5:G41 K5:K41 AA5:AA41 AE5:AE41" xr:uid="{00000000-0002-0000-0700-000002000000}">
      <formula1>$AJ$1:$AJ$19</formula1>
    </dataValidation>
  </dataValidations>
  <printOptions horizontalCentered="1"/>
  <pageMargins left="0" right="0" top="0" bottom="0" header="0.51181102362204722" footer="0.51181102362204722"/>
  <pageSetup paperSize="9" scale="43"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pageSetUpPr fitToPage="1"/>
  </sheetPr>
  <dimension ref="A1:AD49"/>
  <sheetViews>
    <sheetView zoomScale="55" zoomScaleNormal="55" workbookViewId="0">
      <selection activeCell="D2" sqref="D2"/>
    </sheetView>
  </sheetViews>
  <sheetFormatPr defaultColWidth="8.86328125" defaultRowHeight="16.5" x14ac:dyDescent="0.25"/>
  <cols>
    <col min="1" max="1" width="5.3984375" style="99" bestFit="1" customWidth="1"/>
    <col min="2" max="2" width="13.46484375" style="99" customWidth="1"/>
    <col min="3" max="3" width="14.73046875" style="99" customWidth="1"/>
    <col min="4" max="4" width="25" style="99" bestFit="1" customWidth="1"/>
    <col min="5" max="5" width="41.46484375" style="99" bestFit="1" customWidth="1"/>
    <col min="6" max="6" width="8.86328125" style="100"/>
    <col min="7" max="7" width="3.73046875" style="99" customWidth="1"/>
    <col min="8" max="8" width="3.86328125" style="99" bestFit="1" customWidth="1"/>
    <col min="9" max="9" width="13.46484375" style="99" customWidth="1"/>
    <col min="10" max="10" width="14.73046875" style="99" customWidth="1"/>
    <col min="11" max="11" width="25" style="99" bestFit="1" customWidth="1"/>
    <col min="12" max="12" width="41.46484375" style="99" bestFit="1" customWidth="1"/>
    <col min="13" max="14" width="8.86328125" style="100"/>
    <col min="15" max="15" width="0" style="99" hidden="1" customWidth="1"/>
    <col min="16" max="16" width="15.1328125" style="369" hidden="1" customWidth="1"/>
    <col min="17" max="17" width="15.73046875" style="369" hidden="1" customWidth="1"/>
    <col min="18" max="18" width="37.1328125" style="369" hidden="1" customWidth="1"/>
    <col min="19" max="19" width="17.59765625" style="369" hidden="1" customWidth="1"/>
    <col min="20" max="20" width="16.46484375" style="369" hidden="1" customWidth="1"/>
    <col min="21" max="21" width="6.73046875" style="369" hidden="1" customWidth="1"/>
    <col min="22" max="22" width="10.73046875" style="369" hidden="1" customWidth="1"/>
    <col min="23" max="23" width="0" style="369" hidden="1" customWidth="1"/>
    <col min="24" max="24" width="15.1328125" style="369" hidden="1" customWidth="1"/>
    <col min="25" max="25" width="15.3984375" style="369" hidden="1" customWidth="1"/>
    <col min="26" max="26" width="38.265625" style="369" hidden="1" customWidth="1"/>
    <col min="27" max="27" width="17.59765625" style="369" hidden="1" customWidth="1"/>
    <col min="28" max="28" width="16.46484375" style="369" hidden="1" customWidth="1"/>
    <col min="29" max="29" width="6.73046875" style="369" hidden="1" customWidth="1"/>
    <col min="30" max="30" width="13.265625" style="369" hidden="1" customWidth="1"/>
    <col min="31" max="16384" width="8.86328125" style="99"/>
  </cols>
  <sheetData>
    <row r="1" spans="1:30" ht="18.75" x14ac:dyDescent="0.25">
      <c r="A1" s="101" t="s">
        <v>7787</v>
      </c>
      <c r="C1" s="106"/>
      <c r="H1" s="101"/>
      <c r="J1" s="106"/>
      <c r="P1" s="369" t="s">
        <v>11467</v>
      </c>
    </row>
    <row r="2" spans="1:30" ht="18.75" x14ac:dyDescent="0.25">
      <c r="A2" s="101" t="s">
        <v>7786</v>
      </c>
      <c r="C2" s="106"/>
      <c r="H2" s="101" t="s">
        <v>1836</v>
      </c>
      <c r="J2" s="106"/>
    </row>
    <row r="3" spans="1:30" x14ac:dyDescent="0.25">
      <c r="B3" s="106"/>
      <c r="C3" s="106"/>
      <c r="I3" s="106"/>
      <c r="J3" s="106"/>
    </row>
    <row r="4" spans="1:30" ht="33" x14ac:dyDescent="0.25">
      <c r="A4" s="102" t="s">
        <v>2128</v>
      </c>
      <c r="B4" s="107" t="s">
        <v>505</v>
      </c>
      <c r="C4" s="107" t="s">
        <v>1622</v>
      </c>
      <c r="D4" s="107" t="s">
        <v>2130</v>
      </c>
      <c r="E4" s="119" t="s">
        <v>806</v>
      </c>
      <c r="F4" s="125" t="s">
        <v>3131</v>
      </c>
      <c r="H4" s="102" t="s">
        <v>2128</v>
      </c>
      <c r="I4" s="107" t="s">
        <v>505</v>
      </c>
      <c r="J4" s="107" t="s">
        <v>1622</v>
      </c>
      <c r="K4" s="107" t="s">
        <v>2130</v>
      </c>
      <c r="L4" s="119" t="s">
        <v>806</v>
      </c>
      <c r="M4" s="125" t="s">
        <v>3131</v>
      </c>
      <c r="N4" s="125"/>
      <c r="O4" s="99" t="s">
        <v>14342</v>
      </c>
      <c r="P4" s="369" t="s">
        <v>7822</v>
      </c>
      <c r="Q4" s="369" t="s">
        <v>7821</v>
      </c>
      <c r="R4" s="369" t="s">
        <v>7827</v>
      </c>
      <c r="S4" s="369" t="s">
        <v>7820</v>
      </c>
      <c r="T4" s="369" t="s">
        <v>7823</v>
      </c>
      <c r="U4" s="369" t="s">
        <v>138</v>
      </c>
      <c r="V4" s="369" t="s">
        <v>1477</v>
      </c>
      <c r="W4" s="99" t="s">
        <v>14342</v>
      </c>
      <c r="X4" s="369" t="s">
        <v>7822</v>
      </c>
      <c r="Y4" s="369" t="s">
        <v>7821</v>
      </c>
      <c r="Z4" s="369" t="s">
        <v>7827</v>
      </c>
      <c r="AA4" s="369" t="s">
        <v>7820</v>
      </c>
      <c r="AB4" s="369" t="s">
        <v>7823</v>
      </c>
      <c r="AC4" s="369" t="s">
        <v>138</v>
      </c>
      <c r="AD4" s="369" t="s">
        <v>1477</v>
      </c>
    </row>
    <row r="5" spans="1:30" ht="30" customHeight="1" x14ac:dyDescent="0.25">
      <c r="A5" s="103">
        <v>1</v>
      </c>
      <c r="B5" s="356" t="s">
        <v>617</v>
      </c>
      <c r="C5" s="110" t="s">
        <v>7802</v>
      </c>
      <c r="D5" s="115" t="s">
        <v>14329</v>
      </c>
      <c r="E5" s="120" t="s">
        <v>8135</v>
      </c>
      <c r="F5" s="126"/>
      <c r="H5" s="103">
        <v>1</v>
      </c>
      <c r="I5" s="356" t="s">
        <v>617</v>
      </c>
      <c r="J5" s="110" t="s">
        <v>7812</v>
      </c>
      <c r="K5" s="115" t="s">
        <v>14339</v>
      </c>
      <c r="L5" s="120" t="s">
        <v>2587</v>
      </c>
      <c r="M5" s="126"/>
      <c r="N5" s="126"/>
      <c r="O5" s="372" t="str">
        <f>IF(D5=Q5,"","X")</f>
        <v/>
      </c>
      <c r="P5" s="369" t="str" cm="1">
        <f t="array" ref="P5:V5">_xlfn.XLOOKUP(C5,'2025年度登録選手'!$D:$D,'2025年度登録選手'!$D:$J,"×")</f>
        <v>阿部　結太朗</v>
      </c>
      <c r="Q5" s="369" t="str">
        <v>あべ　ゆいたろう</v>
      </c>
      <c r="R5" s="369" t="str">
        <v>鶴崎ＳＳＳ</v>
      </c>
      <c r="S5" s="369" t="str">
        <v>登録済</v>
      </c>
      <c r="T5" s="369" t="str">
        <v>2013/05/23</v>
      </c>
      <c r="U5" s="369">
        <v>6</v>
      </c>
      <c r="V5" s="369" t="str">
        <v>男子</v>
      </c>
      <c r="W5" s="372" t="str">
        <f>IF(K5=Y5,"","X")</f>
        <v/>
      </c>
      <c r="X5" s="369" t="str" cm="1">
        <f t="array" ref="X5:AD5">_xlfn.XLOOKUP(J5,'2025年度登録選手'!$D:$D,'2025年度登録選手'!$D:$J,"×")</f>
        <v>木元　星杏</v>
      </c>
      <c r="Y5" s="369" t="str">
        <v>きもと　せあん</v>
      </c>
      <c r="Z5" s="369" t="str">
        <v>カティオーラフットボールクラブＵ－１２</v>
      </c>
      <c r="AA5" s="369" t="str">
        <v>登録済</v>
      </c>
      <c r="AB5" s="369" t="str">
        <v>2013/06/10</v>
      </c>
      <c r="AC5" s="369">
        <v>6</v>
      </c>
      <c r="AD5" s="369" t="str">
        <v>女子小学生</v>
      </c>
    </row>
    <row r="6" spans="1:30" ht="30" customHeight="1" x14ac:dyDescent="0.25">
      <c r="A6" s="104">
        <v>2</v>
      </c>
      <c r="B6" s="108" t="s">
        <v>617</v>
      </c>
      <c r="C6" s="111" t="s">
        <v>7803</v>
      </c>
      <c r="D6" s="116" t="s">
        <v>14330</v>
      </c>
      <c r="E6" s="121" t="s">
        <v>2531</v>
      </c>
      <c r="F6" s="126"/>
      <c r="H6" s="104">
        <v>2</v>
      </c>
      <c r="I6" s="108" t="s">
        <v>617</v>
      </c>
      <c r="J6" s="111" t="s">
        <v>7813</v>
      </c>
      <c r="K6" s="116" t="s">
        <v>14340</v>
      </c>
      <c r="L6" s="121" t="s">
        <v>2630</v>
      </c>
      <c r="M6" s="126"/>
      <c r="N6" s="126"/>
      <c r="O6" s="372" t="str">
        <f t="shared" ref="O6:O27" si="0">IF(D6=Q6,"","X")</f>
        <v/>
      </c>
      <c r="P6" s="369" t="str" cm="1">
        <f t="array" ref="P6:V6">_xlfn.XLOOKUP(C6,'2025年度登録選手'!$D:$D,'2025年度登録選手'!$D:$J,"×")</f>
        <v>二ノ宮　颯太</v>
      </c>
      <c r="Q6" s="369" t="str">
        <v>にのみや　そうた</v>
      </c>
      <c r="R6" s="369" t="str">
        <v>南大分サッカー少年団</v>
      </c>
      <c r="S6" s="369" t="str">
        <v>登録済</v>
      </c>
      <c r="T6" s="369" t="str">
        <v>2013/09/30</v>
      </c>
      <c r="U6" s="369">
        <v>6</v>
      </c>
      <c r="V6" s="369" t="str">
        <v>男子</v>
      </c>
      <c r="W6" s="372" t="str">
        <f t="shared" ref="W6:W15" si="1">IF(K6=Y6,"","X")</f>
        <v/>
      </c>
      <c r="X6" s="369" t="str" cm="1">
        <f t="array" ref="X6:AD6">_xlfn.XLOOKUP(J6,'2025年度登録選手'!$D:$D,'2025年度登録選手'!$D:$J,"×")</f>
        <v>首藤　真乃愛</v>
      </c>
      <c r="Y6" s="369" t="str">
        <v>しゅとう　まのあ</v>
      </c>
      <c r="Z6" s="369" t="str">
        <v>横瀬西ＦＣ．ＲｏｓａＣｌａｒｏ</v>
      </c>
      <c r="AA6" s="369" t="str">
        <v>登録済</v>
      </c>
      <c r="AB6" s="369" t="str">
        <v>2013/05/08</v>
      </c>
      <c r="AC6" s="369">
        <v>6</v>
      </c>
      <c r="AD6" s="369" t="str">
        <v>女子小学生</v>
      </c>
    </row>
    <row r="7" spans="1:30" ht="30" customHeight="1" x14ac:dyDescent="0.25">
      <c r="A7" s="104">
        <v>3</v>
      </c>
      <c r="B7" s="108" t="s">
        <v>617</v>
      </c>
      <c r="C7" s="111" t="s">
        <v>7804</v>
      </c>
      <c r="D7" s="116" t="s">
        <v>14331</v>
      </c>
      <c r="E7" s="121" t="s">
        <v>2531</v>
      </c>
      <c r="F7" s="126"/>
      <c r="H7" s="104">
        <v>3</v>
      </c>
      <c r="I7" s="108" t="s">
        <v>617</v>
      </c>
      <c r="J7" s="112" t="s">
        <v>7814</v>
      </c>
      <c r="K7" s="116" t="s">
        <v>14341</v>
      </c>
      <c r="L7" s="122" t="s">
        <v>2587</v>
      </c>
      <c r="M7" s="126"/>
      <c r="N7" s="126"/>
      <c r="O7" s="372" t="str">
        <f t="shared" si="0"/>
        <v/>
      </c>
      <c r="P7" s="369" t="str" cm="1">
        <f t="array" ref="P7:V7">_xlfn.XLOOKUP(C7,'2025年度登録選手'!$D:$D,'2025年度登録選手'!$D:$J,"×")</f>
        <v>小野　豹雅</v>
      </c>
      <c r="Q7" s="369" t="str">
        <v>おの　ひょうが</v>
      </c>
      <c r="R7" s="369" t="str">
        <v>南大分サッカー少年団</v>
      </c>
      <c r="S7" s="369" t="str">
        <v>登録済</v>
      </c>
      <c r="T7" s="369" t="str">
        <v>2013/04/30</v>
      </c>
      <c r="U7" s="369">
        <v>6</v>
      </c>
      <c r="V7" s="369" t="str">
        <v>男子</v>
      </c>
      <c r="W7" s="372" t="str">
        <f t="shared" si="1"/>
        <v/>
      </c>
      <c r="X7" s="369" t="str" cm="1">
        <f t="array" ref="X7:AD7">_xlfn.XLOOKUP(J7,'2025年度登録選手'!$D:$D,'2025年度登録選手'!$D:$J,"×")</f>
        <v>松岡　陽奈</v>
      </c>
      <c r="Y7" s="369" t="str">
        <v>まつおか　ひな</v>
      </c>
      <c r="Z7" s="369" t="str">
        <v>カティオーラフットボールクラブＵ－１２</v>
      </c>
      <c r="AA7" s="369" t="str">
        <v>登録済</v>
      </c>
      <c r="AB7" s="369" t="str">
        <v>2013/07/08</v>
      </c>
      <c r="AC7" s="369">
        <v>6</v>
      </c>
      <c r="AD7" s="369" t="str">
        <v>女子小学生</v>
      </c>
    </row>
    <row r="8" spans="1:30" ht="30" customHeight="1" x14ac:dyDescent="0.25">
      <c r="A8" s="104">
        <v>4</v>
      </c>
      <c r="B8" s="108" t="s">
        <v>617</v>
      </c>
      <c r="C8" s="111" t="s">
        <v>7805</v>
      </c>
      <c r="D8" s="116" t="s">
        <v>14332</v>
      </c>
      <c r="E8" s="121" t="s">
        <v>2530</v>
      </c>
      <c r="F8" s="373"/>
      <c r="H8" s="104">
        <v>4</v>
      </c>
      <c r="I8" s="108" t="s">
        <v>454</v>
      </c>
      <c r="J8" s="112" t="s">
        <v>4344</v>
      </c>
      <c r="K8" s="116" t="s">
        <v>11482</v>
      </c>
      <c r="L8" s="122" t="s">
        <v>2505</v>
      </c>
      <c r="M8" s="126"/>
      <c r="N8" s="126"/>
      <c r="O8" s="372" t="str">
        <f t="shared" si="0"/>
        <v/>
      </c>
      <c r="P8" s="369" t="str" cm="1">
        <f t="array" ref="P8:V8">_xlfn.XLOOKUP(C8,'2025年度登録選手'!$D:$D,'2025年度登録選手'!$D:$J,"×")</f>
        <v>上野　蒼祐</v>
      </c>
      <c r="Q8" s="369" t="str">
        <v>うえの　そうすけ</v>
      </c>
      <c r="R8" s="369" t="str">
        <v>ドリームキッズフットボールクラブ</v>
      </c>
      <c r="S8" s="369" t="str">
        <v>登録済</v>
      </c>
      <c r="T8" s="369" t="str">
        <v>2013/09/08</v>
      </c>
      <c r="U8" s="369">
        <v>6</v>
      </c>
      <c r="V8" s="369" t="str">
        <v>男子</v>
      </c>
      <c r="W8" s="372" t="str">
        <f t="shared" si="1"/>
        <v/>
      </c>
      <c r="X8" s="369" t="str" cm="1">
        <f t="array" ref="X8:AD8">_xlfn.XLOOKUP(J8,'2025年度登録選手'!$D:$D,'2025年度登録選手'!$D:$J,"×")</f>
        <v>岩尾　奈瑞菜</v>
      </c>
      <c r="Y8" s="369" t="str">
        <v>いわお　なずな</v>
      </c>
      <c r="Z8" s="369" t="str">
        <v>下毛ＦＣ</v>
      </c>
      <c r="AA8" s="369" t="str">
        <v>登録済</v>
      </c>
      <c r="AB8" s="369" t="str">
        <v>2014/02/24</v>
      </c>
      <c r="AC8" s="369">
        <v>6</v>
      </c>
      <c r="AD8" s="369" t="str">
        <v>女子小学生</v>
      </c>
    </row>
    <row r="9" spans="1:30" ht="30" customHeight="1" x14ac:dyDescent="0.25">
      <c r="A9" s="104">
        <v>5</v>
      </c>
      <c r="B9" s="108" t="s">
        <v>617</v>
      </c>
      <c r="C9" s="111" t="s">
        <v>7806</v>
      </c>
      <c r="D9" s="116" t="s">
        <v>14333</v>
      </c>
      <c r="E9" s="121" t="s">
        <v>1917</v>
      </c>
      <c r="F9" s="126"/>
      <c r="H9" s="104">
        <v>5</v>
      </c>
      <c r="I9" s="108" t="s">
        <v>2867</v>
      </c>
      <c r="J9" s="111" t="s">
        <v>5655</v>
      </c>
      <c r="K9" s="116" t="s">
        <v>7817</v>
      </c>
      <c r="L9" s="121" t="s">
        <v>2477</v>
      </c>
      <c r="M9" s="126"/>
      <c r="N9" s="126"/>
      <c r="O9" s="372" t="str">
        <f t="shared" si="0"/>
        <v/>
      </c>
      <c r="P9" s="369" t="str" cm="1">
        <f t="array" ref="P9:V9">_xlfn.XLOOKUP(C9,'2025年度登録選手'!$D:$D,'2025年度登録選手'!$D:$J,"×")</f>
        <v>菅　泰輔</v>
      </c>
      <c r="Q9" s="369" t="str">
        <v>かん　たいすけ</v>
      </c>
      <c r="R9" s="369" t="str">
        <v>リノスフットボールクラブ　Ｕ－１２</v>
      </c>
      <c r="S9" s="369" t="str">
        <v>登録済</v>
      </c>
      <c r="T9" s="369" t="str">
        <v>2013/06/12</v>
      </c>
      <c r="U9" s="369">
        <v>6</v>
      </c>
      <c r="V9" s="369" t="str">
        <v>男子</v>
      </c>
      <c r="W9" s="372" t="str">
        <f t="shared" si="1"/>
        <v/>
      </c>
      <c r="X9" s="369" t="str" cm="1">
        <f t="array" ref="X9:AD9">_xlfn.XLOOKUP(J9,'2025年度登録選手'!$D:$D,'2025年度登録選手'!$D:$J,"×")</f>
        <v>吉武　紅美</v>
      </c>
      <c r="Y9" s="369" t="str">
        <v>よしたけ　こうみ</v>
      </c>
      <c r="Z9" s="369" t="str">
        <v>玖珠サッカースポーツ少年団</v>
      </c>
      <c r="AA9" s="369" t="str">
        <v>登録済</v>
      </c>
      <c r="AB9" s="369" t="str">
        <v>2013/09/20</v>
      </c>
      <c r="AC9" s="369">
        <v>6</v>
      </c>
      <c r="AD9" s="369" t="str">
        <v>女子小学生</v>
      </c>
    </row>
    <row r="10" spans="1:30" ht="30" customHeight="1" x14ac:dyDescent="0.25">
      <c r="A10" s="104">
        <v>6</v>
      </c>
      <c r="B10" s="108" t="s">
        <v>617</v>
      </c>
      <c r="C10" s="111" t="s">
        <v>7807</v>
      </c>
      <c r="D10" s="116" t="s">
        <v>14334</v>
      </c>
      <c r="E10" s="121" t="s">
        <v>2587</v>
      </c>
      <c r="F10" s="126"/>
      <c r="H10" s="104">
        <v>6</v>
      </c>
      <c r="I10" s="108" t="s">
        <v>711</v>
      </c>
      <c r="J10" s="108" t="s">
        <v>3905</v>
      </c>
      <c r="K10" s="116" t="s">
        <v>11488</v>
      </c>
      <c r="L10" s="122" t="s">
        <v>2479</v>
      </c>
      <c r="M10" s="126"/>
      <c r="N10" s="126"/>
      <c r="O10" s="372" t="str">
        <f t="shared" si="0"/>
        <v/>
      </c>
      <c r="P10" s="369" t="str" cm="1">
        <f t="array" ref="P10:V10">_xlfn.XLOOKUP(C10,'2025年度登録選手'!$D:$D,'2025年度登録選手'!$D:$J,"×")</f>
        <v>末永　葵空</v>
      </c>
      <c r="Q10" s="369" t="str">
        <v>すえなが　あおと</v>
      </c>
      <c r="R10" s="369" t="str">
        <v>カティオーラフットボールクラブＵ－１２</v>
      </c>
      <c r="S10" s="369" t="str">
        <v>登録済</v>
      </c>
      <c r="T10" s="369" t="str">
        <v>2013/08/29</v>
      </c>
      <c r="U10" s="369">
        <v>6</v>
      </c>
      <c r="V10" s="369" t="str">
        <v>男子</v>
      </c>
      <c r="W10" s="372" t="str">
        <f t="shared" si="1"/>
        <v/>
      </c>
      <c r="X10" s="369" t="str" cm="1">
        <f t="array" ref="X10:AD10">_xlfn.XLOOKUP(J10,'2025年度登録選手'!$D:$D,'2025年度登録選手'!$D:$J,"×")</f>
        <v>高橋　なな子</v>
      </c>
      <c r="Y10" s="369" t="str">
        <v>たかはし　ななこ</v>
      </c>
      <c r="Z10" s="369" t="str">
        <v>四日市北ＪＦＣ</v>
      </c>
      <c r="AA10" s="369" t="str">
        <v>登録済</v>
      </c>
      <c r="AB10" s="369" t="str">
        <v>2013/07/02</v>
      </c>
      <c r="AC10" s="369">
        <v>6</v>
      </c>
      <c r="AD10" s="369" t="str">
        <v>女子小学生</v>
      </c>
    </row>
    <row r="11" spans="1:30" ht="30" customHeight="1" x14ac:dyDescent="0.25">
      <c r="A11" s="104">
        <v>7</v>
      </c>
      <c r="B11" s="108" t="s">
        <v>617</v>
      </c>
      <c r="C11" s="111" t="s">
        <v>7808</v>
      </c>
      <c r="D11" s="116" t="s">
        <v>14335</v>
      </c>
      <c r="E11" s="121" t="s">
        <v>2022</v>
      </c>
      <c r="F11" s="126"/>
      <c r="H11" s="104">
        <v>7</v>
      </c>
      <c r="I11" s="108" t="s">
        <v>2135</v>
      </c>
      <c r="J11" s="108" t="s">
        <v>11473</v>
      </c>
      <c r="K11" s="116" t="s">
        <v>11472</v>
      </c>
      <c r="L11" s="121" t="s">
        <v>2256</v>
      </c>
      <c r="M11" s="126"/>
      <c r="N11" s="126"/>
      <c r="O11" s="372" t="str">
        <f t="shared" si="0"/>
        <v/>
      </c>
      <c r="P11" s="369" t="str" cm="1">
        <f t="array" ref="P11:V11">_xlfn.XLOOKUP(C11,'2025年度登録選手'!$D:$D,'2025年度登録選手'!$D:$J,"×")</f>
        <v>吉田　晴馬</v>
      </c>
      <c r="Q11" s="369" t="str">
        <v>よしだ　はるま</v>
      </c>
      <c r="R11" s="369" t="str">
        <v>大分トリニータＵ－１２</v>
      </c>
      <c r="S11" s="369" t="str">
        <v>登録済</v>
      </c>
      <c r="T11" s="369" t="str">
        <v>2013/06/17</v>
      </c>
      <c r="U11" s="369">
        <v>6</v>
      </c>
      <c r="V11" s="369" t="str">
        <v>男子</v>
      </c>
      <c r="W11" s="372" t="str">
        <f t="shared" si="1"/>
        <v/>
      </c>
      <c r="X11" s="369" t="str" cm="1">
        <f t="array" ref="X11:AD11">_xlfn.XLOOKUP(J11,'2025年度登録選手'!$D:$D,'2025年度登録選手'!$D:$J,"×")</f>
        <v>幸長　梨央</v>
      </c>
      <c r="Y11" s="369" t="str">
        <v>ゆきなが　りお</v>
      </c>
      <c r="Z11" s="369" t="str">
        <v>ようこくバンビーレＦＣ</v>
      </c>
      <c r="AA11" s="369" t="str">
        <v>登録済</v>
      </c>
      <c r="AB11" s="369" t="str">
        <v>2013/10/04</v>
      </c>
      <c r="AC11" s="369">
        <v>6</v>
      </c>
      <c r="AD11" s="369" t="str">
        <v>女子小学生</v>
      </c>
    </row>
    <row r="12" spans="1:30" ht="30" customHeight="1" x14ac:dyDescent="0.25">
      <c r="A12" s="104">
        <v>8</v>
      </c>
      <c r="B12" s="108" t="s">
        <v>617</v>
      </c>
      <c r="C12" s="111" t="s">
        <v>7809</v>
      </c>
      <c r="D12" s="116" t="s">
        <v>14336</v>
      </c>
      <c r="E12" s="121" t="s">
        <v>2022</v>
      </c>
      <c r="F12" s="126"/>
      <c r="H12" s="104">
        <v>8</v>
      </c>
      <c r="I12" s="108" t="s">
        <v>457</v>
      </c>
      <c r="J12" s="108" t="s">
        <v>4318</v>
      </c>
      <c r="K12" s="117" t="s">
        <v>11476</v>
      </c>
      <c r="L12" s="123" t="s">
        <v>834</v>
      </c>
      <c r="M12" s="126"/>
      <c r="N12" s="126"/>
      <c r="O12" s="372" t="str">
        <f t="shared" si="0"/>
        <v/>
      </c>
      <c r="P12" s="369" t="str" cm="1">
        <f t="array" ref="P12:V12">_xlfn.XLOOKUP(C12,'2025年度登録選手'!$D:$D,'2025年度登録選手'!$D:$J,"×")</f>
        <v>喜多　陽喜</v>
      </c>
      <c r="Q12" s="369" t="str">
        <v>きた　はるき</v>
      </c>
      <c r="R12" s="369" t="str">
        <v>大分トリニータＵ－１２</v>
      </c>
      <c r="S12" s="369" t="str">
        <v>登録済</v>
      </c>
      <c r="T12" s="369" t="str">
        <v>2013/04/02</v>
      </c>
      <c r="U12" s="369">
        <v>6</v>
      </c>
      <c r="V12" s="369" t="str">
        <v>男子</v>
      </c>
      <c r="W12" s="372" t="str">
        <f t="shared" si="1"/>
        <v/>
      </c>
      <c r="X12" s="369" t="str" cm="1">
        <f t="array" ref="X12:AD12">_xlfn.XLOOKUP(J12,'2025年度登録選手'!$D:$D,'2025年度登録選手'!$D:$J,"×")</f>
        <v>中原　一華</v>
      </c>
      <c r="Y12" s="369" t="str">
        <v>なかはら　いちか</v>
      </c>
      <c r="Z12" s="369" t="str">
        <v>大平山アソシエーション式フットボールクラブ</v>
      </c>
      <c r="AA12" s="369" t="str">
        <v>登録済</v>
      </c>
      <c r="AB12" s="369" t="str">
        <v>2013/07/22</v>
      </c>
      <c r="AC12" s="369">
        <v>6</v>
      </c>
      <c r="AD12" s="369" t="str">
        <v>女子小学生</v>
      </c>
    </row>
    <row r="13" spans="1:30" ht="30" customHeight="1" x14ac:dyDescent="0.25">
      <c r="A13" s="104">
        <v>9</v>
      </c>
      <c r="B13" s="108" t="s">
        <v>617</v>
      </c>
      <c r="C13" s="111" t="s">
        <v>7810</v>
      </c>
      <c r="D13" s="116" t="s">
        <v>14337</v>
      </c>
      <c r="E13" s="121" t="s">
        <v>2022</v>
      </c>
      <c r="F13" s="126"/>
      <c r="H13" s="104">
        <v>9</v>
      </c>
      <c r="I13" s="108" t="s">
        <v>733</v>
      </c>
      <c r="J13" s="108" t="s">
        <v>4667</v>
      </c>
      <c r="K13" s="116" t="s">
        <v>11484</v>
      </c>
      <c r="L13" s="121" t="s">
        <v>2575</v>
      </c>
      <c r="M13" s="126"/>
      <c r="N13" s="126"/>
      <c r="O13" s="372" t="str">
        <f t="shared" si="0"/>
        <v/>
      </c>
      <c r="P13" s="369" t="str" cm="1">
        <f t="array" ref="P13:V13">_xlfn.XLOOKUP(C13,'2025年度登録選手'!$D:$D,'2025年度登録選手'!$D:$J,"×")</f>
        <v>田邉　結大</v>
      </c>
      <c r="Q13" s="369" t="str">
        <v>たなべ　ゆうだい</v>
      </c>
      <c r="R13" s="369" t="str">
        <v>大分トリニータＵ－１２</v>
      </c>
      <c r="S13" s="369" t="str">
        <v>登録済</v>
      </c>
      <c r="T13" s="369" t="str">
        <v>2014/03/14</v>
      </c>
      <c r="U13" s="369">
        <v>6</v>
      </c>
      <c r="V13" s="369" t="str">
        <v>男子</v>
      </c>
      <c r="W13" s="372" t="str">
        <f t="shared" si="1"/>
        <v/>
      </c>
      <c r="X13" s="369" t="str" cm="1">
        <f t="array" ref="X13:AD13">_xlfn.XLOOKUP(J13,'2025年度登録選手'!$D:$D,'2025年度登録選手'!$D:$J,"×")</f>
        <v>土屋　澄怜</v>
      </c>
      <c r="Y13" s="369" t="str">
        <v>つちや　すみれ</v>
      </c>
      <c r="Z13" s="369" t="str">
        <v>竹田直入ＦＣ</v>
      </c>
      <c r="AA13" s="369" t="str">
        <v>登録済</v>
      </c>
      <c r="AB13" s="369" t="str">
        <v>2013/08/30</v>
      </c>
      <c r="AC13" s="369">
        <v>6</v>
      </c>
      <c r="AD13" s="369" t="str">
        <v>女子小学生</v>
      </c>
    </row>
    <row r="14" spans="1:30" ht="30" customHeight="1" x14ac:dyDescent="0.25">
      <c r="A14" s="104">
        <v>10</v>
      </c>
      <c r="B14" s="108" t="s">
        <v>617</v>
      </c>
      <c r="C14" s="111" t="s">
        <v>7811</v>
      </c>
      <c r="D14" s="116" t="s">
        <v>14338</v>
      </c>
      <c r="E14" s="121" t="s">
        <v>2022</v>
      </c>
      <c r="F14" s="126"/>
      <c r="H14" s="104">
        <v>10</v>
      </c>
      <c r="I14" s="108" t="s">
        <v>1669</v>
      </c>
      <c r="J14" s="111" t="s">
        <v>5766</v>
      </c>
      <c r="K14" s="116" t="s">
        <v>11479</v>
      </c>
      <c r="L14" s="122" t="s">
        <v>156</v>
      </c>
      <c r="M14" s="126"/>
      <c r="N14" s="126"/>
      <c r="O14" s="372" t="str">
        <f t="shared" si="0"/>
        <v/>
      </c>
      <c r="P14" s="369" t="str" cm="1">
        <f t="array" ref="P14:V14">_xlfn.XLOOKUP(C14,'2025年度登録選手'!$D:$D,'2025年度登録選手'!$D:$J,"×")</f>
        <v>藤内　心勇</v>
      </c>
      <c r="Q14" s="369" t="str">
        <v>とうない　しゅう</v>
      </c>
      <c r="R14" s="369" t="str">
        <v>大分トリニータＵ－１２</v>
      </c>
      <c r="S14" s="369" t="str">
        <v>登録済</v>
      </c>
      <c r="T14" s="369" t="str">
        <v>2013/07/30</v>
      </c>
      <c r="U14" s="369">
        <v>6</v>
      </c>
      <c r="V14" s="369" t="str">
        <v>男子</v>
      </c>
      <c r="W14" s="372" t="str">
        <f t="shared" si="1"/>
        <v/>
      </c>
      <c r="X14" s="369" t="str" cm="1">
        <f t="array" ref="X14:AD14">_xlfn.XLOOKUP(J14,'2025年度登録選手'!$D:$D,'2025年度登録選手'!$D:$J,"×")</f>
        <v>山田　花凛</v>
      </c>
      <c r="Y14" s="369" t="str">
        <v>やまだ　かりん</v>
      </c>
      <c r="Z14" s="369" t="str">
        <v>千怒サッカースポーツ少年団</v>
      </c>
      <c r="AA14" s="369" t="str">
        <v>登録済</v>
      </c>
      <c r="AB14" s="369" t="str">
        <v>2013/08/30</v>
      </c>
      <c r="AC14" s="369">
        <v>6</v>
      </c>
      <c r="AD14" s="369" t="str">
        <v>女子小学生</v>
      </c>
    </row>
    <row r="15" spans="1:30" ht="30" customHeight="1" x14ac:dyDescent="0.25">
      <c r="A15" s="104">
        <v>11</v>
      </c>
      <c r="B15" s="108" t="s">
        <v>454</v>
      </c>
      <c r="C15" s="112" t="s">
        <v>4365</v>
      </c>
      <c r="D15" s="116" t="s">
        <v>11480</v>
      </c>
      <c r="E15" s="122" t="s">
        <v>1446</v>
      </c>
      <c r="H15" s="105">
        <v>11</v>
      </c>
      <c r="I15" s="109" t="s">
        <v>624</v>
      </c>
      <c r="J15" s="113" t="s">
        <v>4399</v>
      </c>
      <c r="K15" s="118" t="s">
        <v>11477</v>
      </c>
      <c r="L15" s="124" t="s">
        <v>856</v>
      </c>
      <c r="O15" s="372" t="str">
        <f t="shared" si="0"/>
        <v/>
      </c>
      <c r="P15" s="369" t="str" cm="1">
        <f t="array" ref="P15:V15">_xlfn.XLOOKUP(C15,'2025年度登録選手'!$D:$D,'2025年度登録選手'!$D:$J,"×")</f>
        <v>宇土　碧波</v>
      </c>
      <c r="Q15" s="369" t="str">
        <v>うと　あおば</v>
      </c>
      <c r="R15" s="369" t="str">
        <v>ティエラフットボールクラブＵ－１２</v>
      </c>
      <c r="S15" s="369" t="str">
        <v>登録済</v>
      </c>
      <c r="T15" s="369" t="str">
        <v>2013/07/11</v>
      </c>
      <c r="U15" s="369">
        <v>6</v>
      </c>
      <c r="V15" s="369" t="str">
        <v>男子</v>
      </c>
      <c r="W15" s="372" t="str">
        <f t="shared" si="1"/>
        <v/>
      </c>
      <c r="X15" s="369" t="str" cm="1">
        <f t="array" ref="X15:AD15">_xlfn.XLOOKUP(J15,'2025年度登録選手'!$D:$D,'2025年度登録選手'!$D:$J,"×")</f>
        <v>上野　杏莉</v>
      </c>
      <c r="Y15" s="369" t="str">
        <v>うえの　あんり</v>
      </c>
      <c r="Z15" s="369" t="str">
        <v>佐伯リベロフットボールクラブ</v>
      </c>
      <c r="AA15" s="369" t="str">
        <v>登録済</v>
      </c>
      <c r="AB15" s="369" t="str">
        <v>2013/09/25</v>
      </c>
      <c r="AC15" s="369">
        <v>6</v>
      </c>
      <c r="AD15" s="369" t="str">
        <v>女子小学生</v>
      </c>
    </row>
    <row r="16" spans="1:30" ht="30" customHeight="1" x14ac:dyDescent="0.25">
      <c r="A16" s="104">
        <v>12</v>
      </c>
      <c r="B16" s="108" t="s">
        <v>454</v>
      </c>
      <c r="C16" s="112" t="s">
        <v>4789</v>
      </c>
      <c r="D16" s="116" t="s">
        <v>11481</v>
      </c>
      <c r="E16" s="122" t="s">
        <v>1446</v>
      </c>
      <c r="O16" s="372" t="str">
        <f t="shared" si="0"/>
        <v/>
      </c>
      <c r="P16" s="369" t="str" cm="1">
        <f t="array" ref="P16:V16">_xlfn.XLOOKUP(C16,'2025年度登録選手'!$D:$D,'2025年度登録選手'!$D:$J,"×")</f>
        <v>沖本　将吾</v>
      </c>
      <c r="Q16" s="369" t="str">
        <v>おきもと　しょうご</v>
      </c>
      <c r="R16" s="369" t="str">
        <v>ティエラフットボールクラブＵ－１２</v>
      </c>
      <c r="S16" s="369" t="str">
        <v>登録済</v>
      </c>
      <c r="T16" s="369" t="str">
        <v>2013/12/17</v>
      </c>
      <c r="U16" s="369">
        <v>6</v>
      </c>
      <c r="V16" s="369" t="str">
        <v>男子</v>
      </c>
    </row>
    <row r="17" spans="1:22" ht="30" customHeight="1" x14ac:dyDescent="0.25">
      <c r="A17" s="104">
        <v>13</v>
      </c>
      <c r="B17" s="108" t="s">
        <v>711</v>
      </c>
      <c r="C17" s="112" t="s">
        <v>5671</v>
      </c>
      <c r="D17" s="116" t="s">
        <v>11486</v>
      </c>
      <c r="E17" s="122" t="s">
        <v>2188</v>
      </c>
      <c r="O17" s="372" t="str">
        <f t="shared" si="0"/>
        <v/>
      </c>
      <c r="P17" s="369" t="str" cm="1">
        <f t="array" ref="P17:V17">_xlfn.XLOOKUP(C17,'2025年度登録選手'!$D:$D,'2025年度登録選手'!$D:$J,"×")</f>
        <v>中島　叶太</v>
      </c>
      <c r="Q17" s="369" t="str">
        <v>なかしま　かなた</v>
      </c>
      <c r="R17" s="369" t="str">
        <v>四日市南ＳＳＣ</v>
      </c>
      <c r="S17" s="369" t="str">
        <v>登録済</v>
      </c>
      <c r="T17" s="369" t="str">
        <v>2013/04/26</v>
      </c>
      <c r="U17" s="369">
        <v>6</v>
      </c>
      <c r="V17" s="369" t="str">
        <v>男子</v>
      </c>
    </row>
    <row r="18" spans="1:22" ht="30" customHeight="1" x14ac:dyDescent="0.25">
      <c r="A18" s="104">
        <v>14</v>
      </c>
      <c r="B18" s="108" t="s">
        <v>711</v>
      </c>
      <c r="C18" s="112" t="s">
        <v>4247</v>
      </c>
      <c r="D18" s="116" t="s">
        <v>11487</v>
      </c>
      <c r="E18" s="122" t="s">
        <v>2479</v>
      </c>
      <c r="O18" s="372" t="str">
        <f t="shared" si="0"/>
        <v/>
      </c>
      <c r="P18" s="369" t="str" cm="1">
        <f t="array" ref="P18:V18">_xlfn.XLOOKUP(C18,'2025年度登録選手'!$D:$D,'2025年度登録選手'!$D:$J,"×")</f>
        <v>竹島　琉生</v>
      </c>
      <c r="Q18" s="369" t="str">
        <v>たけしま　るい</v>
      </c>
      <c r="R18" s="369" t="str">
        <v>四日市北ＪＦＣ</v>
      </c>
      <c r="S18" s="369" t="str">
        <v>登録済</v>
      </c>
      <c r="T18" s="369" t="str">
        <v>2013/06/27</v>
      </c>
      <c r="U18" s="369">
        <v>6</v>
      </c>
      <c r="V18" s="369" t="str">
        <v>男子</v>
      </c>
    </row>
    <row r="19" spans="1:22" ht="30" customHeight="1" x14ac:dyDescent="0.25">
      <c r="A19" s="104">
        <v>15</v>
      </c>
      <c r="B19" s="108" t="s">
        <v>2867</v>
      </c>
      <c r="C19" s="111" t="s">
        <v>4239</v>
      </c>
      <c r="D19" s="116" t="s">
        <v>7815</v>
      </c>
      <c r="E19" s="121" t="s">
        <v>2477</v>
      </c>
      <c r="F19" s="126"/>
      <c r="M19" s="126"/>
      <c r="N19" s="126"/>
      <c r="O19" s="372" t="str">
        <f t="shared" si="0"/>
        <v/>
      </c>
      <c r="P19" s="369" t="str" cm="1">
        <f t="array" ref="P19:V19">_xlfn.XLOOKUP(C19,'2025年度登録選手'!$D:$D,'2025年度登録選手'!$D:$J,"×")</f>
        <v>衛藤　新</v>
      </c>
      <c r="Q19" s="369" t="str">
        <v>えとう　しん</v>
      </c>
      <c r="R19" s="369" t="str">
        <v>玖珠サッカースポーツ少年団</v>
      </c>
      <c r="S19" s="369" t="str">
        <v>登録済</v>
      </c>
      <c r="T19" s="369" t="str">
        <v>2013/09/10</v>
      </c>
      <c r="U19" s="369">
        <v>6</v>
      </c>
      <c r="V19" s="369" t="str">
        <v>男子</v>
      </c>
    </row>
    <row r="20" spans="1:22" ht="30" customHeight="1" x14ac:dyDescent="0.25">
      <c r="A20" s="104">
        <v>16</v>
      </c>
      <c r="B20" s="108" t="s">
        <v>2867</v>
      </c>
      <c r="C20" s="111" t="s">
        <v>10461</v>
      </c>
      <c r="D20" s="116" t="s">
        <v>7816</v>
      </c>
      <c r="E20" s="121" t="s">
        <v>2469</v>
      </c>
      <c r="O20" s="372" t="str">
        <f t="shared" si="0"/>
        <v/>
      </c>
      <c r="P20" s="369" t="str" cm="1">
        <f t="array" ref="P20:V20">_xlfn.XLOOKUP(C20,'2025年度登録選手'!$D:$D,'2025年度登録選手'!$D:$J,"×")</f>
        <v>小野　紘弥</v>
      </c>
      <c r="Q20" s="369" t="str">
        <v>おの　ひろや</v>
      </c>
      <c r="R20" s="369" t="str">
        <v>ＭＦＣ三花少年サッカー教室</v>
      </c>
      <c r="S20" s="369" t="str">
        <v>登録済</v>
      </c>
      <c r="T20" s="369" t="str">
        <v>2013/10/07</v>
      </c>
      <c r="U20" s="369">
        <v>6</v>
      </c>
      <c r="V20" s="369" t="str">
        <v>男子</v>
      </c>
    </row>
    <row r="21" spans="1:22" ht="30" customHeight="1" x14ac:dyDescent="0.25">
      <c r="A21" s="104">
        <v>17</v>
      </c>
      <c r="B21" s="108" t="s">
        <v>2135</v>
      </c>
      <c r="C21" s="111" t="s">
        <v>11470</v>
      </c>
      <c r="D21" s="116" t="s">
        <v>11468</v>
      </c>
      <c r="E21" s="121" t="s">
        <v>334</v>
      </c>
      <c r="O21" s="372" t="str">
        <f t="shared" si="0"/>
        <v/>
      </c>
      <c r="P21" s="369" t="str" cm="1">
        <f t="array" ref="P21:V21">_xlfn.XLOOKUP(C21,'2025年度登録選手'!$D:$D,'2025年度登録選手'!$D:$J,"×")</f>
        <v>青野　良誠</v>
      </c>
      <c r="Q21" s="369" t="str">
        <v>あおの　りょうせい</v>
      </c>
      <c r="R21" s="369" t="str">
        <v>八坂少年サッカークラブ</v>
      </c>
      <c r="S21" s="369" t="str">
        <v>登録済</v>
      </c>
      <c r="T21" s="369" t="str">
        <v>2013/09/25</v>
      </c>
      <c r="U21" s="369">
        <v>6</v>
      </c>
      <c r="V21" s="369" t="str">
        <v>男子</v>
      </c>
    </row>
    <row r="22" spans="1:22" ht="30" customHeight="1" x14ac:dyDescent="0.25">
      <c r="A22" s="104">
        <v>18</v>
      </c>
      <c r="B22" s="108" t="s">
        <v>2135</v>
      </c>
      <c r="C22" s="111" t="s">
        <v>11471</v>
      </c>
      <c r="D22" s="116" t="s">
        <v>11469</v>
      </c>
      <c r="E22" s="121" t="s">
        <v>838</v>
      </c>
      <c r="F22" s="126"/>
      <c r="M22" s="126"/>
      <c r="N22" s="126"/>
      <c r="O22" s="372" t="str">
        <f t="shared" si="0"/>
        <v/>
      </c>
      <c r="P22" s="369" t="str" cm="1">
        <f t="array" ref="P22:V22">_xlfn.XLOOKUP(C22,'2025年度登録選手'!$D:$D,'2025年度登録選手'!$D:$J,"×")</f>
        <v>山崎　翔</v>
      </c>
      <c r="Q22" s="369" t="str">
        <v>やまさき　そら</v>
      </c>
      <c r="R22" s="369" t="str">
        <v>ＯＫＹ山香サッカークラブ</v>
      </c>
      <c r="S22" s="369" t="str">
        <v>登録済</v>
      </c>
      <c r="T22" s="369" t="str">
        <v>2013/09/19</v>
      </c>
      <c r="U22" s="369">
        <v>6</v>
      </c>
      <c r="V22" s="369" t="str">
        <v>男子</v>
      </c>
    </row>
    <row r="23" spans="1:22" ht="30" customHeight="1" x14ac:dyDescent="0.25">
      <c r="A23" s="104">
        <v>19</v>
      </c>
      <c r="B23" s="108" t="s">
        <v>457</v>
      </c>
      <c r="C23" s="111" t="s">
        <v>6049</v>
      </c>
      <c r="D23" s="116" t="s">
        <v>11474</v>
      </c>
      <c r="E23" s="121" t="s">
        <v>1207</v>
      </c>
      <c r="O23" s="372" t="str">
        <f t="shared" si="0"/>
        <v/>
      </c>
      <c r="P23" s="369" t="str" cm="1">
        <f t="array" ref="P23:V23">_xlfn.XLOOKUP(C23,'2025年度登録選手'!$D:$D,'2025年度登録選手'!$D:$J,"×")</f>
        <v>青山　拓馬</v>
      </c>
      <c r="Q23" s="369" t="str">
        <v>あおやま　たくま</v>
      </c>
      <c r="R23" s="369" t="str">
        <v>スマイス・セレソン</v>
      </c>
      <c r="S23" s="369" t="str">
        <v>登録済</v>
      </c>
      <c r="T23" s="369" t="str">
        <v>2013/09/02</v>
      </c>
      <c r="U23" s="369">
        <v>6</v>
      </c>
      <c r="V23" s="369" t="str">
        <v>男子</v>
      </c>
    </row>
    <row r="24" spans="1:22" ht="30" customHeight="1" x14ac:dyDescent="0.25">
      <c r="A24" s="104">
        <v>20</v>
      </c>
      <c r="B24" s="108" t="s">
        <v>457</v>
      </c>
      <c r="C24" s="111" t="s">
        <v>6050</v>
      </c>
      <c r="D24" s="116" t="s">
        <v>11475</v>
      </c>
      <c r="E24" s="121" t="s">
        <v>1207</v>
      </c>
      <c r="O24" s="372" t="str">
        <f t="shared" si="0"/>
        <v/>
      </c>
      <c r="P24" s="369" t="str" cm="1">
        <f t="array" ref="P24:V24">_xlfn.XLOOKUP(C24,'2025年度登録選手'!$D:$D,'2025年度登録選手'!$D:$J,"×")</f>
        <v>中島　汰宥</v>
      </c>
      <c r="Q24" s="369" t="str">
        <v>なかしま　たいすけ</v>
      </c>
      <c r="R24" s="369" t="str">
        <v>スマイス・セレソン</v>
      </c>
      <c r="S24" s="369" t="str">
        <v>登録済</v>
      </c>
      <c r="T24" s="369" t="str">
        <v>2013/08/10</v>
      </c>
      <c r="U24" s="369">
        <v>6</v>
      </c>
      <c r="V24" s="369" t="str">
        <v>男子</v>
      </c>
    </row>
    <row r="25" spans="1:22" ht="30" customHeight="1" x14ac:dyDescent="0.25">
      <c r="A25" s="104">
        <v>21</v>
      </c>
      <c r="B25" s="108" t="s">
        <v>733</v>
      </c>
      <c r="C25" s="111" t="s">
        <v>6002</v>
      </c>
      <c r="D25" s="116" t="s">
        <v>11483</v>
      </c>
      <c r="E25" s="121" t="s">
        <v>2575</v>
      </c>
      <c r="F25" s="126"/>
      <c r="M25" s="126"/>
      <c r="N25" s="126"/>
      <c r="O25" s="372" t="str">
        <f t="shared" si="0"/>
        <v/>
      </c>
      <c r="P25" s="369" t="str" cm="1">
        <f t="array" ref="P25:V25">_xlfn.XLOOKUP(C25,'2025年度登録選手'!$D:$D,'2025年度登録選手'!$D:$J,"×")</f>
        <v>森　煌太郎</v>
      </c>
      <c r="Q25" s="369" t="str">
        <v>もり　こうたろう</v>
      </c>
      <c r="R25" s="369" t="str">
        <v>竹田直入ＦＣ</v>
      </c>
      <c r="S25" s="369" t="str">
        <v>登録済</v>
      </c>
      <c r="T25" s="369" t="str">
        <v>2013/06/27</v>
      </c>
      <c r="U25" s="369">
        <v>6</v>
      </c>
      <c r="V25" s="369" t="str">
        <v>男子</v>
      </c>
    </row>
    <row r="26" spans="1:22" ht="30" customHeight="1" x14ac:dyDescent="0.25">
      <c r="A26" s="104">
        <v>22</v>
      </c>
      <c r="B26" s="108" t="s">
        <v>1669</v>
      </c>
      <c r="C26" s="111" t="s">
        <v>4122</v>
      </c>
      <c r="D26" s="116" t="s">
        <v>11478</v>
      </c>
      <c r="E26" s="122" t="s">
        <v>2350</v>
      </c>
      <c r="O26" s="372" t="str">
        <f t="shared" si="0"/>
        <v/>
      </c>
      <c r="P26" s="369" t="str" cm="1">
        <f t="array" ref="P26:V26">_xlfn.XLOOKUP(C26,'2025年度登録選手'!$D:$D,'2025年度登録選手'!$D:$J,"×")</f>
        <v>伊東　武流</v>
      </c>
      <c r="Q26" s="369" t="str">
        <v>いとう　たける</v>
      </c>
      <c r="R26" s="369" t="str">
        <v>臼杵ＳＳＳ</v>
      </c>
      <c r="S26" s="369" t="str">
        <v>登録済</v>
      </c>
      <c r="T26" s="369" t="str">
        <v>2013/06/17</v>
      </c>
      <c r="U26" s="369">
        <v>6</v>
      </c>
      <c r="V26" s="369" t="str">
        <v>男子</v>
      </c>
    </row>
    <row r="27" spans="1:22" ht="30" customHeight="1" x14ac:dyDescent="0.25">
      <c r="A27" s="105">
        <v>23</v>
      </c>
      <c r="B27" s="109" t="s">
        <v>624</v>
      </c>
      <c r="C27" s="113" t="s">
        <v>3954</v>
      </c>
      <c r="D27" s="118" t="s">
        <v>11485</v>
      </c>
      <c r="E27" s="124" t="s">
        <v>2138</v>
      </c>
      <c r="F27" s="126"/>
      <c r="M27" s="126"/>
      <c r="N27" s="126"/>
      <c r="O27" s="372" t="str">
        <f t="shared" si="0"/>
        <v/>
      </c>
      <c r="P27" s="369" t="str" cm="1">
        <f t="array" ref="P27:V27">_xlfn.XLOOKUP(C27,'2025年度登録選手'!$D:$D,'2025年度登録選手'!$D:$J,"×")</f>
        <v>清家　世良</v>
      </c>
      <c r="Q27" s="369" t="str">
        <v>せいけ　せら</v>
      </c>
      <c r="R27" s="369" t="str">
        <v>弥生少年サッカークラブ</v>
      </c>
      <c r="S27" s="369" t="str">
        <v>登録済</v>
      </c>
      <c r="T27" s="369" t="str">
        <v>2013/10/29</v>
      </c>
      <c r="U27" s="369">
        <v>6</v>
      </c>
      <c r="V27" s="369" t="str">
        <v>男子</v>
      </c>
    </row>
    <row r="28" spans="1:22" ht="30" customHeight="1" x14ac:dyDescent="0.25"/>
    <row r="38" spans="10:10" x14ac:dyDescent="0.45">
      <c r="J38" s="114"/>
    </row>
    <row r="49" spans="3:3" x14ac:dyDescent="0.45">
      <c r="C49" s="114"/>
    </row>
  </sheetData>
  <phoneticPr fontId="29"/>
  <printOptions horizontalCentered="1" verticalCentered="1"/>
  <pageMargins left="0" right="0" top="0" bottom="0" header="0.31496062992125984" footer="0.31496062992125984"/>
  <pageSetup paperSize="9" scale="67"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8">
    <tabColor theme="0"/>
    <pageSetUpPr fitToPage="1"/>
  </sheetPr>
  <dimension ref="A1:AO77"/>
  <sheetViews>
    <sheetView zoomScale="85" zoomScaleNormal="85" zoomScaleSheetLayoutView="75" workbookViewId="0">
      <selection activeCell="A2" sqref="A2:B2"/>
    </sheetView>
  </sheetViews>
  <sheetFormatPr defaultColWidth="3.796875" defaultRowHeight="12.75" x14ac:dyDescent="0.25"/>
  <cols>
    <col min="1" max="16" width="3.796875" style="1022"/>
    <col min="17" max="17" width="4.06640625" style="1022" bestFit="1" customWidth="1"/>
    <col min="18" max="19" width="3.796875" style="1022"/>
    <col min="20" max="20" width="4.06640625" style="1022" bestFit="1" customWidth="1"/>
    <col min="21" max="16384" width="3.796875" style="1022"/>
  </cols>
  <sheetData>
    <row r="1" spans="1:36" ht="30" customHeight="1" x14ac:dyDescent="0.25">
      <c r="A1" s="1018" t="s">
        <v>37</v>
      </c>
      <c r="B1" s="1018"/>
      <c r="C1" s="1019"/>
      <c r="D1" s="1019"/>
      <c r="E1" s="1019"/>
      <c r="F1" s="1019"/>
      <c r="G1" s="1020" t="s">
        <v>623</v>
      </c>
      <c r="H1" s="1020"/>
      <c r="I1" s="1020"/>
      <c r="J1" s="1020"/>
      <c r="K1" s="1021">
        <v>51</v>
      </c>
      <c r="L1" s="1020"/>
      <c r="T1" s="1023"/>
      <c r="U1" s="1023"/>
      <c r="V1" s="1023"/>
      <c r="W1" s="1023"/>
      <c r="X1" s="1023"/>
      <c r="Y1" s="1023"/>
      <c r="AA1" s="1023"/>
    </row>
    <row r="2" spans="1:36" ht="20.25" customHeight="1" x14ac:dyDescent="0.25">
      <c r="A2" s="1024" t="s">
        <v>2</v>
      </c>
      <c r="B2" s="1025"/>
      <c r="C2" s="1026" t="s">
        <v>7789</v>
      </c>
      <c r="D2" s="1027"/>
      <c r="E2" s="1027"/>
      <c r="F2" s="1027"/>
      <c r="G2" s="1027"/>
      <c r="H2" s="1027"/>
      <c r="I2" s="1027"/>
      <c r="J2" s="1027"/>
      <c r="K2" s="1027"/>
      <c r="L2" s="1027"/>
      <c r="M2" s="1027"/>
      <c r="N2" s="1028"/>
      <c r="O2" s="1029" t="s">
        <v>32</v>
      </c>
      <c r="P2" s="1030">
        <v>3</v>
      </c>
      <c r="Q2" s="1030"/>
      <c r="R2" s="1031" t="s">
        <v>14</v>
      </c>
      <c r="S2" s="1032"/>
      <c r="T2" s="1033"/>
      <c r="U2" s="1033"/>
      <c r="V2" s="1033"/>
      <c r="W2" s="1033"/>
      <c r="X2" s="1033"/>
      <c r="Y2" s="1033"/>
      <c r="Z2" s="1033"/>
      <c r="AA2" s="1034"/>
      <c r="AB2" s="1035" t="s">
        <v>49</v>
      </c>
      <c r="AC2" s="1036" t="s">
        <v>15343</v>
      </c>
      <c r="AD2" s="1025"/>
      <c r="AE2" s="1035" t="s">
        <v>53</v>
      </c>
      <c r="AF2" s="1036"/>
      <c r="AG2" s="1037"/>
      <c r="AH2" s="1037"/>
      <c r="AI2" s="1037"/>
      <c r="AJ2" s="1038"/>
    </row>
    <row r="3" spans="1:36" ht="20.25" customHeight="1" x14ac:dyDescent="0.25">
      <c r="A3" s="1039" t="s">
        <v>48</v>
      </c>
      <c r="B3" s="1040"/>
      <c r="C3" s="1041"/>
      <c r="D3" s="1042"/>
      <c r="E3" s="1042"/>
      <c r="F3" s="1042"/>
      <c r="G3" s="1042"/>
      <c r="H3" s="1042"/>
      <c r="I3" s="1042"/>
      <c r="J3" s="1042"/>
      <c r="K3" s="1042"/>
      <c r="L3" s="1042"/>
      <c r="M3" s="1042"/>
      <c r="N3" s="1043"/>
      <c r="O3" s="1044" t="s">
        <v>2313</v>
      </c>
      <c r="P3" s="1045"/>
      <c r="Q3" s="1044" t="s">
        <v>2314</v>
      </c>
      <c r="R3" s="1045"/>
      <c r="S3" s="1046">
        <v>46061</v>
      </c>
      <c r="T3" s="1047"/>
      <c r="U3" s="1047"/>
      <c r="V3" s="1047"/>
      <c r="W3" s="1047"/>
      <c r="X3" s="1047"/>
      <c r="Y3" s="1047"/>
      <c r="Z3" s="1047"/>
      <c r="AA3" s="1048"/>
      <c r="AB3" s="1049" t="s">
        <v>64</v>
      </c>
      <c r="AC3" s="1050"/>
      <c r="AD3" s="1051"/>
      <c r="AE3" s="1052" t="s">
        <v>69</v>
      </c>
      <c r="AF3" s="1053" t="s">
        <v>15330</v>
      </c>
      <c r="AG3" s="1040"/>
      <c r="AH3" s="1040"/>
      <c r="AI3" s="1040"/>
      <c r="AJ3" s="1054"/>
    </row>
    <row r="4" spans="1:36" ht="20.25" customHeight="1" x14ac:dyDescent="0.25">
      <c r="A4" s="1055" t="s">
        <v>75</v>
      </c>
      <c r="B4" s="1051"/>
      <c r="C4" s="1056"/>
      <c r="D4" s="1057"/>
      <c r="E4" s="1057"/>
      <c r="F4" s="1057"/>
      <c r="G4" s="1057"/>
      <c r="H4" s="1057"/>
      <c r="I4" s="1057"/>
      <c r="J4" s="1057"/>
      <c r="K4" s="1057"/>
      <c r="L4" s="1057"/>
      <c r="M4" s="1057"/>
      <c r="N4" s="1058"/>
      <c r="O4" s="1059" t="s">
        <v>28</v>
      </c>
      <c r="P4" s="1051"/>
      <c r="Q4" s="1059" t="s">
        <v>40</v>
      </c>
      <c r="R4" s="1051"/>
      <c r="S4" s="1056" t="s">
        <v>15342</v>
      </c>
      <c r="T4" s="1057"/>
      <c r="U4" s="1057"/>
      <c r="V4" s="1057"/>
      <c r="W4" s="1057"/>
      <c r="X4" s="1057"/>
      <c r="Y4" s="1057"/>
      <c r="Z4" s="1057"/>
      <c r="AA4" s="1058"/>
      <c r="AB4" s="1049" t="s">
        <v>77</v>
      </c>
      <c r="AC4" s="1060"/>
      <c r="AD4" s="1061"/>
      <c r="AE4" s="1052" t="s">
        <v>82</v>
      </c>
      <c r="AF4" s="1050" t="s">
        <v>15334</v>
      </c>
      <c r="AG4" s="1062"/>
      <c r="AH4" s="1062"/>
      <c r="AI4" s="1062"/>
      <c r="AJ4" s="1063"/>
    </row>
    <row r="5" spans="1:36" ht="20.25" customHeight="1" x14ac:dyDescent="0.25">
      <c r="A5" s="1064" t="s">
        <v>48</v>
      </c>
      <c r="B5" s="1045"/>
      <c r="C5" s="1065" t="s">
        <v>15360</v>
      </c>
      <c r="D5" s="1066"/>
      <c r="E5" s="1066"/>
      <c r="F5" s="1066"/>
      <c r="G5" s="1066"/>
      <c r="H5" s="1066"/>
      <c r="I5" s="1067"/>
      <c r="J5" s="1068" t="s">
        <v>87</v>
      </c>
      <c r="K5" s="1069" t="s">
        <v>88</v>
      </c>
      <c r="L5" s="1070" t="s">
        <v>93</v>
      </c>
      <c r="M5" s="1071"/>
      <c r="N5" s="1072" t="s">
        <v>95</v>
      </c>
      <c r="O5" s="1073" t="s">
        <v>100</v>
      </c>
      <c r="P5" s="1074" t="s">
        <v>107</v>
      </c>
      <c r="Q5" s="1075" t="s">
        <v>113</v>
      </c>
      <c r="R5" s="1068" t="s">
        <v>125</v>
      </c>
      <c r="S5" s="1076" t="s">
        <v>127</v>
      </c>
      <c r="T5" s="1077"/>
      <c r="U5" s="1068" t="s">
        <v>130</v>
      </c>
      <c r="V5" s="1078" t="s">
        <v>131</v>
      </c>
      <c r="W5" s="1078"/>
      <c r="X5" s="1079"/>
      <c r="Y5" s="1078"/>
      <c r="Z5" s="1080"/>
      <c r="AA5" s="1081" t="s">
        <v>141</v>
      </c>
      <c r="AB5" s="1078"/>
      <c r="AC5" s="1078"/>
      <c r="AD5" s="1078"/>
      <c r="AE5" s="1080"/>
      <c r="AF5" s="1081" t="s">
        <v>2316</v>
      </c>
      <c r="AG5" s="1078"/>
      <c r="AH5" s="1078"/>
      <c r="AI5" s="1078"/>
      <c r="AJ5" s="1082"/>
    </row>
    <row r="6" spans="1:36" ht="20.25" customHeight="1" x14ac:dyDescent="0.25">
      <c r="A6" s="1039"/>
      <c r="B6" s="1083"/>
      <c r="C6" s="1084"/>
      <c r="D6" s="1085"/>
      <c r="E6" s="1085"/>
      <c r="F6" s="1085"/>
      <c r="G6" s="1085"/>
      <c r="H6" s="1085"/>
      <c r="I6" s="1086"/>
      <c r="J6" s="1087"/>
      <c r="K6" s="1088" t="s">
        <v>147</v>
      </c>
      <c r="L6" s="1070" t="s">
        <v>149</v>
      </c>
      <c r="M6" s="1071"/>
      <c r="N6" s="1060">
        <v>5.8</v>
      </c>
      <c r="O6" s="1089"/>
      <c r="P6" s="1090" t="s">
        <v>154</v>
      </c>
      <c r="Q6" s="1052"/>
      <c r="R6" s="1087"/>
      <c r="S6" s="1091" t="s">
        <v>161</v>
      </c>
      <c r="T6" s="1092"/>
      <c r="U6" s="1087"/>
      <c r="V6" s="1093" t="s">
        <v>15319</v>
      </c>
      <c r="W6" s="1094"/>
      <c r="X6" s="1094"/>
      <c r="Y6" s="1094"/>
      <c r="Z6" s="1095"/>
      <c r="AA6" s="1093" t="s">
        <v>15324</v>
      </c>
      <c r="AB6" s="1094"/>
      <c r="AC6" s="1094"/>
      <c r="AD6" s="1094"/>
      <c r="AE6" s="1095"/>
      <c r="AF6" s="1093" t="s">
        <v>15323</v>
      </c>
      <c r="AG6" s="1094"/>
      <c r="AH6" s="1094"/>
      <c r="AI6" s="1094"/>
      <c r="AJ6" s="1096"/>
    </row>
    <row r="7" spans="1:36" ht="20.25" customHeight="1" x14ac:dyDescent="0.25">
      <c r="A7" s="1055" t="s">
        <v>155</v>
      </c>
      <c r="B7" s="1051"/>
      <c r="C7" s="1097"/>
      <c r="D7" s="1098"/>
      <c r="E7" s="1098"/>
      <c r="F7" s="1098"/>
      <c r="G7" s="1098"/>
      <c r="H7" s="1098"/>
      <c r="I7" s="1099"/>
      <c r="J7" s="1100" t="s">
        <v>162</v>
      </c>
      <c r="K7" s="1101" t="s">
        <v>172</v>
      </c>
      <c r="L7" s="1070" t="s">
        <v>182</v>
      </c>
      <c r="M7" s="1071"/>
      <c r="N7" s="1060">
        <v>26</v>
      </c>
      <c r="O7" s="1089"/>
      <c r="P7" s="1090" t="s">
        <v>136</v>
      </c>
      <c r="Q7" s="1049" t="s">
        <v>208</v>
      </c>
      <c r="R7" s="1100" t="s">
        <v>220</v>
      </c>
      <c r="S7" s="1102" t="s">
        <v>73</v>
      </c>
      <c r="T7" s="1103"/>
      <c r="U7" s="1100" t="s">
        <v>225</v>
      </c>
      <c r="V7" s="1104"/>
      <c r="W7" s="1104"/>
      <c r="X7" s="1104"/>
      <c r="Y7" s="1104"/>
      <c r="Z7" s="1105"/>
      <c r="AA7" s="1106" t="s">
        <v>15326</v>
      </c>
      <c r="AB7" s="1107"/>
      <c r="AC7" s="1107"/>
      <c r="AD7" s="1107"/>
      <c r="AE7" s="1108"/>
      <c r="AF7" s="1109"/>
      <c r="AG7" s="1104"/>
      <c r="AH7" s="1104"/>
      <c r="AI7" s="1104"/>
      <c r="AJ7" s="1110"/>
    </row>
    <row r="8" spans="1:36" s="1115" customFormat="1" ht="20.25" customHeight="1" x14ac:dyDescent="0.25">
      <c r="A8" s="1064" t="s">
        <v>228</v>
      </c>
      <c r="B8" s="1111"/>
      <c r="C8" s="1111"/>
      <c r="D8" s="1112"/>
      <c r="E8" s="1112"/>
      <c r="F8" s="1112"/>
      <c r="G8" s="1112"/>
      <c r="H8" s="1112"/>
      <c r="I8" s="1112"/>
      <c r="J8" s="1112"/>
      <c r="K8" s="1112"/>
      <c r="L8" s="1111"/>
      <c r="M8" s="1111"/>
      <c r="N8" s="1111"/>
      <c r="O8" s="1045"/>
      <c r="P8" s="1113">
        <v>6</v>
      </c>
      <c r="Q8" s="1114">
        <v>5</v>
      </c>
      <c r="R8" s="1070" t="s">
        <v>61</v>
      </c>
      <c r="S8" s="1061"/>
      <c r="T8" s="1114">
        <v>0</v>
      </c>
      <c r="U8" s="1113">
        <v>0</v>
      </c>
      <c r="V8" s="1044" t="s">
        <v>228</v>
      </c>
      <c r="W8" s="1111"/>
      <c r="X8" s="1111"/>
      <c r="Y8" s="1112"/>
      <c r="Z8" s="1112"/>
      <c r="AA8" s="1112"/>
      <c r="AE8" s="1112"/>
      <c r="AF8" s="1112"/>
      <c r="AG8" s="1111"/>
      <c r="AH8" s="1111"/>
      <c r="AI8" s="1111"/>
      <c r="AJ8" s="1116"/>
    </row>
    <row r="9" spans="1:36" s="1115" customFormat="1" ht="20.25" customHeight="1" x14ac:dyDescent="0.25">
      <c r="A9" s="1117"/>
      <c r="B9" s="1118" t="s">
        <v>2530</v>
      </c>
      <c r="C9" s="1118"/>
      <c r="D9" s="1118"/>
      <c r="E9" s="1118"/>
      <c r="F9" s="1118"/>
      <c r="G9" s="1118"/>
      <c r="H9" s="1118"/>
      <c r="I9" s="1118"/>
      <c r="J9" s="1118"/>
      <c r="K9" s="1118"/>
      <c r="L9" s="1040" t="s">
        <v>15358</v>
      </c>
      <c r="M9" s="1040"/>
      <c r="N9" s="1040"/>
      <c r="O9" s="1083"/>
      <c r="P9" s="1119"/>
      <c r="Q9" s="1114">
        <v>1</v>
      </c>
      <c r="R9" s="1070" t="s">
        <v>126</v>
      </c>
      <c r="S9" s="1061"/>
      <c r="T9" s="1114">
        <v>0</v>
      </c>
      <c r="U9" s="1119"/>
      <c r="V9" s="1052"/>
      <c r="W9" s="1118" t="s">
        <v>2188</v>
      </c>
      <c r="X9" s="1118"/>
      <c r="Y9" s="1118"/>
      <c r="Z9" s="1118"/>
      <c r="AA9" s="1118"/>
      <c r="AB9" s="1118"/>
      <c r="AC9" s="1118"/>
      <c r="AD9" s="1118"/>
      <c r="AE9" s="1118"/>
      <c r="AF9" s="1118"/>
      <c r="AG9" s="1040" t="s">
        <v>15364</v>
      </c>
      <c r="AH9" s="1040"/>
      <c r="AI9" s="1040"/>
      <c r="AJ9" s="1054"/>
    </row>
    <row r="10" spans="1:36" s="1115" customFormat="1" ht="20.25" customHeight="1" x14ac:dyDescent="0.25">
      <c r="A10" s="1120"/>
      <c r="B10" s="1121"/>
      <c r="C10" s="1121"/>
      <c r="D10" s="1121"/>
      <c r="E10" s="1121"/>
      <c r="F10" s="1121"/>
      <c r="G10" s="1121"/>
      <c r="H10" s="1121"/>
      <c r="I10" s="1121"/>
      <c r="J10" s="1121"/>
      <c r="K10" s="1121"/>
      <c r="L10" s="1121"/>
      <c r="M10" s="1062" t="s">
        <v>404</v>
      </c>
      <c r="N10" s="1062"/>
      <c r="O10" s="1051"/>
      <c r="P10" s="1119"/>
      <c r="Q10" s="1114"/>
      <c r="R10" s="1070" t="s">
        <v>203</v>
      </c>
      <c r="S10" s="1061"/>
      <c r="T10" s="1114"/>
      <c r="U10" s="1119"/>
      <c r="V10" s="1059" t="s">
        <v>404</v>
      </c>
      <c r="W10" s="1062"/>
      <c r="X10" s="1062"/>
      <c r="Y10" s="1121"/>
      <c r="Z10" s="1121"/>
      <c r="AA10" s="1121"/>
      <c r="AB10" s="1121"/>
      <c r="AC10" s="1121"/>
      <c r="AD10" s="1121"/>
      <c r="AE10" s="1121"/>
      <c r="AF10" s="1121"/>
      <c r="AG10" s="1121"/>
      <c r="AH10" s="1121"/>
      <c r="AI10" s="1121"/>
      <c r="AJ10" s="1122"/>
    </row>
    <row r="11" spans="1:36" s="1115" customFormat="1" ht="20.25" customHeight="1" x14ac:dyDescent="0.25">
      <c r="A11" s="1123"/>
      <c r="B11" s="1114"/>
      <c r="C11" s="1114"/>
      <c r="D11" s="1114"/>
      <c r="E11" s="1114"/>
      <c r="F11" s="1114"/>
      <c r="G11" s="1114"/>
      <c r="H11" s="1114"/>
      <c r="I11" s="1114"/>
      <c r="J11" s="1114"/>
      <c r="K11" s="1124"/>
      <c r="L11" s="1070" t="s">
        <v>234</v>
      </c>
      <c r="M11" s="1061"/>
      <c r="N11" s="1125" t="s">
        <v>407</v>
      </c>
      <c r="O11" s="1125"/>
      <c r="P11" s="1119"/>
      <c r="Q11" s="1114"/>
      <c r="R11" s="1070" t="s">
        <v>195</v>
      </c>
      <c r="S11" s="1061"/>
      <c r="T11" s="1114"/>
      <c r="U11" s="1119"/>
      <c r="V11" s="1125" t="s">
        <v>407</v>
      </c>
      <c r="W11" s="1125"/>
      <c r="X11" s="1070" t="s">
        <v>234</v>
      </c>
      <c r="Y11" s="1061"/>
      <c r="Z11" s="1114"/>
      <c r="AA11" s="1114"/>
      <c r="AB11" s="1114"/>
      <c r="AC11" s="1114"/>
      <c r="AD11" s="1114"/>
      <c r="AE11" s="1114"/>
      <c r="AF11" s="1114"/>
      <c r="AG11" s="1114"/>
      <c r="AH11" s="1114"/>
      <c r="AI11" s="1114"/>
      <c r="AJ11" s="1126"/>
    </row>
    <row r="12" spans="1:36" s="1115" customFormat="1" ht="20.25" customHeight="1" x14ac:dyDescent="0.25">
      <c r="A12" s="1123"/>
      <c r="B12" s="1114"/>
      <c r="C12" s="1127"/>
      <c r="D12" s="1127"/>
      <c r="E12" s="1127"/>
      <c r="F12" s="1127"/>
      <c r="G12" s="1114"/>
      <c r="H12" s="1114"/>
      <c r="I12" s="1114"/>
      <c r="J12" s="1114"/>
      <c r="K12" s="1124"/>
      <c r="L12" s="1124" t="s">
        <v>408</v>
      </c>
      <c r="M12" s="1090" t="s">
        <v>410</v>
      </c>
      <c r="N12" s="1124" t="s">
        <v>121</v>
      </c>
      <c r="O12" s="1090" t="s">
        <v>218</v>
      </c>
      <c r="P12" s="1128"/>
      <c r="Q12" s="1114"/>
      <c r="R12" s="1070" t="s">
        <v>22</v>
      </c>
      <c r="S12" s="1061"/>
      <c r="T12" s="1114"/>
      <c r="U12" s="1128"/>
      <c r="V12" s="1124" t="s">
        <v>121</v>
      </c>
      <c r="W12" s="1090" t="s">
        <v>218</v>
      </c>
      <c r="X12" s="1124" t="s">
        <v>408</v>
      </c>
      <c r="Y12" s="1090" t="s">
        <v>410</v>
      </c>
      <c r="Z12" s="1114"/>
      <c r="AA12" s="1114"/>
      <c r="AB12" s="1114"/>
      <c r="AC12" s="1114"/>
      <c r="AD12" s="1114"/>
      <c r="AE12" s="1114"/>
      <c r="AF12" s="1114"/>
      <c r="AG12" s="1114"/>
      <c r="AH12" s="1101"/>
      <c r="AI12" s="1114"/>
      <c r="AJ12" s="1126"/>
    </row>
    <row r="13" spans="1:36" s="1115" customFormat="1" ht="20.25" customHeight="1" x14ac:dyDescent="0.25">
      <c r="A13" s="1129"/>
      <c r="B13" s="1112"/>
      <c r="C13" s="1089" t="s">
        <v>176</v>
      </c>
      <c r="D13" s="1089"/>
      <c r="E13" s="1089"/>
      <c r="F13" s="1089"/>
      <c r="G13" s="1089"/>
      <c r="H13" s="1089"/>
      <c r="I13" s="1089"/>
      <c r="J13" s="1061"/>
      <c r="K13" s="1127" t="s">
        <v>238</v>
      </c>
      <c r="L13" s="1075"/>
      <c r="M13" s="1112"/>
      <c r="N13" s="1112"/>
      <c r="O13" s="1112"/>
      <c r="P13" s="1069"/>
      <c r="Q13" s="1127" t="s">
        <v>219</v>
      </c>
      <c r="R13" s="1075"/>
      <c r="S13" s="1069"/>
      <c r="T13" s="1127" t="s">
        <v>219</v>
      </c>
      <c r="U13" s="1075"/>
      <c r="V13" s="1112"/>
      <c r="W13" s="1112"/>
      <c r="X13" s="1112"/>
      <c r="Y13" s="1069"/>
      <c r="Z13" s="1127" t="s">
        <v>238</v>
      </c>
      <c r="AA13" s="1044" t="s">
        <v>176</v>
      </c>
      <c r="AB13" s="1111"/>
      <c r="AC13" s="1111"/>
      <c r="AD13" s="1111"/>
      <c r="AE13" s="1111"/>
      <c r="AF13" s="1111"/>
      <c r="AG13" s="1111"/>
      <c r="AH13" s="1111"/>
      <c r="AI13" s="1112"/>
      <c r="AJ13" s="1130"/>
    </row>
    <row r="14" spans="1:36" s="1115" customFormat="1" ht="20.25" customHeight="1" x14ac:dyDescent="0.25">
      <c r="A14" s="1064" t="s">
        <v>412</v>
      </c>
      <c r="B14" s="1045"/>
      <c r="C14" s="1131" t="s">
        <v>249</v>
      </c>
      <c r="D14" s="1131"/>
      <c r="E14" s="1131" t="s">
        <v>249</v>
      </c>
      <c r="F14" s="1131"/>
      <c r="G14" s="1044" t="s">
        <v>218</v>
      </c>
      <c r="H14" s="1045"/>
      <c r="I14" s="1132" t="s">
        <v>260</v>
      </c>
      <c r="J14" s="1083"/>
      <c r="K14" s="1133"/>
      <c r="L14" s="1052"/>
      <c r="M14" s="1115" t="s">
        <v>60</v>
      </c>
      <c r="N14" s="1115" t="s">
        <v>216</v>
      </c>
      <c r="O14" s="1115" t="s">
        <v>75</v>
      </c>
      <c r="P14" s="1088"/>
      <c r="Q14" s="1133" t="s">
        <v>111</v>
      </c>
      <c r="R14" s="1132" t="s">
        <v>209</v>
      </c>
      <c r="S14" s="1083"/>
      <c r="T14" s="1133" t="s">
        <v>111</v>
      </c>
      <c r="U14" s="1052"/>
      <c r="V14" s="1115" t="s">
        <v>60</v>
      </c>
      <c r="W14" s="1115" t="s">
        <v>216</v>
      </c>
      <c r="X14" s="1115" t="s">
        <v>163</v>
      </c>
      <c r="Y14" s="1088"/>
      <c r="Z14" s="1133"/>
      <c r="AA14" s="1044" t="s">
        <v>260</v>
      </c>
      <c r="AB14" s="1045"/>
      <c r="AC14" s="1044" t="s">
        <v>218</v>
      </c>
      <c r="AD14" s="1045"/>
      <c r="AE14" s="1044" t="s">
        <v>249</v>
      </c>
      <c r="AF14" s="1045"/>
      <c r="AG14" s="1044" t="s">
        <v>249</v>
      </c>
      <c r="AH14" s="1045"/>
      <c r="AI14" s="1044" t="s">
        <v>412</v>
      </c>
      <c r="AJ14" s="1116"/>
    </row>
    <row r="15" spans="1:36" s="1115" customFormat="1" ht="20.25" customHeight="1" x14ac:dyDescent="0.25">
      <c r="A15" s="1055" t="s">
        <v>414</v>
      </c>
      <c r="B15" s="1051"/>
      <c r="C15" s="1134" t="s">
        <v>218</v>
      </c>
      <c r="D15" s="1134"/>
      <c r="E15" s="1134" t="s">
        <v>260</v>
      </c>
      <c r="F15" s="1134"/>
      <c r="G15" s="1132" t="s">
        <v>103</v>
      </c>
      <c r="H15" s="1083"/>
      <c r="I15" s="1132" t="s">
        <v>103</v>
      </c>
      <c r="J15" s="1083"/>
      <c r="K15" s="1135" t="s">
        <v>27</v>
      </c>
      <c r="L15" s="1049"/>
      <c r="M15" s="1121"/>
      <c r="N15" s="1121"/>
      <c r="O15" s="1121"/>
      <c r="P15" s="1101"/>
      <c r="Q15" s="1135" t="s">
        <v>145</v>
      </c>
      <c r="R15" s="1049"/>
      <c r="S15" s="1101"/>
      <c r="T15" s="1135" t="s">
        <v>145</v>
      </c>
      <c r="U15" s="1049"/>
      <c r="V15" s="1121"/>
      <c r="W15" s="1121"/>
      <c r="X15" s="1121"/>
      <c r="Y15" s="1101"/>
      <c r="Z15" s="1135" t="s">
        <v>27</v>
      </c>
      <c r="AA15" s="1059" t="s">
        <v>103</v>
      </c>
      <c r="AB15" s="1051"/>
      <c r="AC15" s="1059" t="s">
        <v>103</v>
      </c>
      <c r="AD15" s="1051"/>
      <c r="AE15" s="1059" t="s">
        <v>260</v>
      </c>
      <c r="AF15" s="1051"/>
      <c r="AG15" s="1059" t="s">
        <v>218</v>
      </c>
      <c r="AH15" s="1051"/>
      <c r="AI15" s="1059" t="s">
        <v>414</v>
      </c>
      <c r="AJ15" s="1063"/>
    </row>
    <row r="16" spans="1:36" s="1138" customFormat="1" ht="20.25" customHeight="1" x14ac:dyDescent="0.25">
      <c r="A16" s="1136"/>
      <c r="B16" s="1137">
        <v>0</v>
      </c>
      <c r="C16" s="1115"/>
      <c r="E16" s="1124"/>
      <c r="F16" s="1137"/>
      <c r="G16" s="1124"/>
      <c r="H16" s="1137"/>
      <c r="I16" s="1124"/>
      <c r="J16" s="1137"/>
      <c r="K16" s="1139">
        <v>5</v>
      </c>
      <c r="L16" s="1140" t="s">
        <v>8073</v>
      </c>
      <c r="M16" s="1141"/>
      <c r="N16" s="1141"/>
      <c r="O16" s="1141"/>
      <c r="P16" s="1142"/>
      <c r="Q16" s="1143">
        <v>1</v>
      </c>
      <c r="R16" s="1144" t="s">
        <v>796</v>
      </c>
      <c r="S16" s="1137" t="s">
        <v>796</v>
      </c>
      <c r="T16" s="1143">
        <v>1</v>
      </c>
      <c r="U16" s="1140" t="s">
        <v>8844</v>
      </c>
      <c r="V16" s="1141"/>
      <c r="W16" s="1141"/>
      <c r="X16" s="1141"/>
      <c r="Y16" s="1142"/>
      <c r="Z16" s="1139">
        <v>6</v>
      </c>
      <c r="AA16" s="1124"/>
      <c r="AB16" s="1137"/>
      <c r="AC16" s="1124"/>
      <c r="AD16" s="1137"/>
      <c r="AE16" s="1124"/>
      <c r="AF16" s="1137"/>
      <c r="AG16" s="1124"/>
      <c r="AH16" s="1137"/>
      <c r="AI16" s="1145"/>
      <c r="AJ16" s="1126">
        <v>0</v>
      </c>
    </row>
    <row r="17" spans="1:36" s="1138" customFormat="1" ht="20.25" customHeight="1" x14ac:dyDescent="0.25">
      <c r="A17" s="1136"/>
      <c r="B17" s="1137">
        <v>1</v>
      </c>
      <c r="C17" s="1124"/>
      <c r="D17" s="1145"/>
      <c r="E17" s="1124"/>
      <c r="F17" s="1137"/>
      <c r="G17" s="1124"/>
      <c r="H17" s="1137"/>
      <c r="I17" s="1124" t="s">
        <v>15351</v>
      </c>
      <c r="J17" s="1137">
        <v>1</v>
      </c>
      <c r="K17" s="1139">
        <v>6</v>
      </c>
      <c r="L17" s="1140" t="s">
        <v>4679</v>
      </c>
      <c r="M17" s="1141"/>
      <c r="N17" s="1141"/>
      <c r="O17" s="1141"/>
      <c r="P17" s="1142"/>
      <c r="Q17" s="1143">
        <v>3</v>
      </c>
      <c r="R17" s="1144" t="s">
        <v>235</v>
      </c>
      <c r="S17" s="1137" t="s">
        <v>235</v>
      </c>
      <c r="T17" s="1143">
        <v>4</v>
      </c>
      <c r="U17" s="1140" t="s">
        <v>8256</v>
      </c>
      <c r="V17" s="1141"/>
      <c r="W17" s="1141"/>
      <c r="X17" s="1141"/>
      <c r="Y17" s="1142"/>
      <c r="Z17" s="1139">
        <v>5</v>
      </c>
      <c r="AA17" s="1124"/>
      <c r="AB17" s="1137"/>
      <c r="AC17" s="1124"/>
      <c r="AD17" s="1137"/>
      <c r="AE17" s="1124"/>
      <c r="AF17" s="1137"/>
      <c r="AG17" s="1124"/>
      <c r="AH17" s="1137"/>
      <c r="AI17" s="1145"/>
      <c r="AJ17" s="1126">
        <v>0</v>
      </c>
    </row>
    <row r="18" spans="1:36" s="1138" customFormat="1" ht="20.25" customHeight="1" x14ac:dyDescent="0.25">
      <c r="A18" s="1136"/>
      <c r="B18" s="1137">
        <v>2</v>
      </c>
      <c r="C18" s="1124"/>
      <c r="E18" s="1124"/>
      <c r="F18" s="1137"/>
      <c r="G18" s="1124"/>
      <c r="H18" s="1137">
        <v>1</v>
      </c>
      <c r="I18" s="1124"/>
      <c r="J18" s="1137">
        <v>1</v>
      </c>
      <c r="K18" s="1139">
        <v>6</v>
      </c>
      <c r="L18" s="1140" t="s">
        <v>6019</v>
      </c>
      <c r="M18" s="1141"/>
      <c r="N18" s="1141"/>
      <c r="O18" s="1141"/>
      <c r="P18" s="1142"/>
      <c r="Q18" s="1143">
        <v>5</v>
      </c>
      <c r="R18" s="1144" t="s">
        <v>235</v>
      </c>
      <c r="S18" s="1137" t="s">
        <v>235</v>
      </c>
      <c r="T18" s="1143">
        <v>10</v>
      </c>
      <c r="U18" s="1140" t="s">
        <v>5671</v>
      </c>
      <c r="V18" s="1141"/>
      <c r="W18" s="1141"/>
      <c r="X18" s="1141"/>
      <c r="Y18" s="1142"/>
      <c r="Z18" s="1139">
        <v>6</v>
      </c>
      <c r="AA18" s="1124"/>
      <c r="AB18" s="1137"/>
      <c r="AC18" s="1124"/>
      <c r="AD18" s="1137"/>
      <c r="AE18" s="1124"/>
      <c r="AF18" s="1137"/>
      <c r="AG18" s="1124"/>
      <c r="AH18" s="1137"/>
      <c r="AI18" s="1145"/>
      <c r="AJ18" s="1126">
        <v>0</v>
      </c>
    </row>
    <row r="19" spans="1:36" s="1138" customFormat="1" ht="20.25" customHeight="1" x14ac:dyDescent="0.25">
      <c r="A19" s="1136"/>
      <c r="B19" s="1137">
        <v>1</v>
      </c>
      <c r="C19" s="1146"/>
      <c r="D19" s="1137"/>
      <c r="E19" s="1124"/>
      <c r="F19" s="1137"/>
      <c r="G19" s="1124"/>
      <c r="H19" s="1137"/>
      <c r="I19" s="1124"/>
      <c r="J19" s="1137">
        <v>1</v>
      </c>
      <c r="K19" s="1139">
        <v>6</v>
      </c>
      <c r="L19" s="1140" t="s">
        <v>6017</v>
      </c>
      <c r="M19" s="1141"/>
      <c r="N19" s="1141"/>
      <c r="O19" s="1141"/>
      <c r="P19" s="1142"/>
      <c r="Q19" s="1143">
        <v>7</v>
      </c>
      <c r="R19" s="1144" t="s">
        <v>235</v>
      </c>
      <c r="S19" s="1137" t="s">
        <v>235</v>
      </c>
      <c r="T19" s="1143">
        <v>11</v>
      </c>
      <c r="U19" s="1140" t="s">
        <v>8394</v>
      </c>
      <c r="V19" s="1141"/>
      <c r="W19" s="1141"/>
      <c r="X19" s="1141"/>
      <c r="Y19" s="1142"/>
      <c r="Z19" s="1139">
        <v>5</v>
      </c>
      <c r="AA19" s="1124"/>
      <c r="AB19" s="1137"/>
      <c r="AC19" s="1124"/>
      <c r="AD19" s="1137"/>
      <c r="AE19" s="1124"/>
      <c r="AF19" s="1137"/>
      <c r="AG19" s="1124"/>
      <c r="AH19" s="1137"/>
      <c r="AI19" s="1145"/>
      <c r="AJ19" s="1126">
        <v>0</v>
      </c>
    </row>
    <row r="20" spans="1:36" s="1138" customFormat="1" ht="20.25" customHeight="1" x14ac:dyDescent="0.25">
      <c r="A20" s="1136"/>
      <c r="B20" s="1137">
        <v>1</v>
      </c>
      <c r="C20" s="1146"/>
      <c r="D20" s="1147"/>
      <c r="E20" s="1124"/>
      <c r="F20" s="1137"/>
      <c r="G20" s="1124"/>
      <c r="H20" s="1145"/>
      <c r="I20" s="1124"/>
      <c r="J20" s="1137">
        <v>1</v>
      </c>
      <c r="K20" s="1139">
        <v>6</v>
      </c>
      <c r="L20" s="1140" t="s">
        <v>6018</v>
      </c>
      <c r="M20" s="1141"/>
      <c r="N20" s="1141"/>
      <c r="O20" s="1141"/>
      <c r="P20" s="1142"/>
      <c r="Q20" s="1143">
        <v>9</v>
      </c>
      <c r="R20" s="1144" t="s">
        <v>235</v>
      </c>
      <c r="S20" s="1137" t="s">
        <v>798</v>
      </c>
      <c r="T20" s="1143">
        <v>5</v>
      </c>
      <c r="U20" s="1140" t="s">
        <v>5675</v>
      </c>
      <c r="V20" s="1141"/>
      <c r="W20" s="1141"/>
      <c r="X20" s="1141"/>
      <c r="Y20" s="1142"/>
      <c r="Z20" s="1139">
        <v>6</v>
      </c>
      <c r="AA20" s="1124"/>
      <c r="AB20" s="1137"/>
      <c r="AC20" s="1124"/>
      <c r="AD20" s="1137">
        <v>1</v>
      </c>
      <c r="AE20" s="1124"/>
      <c r="AF20" s="1137"/>
      <c r="AG20" s="1124"/>
      <c r="AH20" s="1137"/>
      <c r="AI20" s="1145"/>
      <c r="AJ20" s="1126">
        <v>1</v>
      </c>
    </row>
    <row r="21" spans="1:36" s="1138" customFormat="1" ht="20.25" customHeight="1" x14ac:dyDescent="0.25">
      <c r="A21" s="1148"/>
      <c r="B21" s="1137">
        <v>1</v>
      </c>
      <c r="C21" s="1146"/>
      <c r="D21" s="1147"/>
      <c r="E21" s="1124"/>
      <c r="F21" s="1137"/>
      <c r="G21" s="1052"/>
      <c r="H21" s="1149"/>
      <c r="I21" s="1052"/>
      <c r="J21" s="1149">
        <v>1</v>
      </c>
      <c r="K21" s="1139">
        <v>6</v>
      </c>
      <c r="L21" s="1140" t="s">
        <v>4683</v>
      </c>
      <c r="M21" s="1141"/>
      <c r="N21" s="1141"/>
      <c r="O21" s="1141"/>
      <c r="P21" s="1142"/>
      <c r="Q21" s="1143">
        <v>8</v>
      </c>
      <c r="R21" s="1144" t="s">
        <v>798</v>
      </c>
      <c r="S21" s="1137" t="s">
        <v>798</v>
      </c>
      <c r="T21" s="1143">
        <v>9</v>
      </c>
      <c r="U21" s="1140" t="s">
        <v>5673</v>
      </c>
      <c r="V21" s="1141"/>
      <c r="W21" s="1141"/>
      <c r="X21" s="1141"/>
      <c r="Y21" s="1142"/>
      <c r="Z21" s="1139">
        <v>6</v>
      </c>
      <c r="AA21" s="1052"/>
      <c r="AB21" s="1149"/>
      <c r="AC21" s="1052"/>
      <c r="AD21" s="1149"/>
      <c r="AE21" s="1124"/>
      <c r="AF21" s="1149"/>
      <c r="AG21" s="1124"/>
      <c r="AH21" s="1149"/>
      <c r="AI21" s="1145"/>
      <c r="AJ21" s="1126">
        <v>0</v>
      </c>
    </row>
    <row r="22" spans="1:36" s="1138" customFormat="1" ht="20.25" customHeight="1" x14ac:dyDescent="0.25">
      <c r="A22" s="1148"/>
      <c r="B22" s="1137">
        <v>5</v>
      </c>
      <c r="C22" s="1124"/>
      <c r="D22" s="1137"/>
      <c r="E22" s="1124"/>
      <c r="F22" s="1137"/>
      <c r="G22" s="1124"/>
      <c r="H22" s="1137"/>
      <c r="I22" s="1124" t="s">
        <v>15352</v>
      </c>
      <c r="J22" s="1137">
        <v>5</v>
      </c>
      <c r="K22" s="1139">
        <v>6</v>
      </c>
      <c r="L22" s="1140" t="s">
        <v>6016</v>
      </c>
      <c r="M22" s="1141"/>
      <c r="N22" s="1141"/>
      <c r="O22" s="1141"/>
      <c r="P22" s="1142"/>
      <c r="Q22" s="1143">
        <v>10</v>
      </c>
      <c r="R22" s="1144" t="s">
        <v>798</v>
      </c>
      <c r="S22" s="1137" t="s">
        <v>798</v>
      </c>
      <c r="T22" s="1143">
        <v>14</v>
      </c>
      <c r="U22" s="1140" t="s">
        <v>5674</v>
      </c>
      <c r="V22" s="1141"/>
      <c r="W22" s="1141"/>
      <c r="X22" s="1141"/>
      <c r="Y22" s="1142"/>
      <c r="Z22" s="1139">
        <v>5</v>
      </c>
      <c r="AA22" s="1124"/>
      <c r="AB22" s="1137"/>
      <c r="AC22" s="1124"/>
      <c r="AD22" s="1137"/>
      <c r="AE22" s="1124"/>
      <c r="AF22" s="1137"/>
      <c r="AG22" s="1124"/>
      <c r="AH22" s="1137"/>
      <c r="AI22" s="1145"/>
      <c r="AJ22" s="1126">
        <v>0</v>
      </c>
    </row>
    <row r="23" spans="1:36" s="1138" customFormat="1" ht="20.25" customHeight="1" x14ac:dyDescent="0.25">
      <c r="A23" s="1136"/>
      <c r="B23" s="1137">
        <v>2</v>
      </c>
      <c r="C23" s="1124"/>
      <c r="D23" s="1137"/>
      <c r="E23" s="1124"/>
      <c r="F23" s="1137"/>
      <c r="G23" s="1124" t="s">
        <v>15351</v>
      </c>
      <c r="H23" s="1137">
        <v>1</v>
      </c>
      <c r="I23" s="1124" t="s">
        <v>15351</v>
      </c>
      <c r="J23" s="1137">
        <v>1</v>
      </c>
      <c r="K23" s="1139">
        <v>5</v>
      </c>
      <c r="L23" s="1140" t="s">
        <v>6014</v>
      </c>
      <c r="M23" s="1141"/>
      <c r="N23" s="1141"/>
      <c r="O23" s="1141"/>
      <c r="P23" s="1142"/>
      <c r="Q23" s="1143">
        <v>11</v>
      </c>
      <c r="R23" s="1144" t="s">
        <v>280</v>
      </c>
      <c r="S23" s="1137" t="s">
        <v>280</v>
      </c>
      <c r="T23" s="1143">
        <v>7</v>
      </c>
      <c r="U23" s="1140" t="s">
        <v>5672</v>
      </c>
      <c r="V23" s="1141"/>
      <c r="W23" s="1141"/>
      <c r="X23" s="1141"/>
      <c r="Y23" s="1142"/>
      <c r="Z23" s="1139">
        <v>6</v>
      </c>
      <c r="AA23" s="1124"/>
      <c r="AB23" s="1137"/>
      <c r="AC23" s="1124"/>
      <c r="AD23" s="1137">
        <v>1</v>
      </c>
      <c r="AE23" s="1124"/>
      <c r="AF23" s="1137"/>
      <c r="AG23" s="1124"/>
      <c r="AH23" s="1137"/>
      <c r="AI23" s="1145"/>
      <c r="AJ23" s="1126">
        <v>1</v>
      </c>
    </row>
    <row r="24" spans="1:36" s="1138" customFormat="1" ht="20.25" customHeight="1" x14ac:dyDescent="0.25">
      <c r="A24" s="1148"/>
      <c r="B24" s="1150"/>
      <c r="C24" s="1150"/>
      <c r="D24" s="1150"/>
      <c r="E24" s="1150"/>
      <c r="F24" s="1150"/>
      <c r="G24" s="1150"/>
      <c r="H24" s="1150"/>
      <c r="I24" s="1150"/>
      <c r="J24" s="1150"/>
      <c r="K24" s="1150"/>
      <c r="L24" s="1150"/>
      <c r="M24" s="1150"/>
      <c r="N24" s="1150"/>
      <c r="O24" s="1150"/>
      <c r="P24" s="1150"/>
      <c r="Q24" s="1107" t="s">
        <v>415</v>
      </c>
      <c r="R24" s="1107"/>
      <c r="S24" s="1107"/>
      <c r="T24" s="1107"/>
      <c r="U24" s="1150"/>
      <c r="V24" s="1150"/>
      <c r="W24" s="1150"/>
      <c r="X24" s="1150"/>
      <c r="Y24" s="1150"/>
      <c r="Z24" s="1150"/>
      <c r="AA24" s="1150"/>
      <c r="AB24" s="1150"/>
      <c r="AC24" s="1150"/>
      <c r="AD24" s="1150"/>
      <c r="AE24" s="1150"/>
      <c r="AF24" s="1150"/>
      <c r="AG24" s="1150"/>
      <c r="AH24" s="1150"/>
      <c r="AI24" s="1150"/>
      <c r="AJ24" s="1151"/>
    </row>
    <row r="25" spans="1:36" s="1138" customFormat="1" ht="20.25" customHeight="1" x14ac:dyDescent="0.25">
      <c r="A25" s="1136"/>
      <c r="B25" s="1137">
        <v>0</v>
      </c>
      <c r="C25" s="1115"/>
      <c r="E25" s="1124"/>
      <c r="G25" s="1124"/>
      <c r="H25" s="1137"/>
      <c r="I25" s="1124"/>
      <c r="J25" s="1137"/>
      <c r="K25" s="1139">
        <v>5</v>
      </c>
      <c r="L25" s="1140" t="s">
        <v>7856</v>
      </c>
      <c r="M25" s="1141"/>
      <c r="N25" s="1141"/>
      <c r="O25" s="1141"/>
      <c r="P25" s="1142"/>
      <c r="Q25" s="1143">
        <v>2</v>
      </c>
      <c r="R25" s="1144" t="s">
        <v>235</v>
      </c>
      <c r="S25" s="1137" t="s">
        <v>798</v>
      </c>
      <c r="T25" s="1143">
        <v>2</v>
      </c>
      <c r="U25" s="1140" t="s">
        <v>8355</v>
      </c>
      <c r="V25" s="1141"/>
      <c r="W25" s="1141"/>
      <c r="X25" s="1141"/>
      <c r="Y25" s="1142"/>
      <c r="Z25" s="1139">
        <v>5</v>
      </c>
      <c r="AA25" s="1124"/>
      <c r="AB25" s="1137"/>
      <c r="AC25" s="1124"/>
      <c r="AD25" s="1137"/>
      <c r="AE25" s="1124"/>
      <c r="AF25" s="1137"/>
      <c r="AG25" s="1124"/>
      <c r="AH25" s="1137"/>
      <c r="AI25" s="1145"/>
      <c r="AJ25" s="1126">
        <v>0</v>
      </c>
    </row>
    <row r="26" spans="1:36" s="1138" customFormat="1" ht="20.25" customHeight="1" x14ac:dyDescent="0.25">
      <c r="A26" s="1136"/>
      <c r="B26" s="1137">
        <v>0</v>
      </c>
      <c r="C26" s="1124"/>
      <c r="D26" s="1145"/>
      <c r="E26" s="1124"/>
      <c r="F26" s="1145"/>
      <c r="G26" s="1124"/>
      <c r="H26" s="1137"/>
      <c r="I26" s="1124"/>
      <c r="J26" s="1137"/>
      <c r="K26" s="1139">
        <v>6</v>
      </c>
      <c r="L26" s="1140" t="s">
        <v>4677</v>
      </c>
      <c r="M26" s="1141"/>
      <c r="N26" s="1141"/>
      <c r="O26" s="1141"/>
      <c r="P26" s="1142"/>
      <c r="Q26" s="1143">
        <v>4</v>
      </c>
      <c r="R26" s="1144" t="s">
        <v>798</v>
      </c>
      <c r="S26" s="1137" t="s">
        <v>798</v>
      </c>
      <c r="T26" s="1143">
        <v>6</v>
      </c>
      <c r="U26" s="1140" t="s">
        <v>7862</v>
      </c>
      <c r="V26" s="1141"/>
      <c r="W26" s="1141"/>
      <c r="X26" s="1141"/>
      <c r="Y26" s="1142"/>
      <c r="Z26" s="1139">
        <v>5</v>
      </c>
      <c r="AA26" s="1124"/>
      <c r="AB26" s="1137"/>
      <c r="AC26" s="1124"/>
      <c r="AD26" s="1137"/>
      <c r="AE26" s="1124"/>
      <c r="AF26" s="1137"/>
      <c r="AG26" s="1124"/>
      <c r="AH26" s="1137"/>
      <c r="AI26" s="1145"/>
      <c r="AJ26" s="1126">
        <v>0</v>
      </c>
    </row>
    <row r="27" spans="1:36" s="1138" customFormat="1" ht="20.25" customHeight="1" x14ac:dyDescent="0.25">
      <c r="A27" s="1136"/>
      <c r="B27" s="1137">
        <v>1</v>
      </c>
      <c r="C27" s="1124"/>
      <c r="D27" s="1145"/>
      <c r="E27" s="1124"/>
      <c r="F27" s="1145"/>
      <c r="G27" s="1124"/>
      <c r="H27" s="1137">
        <v>1</v>
      </c>
      <c r="I27" s="1124"/>
      <c r="J27" s="1137"/>
      <c r="K27" s="1139">
        <v>5</v>
      </c>
      <c r="L27" s="1140" t="s">
        <v>5862</v>
      </c>
      <c r="M27" s="1141"/>
      <c r="N27" s="1141"/>
      <c r="O27" s="1141"/>
      <c r="P27" s="1142"/>
      <c r="Q27" s="1143">
        <v>6</v>
      </c>
      <c r="R27" s="1144" t="s">
        <v>798</v>
      </c>
      <c r="S27" s="1137" t="s">
        <v>798</v>
      </c>
      <c r="T27" s="1143">
        <v>8</v>
      </c>
      <c r="U27" s="1140" t="s">
        <v>4290</v>
      </c>
      <c r="V27" s="1141"/>
      <c r="W27" s="1141"/>
      <c r="X27" s="1141"/>
      <c r="Y27" s="1142"/>
      <c r="Z27" s="1139">
        <v>5</v>
      </c>
      <c r="AA27" s="1124"/>
      <c r="AB27" s="1137"/>
      <c r="AC27" s="1124"/>
      <c r="AD27" s="1137"/>
      <c r="AE27" s="1124"/>
      <c r="AF27" s="1137"/>
      <c r="AG27" s="1124"/>
      <c r="AH27" s="1137"/>
      <c r="AI27" s="1145"/>
      <c r="AJ27" s="1126">
        <v>0</v>
      </c>
    </row>
    <row r="28" spans="1:36" s="1138" customFormat="1" ht="20.25" customHeight="1" x14ac:dyDescent="0.25">
      <c r="A28" s="1136"/>
      <c r="B28" s="1137">
        <v>0</v>
      </c>
      <c r="C28" s="1124"/>
      <c r="D28" s="1145"/>
      <c r="E28" s="1124"/>
      <c r="F28" s="1145"/>
      <c r="G28" s="1124"/>
      <c r="H28" s="1137"/>
      <c r="I28" s="1124"/>
      <c r="J28" s="1137"/>
      <c r="K28" s="1139">
        <v>5</v>
      </c>
      <c r="L28" s="1140" t="s">
        <v>5910</v>
      </c>
      <c r="M28" s="1141"/>
      <c r="N28" s="1141"/>
      <c r="O28" s="1141"/>
      <c r="P28" s="1142"/>
      <c r="Q28" s="1143">
        <v>12</v>
      </c>
      <c r="R28" s="1144" t="s">
        <v>235</v>
      </c>
      <c r="S28" s="1137" t="s">
        <v>798</v>
      </c>
      <c r="T28" s="1143">
        <v>12</v>
      </c>
      <c r="U28" s="1140" t="s">
        <v>8296</v>
      </c>
      <c r="V28" s="1141"/>
      <c r="W28" s="1141"/>
      <c r="X28" s="1141"/>
      <c r="Y28" s="1142"/>
      <c r="Z28" s="1139">
        <v>5</v>
      </c>
      <c r="AA28" s="1124"/>
      <c r="AB28" s="1137"/>
      <c r="AC28" s="1124"/>
      <c r="AD28" s="1137"/>
      <c r="AE28" s="1124"/>
      <c r="AF28" s="1137"/>
      <c r="AG28" s="1124"/>
      <c r="AH28" s="1137"/>
      <c r="AI28" s="1145"/>
      <c r="AJ28" s="1126">
        <v>0</v>
      </c>
    </row>
    <row r="29" spans="1:36" s="1138" customFormat="1" ht="20.25" customHeight="1" x14ac:dyDescent="0.25">
      <c r="A29" s="1136"/>
      <c r="B29" s="1137">
        <v>0</v>
      </c>
      <c r="C29" s="1124"/>
      <c r="D29" s="1145"/>
      <c r="E29" s="1124"/>
      <c r="F29" s="1145"/>
      <c r="G29" s="1124"/>
      <c r="H29" s="1137"/>
      <c r="I29" s="1124"/>
      <c r="J29" s="1137"/>
      <c r="K29" s="1139">
        <v>5</v>
      </c>
      <c r="L29" s="1140" t="s">
        <v>7895</v>
      </c>
      <c r="M29" s="1141"/>
      <c r="N29" s="1141"/>
      <c r="O29" s="1141"/>
      <c r="P29" s="1142"/>
      <c r="Q29" s="1143">
        <v>13</v>
      </c>
      <c r="R29" s="1144" t="s">
        <v>280</v>
      </c>
      <c r="S29" s="1137" t="s">
        <v>798</v>
      </c>
      <c r="T29" s="1143">
        <v>13</v>
      </c>
      <c r="U29" s="1140" t="s">
        <v>8537</v>
      </c>
      <c r="V29" s="1141"/>
      <c r="W29" s="1141"/>
      <c r="X29" s="1141"/>
      <c r="Y29" s="1142"/>
      <c r="Z29" s="1139">
        <v>5</v>
      </c>
      <c r="AA29" s="1124"/>
      <c r="AB29" s="1137"/>
      <c r="AC29" s="1124"/>
      <c r="AD29" s="1137"/>
      <c r="AE29" s="1124"/>
      <c r="AF29" s="1137"/>
      <c r="AG29" s="1124"/>
      <c r="AH29" s="1137"/>
      <c r="AI29" s="1145"/>
      <c r="AJ29" s="1126">
        <v>0</v>
      </c>
    </row>
    <row r="30" spans="1:36" s="1138" customFormat="1" ht="20.25" customHeight="1" x14ac:dyDescent="0.25">
      <c r="A30" s="1136"/>
      <c r="B30" s="1137">
        <v>0</v>
      </c>
      <c r="C30" s="1124"/>
      <c r="D30" s="1145"/>
      <c r="E30" s="1124"/>
      <c r="F30" s="1145"/>
      <c r="G30" s="1124"/>
      <c r="H30" s="1137"/>
      <c r="I30" s="1124"/>
      <c r="J30" s="1137"/>
      <c r="K30" s="1139">
        <v>5</v>
      </c>
      <c r="L30" s="1140" t="s">
        <v>8181</v>
      </c>
      <c r="M30" s="1141"/>
      <c r="N30" s="1141"/>
      <c r="O30" s="1141"/>
      <c r="P30" s="1142"/>
      <c r="Q30" s="1143">
        <v>14</v>
      </c>
      <c r="R30" s="1144" t="s">
        <v>235</v>
      </c>
      <c r="S30" s="1137" t="s">
        <v>798</v>
      </c>
      <c r="T30" s="1143">
        <v>15</v>
      </c>
      <c r="U30" s="1140" t="s">
        <v>8975</v>
      </c>
      <c r="V30" s="1141"/>
      <c r="W30" s="1141"/>
      <c r="X30" s="1141"/>
      <c r="Y30" s="1142"/>
      <c r="Z30" s="1139">
        <v>6</v>
      </c>
      <c r="AA30" s="1124"/>
      <c r="AB30" s="1137"/>
      <c r="AC30" s="1124"/>
      <c r="AD30" s="1137"/>
      <c r="AE30" s="1124"/>
      <c r="AF30" s="1137"/>
      <c r="AG30" s="1124"/>
      <c r="AH30" s="1137"/>
      <c r="AI30" s="1145"/>
      <c r="AJ30" s="1126">
        <v>0</v>
      </c>
    </row>
    <row r="31" spans="1:36" s="1138" customFormat="1" ht="20.25" customHeight="1" x14ac:dyDescent="0.25">
      <c r="A31" s="1136"/>
      <c r="B31" s="1137">
        <v>0</v>
      </c>
      <c r="C31" s="1124"/>
      <c r="D31" s="1145"/>
      <c r="E31" s="1124"/>
      <c r="F31" s="1145"/>
      <c r="G31" s="1124"/>
      <c r="H31" s="1137"/>
      <c r="I31" s="1124"/>
      <c r="J31" s="1137"/>
      <c r="K31" s="1139">
        <v>5</v>
      </c>
      <c r="L31" s="1140" t="s">
        <v>8378</v>
      </c>
      <c r="M31" s="1141"/>
      <c r="N31" s="1141"/>
      <c r="O31" s="1141"/>
      <c r="P31" s="1142"/>
      <c r="Q31" s="1143">
        <v>15</v>
      </c>
      <c r="R31" s="1144" t="s">
        <v>798</v>
      </c>
      <c r="S31" s="1137" t="s">
        <v>796</v>
      </c>
      <c r="T31" s="1143">
        <v>16</v>
      </c>
      <c r="U31" s="1140" t="s">
        <v>8279</v>
      </c>
      <c r="V31" s="1141"/>
      <c r="W31" s="1141"/>
      <c r="X31" s="1141"/>
      <c r="Y31" s="1142"/>
      <c r="Z31" s="1139">
        <v>5</v>
      </c>
      <c r="AA31" s="1124"/>
      <c r="AB31" s="1137"/>
      <c r="AC31" s="1124"/>
      <c r="AD31" s="1137"/>
      <c r="AE31" s="1124"/>
      <c r="AF31" s="1137"/>
      <c r="AG31" s="1124"/>
      <c r="AH31" s="1137"/>
      <c r="AI31" s="1145"/>
      <c r="AJ31" s="1126">
        <v>0</v>
      </c>
    </row>
    <row r="32" spans="1:36" s="1138" customFormat="1" ht="20.25" customHeight="1" x14ac:dyDescent="0.25">
      <c r="A32" s="1136"/>
      <c r="B32" s="1137">
        <v>0</v>
      </c>
      <c r="C32" s="1124"/>
      <c r="D32" s="1145"/>
      <c r="E32" s="1124"/>
      <c r="F32" s="1145"/>
      <c r="G32" s="1124"/>
      <c r="H32" s="1137"/>
      <c r="I32" s="1124"/>
      <c r="J32" s="1137"/>
      <c r="K32" s="1139">
        <v>5</v>
      </c>
      <c r="L32" s="1140" t="s">
        <v>7956</v>
      </c>
      <c r="M32" s="1141"/>
      <c r="N32" s="1141"/>
      <c r="O32" s="1141"/>
      <c r="P32" s="1142"/>
      <c r="Q32" s="1143">
        <v>16</v>
      </c>
      <c r="R32" s="1144" t="s">
        <v>796</v>
      </c>
      <c r="S32" s="1137" t="s">
        <v>235</v>
      </c>
      <c r="T32" s="1143">
        <v>17</v>
      </c>
      <c r="U32" s="1140" t="s">
        <v>8431</v>
      </c>
      <c r="V32" s="1141"/>
      <c r="W32" s="1141"/>
      <c r="X32" s="1141"/>
      <c r="Y32" s="1142"/>
      <c r="Z32" s="1139">
        <v>5</v>
      </c>
      <c r="AA32" s="1124"/>
      <c r="AB32" s="1137"/>
      <c r="AC32" s="1124"/>
      <c r="AD32" s="1137"/>
      <c r="AE32" s="1124"/>
      <c r="AF32" s="1137"/>
      <c r="AG32" s="1124"/>
      <c r="AH32" s="1137"/>
      <c r="AI32" s="1145"/>
      <c r="AJ32" s="1126">
        <v>0</v>
      </c>
    </row>
    <row r="33" spans="1:38" s="1138" customFormat="1" ht="20.25" customHeight="1" x14ac:dyDescent="0.25">
      <c r="A33" s="1136"/>
      <c r="B33" s="1137">
        <v>0</v>
      </c>
      <c r="C33" s="1124"/>
      <c r="E33" s="1124"/>
      <c r="G33" s="1124"/>
      <c r="H33" s="1137"/>
      <c r="I33" s="1124"/>
      <c r="J33" s="1137"/>
      <c r="K33" s="1139" t="s">
        <v>15359</v>
      </c>
      <c r="L33" s="1140" t="s">
        <v>15359</v>
      </c>
      <c r="M33" s="1141"/>
      <c r="N33" s="1141"/>
      <c r="O33" s="1141"/>
      <c r="P33" s="1142"/>
      <c r="Q33" s="1143"/>
      <c r="R33" s="1144" t="s">
        <v>15359</v>
      </c>
      <c r="S33" s="1137" t="s">
        <v>798</v>
      </c>
      <c r="T33" s="1143">
        <v>20</v>
      </c>
      <c r="U33" s="1140" t="s">
        <v>8087</v>
      </c>
      <c r="V33" s="1141"/>
      <c r="W33" s="1141"/>
      <c r="X33" s="1141"/>
      <c r="Y33" s="1142"/>
      <c r="Z33" s="1139">
        <v>5</v>
      </c>
      <c r="AA33" s="1124"/>
      <c r="AB33" s="1137"/>
      <c r="AC33" s="1124"/>
      <c r="AD33" s="1137"/>
      <c r="AE33" s="1124"/>
      <c r="AF33" s="1137"/>
      <c r="AG33" s="1124"/>
      <c r="AH33" s="1137"/>
      <c r="AI33" s="1145"/>
      <c r="AJ33" s="1126">
        <v>0</v>
      </c>
    </row>
    <row r="34" spans="1:38" s="1138" customFormat="1" ht="20.25" customHeight="1" x14ac:dyDescent="0.25">
      <c r="A34" s="1136"/>
      <c r="B34" s="1137">
        <v>0</v>
      </c>
      <c r="C34" s="1146"/>
      <c r="D34" s="1137"/>
      <c r="E34" s="1146"/>
      <c r="F34" s="1137"/>
      <c r="G34" s="1124"/>
      <c r="H34" s="1137"/>
      <c r="I34" s="1124"/>
      <c r="J34" s="1137"/>
      <c r="K34" s="1139" t="s">
        <v>15359</v>
      </c>
      <c r="L34" s="1140" t="s">
        <v>15359</v>
      </c>
      <c r="M34" s="1141"/>
      <c r="N34" s="1141"/>
      <c r="O34" s="1141"/>
      <c r="P34" s="1142"/>
      <c r="Q34" s="1143"/>
      <c r="R34" s="1144" t="s">
        <v>15359</v>
      </c>
      <c r="S34" s="1137" t="s">
        <v>15359</v>
      </c>
      <c r="T34" s="1143"/>
      <c r="U34" s="1140" t="s">
        <v>15359</v>
      </c>
      <c r="V34" s="1141"/>
      <c r="W34" s="1141"/>
      <c r="X34" s="1141"/>
      <c r="Y34" s="1142"/>
      <c r="Z34" s="1139" t="s">
        <v>15359</v>
      </c>
      <c r="AA34" s="1124"/>
      <c r="AB34" s="1137"/>
      <c r="AC34" s="1124"/>
      <c r="AD34" s="1137"/>
      <c r="AE34" s="1124"/>
      <c r="AF34" s="1137"/>
      <c r="AG34" s="1124"/>
      <c r="AH34" s="1137"/>
      <c r="AI34" s="1145"/>
      <c r="AJ34" s="1126">
        <v>0</v>
      </c>
    </row>
    <row r="35" spans="1:38" s="1138" customFormat="1" ht="20.25" customHeight="1" x14ac:dyDescent="0.25">
      <c r="A35" s="1129"/>
      <c r="B35" s="1112"/>
      <c r="C35" s="1075"/>
      <c r="D35" s="1069">
        <v>0</v>
      </c>
      <c r="E35" s="1112"/>
      <c r="F35" s="1069">
        <v>0</v>
      </c>
      <c r="G35" s="1075"/>
      <c r="H35" s="1069">
        <v>3</v>
      </c>
      <c r="I35" s="1075"/>
      <c r="J35" s="1069">
        <v>11</v>
      </c>
      <c r="K35" s="1127" t="s">
        <v>278</v>
      </c>
      <c r="L35" s="1044">
        <v>14</v>
      </c>
      <c r="M35" s="1111"/>
      <c r="N35" s="1111"/>
      <c r="O35" s="1111"/>
      <c r="P35" s="1045"/>
      <c r="Q35" s="1127" t="s">
        <v>5</v>
      </c>
      <c r="R35" s="1044" t="s">
        <v>283</v>
      </c>
      <c r="S35" s="1045"/>
      <c r="T35" s="1127" t="s">
        <v>5</v>
      </c>
      <c r="U35" s="1044">
        <v>2</v>
      </c>
      <c r="V35" s="1111"/>
      <c r="W35" s="1111"/>
      <c r="X35" s="1111"/>
      <c r="Y35" s="1045"/>
      <c r="Z35" s="1127" t="s">
        <v>278</v>
      </c>
      <c r="AA35" s="1075"/>
      <c r="AB35" s="1069">
        <v>0</v>
      </c>
      <c r="AC35" s="1075"/>
      <c r="AD35" s="1069">
        <v>2</v>
      </c>
      <c r="AE35" s="1075"/>
      <c r="AF35" s="1069">
        <v>0</v>
      </c>
      <c r="AG35" s="1075"/>
      <c r="AH35" s="1069">
        <v>0</v>
      </c>
      <c r="AI35" s="1112"/>
      <c r="AJ35" s="1130"/>
    </row>
    <row r="36" spans="1:38" s="1115" customFormat="1" ht="20.25" customHeight="1" x14ac:dyDescent="0.25">
      <c r="A36" s="1152"/>
      <c r="B36" s="1153"/>
      <c r="C36" s="1037" t="s">
        <v>248</v>
      </c>
      <c r="D36" s="1037"/>
      <c r="E36" s="1037"/>
      <c r="F36" s="1037"/>
      <c r="G36" s="1037"/>
      <c r="H36" s="1037"/>
      <c r="I36" s="1037"/>
      <c r="J36" s="1037" t="s">
        <v>247</v>
      </c>
      <c r="K36" s="1037" t="s">
        <v>416</v>
      </c>
      <c r="L36" s="1037"/>
      <c r="M36" s="1037"/>
      <c r="N36" s="1037"/>
      <c r="O36" s="1037"/>
      <c r="P36" s="1037"/>
      <c r="Q36" s="1037"/>
      <c r="R36" s="1154" t="s">
        <v>1</v>
      </c>
      <c r="S36" s="1154"/>
      <c r="T36" s="1153"/>
      <c r="U36" s="1037" t="s">
        <v>248</v>
      </c>
      <c r="V36" s="1037"/>
      <c r="W36" s="1037"/>
      <c r="X36" s="1037"/>
      <c r="Y36" s="1037"/>
      <c r="Z36" s="1037"/>
      <c r="AA36" s="1037"/>
      <c r="AB36" s="1037" t="s">
        <v>247</v>
      </c>
      <c r="AC36" s="1037" t="s">
        <v>416</v>
      </c>
      <c r="AD36" s="1037"/>
      <c r="AE36" s="1037"/>
      <c r="AF36" s="1037"/>
      <c r="AG36" s="1037"/>
      <c r="AH36" s="1037"/>
      <c r="AI36" s="1037"/>
      <c r="AJ36" s="1155"/>
    </row>
    <row r="37" spans="1:38" s="1115" customFormat="1" ht="20.25" customHeight="1" x14ac:dyDescent="0.25">
      <c r="A37" s="1156"/>
      <c r="B37" s="1157"/>
      <c r="C37" s="1158"/>
      <c r="D37" s="1158"/>
      <c r="E37" s="1158"/>
      <c r="F37" s="1158"/>
      <c r="G37" s="1158"/>
      <c r="H37" s="1158"/>
      <c r="I37" s="1158"/>
      <c r="J37" s="1158"/>
      <c r="K37" s="1158"/>
      <c r="L37" s="1158"/>
      <c r="M37" s="1158"/>
      <c r="N37" s="1158"/>
      <c r="O37" s="1158"/>
      <c r="P37" s="1158"/>
      <c r="Q37" s="1158"/>
      <c r="R37" s="1159" t="s">
        <v>274</v>
      </c>
      <c r="S37" s="1160"/>
      <c r="U37" s="1040"/>
      <c r="V37" s="1040"/>
      <c r="W37" s="1040"/>
      <c r="X37" s="1040"/>
      <c r="Y37" s="1040"/>
      <c r="Z37" s="1040"/>
      <c r="AA37" s="1040"/>
      <c r="AB37" s="1040"/>
      <c r="AC37" s="1040"/>
      <c r="AD37" s="1040"/>
      <c r="AE37" s="1040"/>
      <c r="AF37" s="1040"/>
      <c r="AG37" s="1040"/>
      <c r="AH37" s="1040"/>
      <c r="AI37" s="1040"/>
      <c r="AJ37" s="1161"/>
    </row>
    <row r="38" spans="1:38" s="1138" customFormat="1" ht="20.25" customHeight="1" x14ac:dyDescent="0.25">
      <c r="A38" s="1117">
        <v>15</v>
      </c>
      <c r="B38" s="1115" t="s">
        <v>272</v>
      </c>
      <c r="C38" s="1115">
        <v>10</v>
      </c>
      <c r="D38" s="1115" t="s">
        <v>111</v>
      </c>
      <c r="E38" s="1040" t="s">
        <v>6016</v>
      </c>
      <c r="F38" s="1040"/>
      <c r="G38" s="1040"/>
      <c r="H38" s="1040"/>
      <c r="I38" s="1040"/>
      <c r="J38" s="1115" t="s">
        <v>247</v>
      </c>
      <c r="K38" s="1115">
        <v>2</v>
      </c>
      <c r="L38" s="1115" t="s">
        <v>111</v>
      </c>
      <c r="M38" s="1040" t="s">
        <v>7856</v>
      </c>
      <c r="N38" s="1040"/>
      <c r="O38" s="1040"/>
      <c r="P38" s="1040"/>
      <c r="Q38" s="1040"/>
      <c r="R38" s="1115"/>
      <c r="S38" s="1152">
        <v>14</v>
      </c>
      <c r="T38" s="1153" t="s">
        <v>272</v>
      </c>
      <c r="U38" s="1153">
        <v>1</v>
      </c>
      <c r="V38" s="1153" t="s">
        <v>111</v>
      </c>
      <c r="W38" s="1037" t="s">
        <v>8844</v>
      </c>
      <c r="X38" s="1037"/>
      <c r="Y38" s="1037"/>
      <c r="Z38" s="1037"/>
      <c r="AA38" s="1037"/>
      <c r="AB38" s="1153" t="s">
        <v>247</v>
      </c>
      <c r="AC38" s="1153">
        <v>16</v>
      </c>
      <c r="AD38" s="1153" t="s">
        <v>111</v>
      </c>
      <c r="AE38" s="1037" t="s">
        <v>8279</v>
      </c>
      <c r="AF38" s="1037"/>
      <c r="AG38" s="1037"/>
      <c r="AH38" s="1037"/>
      <c r="AI38" s="1037"/>
      <c r="AJ38" s="1162"/>
      <c r="AK38" s="1115"/>
      <c r="AL38" s="1115"/>
    </row>
    <row r="39" spans="1:38" s="1138" customFormat="1" ht="19.5" customHeight="1" x14ac:dyDescent="0.25">
      <c r="A39" s="1117">
        <v>15</v>
      </c>
      <c r="B39" s="1115" t="s">
        <v>272</v>
      </c>
      <c r="C39" s="1115">
        <v>8</v>
      </c>
      <c r="D39" s="1115" t="s">
        <v>111</v>
      </c>
      <c r="E39" s="1040" t="s">
        <v>4683</v>
      </c>
      <c r="F39" s="1040"/>
      <c r="G39" s="1040"/>
      <c r="H39" s="1040"/>
      <c r="I39" s="1040"/>
      <c r="J39" s="1115" t="s">
        <v>247</v>
      </c>
      <c r="K39" s="1115">
        <v>6</v>
      </c>
      <c r="L39" s="1115" t="s">
        <v>111</v>
      </c>
      <c r="M39" s="1040" t="s">
        <v>5862</v>
      </c>
      <c r="N39" s="1040"/>
      <c r="O39" s="1040"/>
      <c r="P39" s="1040"/>
      <c r="Q39" s="1040"/>
      <c r="R39" s="1115"/>
      <c r="S39" s="1117">
        <v>15</v>
      </c>
      <c r="T39" s="1115" t="s">
        <v>272</v>
      </c>
      <c r="U39" s="1115">
        <v>4</v>
      </c>
      <c r="V39" s="1115" t="s">
        <v>111</v>
      </c>
      <c r="W39" s="1040" t="s">
        <v>8256</v>
      </c>
      <c r="X39" s="1040"/>
      <c r="Y39" s="1040"/>
      <c r="Z39" s="1040"/>
      <c r="AA39" s="1040"/>
      <c r="AB39" s="1115" t="s">
        <v>247</v>
      </c>
      <c r="AC39" s="1115">
        <v>12</v>
      </c>
      <c r="AD39" s="1115" t="s">
        <v>111</v>
      </c>
      <c r="AE39" s="1040" t="s">
        <v>8296</v>
      </c>
      <c r="AF39" s="1040"/>
      <c r="AG39" s="1040"/>
      <c r="AH39" s="1040"/>
      <c r="AI39" s="1040"/>
      <c r="AJ39" s="1163"/>
      <c r="AK39" s="1115"/>
      <c r="AL39" s="1115"/>
    </row>
    <row r="40" spans="1:38" s="1138" customFormat="1" ht="20.25" customHeight="1" x14ac:dyDescent="0.25">
      <c r="A40" s="1117">
        <v>24</v>
      </c>
      <c r="B40" s="1115" t="s">
        <v>272</v>
      </c>
      <c r="C40" s="1115">
        <v>7</v>
      </c>
      <c r="D40" s="1115" t="s">
        <v>111</v>
      </c>
      <c r="E40" s="1040" t="s">
        <v>6017</v>
      </c>
      <c r="F40" s="1040"/>
      <c r="G40" s="1040"/>
      <c r="H40" s="1040"/>
      <c r="I40" s="1040"/>
      <c r="J40" s="1115" t="s">
        <v>247</v>
      </c>
      <c r="K40" s="1115">
        <v>10</v>
      </c>
      <c r="L40" s="1115" t="s">
        <v>111</v>
      </c>
      <c r="M40" s="1040" t="s">
        <v>6016</v>
      </c>
      <c r="N40" s="1040"/>
      <c r="O40" s="1040"/>
      <c r="P40" s="1040"/>
      <c r="Q40" s="1040"/>
      <c r="R40" s="1115"/>
      <c r="S40" s="1117">
        <v>26</v>
      </c>
      <c r="T40" s="1115" t="s">
        <v>272</v>
      </c>
      <c r="U40" s="1115">
        <v>5</v>
      </c>
      <c r="V40" s="1115" t="s">
        <v>111</v>
      </c>
      <c r="W40" s="1040" t="s">
        <v>5675</v>
      </c>
      <c r="X40" s="1040"/>
      <c r="Y40" s="1040"/>
      <c r="Z40" s="1040"/>
      <c r="AA40" s="1040"/>
      <c r="AB40" s="1115" t="s">
        <v>247</v>
      </c>
      <c r="AC40" s="1115">
        <v>15</v>
      </c>
      <c r="AD40" s="1115" t="s">
        <v>111</v>
      </c>
      <c r="AE40" s="1040" t="s">
        <v>8975</v>
      </c>
      <c r="AF40" s="1040"/>
      <c r="AG40" s="1040"/>
      <c r="AH40" s="1040"/>
      <c r="AI40" s="1040"/>
      <c r="AJ40" s="1163"/>
      <c r="AK40" s="1115"/>
      <c r="AL40" s="1115"/>
    </row>
    <row r="41" spans="1:38" s="1138" customFormat="1" ht="20.25" customHeight="1" x14ac:dyDescent="0.25">
      <c r="A41" s="1117">
        <v>24</v>
      </c>
      <c r="B41" s="1115" t="s">
        <v>272</v>
      </c>
      <c r="C41" s="1115">
        <v>5</v>
      </c>
      <c r="D41" s="1115" t="s">
        <v>111</v>
      </c>
      <c r="E41" s="1040" t="s">
        <v>6019</v>
      </c>
      <c r="F41" s="1040"/>
      <c r="G41" s="1040"/>
      <c r="H41" s="1040"/>
      <c r="I41" s="1040"/>
      <c r="J41" s="1115" t="s">
        <v>247</v>
      </c>
      <c r="K41" s="1115">
        <v>8</v>
      </c>
      <c r="L41" s="1115" t="s">
        <v>111</v>
      </c>
      <c r="M41" s="1040" t="s">
        <v>4683</v>
      </c>
      <c r="N41" s="1040"/>
      <c r="O41" s="1040"/>
      <c r="P41" s="1040"/>
      <c r="Q41" s="1040"/>
      <c r="R41" s="1115"/>
      <c r="S41" s="1117"/>
      <c r="T41" s="1115" t="s">
        <v>272</v>
      </c>
      <c r="U41" s="1115"/>
      <c r="V41" s="1115" t="s">
        <v>111</v>
      </c>
      <c r="W41" s="1040" t="s">
        <v>15359</v>
      </c>
      <c r="X41" s="1040"/>
      <c r="Y41" s="1040"/>
      <c r="Z41" s="1040"/>
      <c r="AA41" s="1040"/>
      <c r="AB41" s="1115" t="s">
        <v>247</v>
      </c>
      <c r="AC41" s="1115"/>
      <c r="AD41" s="1115" t="s">
        <v>111</v>
      </c>
      <c r="AE41" s="1040" t="s">
        <v>15359</v>
      </c>
      <c r="AF41" s="1040"/>
      <c r="AG41" s="1040"/>
      <c r="AH41" s="1040"/>
      <c r="AI41" s="1040"/>
      <c r="AJ41" s="1163"/>
      <c r="AK41" s="1115"/>
      <c r="AL41" s="1115"/>
    </row>
    <row r="42" spans="1:38" s="1138" customFormat="1" ht="20.25" customHeight="1" x14ac:dyDescent="0.25">
      <c r="A42" s="1117"/>
      <c r="B42" s="1115" t="s">
        <v>272</v>
      </c>
      <c r="C42" s="1115"/>
      <c r="D42" s="1115" t="s">
        <v>111</v>
      </c>
      <c r="E42" s="1040" t="s">
        <v>15359</v>
      </c>
      <c r="F42" s="1040"/>
      <c r="G42" s="1040"/>
      <c r="H42" s="1040"/>
      <c r="I42" s="1040"/>
      <c r="J42" s="1115" t="s">
        <v>247</v>
      </c>
      <c r="K42" s="1115"/>
      <c r="L42" s="1115" t="s">
        <v>111</v>
      </c>
      <c r="M42" s="1040" t="s">
        <v>15359</v>
      </c>
      <c r="N42" s="1040"/>
      <c r="O42" s="1040"/>
      <c r="P42" s="1040"/>
      <c r="Q42" s="1040"/>
      <c r="R42" s="1115"/>
      <c r="S42" s="1117"/>
      <c r="T42" s="1115" t="s">
        <v>272</v>
      </c>
      <c r="U42" s="1115"/>
      <c r="V42" s="1115" t="s">
        <v>111</v>
      </c>
      <c r="W42" s="1040" t="s">
        <v>15359</v>
      </c>
      <c r="X42" s="1040"/>
      <c r="Y42" s="1040"/>
      <c r="Z42" s="1040"/>
      <c r="AA42" s="1040"/>
      <c r="AB42" s="1115" t="s">
        <v>247</v>
      </c>
      <c r="AC42" s="1115"/>
      <c r="AD42" s="1115" t="s">
        <v>111</v>
      </c>
      <c r="AE42" s="1040" t="s">
        <v>15359</v>
      </c>
      <c r="AF42" s="1040"/>
      <c r="AG42" s="1040"/>
      <c r="AH42" s="1040"/>
      <c r="AI42" s="1040"/>
      <c r="AJ42" s="1163"/>
      <c r="AK42" s="1115"/>
      <c r="AL42" s="1115"/>
    </row>
    <row r="43" spans="1:38" s="1138" customFormat="1" ht="20.25" customHeight="1" x14ac:dyDescent="0.25">
      <c r="A43" s="1117"/>
      <c r="B43" s="1115" t="s">
        <v>272</v>
      </c>
      <c r="C43" s="1115"/>
      <c r="D43" s="1115" t="s">
        <v>111</v>
      </c>
      <c r="E43" s="1040" t="s">
        <v>15359</v>
      </c>
      <c r="F43" s="1040"/>
      <c r="G43" s="1040"/>
      <c r="H43" s="1040"/>
      <c r="I43" s="1040"/>
      <c r="J43" s="1115" t="s">
        <v>247</v>
      </c>
      <c r="K43" s="1115"/>
      <c r="L43" s="1115" t="s">
        <v>111</v>
      </c>
      <c r="M43" s="1040" t="s">
        <v>15359</v>
      </c>
      <c r="N43" s="1040"/>
      <c r="O43" s="1040"/>
      <c r="P43" s="1040"/>
      <c r="Q43" s="1040"/>
      <c r="R43" s="1115"/>
      <c r="S43" s="1117"/>
      <c r="T43" s="1115" t="s">
        <v>272</v>
      </c>
      <c r="U43" s="1115"/>
      <c r="V43" s="1115" t="s">
        <v>111</v>
      </c>
      <c r="W43" s="1040" t="s">
        <v>15359</v>
      </c>
      <c r="X43" s="1040"/>
      <c r="Y43" s="1040"/>
      <c r="Z43" s="1040"/>
      <c r="AA43" s="1040"/>
      <c r="AB43" s="1115" t="s">
        <v>247</v>
      </c>
      <c r="AC43" s="1115"/>
      <c r="AD43" s="1115" t="s">
        <v>111</v>
      </c>
      <c r="AE43" s="1040" t="s">
        <v>15359</v>
      </c>
      <c r="AF43" s="1040"/>
      <c r="AG43" s="1040"/>
      <c r="AH43" s="1040"/>
      <c r="AI43" s="1040"/>
      <c r="AJ43" s="1163"/>
      <c r="AK43" s="1115"/>
      <c r="AL43" s="1115"/>
    </row>
    <row r="44" spans="1:38" s="1138" customFormat="1" ht="20.25" customHeight="1" x14ac:dyDescent="0.25">
      <c r="A44" s="1117"/>
      <c r="B44" s="1115" t="s">
        <v>272</v>
      </c>
      <c r="C44" s="1115"/>
      <c r="D44" s="1115" t="s">
        <v>111</v>
      </c>
      <c r="E44" s="1040" t="s">
        <v>15359</v>
      </c>
      <c r="F44" s="1040"/>
      <c r="G44" s="1040"/>
      <c r="H44" s="1040"/>
      <c r="I44" s="1040"/>
      <c r="J44" s="1115" t="s">
        <v>247</v>
      </c>
      <c r="K44" s="1115"/>
      <c r="L44" s="1115" t="s">
        <v>111</v>
      </c>
      <c r="M44" s="1040" t="s">
        <v>15359</v>
      </c>
      <c r="N44" s="1040"/>
      <c r="O44" s="1040"/>
      <c r="P44" s="1040"/>
      <c r="Q44" s="1040"/>
      <c r="R44" s="1115"/>
      <c r="S44" s="1117"/>
      <c r="T44" s="1115" t="s">
        <v>272</v>
      </c>
      <c r="U44" s="1115"/>
      <c r="V44" s="1115" t="s">
        <v>111</v>
      </c>
      <c r="W44" s="1040" t="s">
        <v>15359</v>
      </c>
      <c r="X44" s="1040"/>
      <c r="Y44" s="1040"/>
      <c r="Z44" s="1040"/>
      <c r="AA44" s="1040"/>
      <c r="AB44" s="1115" t="s">
        <v>247</v>
      </c>
      <c r="AC44" s="1115"/>
      <c r="AD44" s="1115" t="s">
        <v>111</v>
      </c>
      <c r="AE44" s="1040" t="s">
        <v>15359</v>
      </c>
      <c r="AF44" s="1040"/>
      <c r="AG44" s="1040"/>
      <c r="AH44" s="1040"/>
      <c r="AI44" s="1040"/>
      <c r="AJ44" s="1163"/>
      <c r="AK44" s="1115"/>
      <c r="AL44" s="1115"/>
    </row>
    <row r="45" spans="1:38" s="1138" customFormat="1" ht="20.25" customHeight="1" x14ac:dyDescent="0.25">
      <c r="A45" s="1156"/>
      <c r="B45" s="1157" t="s">
        <v>272</v>
      </c>
      <c r="C45" s="1157"/>
      <c r="D45" s="1157" t="s">
        <v>111</v>
      </c>
      <c r="E45" s="1158" t="s">
        <v>15359</v>
      </c>
      <c r="F45" s="1158"/>
      <c r="G45" s="1158"/>
      <c r="H45" s="1158"/>
      <c r="I45" s="1158"/>
      <c r="J45" s="1157" t="s">
        <v>247</v>
      </c>
      <c r="K45" s="1157"/>
      <c r="L45" s="1157" t="s">
        <v>111</v>
      </c>
      <c r="M45" s="1158" t="s">
        <v>15359</v>
      </c>
      <c r="N45" s="1158"/>
      <c r="O45" s="1158"/>
      <c r="P45" s="1158"/>
      <c r="Q45" s="1158"/>
      <c r="R45" s="1157"/>
      <c r="S45" s="1156"/>
      <c r="T45" s="1157" t="s">
        <v>272</v>
      </c>
      <c r="U45" s="1157"/>
      <c r="V45" s="1157" t="s">
        <v>111</v>
      </c>
      <c r="W45" s="1158" t="s">
        <v>15359</v>
      </c>
      <c r="X45" s="1158"/>
      <c r="Y45" s="1158"/>
      <c r="Z45" s="1158"/>
      <c r="AA45" s="1158"/>
      <c r="AB45" s="1157" t="s">
        <v>247</v>
      </c>
      <c r="AC45" s="1157"/>
      <c r="AD45" s="1157" t="s">
        <v>111</v>
      </c>
      <c r="AE45" s="1158" t="s">
        <v>15359</v>
      </c>
      <c r="AF45" s="1158"/>
      <c r="AG45" s="1158"/>
      <c r="AH45" s="1158"/>
      <c r="AI45" s="1158"/>
      <c r="AJ45" s="1164"/>
      <c r="AK45" s="1115"/>
      <c r="AL45" s="1115"/>
    </row>
    <row r="46" spans="1:38" s="1115" customFormat="1" ht="36" customHeight="1" x14ac:dyDescent="0.25">
      <c r="A46" s="1055" t="s">
        <v>286</v>
      </c>
      <c r="B46" s="1062"/>
      <c r="C46" s="1062"/>
      <c r="D46" s="1062"/>
      <c r="E46" s="1062"/>
      <c r="F46" s="1062"/>
      <c r="G46" s="1051"/>
      <c r="H46" s="1059" t="s">
        <v>5</v>
      </c>
      <c r="I46" s="1051"/>
      <c r="J46" s="1059" t="s">
        <v>290</v>
      </c>
      <c r="K46" s="1051"/>
      <c r="L46" s="1062" t="s">
        <v>291</v>
      </c>
      <c r="M46" s="1051"/>
      <c r="N46" s="1059" t="s">
        <v>295</v>
      </c>
      <c r="O46" s="1051"/>
      <c r="P46" s="1059" t="s">
        <v>189</v>
      </c>
      <c r="Q46" s="1051"/>
      <c r="R46" s="1165" t="s">
        <v>298</v>
      </c>
      <c r="S46" s="1058"/>
      <c r="T46" s="1059" t="s">
        <v>189</v>
      </c>
      <c r="U46" s="1051"/>
      <c r="V46" s="1059" t="s">
        <v>295</v>
      </c>
      <c r="W46" s="1051"/>
      <c r="X46" s="1062" t="s">
        <v>291</v>
      </c>
      <c r="Y46" s="1051"/>
      <c r="Z46" s="1059" t="s">
        <v>290</v>
      </c>
      <c r="AA46" s="1062"/>
      <c r="AB46" s="1059" t="s">
        <v>5</v>
      </c>
      <c r="AC46" s="1051"/>
      <c r="AD46" s="1059" t="s">
        <v>286</v>
      </c>
      <c r="AE46" s="1062"/>
      <c r="AF46" s="1062"/>
      <c r="AG46" s="1062"/>
      <c r="AH46" s="1062"/>
      <c r="AI46" s="1062"/>
      <c r="AJ46" s="1063"/>
    </row>
    <row r="47" spans="1:38" s="1115" customFormat="1" ht="20.25" customHeight="1" x14ac:dyDescent="0.25">
      <c r="A47" s="1200" t="s">
        <v>15365</v>
      </c>
      <c r="B47" s="1138"/>
      <c r="C47" s="1138"/>
      <c r="D47" s="1138"/>
      <c r="E47" s="1138"/>
      <c r="F47" s="1138"/>
      <c r="G47" s="1138"/>
      <c r="H47" s="1125">
        <v>2</v>
      </c>
      <c r="I47" s="1125"/>
      <c r="J47" s="1125">
        <v>0</v>
      </c>
      <c r="K47" s="1125"/>
      <c r="L47" s="1089">
        <v>0</v>
      </c>
      <c r="M47" s="1061"/>
      <c r="N47" s="1070">
        <v>2</v>
      </c>
      <c r="O47" s="1061"/>
      <c r="P47" s="1070">
        <v>0</v>
      </c>
      <c r="Q47" s="1061"/>
      <c r="R47" s="1124" t="s">
        <v>421</v>
      </c>
      <c r="S47" s="1090" t="s">
        <v>15</v>
      </c>
      <c r="T47" s="1070">
        <v>4</v>
      </c>
      <c r="U47" s="1061"/>
      <c r="V47" s="1070">
        <v>0</v>
      </c>
      <c r="W47" s="1061"/>
      <c r="X47" s="1089">
        <v>0</v>
      </c>
      <c r="Y47" s="1061"/>
      <c r="Z47" s="1125">
        <v>0</v>
      </c>
      <c r="AA47" s="1125"/>
      <c r="AB47" s="1125">
        <v>4</v>
      </c>
      <c r="AC47" s="1125"/>
      <c r="AD47" s="1112"/>
      <c r="AE47" s="1112"/>
      <c r="AF47" s="1112"/>
      <c r="AG47" s="1112"/>
      <c r="AH47" s="1112"/>
      <c r="AI47" s="1112"/>
      <c r="AJ47" s="1130"/>
    </row>
    <row r="48" spans="1:38" s="1115" customFormat="1" ht="20.25" customHeight="1" x14ac:dyDescent="0.25">
      <c r="A48" s="1201"/>
      <c r="B48" s="1138"/>
      <c r="C48" s="1138"/>
      <c r="D48" s="1138"/>
      <c r="E48" s="1138"/>
      <c r="F48" s="1138"/>
      <c r="G48" s="1138"/>
      <c r="H48" s="1125">
        <v>14</v>
      </c>
      <c r="I48" s="1125"/>
      <c r="J48" s="1125">
        <v>0</v>
      </c>
      <c r="K48" s="1125"/>
      <c r="L48" s="1089">
        <v>0</v>
      </c>
      <c r="M48" s="1061"/>
      <c r="N48" s="1070">
        <v>4</v>
      </c>
      <c r="O48" s="1061"/>
      <c r="P48" s="1070">
        <v>10</v>
      </c>
      <c r="Q48" s="1061"/>
      <c r="R48" s="1124" t="s">
        <v>151</v>
      </c>
      <c r="S48" s="1090" t="s">
        <v>15</v>
      </c>
      <c r="T48" s="1070">
        <v>0</v>
      </c>
      <c r="U48" s="1061"/>
      <c r="V48" s="1070">
        <v>0</v>
      </c>
      <c r="W48" s="1061"/>
      <c r="X48" s="1089">
        <v>0</v>
      </c>
      <c r="Y48" s="1061"/>
      <c r="Z48" s="1125">
        <v>0</v>
      </c>
      <c r="AA48" s="1125"/>
      <c r="AB48" s="1125">
        <v>0</v>
      </c>
      <c r="AC48" s="1125"/>
      <c r="AJ48" s="1161"/>
    </row>
    <row r="49" spans="1:36" s="1115" customFormat="1" ht="20.25" customHeight="1" x14ac:dyDescent="0.25">
      <c r="A49" s="1201"/>
      <c r="B49" s="1138"/>
      <c r="C49" s="1138"/>
      <c r="D49" s="1138"/>
      <c r="E49" s="1138"/>
      <c r="F49" s="1138"/>
      <c r="G49" s="1138"/>
      <c r="H49" s="1125">
        <v>0</v>
      </c>
      <c r="I49" s="1125"/>
      <c r="J49" s="1125">
        <v>0</v>
      </c>
      <c r="K49" s="1125"/>
      <c r="L49" s="1089">
        <v>0</v>
      </c>
      <c r="M49" s="1061"/>
      <c r="N49" s="1070">
        <v>0</v>
      </c>
      <c r="O49" s="1061"/>
      <c r="P49" s="1070">
        <v>0</v>
      </c>
      <c r="Q49" s="1061"/>
      <c r="R49" s="1124" t="s">
        <v>300</v>
      </c>
      <c r="S49" s="1090" t="s">
        <v>425</v>
      </c>
      <c r="T49" s="1070">
        <v>0</v>
      </c>
      <c r="U49" s="1061"/>
      <c r="V49" s="1070">
        <v>1</v>
      </c>
      <c r="W49" s="1061"/>
      <c r="X49" s="1089">
        <v>0</v>
      </c>
      <c r="Y49" s="1061"/>
      <c r="Z49" s="1125">
        <v>0</v>
      </c>
      <c r="AA49" s="1125"/>
      <c r="AB49" s="1125">
        <v>1</v>
      </c>
      <c r="AC49" s="1125"/>
      <c r="AJ49" s="1161"/>
    </row>
    <row r="50" spans="1:36" s="1115" customFormat="1" ht="20.25" customHeight="1" x14ac:dyDescent="0.25">
      <c r="A50" s="1201"/>
      <c r="B50" s="1138"/>
      <c r="C50" s="1138"/>
      <c r="D50" s="1138"/>
      <c r="E50" s="1138"/>
      <c r="F50" s="1138"/>
      <c r="G50" s="1138"/>
      <c r="H50" s="1125">
        <v>0</v>
      </c>
      <c r="I50" s="1125"/>
      <c r="J50" s="1125">
        <v>0</v>
      </c>
      <c r="K50" s="1125"/>
      <c r="L50" s="1089">
        <v>0</v>
      </c>
      <c r="M50" s="1061"/>
      <c r="N50" s="1070">
        <v>0</v>
      </c>
      <c r="O50" s="1061"/>
      <c r="P50" s="1070">
        <v>0</v>
      </c>
      <c r="Q50" s="1061"/>
      <c r="R50" s="1124" t="s">
        <v>301</v>
      </c>
      <c r="S50" s="1090" t="s">
        <v>425</v>
      </c>
      <c r="T50" s="1070">
        <v>0</v>
      </c>
      <c r="U50" s="1061"/>
      <c r="V50" s="1070">
        <v>0</v>
      </c>
      <c r="W50" s="1061"/>
      <c r="X50" s="1089">
        <v>0</v>
      </c>
      <c r="Y50" s="1061"/>
      <c r="Z50" s="1125">
        <v>0</v>
      </c>
      <c r="AA50" s="1125"/>
      <c r="AB50" s="1125">
        <v>0</v>
      </c>
      <c r="AC50" s="1125"/>
      <c r="AJ50" s="1161"/>
    </row>
    <row r="51" spans="1:36" s="1115" customFormat="1" ht="20.25" customHeight="1" x14ac:dyDescent="0.25">
      <c r="A51" s="1148"/>
      <c r="B51" s="1150"/>
      <c r="C51" s="1150"/>
      <c r="D51" s="1150"/>
      <c r="E51" s="1150"/>
      <c r="F51" s="1150"/>
      <c r="G51" s="1150"/>
      <c r="H51" s="1125">
        <v>0</v>
      </c>
      <c r="I51" s="1125"/>
      <c r="J51" s="1125">
        <v>0</v>
      </c>
      <c r="K51" s="1125"/>
      <c r="L51" s="1089">
        <v>0</v>
      </c>
      <c r="M51" s="1061"/>
      <c r="N51" s="1070">
        <v>0</v>
      </c>
      <c r="O51" s="1061"/>
      <c r="P51" s="1070">
        <v>0</v>
      </c>
      <c r="Q51" s="1061"/>
      <c r="R51" s="1124" t="s">
        <v>120</v>
      </c>
      <c r="S51" s="1069" t="s">
        <v>15</v>
      </c>
      <c r="T51" s="1070">
        <v>0</v>
      </c>
      <c r="U51" s="1061"/>
      <c r="V51" s="1070">
        <v>0</v>
      </c>
      <c r="W51" s="1061"/>
      <c r="X51" s="1089">
        <v>0</v>
      </c>
      <c r="Y51" s="1061"/>
      <c r="Z51" s="1125">
        <v>0</v>
      </c>
      <c r="AA51" s="1125"/>
      <c r="AB51" s="1125">
        <v>0</v>
      </c>
      <c r="AC51" s="1125"/>
      <c r="AD51" s="1121"/>
      <c r="AE51" s="1121"/>
      <c r="AF51" s="1121"/>
      <c r="AG51" s="1121"/>
      <c r="AH51" s="1121"/>
      <c r="AI51" s="1121"/>
      <c r="AJ51" s="1122"/>
    </row>
    <row r="52" spans="1:36" s="1115" customFormat="1" ht="20.25" customHeight="1" x14ac:dyDescent="0.25">
      <c r="A52" s="1166" t="s">
        <v>261</v>
      </c>
      <c r="B52" s="1089"/>
      <c r="C52" s="1061"/>
      <c r="D52" s="1070" t="s">
        <v>303</v>
      </c>
      <c r="E52" s="1061"/>
      <c r="F52" s="1070" t="s">
        <v>312</v>
      </c>
      <c r="G52" s="1089"/>
      <c r="H52" s="1089"/>
      <c r="I52" s="1089"/>
      <c r="J52" s="1089"/>
      <c r="K52" s="1089"/>
      <c r="L52" s="1089"/>
      <c r="M52" s="1089"/>
      <c r="N52" s="1089"/>
      <c r="O52" s="1089"/>
      <c r="P52" s="1089"/>
      <c r="Q52" s="1089"/>
      <c r="R52" s="1167"/>
      <c r="S52" s="1166" t="s">
        <v>261</v>
      </c>
      <c r="T52" s="1089"/>
      <c r="U52" s="1061"/>
      <c r="V52" s="1070" t="s">
        <v>303</v>
      </c>
      <c r="W52" s="1061"/>
      <c r="X52" s="1070" t="s">
        <v>312</v>
      </c>
      <c r="Y52" s="1089"/>
      <c r="Z52" s="1089"/>
      <c r="AA52" s="1089"/>
      <c r="AB52" s="1089"/>
      <c r="AC52" s="1089"/>
      <c r="AD52" s="1089"/>
      <c r="AE52" s="1089"/>
      <c r="AF52" s="1089"/>
      <c r="AG52" s="1089"/>
      <c r="AH52" s="1089"/>
      <c r="AI52" s="1089"/>
      <c r="AJ52" s="1167"/>
    </row>
    <row r="53" spans="1:36" s="1115" customFormat="1" ht="20.25" customHeight="1" x14ac:dyDescent="0.25">
      <c r="A53" s="1123"/>
      <c r="B53" s="1146">
        <v>6</v>
      </c>
      <c r="C53" s="1090" t="s">
        <v>272</v>
      </c>
      <c r="D53" s="1070">
        <v>10</v>
      </c>
      <c r="E53" s="1061"/>
      <c r="F53" s="1070" t="s">
        <v>15366</v>
      </c>
      <c r="G53" s="1089"/>
      <c r="H53" s="1089"/>
      <c r="I53" s="1089"/>
      <c r="J53" s="1089"/>
      <c r="K53" s="1089"/>
      <c r="L53" s="1089"/>
      <c r="M53" s="1089"/>
      <c r="N53" s="1089"/>
      <c r="O53" s="1089"/>
      <c r="P53" s="1089"/>
      <c r="Q53" s="1089"/>
      <c r="R53" s="1167"/>
      <c r="S53" s="1123"/>
      <c r="T53" s="1146"/>
      <c r="U53" s="1090" t="s">
        <v>272</v>
      </c>
      <c r="V53" s="1070"/>
      <c r="W53" s="1061"/>
      <c r="X53" s="1070"/>
      <c r="Y53" s="1089"/>
      <c r="Z53" s="1089"/>
      <c r="AA53" s="1089"/>
      <c r="AB53" s="1089"/>
      <c r="AC53" s="1089"/>
      <c r="AD53" s="1089"/>
      <c r="AE53" s="1089"/>
      <c r="AF53" s="1089"/>
      <c r="AG53" s="1089"/>
      <c r="AH53" s="1089"/>
      <c r="AI53" s="1089"/>
      <c r="AJ53" s="1167"/>
    </row>
    <row r="54" spans="1:36" s="1115" customFormat="1" ht="20.25" customHeight="1" x14ac:dyDescent="0.25">
      <c r="A54" s="1123"/>
      <c r="B54" s="1146">
        <v>8</v>
      </c>
      <c r="C54" s="1090" t="s">
        <v>272</v>
      </c>
      <c r="D54" s="1070">
        <v>11</v>
      </c>
      <c r="E54" s="1061"/>
      <c r="F54" s="1070" t="s">
        <v>15367</v>
      </c>
      <c r="G54" s="1089"/>
      <c r="H54" s="1089"/>
      <c r="I54" s="1089"/>
      <c r="J54" s="1089"/>
      <c r="K54" s="1089"/>
      <c r="L54" s="1089"/>
      <c r="M54" s="1089"/>
      <c r="N54" s="1089"/>
      <c r="O54" s="1089"/>
      <c r="P54" s="1089"/>
      <c r="Q54" s="1089"/>
      <c r="R54" s="1167"/>
      <c r="S54" s="1123"/>
      <c r="T54" s="1146"/>
      <c r="U54" s="1090" t="s">
        <v>272</v>
      </c>
      <c r="V54" s="1070"/>
      <c r="W54" s="1061"/>
      <c r="X54" s="1070"/>
      <c r="Y54" s="1089"/>
      <c r="Z54" s="1089"/>
      <c r="AA54" s="1089"/>
      <c r="AB54" s="1089"/>
      <c r="AC54" s="1089"/>
      <c r="AD54" s="1089"/>
      <c r="AE54" s="1089"/>
      <c r="AF54" s="1089"/>
      <c r="AG54" s="1089"/>
      <c r="AH54" s="1089"/>
      <c r="AI54" s="1089"/>
      <c r="AJ54" s="1167"/>
    </row>
    <row r="55" spans="1:36" s="1115" customFormat="1" ht="20.25" customHeight="1" x14ac:dyDescent="0.25">
      <c r="A55" s="1123"/>
      <c r="B55" s="1146">
        <v>9</v>
      </c>
      <c r="C55" s="1090" t="s">
        <v>272</v>
      </c>
      <c r="D55" s="1070">
        <v>10</v>
      </c>
      <c r="E55" s="1061"/>
      <c r="F55" s="1070" t="s">
        <v>15366</v>
      </c>
      <c r="G55" s="1089"/>
      <c r="H55" s="1089"/>
      <c r="I55" s="1089"/>
      <c r="J55" s="1089"/>
      <c r="K55" s="1089"/>
      <c r="L55" s="1089"/>
      <c r="M55" s="1089"/>
      <c r="N55" s="1089"/>
      <c r="O55" s="1089"/>
      <c r="P55" s="1089"/>
      <c r="Q55" s="1089"/>
      <c r="R55" s="1167"/>
      <c r="S55" s="1123"/>
      <c r="T55" s="1146"/>
      <c r="U55" s="1090" t="s">
        <v>272</v>
      </c>
      <c r="V55" s="1070"/>
      <c r="W55" s="1061"/>
      <c r="X55" s="1070"/>
      <c r="Y55" s="1089"/>
      <c r="Z55" s="1089"/>
      <c r="AA55" s="1089"/>
      <c r="AB55" s="1089"/>
      <c r="AC55" s="1089"/>
      <c r="AD55" s="1089"/>
      <c r="AE55" s="1089"/>
      <c r="AF55" s="1089"/>
      <c r="AG55" s="1089"/>
      <c r="AH55" s="1089"/>
      <c r="AI55" s="1089"/>
      <c r="AJ55" s="1167"/>
    </row>
    <row r="56" spans="1:36" s="1115" customFormat="1" ht="20.25" customHeight="1" x14ac:dyDescent="0.25">
      <c r="A56" s="1123"/>
      <c r="B56" s="1146">
        <v>12</v>
      </c>
      <c r="C56" s="1090" t="s">
        <v>272</v>
      </c>
      <c r="D56" s="1070">
        <v>10</v>
      </c>
      <c r="E56" s="1061"/>
      <c r="F56" s="1070" t="s">
        <v>15366</v>
      </c>
      <c r="G56" s="1089"/>
      <c r="H56" s="1089"/>
      <c r="I56" s="1089"/>
      <c r="J56" s="1089"/>
      <c r="K56" s="1089"/>
      <c r="L56" s="1089"/>
      <c r="M56" s="1089"/>
      <c r="N56" s="1089"/>
      <c r="O56" s="1089"/>
      <c r="P56" s="1089"/>
      <c r="Q56" s="1089"/>
      <c r="R56" s="1167"/>
      <c r="S56" s="1123"/>
      <c r="T56" s="1146"/>
      <c r="U56" s="1090" t="s">
        <v>272</v>
      </c>
      <c r="V56" s="1070"/>
      <c r="W56" s="1061"/>
      <c r="X56" s="1070"/>
      <c r="Y56" s="1089"/>
      <c r="Z56" s="1089"/>
      <c r="AA56" s="1089"/>
      <c r="AB56" s="1089"/>
      <c r="AC56" s="1089"/>
      <c r="AD56" s="1089"/>
      <c r="AE56" s="1089"/>
      <c r="AF56" s="1089"/>
      <c r="AG56" s="1089"/>
      <c r="AH56" s="1089"/>
      <c r="AI56" s="1089"/>
      <c r="AJ56" s="1167"/>
    </row>
    <row r="57" spans="1:36" s="1115" customFormat="1" ht="20.25" customHeight="1" x14ac:dyDescent="0.25">
      <c r="A57" s="1123"/>
      <c r="B57" s="1146">
        <v>13</v>
      </c>
      <c r="C57" s="1090" t="s">
        <v>272</v>
      </c>
      <c r="D57" s="1070">
        <v>3</v>
      </c>
      <c r="E57" s="1061"/>
      <c r="F57" s="1070" t="s">
        <v>15368</v>
      </c>
      <c r="G57" s="1089"/>
      <c r="H57" s="1089"/>
      <c r="I57" s="1089"/>
      <c r="J57" s="1089"/>
      <c r="K57" s="1089"/>
      <c r="L57" s="1089"/>
      <c r="M57" s="1089"/>
      <c r="N57" s="1089"/>
      <c r="O57" s="1089"/>
      <c r="P57" s="1089"/>
      <c r="Q57" s="1089"/>
      <c r="R57" s="1167"/>
      <c r="S57" s="1123"/>
      <c r="T57" s="1146"/>
      <c r="U57" s="1090" t="s">
        <v>272</v>
      </c>
      <c r="V57" s="1070"/>
      <c r="W57" s="1061"/>
      <c r="X57" s="1070"/>
      <c r="Y57" s="1089"/>
      <c r="Z57" s="1089"/>
      <c r="AA57" s="1089"/>
      <c r="AB57" s="1089"/>
      <c r="AC57" s="1089"/>
      <c r="AD57" s="1089"/>
      <c r="AE57" s="1089"/>
      <c r="AF57" s="1089"/>
      <c r="AG57" s="1089"/>
      <c r="AH57" s="1089"/>
      <c r="AI57" s="1089"/>
      <c r="AJ57" s="1167"/>
    </row>
    <row r="58" spans="1:36" s="1115" customFormat="1" ht="20.25" customHeight="1" x14ac:dyDescent="0.25">
      <c r="A58" s="1123"/>
      <c r="B58" s="1146">
        <v>23</v>
      </c>
      <c r="C58" s="1090" t="s">
        <v>272</v>
      </c>
      <c r="D58" s="1070">
        <v>11</v>
      </c>
      <c r="E58" s="1061"/>
      <c r="F58" s="1070" t="s">
        <v>15369</v>
      </c>
      <c r="G58" s="1089"/>
      <c r="H58" s="1089"/>
      <c r="I58" s="1089"/>
      <c r="J58" s="1089"/>
      <c r="K58" s="1089"/>
      <c r="L58" s="1089"/>
      <c r="M58" s="1089"/>
      <c r="N58" s="1089"/>
      <c r="O58" s="1089"/>
      <c r="P58" s="1089"/>
      <c r="Q58" s="1089"/>
      <c r="R58" s="1167"/>
      <c r="S58" s="1123"/>
      <c r="T58" s="1146"/>
      <c r="U58" s="1090" t="s">
        <v>272</v>
      </c>
      <c r="V58" s="1070"/>
      <c r="W58" s="1061"/>
      <c r="X58" s="1070"/>
      <c r="Y58" s="1089"/>
      <c r="Z58" s="1089"/>
      <c r="AA58" s="1089"/>
      <c r="AB58" s="1089"/>
      <c r="AC58" s="1089"/>
      <c r="AD58" s="1089"/>
      <c r="AE58" s="1089"/>
      <c r="AF58" s="1089"/>
      <c r="AG58" s="1089"/>
      <c r="AH58" s="1089"/>
      <c r="AI58" s="1089"/>
      <c r="AJ58" s="1167"/>
    </row>
    <row r="59" spans="1:36" s="1115" customFormat="1" ht="20.25" customHeight="1" x14ac:dyDescent="0.25">
      <c r="A59" s="1168" t="s">
        <v>317</v>
      </c>
      <c r="B59" s="1169"/>
      <c r="C59" s="1170"/>
      <c r="D59" s="1171" t="s">
        <v>319</v>
      </c>
      <c r="E59" s="1171"/>
      <c r="F59" s="1171"/>
      <c r="G59" s="1170"/>
      <c r="H59" s="1171" t="s">
        <v>323</v>
      </c>
      <c r="I59" s="1171"/>
      <c r="J59" s="1170" t="s">
        <v>326</v>
      </c>
      <c r="K59" s="1170"/>
      <c r="L59" s="1171" t="s">
        <v>327</v>
      </c>
      <c r="M59" s="1171"/>
      <c r="N59" s="1171"/>
      <c r="O59" s="1170" t="s">
        <v>247</v>
      </c>
      <c r="P59" s="1170"/>
      <c r="Q59" s="1171" t="s">
        <v>329</v>
      </c>
      <c r="R59" s="1171"/>
      <c r="S59" s="1170" t="s">
        <v>330</v>
      </c>
      <c r="T59" s="1170"/>
      <c r="U59" s="1171" t="s">
        <v>332</v>
      </c>
      <c r="V59" s="1171"/>
      <c r="W59" s="1170" t="s">
        <v>410</v>
      </c>
      <c r="X59" s="1170"/>
      <c r="Y59" s="1171" t="s">
        <v>207</v>
      </c>
      <c r="Z59" s="1171"/>
      <c r="AA59" s="1171"/>
      <c r="AB59" s="1170" t="s">
        <v>429</v>
      </c>
      <c r="AC59" s="1170"/>
      <c r="AD59" s="1171" t="s">
        <v>431</v>
      </c>
      <c r="AE59" s="1171"/>
      <c r="AF59" s="1170" t="s">
        <v>435</v>
      </c>
      <c r="AG59" s="1170"/>
      <c r="AH59" s="1170"/>
      <c r="AI59" s="1170"/>
      <c r="AJ59" s="1172"/>
    </row>
    <row r="60" spans="1:36" s="1115" customFormat="1" ht="20.25" customHeight="1" x14ac:dyDescent="0.25">
      <c r="A60" s="1173" t="s">
        <v>2435</v>
      </c>
      <c r="B60" s="1173"/>
      <c r="C60" s="1173"/>
      <c r="D60" s="1173"/>
      <c r="E60" s="1173"/>
      <c r="F60" s="1173"/>
      <c r="G60" s="1173"/>
      <c r="H60" s="1173"/>
      <c r="I60" s="1173"/>
      <c r="J60" s="1173"/>
      <c r="K60" s="1173"/>
      <c r="L60" s="1173"/>
      <c r="M60" s="1173"/>
      <c r="N60" s="1173"/>
      <c r="O60" s="1173"/>
      <c r="P60" s="1173"/>
      <c r="Q60" s="1173"/>
      <c r="R60" s="1173"/>
      <c r="S60" s="1173"/>
      <c r="T60" s="1173"/>
      <c r="U60" s="1173"/>
      <c r="V60" s="1173"/>
      <c r="W60" s="1173"/>
      <c r="X60" s="1173"/>
      <c r="Y60" s="1173"/>
      <c r="Z60" s="1173"/>
      <c r="AA60" s="1173"/>
      <c r="AB60" s="1173"/>
      <c r="AC60" s="1173"/>
      <c r="AD60" s="1173"/>
      <c r="AE60" s="1173"/>
      <c r="AF60" s="1173"/>
      <c r="AG60" s="1173"/>
      <c r="AH60" s="1173"/>
      <c r="AI60" s="1173"/>
      <c r="AJ60" s="1173"/>
    </row>
    <row r="61" spans="1:36" s="1115" customFormat="1" ht="20.25" customHeight="1" x14ac:dyDescent="0.25">
      <c r="A61" s="1174" t="s">
        <v>2866</v>
      </c>
      <c r="B61" s="1174"/>
      <c r="C61" s="1174"/>
      <c r="D61" s="1174"/>
      <c r="E61" s="1174"/>
      <c r="F61" s="1174"/>
      <c r="G61" s="1174"/>
      <c r="H61" s="1174"/>
      <c r="I61" s="1174"/>
      <c r="J61" s="1174"/>
      <c r="K61" s="1174"/>
      <c r="L61" s="1174"/>
      <c r="M61" s="1174"/>
      <c r="N61" s="1174"/>
      <c r="O61" s="1174"/>
      <c r="P61" s="1174"/>
      <c r="Q61" s="1174"/>
      <c r="R61" s="1174"/>
      <c r="S61" s="1174"/>
      <c r="T61" s="1174"/>
      <c r="U61" s="1174"/>
      <c r="V61" s="1174"/>
      <c r="W61" s="1174"/>
      <c r="X61" s="1174"/>
      <c r="Y61" s="1174"/>
      <c r="Z61" s="1174"/>
      <c r="AA61" s="1174"/>
      <c r="AB61" s="1174"/>
      <c r="AC61" s="1174"/>
      <c r="AD61" s="1174"/>
      <c r="AE61" s="1174"/>
      <c r="AF61" s="1174"/>
      <c r="AG61" s="1174"/>
      <c r="AH61" s="1174"/>
      <c r="AI61" s="1174"/>
      <c r="AJ61" s="1174"/>
    </row>
    <row r="62" spans="1:36" ht="18.75" hidden="1" customHeight="1" x14ac:dyDescent="0.25">
      <c r="A62" s="1023"/>
      <c r="B62" s="1023"/>
      <c r="C62" s="1023"/>
      <c r="D62" s="1023"/>
      <c r="E62" s="1023"/>
      <c r="F62" s="1023"/>
      <c r="G62" s="1023"/>
      <c r="H62" s="1023"/>
      <c r="I62" s="1023"/>
      <c r="J62" s="1023"/>
      <c r="K62" s="1023"/>
      <c r="L62" s="1023"/>
      <c r="M62" s="1023"/>
      <c r="N62" s="1023"/>
      <c r="O62" s="1023"/>
      <c r="P62" s="1023"/>
      <c r="Q62" s="1023"/>
      <c r="R62" s="1023"/>
      <c r="S62" s="1023"/>
      <c r="T62" s="1023"/>
      <c r="U62" s="1023"/>
      <c r="V62" s="1023"/>
      <c r="W62" s="1023"/>
      <c r="X62" s="1023"/>
      <c r="Y62" s="1023"/>
      <c r="Z62" s="1023"/>
      <c r="AA62" s="1023"/>
      <c r="AB62" s="1023"/>
      <c r="AC62" s="1023"/>
      <c r="AD62" s="1023"/>
      <c r="AE62" s="1023"/>
      <c r="AF62" s="1023"/>
      <c r="AG62" s="1023"/>
      <c r="AH62" s="1023"/>
      <c r="AI62" s="1023"/>
      <c r="AJ62" s="1175"/>
    </row>
    <row r="63" spans="1:36" s="1138" customFormat="1" ht="20.25" hidden="1" customHeight="1" x14ac:dyDescent="0.25">
      <c r="A63" s="1176" t="s">
        <v>106</v>
      </c>
      <c r="B63" s="1177"/>
      <c r="C63" s="1177"/>
      <c r="D63" s="1177"/>
      <c r="E63" s="1178" t="s">
        <v>336</v>
      </c>
      <c r="F63" s="1177"/>
      <c r="G63" s="1177"/>
      <c r="H63" s="1177"/>
      <c r="I63" s="1177"/>
      <c r="J63" s="1177"/>
      <c r="K63" s="1178" t="s">
        <v>339</v>
      </c>
      <c r="L63" s="1178"/>
      <c r="M63" s="1177" t="s">
        <v>342</v>
      </c>
      <c r="N63" s="1177"/>
      <c r="O63" s="1177"/>
      <c r="P63" s="1177"/>
      <c r="Q63" s="1177"/>
      <c r="R63" s="1178" t="s">
        <v>336</v>
      </c>
      <c r="S63" s="1177"/>
      <c r="T63" s="1177"/>
      <c r="U63" s="1177"/>
      <c r="V63" s="1177"/>
      <c r="W63" s="1177"/>
      <c r="X63" s="1177"/>
      <c r="Y63" s="1177"/>
      <c r="Z63" s="1177"/>
      <c r="AA63" s="1177"/>
      <c r="AB63" s="1177"/>
      <c r="AC63" s="1177"/>
      <c r="AD63" s="1177"/>
      <c r="AE63" s="1177"/>
      <c r="AF63" s="1177"/>
      <c r="AG63" s="1177"/>
      <c r="AH63" s="1177"/>
      <c r="AI63" s="1178" t="s">
        <v>344</v>
      </c>
      <c r="AJ63" s="1179"/>
    </row>
    <row r="64" spans="1:36" ht="20.25" hidden="1" customHeight="1" x14ac:dyDescent="0.25">
      <c r="A64" s="1180"/>
      <c r="B64" s="1181"/>
      <c r="C64" s="1181"/>
      <c r="D64" s="1181"/>
      <c r="E64" s="1181"/>
      <c r="F64" s="1181"/>
      <c r="G64" s="1181"/>
      <c r="H64" s="1181"/>
      <c r="I64" s="1181"/>
      <c r="J64" s="1181"/>
      <c r="K64" s="1181"/>
      <c r="L64" s="1181"/>
      <c r="M64" s="1181"/>
      <c r="N64" s="1181"/>
      <c r="O64" s="1181"/>
      <c r="P64" s="1181"/>
      <c r="Q64" s="1181"/>
      <c r="R64" s="1181"/>
      <c r="S64" s="1181"/>
      <c r="T64" s="1181"/>
      <c r="U64" s="1181"/>
      <c r="V64" s="1181"/>
      <c r="W64" s="1181"/>
      <c r="X64" s="1181"/>
      <c r="Y64" s="1181"/>
      <c r="Z64" s="1181"/>
      <c r="AA64" s="1181"/>
      <c r="AB64" s="1181"/>
      <c r="AC64" s="1181"/>
      <c r="AD64" s="1181"/>
      <c r="AE64" s="1181"/>
      <c r="AF64" s="1181"/>
      <c r="AG64" s="1181"/>
      <c r="AH64" s="1181"/>
      <c r="AI64" s="1181"/>
      <c r="AJ64" s="1182"/>
    </row>
    <row r="65" spans="1:41" ht="20.25" hidden="1" customHeight="1" x14ac:dyDescent="0.25">
      <c r="A65" s="1183"/>
      <c r="AJ65" s="1184"/>
    </row>
    <row r="66" spans="1:41" ht="20.25" hidden="1" customHeight="1" x14ac:dyDescent="0.25">
      <c r="A66" s="1183"/>
      <c r="AJ66" s="1184"/>
    </row>
    <row r="67" spans="1:41" ht="20.25" hidden="1" customHeight="1" x14ac:dyDescent="0.25">
      <c r="A67" s="1183"/>
      <c r="AJ67" s="1184"/>
    </row>
    <row r="68" spans="1:41" ht="20.25" hidden="1" customHeight="1" x14ac:dyDescent="0.25">
      <c r="A68" s="1183"/>
      <c r="AJ68" s="1184"/>
    </row>
    <row r="69" spans="1:41" ht="20.25" hidden="1" customHeight="1" x14ac:dyDescent="0.25">
      <c r="A69" s="1183"/>
      <c r="AJ69" s="1184"/>
    </row>
    <row r="70" spans="1:41" ht="20.25" hidden="1" customHeight="1" x14ac:dyDescent="0.25">
      <c r="A70" s="1185"/>
      <c r="B70" s="1023"/>
      <c r="C70" s="1023"/>
      <c r="D70" s="1023"/>
      <c r="E70" s="1023"/>
      <c r="F70" s="1023"/>
      <c r="G70" s="1023"/>
      <c r="H70" s="1023"/>
      <c r="I70" s="1023"/>
      <c r="J70" s="1023"/>
      <c r="K70" s="1023"/>
      <c r="L70" s="1023"/>
      <c r="M70" s="1023"/>
      <c r="N70" s="1023"/>
      <c r="O70" s="1023"/>
      <c r="P70" s="1023"/>
      <c r="Q70" s="1023"/>
      <c r="R70" s="1023"/>
      <c r="S70" s="1023"/>
      <c r="T70" s="1023"/>
      <c r="U70" s="1023"/>
      <c r="V70" s="1023"/>
      <c r="W70" s="1023"/>
      <c r="X70" s="1023"/>
      <c r="Y70" s="1023"/>
      <c r="Z70" s="1023"/>
      <c r="AA70" s="1023"/>
      <c r="AB70" s="1023"/>
      <c r="AC70" s="1023"/>
      <c r="AD70" s="1023"/>
      <c r="AE70" s="1023"/>
      <c r="AF70" s="1023"/>
      <c r="AG70" s="1023"/>
      <c r="AH70" s="1023"/>
      <c r="AI70" s="1023"/>
      <c r="AJ70" s="1186"/>
    </row>
    <row r="72" spans="1:41" s="1138" customFormat="1" ht="16.149999999999999" x14ac:dyDescent="0.25">
      <c r="I72" s="1187" t="s">
        <v>86</v>
      </c>
      <c r="J72" s="1187"/>
      <c r="K72" s="1187"/>
      <c r="L72" s="1187"/>
      <c r="M72" s="1187"/>
      <c r="N72" s="1187"/>
      <c r="O72" s="1187"/>
      <c r="P72" s="1187" t="s">
        <v>2133</v>
      </c>
      <c r="Q72" s="1187"/>
      <c r="R72" s="1187"/>
      <c r="S72" s="1187"/>
      <c r="T72" s="1187"/>
      <c r="U72" s="1187"/>
      <c r="V72" s="1187"/>
      <c r="W72" s="1188" t="s">
        <v>347</v>
      </c>
      <c r="X72" s="1141"/>
      <c r="Y72" s="1141"/>
      <c r="Z72" s="1141"/>
      <c r="AA72" s="1141"/>
      <c r="AB72" s="1141"/>
      <c r="AC72" s="1142"/>
      <c r="AD72" s="1188" t="s">
        <v>349</v>
      </c>
      <c r="AE72" s="1141"/>
      <c r="AF72" s="1141"/>
      <c r="AG72" s="1141"/>
      <c r="AH72" s="1141"/>
      <c r="AI72" s="1141"/>
      <c r="AJ72" s="1142"/>
    </row>
    <row r="73" spans="1:41" ht="13.5" customHeight="1" x14ac:dyDescent="0.25">
      <c r="I73" s="1189" t="s">
        <v>15331</v>
      </c>
      <c r="J73" s="1189"/>
      <c r="K73" s="1189"/>
      <c r="L73" s="1189"/>
      <c r="M73" s="1189"/>
      <c r="N73" s="1189"/>
      <c r="O73" s="1189"/>
      <c r="P73" s="1189" t="s">
        <v>15336</v>
      </c>
      <c r="Q73" s="1189"/>
      <c r="R73" s="1189"/>
      <c r="S73" s="1189"/>
      <c r="T73" s="1189"/>
      <c r="U73" s="1189"/>
      <c r="V73" s="1189"/>
      <c r="W73" s="1190" t="s">
        <v>15327</v>
      </c>
      <c r="X73" s="1191"/>
      <c r="Y73" s="1191"/>
      <c r="Z73" s="1191"/>
      <c r="AA73" s="1191"/>
      <c r="AB73" s="1191"/>
      <c r="AC73" s="1192"/>
      <c r="AD73" s="1190" t="s">
        <v>15319</v>
      </c>
      <c r="AE73" s="1191"/>
      <c r="AF73" s="1191"/>
      <c r="AG73" s="1191"/>
      <c r="AH73" s="1191"/>
      <c r="AI73" s="1191"/>
      <c r="AJ73" s="1192"/>
    </row>
    <row r="74" spans="1:41" ht="13.5" customHeight="1" x14ac:dyDescent="0.25">
      <c r="I74" s="1189"/>
      <c r="J74" s="1189"/>
      <c r="K74" s="1189"/>
      <c r="L74" s="1189"/>
      <c r="M74" s="1189"/>
      <c r="N74" s="1189"/>
      <c r="O74" s="1189"/>
      <c r="P74" s="1189"/>
      <c r="Q74" s="1189"/>
      <c r="R74" s="1189"/>
      <c r="S74" s="1189"/>
      <c r="T74" s="1189"/>
      <c r="U74" s="1189"/>
      <c r="V74" s="1189"/>
      <c r="W74" s="1193"/>
      <c r="X74" s="1194"/>
      <c r="Y74" s="1194"/>
      <c r="Z74" s="1194"/>
      <c r="AA74" s="1194"/>
      <c r="AB74" s="1194"/>
      <c r="AC74" s="1195"/>
      <c r="AD74" s="1193"/>
      <c r="AE74" s="1194"/>
      <c r="AF74" s="1194"/>
      <c r="AG74" s="1194"/>
      <c r="AH74" s="1194"/>
      <c r="AI74" s="1194"/>
      <c r="AJ74" s="1195"/>
    </row>
    <row r="75" spans="1:41" ht="13.5" customHeight="1" x14ac:dyDescent="0.25">
      <c r="I75" s="1189"/>
      <c r="J75" s="1189"/>
      <c r="K75" s="1189"/>
      <c r="L75" s="1189"/>
      <c r="M75" s="1189"/>
      <c r="N75" s="1189"/>
      <c r="O75" s="1189"/>
      <c r="P75" s="1189"/>
      <c r="Q75" s="1189"/>
      <c r="R75" s="1189"/>
      <c r="S75" s="1189"/>
      <c r="T75" s="1189"/>
      <c r="U75" s="1189"/>
      <c r="V75" s="1189"/>
      <c r="W75" s="1196"/>
      <c r="X75" s="1197"/>
      <c r="Y75" s="1197"/>
      <c r="Z75" s="1197"/>
      <c r="AA75" s="1197"/>
      <c r="AB75" s="1197"/>
      <c r="AC75" s="1198"/>
      <c r="AD75" s="1196"/>
      <c r="AE75" s="1197"/>
      <c r="AF75" s="1197"/>
      <c r="AG75" s="1197"/>
      <c r="AH75" s="1197"/>
      <c r="AI75" s="1197"/>
      <c r="AJ75" s="1198"/>
    </row>
    <row r="76" spans="1:41" x14ac:dyDescent="0.25">
      <c r="AN76" s="1199"/>
      <c r="AO76" s="1199"/>
    </row>
    <row r="77" spans="1:41" x14ac:dyDescent="0.25">
      <c r="AN77" s="1199"/>
      <c r="AO77" s="1199"/>
    </row>
  </sheetData>
  <mergeCells count="273">
    <mergeCell ref="A1:F1"/>
    <mergeCell ref="G1:J1"/>
    <mergeCell ref="K1:L1"/>
    <mergeCell ref="A2:B2"/>
    <mergeCell ref="P2:Q2"/>
    <mergeCell ref="AF2:AJ2"/>
    <mergeCell ref="A3:B3"/>
    <mergeCell ref="O3:P3"/>
    <mergeCell ref="Q3:R3"/>
    <mergeCell ref="S3:AA3"/>
    <mergeCell ref="AF3:AJ3"/>
    <mergeCell ref="A4:B4"/>
    <mergeCell ref="O4:P4"/>
    <mergeCell ref="Q4:R4"/>
    <mergeCell ref="S4:AA4"/>
    <mergeCell ref="AC4:AD4"/>
    <mergeCell ref="AF4:AJ4"/>
    <mergeCell ref="A5:B5"/>
    <mergeCell ref="L5:M5"/>
    <mergeCell ref="S5:T5"/>
    <mergeCell ref="C2:N4"/>
    <mergeCell ref="AC2:AD3"/>
    <mergeCell ref="A6:B6"/>
    <mergeCell ref="L6:M6"/>
    <mergeCell ref="N6:O6"/>
    <mergeCell ref="S6:T6"/>
    <mergeCell ref="V6:Z6"/>
    <mergeCell ref="AA6:AE6"/>
    <mergeCell ref="AF6:AJ6"/>
    <mergeCell ref="A7:B7"/>
    <mergeCell ref="L7:M7"/>
    <mergeCell ref="N7:O7"/>
    <mergeCell ref="S7:T7"/>
    <mergeCell ref="AA7:AE7"/>
    <mergeCell ref="C5:I7"/>
    <mergeCell ref="A8:C8"/>
    <mergeCell ref="L8:O8"/>
    <mergeCell ref="R8:S8"/>
    <mergeCell ref="V8:X8"/>
    <mergeCell ref="AG8:AJ8"/>
    <mergeCell ref="B9:K9"/>
    <mergeCell ref="L9:O9"/>
    <mergeCell ref="R9:S9"/>
    <mergeCell ref="W9:AF9"/>
    <mergeCell ref="AG9:AJ9"/>
    <mergeCell ref="M10:O10"/>
    <mergeCell ref="R10:S10"/>
    <mergeCell ref="V10:X10"/>
    <mergeCell ref="L11:M11"/>
    <mergeCell ref="N11:O11"/>
    <mergeCell ref="R11:S11"/>
    <mergeCell ref="V11:W11"/>
    <mergeCell ref="X11:Y11"/>
    <mergeCell ref="R12:S12"/>
    <mergeCell ref="P8:P12"/>
    <mergeCell ref="U8:U12"/>
    <mergeCell ref="C13:J13"/>
    <mergeCell ref="AA13:AH13"/>
    <mergeCell ref="A14:B14"/>
    <mergeCell ref="C14:D14"/>
    <mergeCell ref="E14:F14"/>
    <mergeCell ref="G14:H14"/>
    <mergeCell ref="I14:J14"/>
    <mergeCell ref="R14:S14"/>
    <mergeCell ref="AA14:AB14"/>
    <mergeCell ref="AC14:AD14"/>
    <mergeCell ref="AE14:AF14"/>
    <mergeCell ref="AG14:AH14"/>
    <mergeCell ref="AI14:AJ14"/>
    <mergeCell ref="A15:B15"/>
    <mergeCell ref="C15:D15"/>
    <mergeCell ref="E15:F15"/>
    <mergeCell ref="G15:H15"/>
    <mergeCell ref="I15:J15"/>
    <mergeCell ref="AA15:AB15"/>
    <mergeCell ref="AC15:AD15"/>
    <mergeCell ref="AE15:AF15"/>
    <mergeCell ref="AG15:AH15"/>
    <mergeCell ref="AI15:AJ15"/>
    <mergeCell ref="L16:P16"/>
    <mergeCell ref="U16:Y16"/>
    <mergeCell ref="L17:P17"/>
    <mergeCell ref="U17:Y17"/>
    <mergeCell ref="L18:P18"/>
    <mergeCell ref="U18:Y18"/>
    <mergeCell ref="L19:P19"/>
    <mergeCell ref="U19:Y19"/>
    <mergeCell ref="L20:P20"/>
    <mergeCell ref="U20:Y20"/>
    <mergeCell ref="L21:P21"/>
    <mergeCell ref="U21:Y21"/>
    <mergeCell ref="L22:P22"/>
    <mergeCell ref="U22:Y22"/>
    <mergeCell ref="L23:P23"/>
    <mergeCell ref="U23:Y23"/>
    <mergeCell ref="Q24:T24"/>
    <mergeCell ref="L25:P25"/>
    <mergeCell ref="U25:Y25"/>
    <mergeCell ref="L26:P26"/>
    <mergeCell ref="U26:Y26"/>
    <mergeCell ref="L27:P27"/>
    <mergeCell ref="U27:Y27"/>
    <mergeCell ref="L28:P28"/>
    <mergeCell ref="U28:Y28"/>
    <mergeCell ref="L29:P29"/>
    <mergeCell ref="U29:Y29"/>
    <mergeCell ref="L30:P30"/>
    <mergeCell ref="U30:Y30"/>
    <mergeCell ref="L31:P31"/>
    <mergeCell ref="U31:Y31"/>
    <mergeCell ref="L32:P32"/>
    <mergeCell ref="U32:Y32"/>
    <mergeCell ref="L33:P33"/>
    <mergeCell ref="U33:Y33"/>
    <mergeCell ref="L34:P34"/>
    <mergeCell ref="U34:Y34"/>
    <mergeCell ref="L35:P35"/>
    <mergeCell ref="R35:S35"/>
    <mergeCell ref="U35:Y35"/>
    <mergeCell ref="R36:S36"/>
    <mergeCell ref="R37:S37"/>
    <mergeCell ref="E38:I38"/>
    <mergeCell ref="M38:Q38"/>
    <mergeCell ref="W38:AA38"/>
    <mergeCell ref="AE38:AI38"/>
    <mergeCell ref="E39:I39"/>
    <mergeCell ref="M39:Q39"/>
    <mergeCell ref="W39:AA39"/>
    <mergeCell ref="AE39:AI39"/>
    <mergeCell ref="C36:I37"/>
    <mergeCell ref="J36:J37"/>
    <mergeCell ref="K36:Q37"/>
    <mergeCell ref="U36:AA37"/>
    <mergeCell ref="AB36:AB37"/>
    <mergeCell ref="AC36:AI37"/>
    <mergeCell ref="E40:I40"/>
    <mergeCell ref="M40:Q40"/>
    <mergeCell ref="W40:AA40"/>
    <mergeCell ref="AE40:AI40"/>
    <mergeCell ref="E41:I41"/>
    <mergeCell ref="M41:Q41"/>
    <mergeCell ref="W41:AA41"/>
    <mergeCell ref="AE41:AI41"/>
    <mergeCell ref="E42:I42"/>
    <mergeCell ref="M42:Q42"/>
    <mergeCell ref="W42:AA42"/>
    <mergeCell ref="AE42:AI42"/>
    <mergeCell ref="E43:I43"/>
    <mergeCell ref="M43:Q43"/>
    <mergeCell ref="W43:AA43"/>
    <mergeCell ref="AE43:AI43"/>
    <mergeCell ref="E44:I44"/>
    <mergeCell ref="M44:Q44"/>
    <mergeCell ref="W44:AA44"/>
    <mergeCell ref="AE44:AI44"/>
    <mergeCell ref="E45:I45"/>
    <mergeCell ref="M45:Q45"/>
    <mergeCell ref="W45:AA45"/>
    <mergeCell ref="AE45:AI45"/>
    <mergeCell ref="A46:G46"/>
    <mergeCell ref="H46:I46"/>
    <mergeCell ref="J46:K46"/>
    <mergeCell ref="L46:M46"/>
    <mergeCell ref="N46:O46"/>
    <mergeCell ref="P46:Q46"/>
    <mergeCell ref="R46:S46"/>
    <mergeCell ref="T46:U46"/>
    <mergeCell ref="V46:W46"/>
    <mergeCell ref="X46:Y46"/>
    <mergeCell ref="Z46:AA46"/>
    <mergeCell ref="AB46:AC46"/>
    <mergeCell ref="AD46:AJ46"/>
    <mergeCell ref="H47:I47"/>
    <mergeCell ref="J47:K47"/>
    <mergeCell ref="L47:M47"/>
    <mergeCell ref="N47:O47"/>
    <mergeCell ref="P47:Q47"/>
    <mergeCell ref="T47:U47"/>
    <mergeCell ref="V47:W47"/>
    <mergeCell ref="X47:Y47"/>
    <mergeCell ref="Z47:AA47"/>
    <mergeCell ref="AB47:AC47"/>
    <mergeCell ref="AB48:AC48"/>
    <mergeCell ref="H49:I49"/>
    <mergeCell ref="J49:K49"/>
    <mergeCell ref="L49:M49"/>
    <mergeCell ref="N49:O49"/>
    <mergeCell ref="P49:Q49"/>
    <mergeCell ref="T49:U49"/>
    <mergeCell ref="V49:W49"/>
    <mergeCell ref="X49:Y49"/>
    <mergeCell ref="Z49:AA49"/>
    <mergeCell ref="AB49:AC49"/>
    <mergeCell ref="H48:I48"/>
    <mergeCell ref="J48:K48"/>
    <mergeCell ref="L48:M48"/>
    <mergeCell ref="N48:O48"/>
    <mergeCell ref="P48:Q48"/>
    <mergeCell ref="T48:U48"/>
    <mergeCell ref="V48:W48"/>
    <mergeCell ref="X48:Y48"/>
    <mergeCell ref="Z48:AA48"/>
    <mergeCell ref="AB50:AC50"/>
    <mergeCell ref="H51:I51"/>
    <mergeCell ref="J51:K51"/>
    <mergeCell ref="L51:M51"/>
    <mergeCell ref="N51:O51"/>
    <mergeCell ref="P51:Q51"/>
    <mergeCell ref="T51:U51"/>
    <mergeCell ref="V51:W51"/>
    <mergeCell ref="X51:Y51"/>
    <mergeCell ref="Z51:AA51"/>
    <mergeCell ref="AB51:AC51"/>
    <mergeCell ref="H50:I50"/>
    <mergeCell ref="J50:K50"/>
    <mergeCell ref="L50:M50"/>
    <mergeCell ref="N50:O50"/>
    <mergeCell ref="P50:Q50"/>
    <mergeCell ref="T50:U50"/>
    <mergeCell ref="V50:W50"/>
    <mergeCell ref="X50:Y50"/>
    <mergeCell ref="Z50:AA50"/>
    <mergeCell ref="A52:C52"/>
    <mergeCell ref="D52:E52"/>
    <mergeCell ref="F52:R52"/>
    <mergeCell ref="S52:U52"/>
    <mergeCell ref="V52:W52"/>
    <mergeCell ref="X52:AJ52"/>
    <mergeCell ref="D53:E53"/>
    <mergeCell ref="F53:R53"/>
    <mergeCell ref="V53:W53"/>
    <mergeCell ref="X53:AJ53"/>
    <mergeCell ref="D54:E54"/>
    <mergeCell ref="F54:R54"/>
    <mergeCell ref="V54:W54"/>
    <mergeCell ref="X54:AJ54"/>
    <mergeCell ref="D55:E55"/>
    <mergeCell ref="F55:R55"/>
    <mergeCell ref="V55:W55"/>
    <mergeCell ref="X55:AJ55"/>
    <mergeCell ref="D56:E56"/>
    <mergeCell ref="F56:R56"/>
    <mergeCell ref="V56:W56"/>
    <mergeCell ref="X56:AJ56"/>
    <mergeCell ref="D57:E57"/>
    <mergeCell ref="F57:R57"/>
    <mergeCell ref="V57:W57"/>
    <mergeCell ref="X57:AJ57"/>
    <mergeCell ref="D58:E58"/>
    <mergeCell ref="F58:R58"/>
    <mergeCell ref="V58:W58"/>
    <mergeCell ref="X58:AJ58"/>
    <mergeCell ref="D59:F59"/>
    <mergeCell ref="H59:I59"/>
    <mergeCell ref="L59:N59"/>
    <mergeCell ref="Q59:R59"/>
    <mergeCell ref="U59:V59"/>
    <mergeCell ref="Y59:AA59"/>
    <mergeCell ref="AD59:AE59"/>
    <mergeCell ref="I73:O75"/>
    <mergeCell ref="P73:V75"/>
    <mergeCell ref="W73:AC75"/>
    <mergeCell ref="AD73:AJ75"/>
    <mergeCell ref="A60:AJ60"/>
    <mergeCell ref="A61:AJ61"/>
    <mergeCell ref="A63:D63"/>
    <mergeCell ref="F63:J63"/>
    <mergeCell ref="M63:Q63"/>
    <mergeCell ref="S63:AH63"/>
    <mergeCell ref="I72:O72"/>
    <mergeCell ref="P72:V72"/>
    <mergeCell ref="W72:AC72"/>
    <mergeCell ref="AD72:AJ72"/>
  </mergeCells>
  <phoneticPr fontId="29"/>
  <printOptions horizontalCentered="1" verticalCentered="1"/>
  <pageMargins left="0" right="0" top="0" bottom="0" header="0.19685039370078741" footer="0.35433070866141736"/>
  <pageSetup paperSize="9" scale="63" orientation="portrait" r:id="rId1"/>
  <headerFooter alignWithMargins="0"/>
  <rowBreaks count="1" manualBreakCount="1">
    <brk id="70" max="1638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7">
    <tabColor theme="0"/>
    <pageSetUpPr fitToPage="1"/>
  </sheetPr>
  <dimension ref="A1:AO77"/>
  <sheetViews>
    <sheetView zoomScale="85" zoomScaleNormal="85" zoomScaleSheetLayoutView="75" workbookViewId="0">
      <selection activeCell="A2" sqref="A2:B2"/>
    </sheetView>
  </sheetViews>
  <sheetFormatPr defaultColWidth="3.796875" defaultRowHeight="12.75" x14ac:dyDescent="0.25"/>
  <cols>
    <col min="1" max="16" width="3.796875" style="1022"/>
    <col min="17" max="17" width="4.06640625" style="1022" bestFit="1" customWidth="1"/>
    <col min="18" max="19" width="3.796875" style="1022"/>
    <col min="20" max="20" width="4.06640625" style="1022" bestFit="1" customWidth="1"/>
    <col min="21" max="16384" width="3.796875" style="1022"/>
  </cols>
  <sheetData>
    <row r="1" spans="1:36" ht="30" customHeight="1" x14ac:dyDescent="0.25">
      <c r="A1" s="1018" t="s">
        <v>37</v>
      </c>
      <c r="B1" s="1018"/>
      <c r="C1" s="1019"/>
      <c r="D1" s="1019"/>
      <c r="E1" s="1019"/>
      <c r="F1" s="1019"/>
      <c r="G1" s="1020" t="s">
        <v>623</v>
      </c>
      <c r="H1" s="1020"/>
      <c r="I1" s="1020"/>
      <c r="J1" s="1020"/>
      <c r="K1" s="1021">
        <v>50</v>
      </c>
      <c r="L1" s="1020"/>
      <c r="T1" s="1023"/>
      <c r="U1" s="1023"/>
      <c r="V1" s="1023"/>
      <c r="W1" s="1023"/>
      <c r="X1" s="1023"/>
      <c r="Y1" s="1023"/>
      <c r="AA1" s="1023"/>
    </row>
    <row r="2" spans="1:36" ht="20.25" customHeight="1" x14ac:dyDescent="0.25">
      <c r="A2" s="1024" t="s">
        <v>2</v>
      </c>
      <c r="B2" s="1025"/>
      <c r="C2" s="1026" t="s">
        <v>7789</v>
      </c>
      <c r="D2" s="1027"/>
      <c r="E2" s="1027"/>
      <c r="F2" s="1027"/>
      <c r="G2" s="1027"/>
      <c r="H2" s="1027"/>
      <c r="I2" s="1027"/>
      <c r="J2" s="1027"/>
      <c r="K2" s="1027"/>
      <c r="L2" s="1027"/>
      <c r="M2" s="1027"/>
      <c r="N2" s="1028"/>
      <c r="O2" s="1029" t="s">
        <v>32</v>
      </c>
      <c r="P2" s="1030">
        <v>3</v>
      </c>
      <c r="Q2" s="1030"/>
      <c r="R2" s="1031" t="s">
        <v>14</v>
      </c>
      <c r="S2" s="1032"/>
      <c r="T2" s="1033"/>
      <c r="U2" s="1033"/>
      <c r="V2" s="1033"/>
      <c r="W2" s="1033"/>
      <c r="X2" s="1033"/>
      <c r="Y2" s="1033"/>
      <c r="Z2" s="1033"/>
      <c r="AA2" s="1034"/>
      <c r="AB2" s="1035" t="s">
        <v>49</v>
      </c>
      <c r="AC2" s="1036" t="s">
        <v>2311</v>
      </c>
      <c r="AD2" s="1025"/>
      <c r="AE2" s="1035" t="s">
        <v>53</v>
      </c>
      <c r="AF2" s="1036"/>
      <c r="AG2" s="1037"/>
      <c r="AH2" s="1037"/>
      <c r="AI2" s="1037"/>
      <c r="AJ2" s="1038"/>
    </row>
    <row r="3" spans="1:36" ht="20.25" customHeight="1" x14ac:dyDescent="0.25">
      <c r="A3" s="1039" t="s">
        <v>48</v>
      </c>
      <c r="B3" s="1040"/>
      <c r="C3" s="1041"/>
      <c r="D3" s="1042"/>
      <c r="E3" s="1042"/>
      <c r="F3" s="1042"/>
      <c r="G3" s="1042"/>
      <c r="H3" s="1042"/>
      <c r="I3" s="1042"/>
      <c r="J3" s="1042"/>
      <c r="K3" s="1042"/>
      <c r="L3" s="1042"/>
      <c r="M3" s="1042"/>
      <c r="N3" s="1043"/>
      <c r="O3" s="1044" t="s">
        <v>2313</v>
      </c>
      <c r="P3" s="1045"/>
      <c r="Q3" s="1044" t="s">
        <v>2314</v>
      </c>
      <c r="R3" s="1045"/>
      <c r="S3" s="1046">
        <v>46061</v>
      </c>
      <c r="T3" s="1047"/>
      <c r="U3" s="1047"/>
      <c r="V3" s="1047"/>
      <c r="W3" s="1047"/>
      <c r="X3" s="1047"/>
      <c r="Y3" s="1047"/>
      <c r="Z3" s="1047"/>
      <c r="AA3" s="1048"/>
      <c r="AB3" s="1049" t="s">
        <v>64</v>
      </c>
      <c r="AC3" s="1050"/>
      <c r="AD3" s="1051"/>
      <c r="AE3" s="1052" t="s">
        <v>69</v>
      </c>
      <c r="AF3" s="1053" t="s">
        <v>15334</v>
      </c>
      <c r="AG3" s="1040"/>
      <c r="AH3" s="1040"/>
      <c r="AI3" s="1040"/>
      <c r="AJ3" s="1054"/>
    </row>
    <row r="4" spans="1:36" ht="20.25" customHeight="1" x14ac:dyDescent="0.25">
      <c r="A4" s="1055" t="s">
        <v>75</v>
      </c>
      <c r="B4" s="1051"/>
      <c r="C4" s="1056"/>
      <c r="D4" s="1057"/>
      <c r="E4" s="1057"/>
      <c r="F4" s="1057"/>
      <c r="G4" s="1057"/>
      <c r="H4" s="1057"/>
      <c r="I4" s="1057"/>
      <c r="J4" s="1057"/>
      <c r="K4" s="1057"/>
      <c r="L4" s="1057"/>
      <c r="M4" s="1057"/>
      <c r="N4" s="1058"/>
      <c r="O4" s="1059" t="s">
        <v>28</v>
      </c>
      <c r="P4" s="1051"/>
      <c r="Q4" s="1059" t="s">
        <v>40</v>
      </c>
      <c r="R4" s="1051"/>
      <c r="S4" s="1056" t="s">
        <v>15349</v>
      </c>
      <c r="T4" s="1057"/>
      <c r="U4" s="1057"/>
      <c r="V4" s="1057"/>
      <c r="W4" s="1057"/>
      <c r="X4" s="1057"/>
      <c r="Y4" s="1057"/>
      <c r="Z4" s="1057"/>
      <c r="AA4" s="1058"/>
      <c r="AB4" s="1049" t="s">
        <v>77</v>
      </c>
      <c r="AC4" s="1060" t="s">
        <v>2312</v>
      </c>
      <c r="AD4" s="1061"/>
      <c r="AE4" s="1052" t="s">
        <v>82</v>
      </c>
      <c r="AF4" s="1050" t="s">
        <v>15335</v>
      </c>
      <c r="AG4" s="1062"/>
      <c r="AH4" s="1062"/>
      <c r="AI4" s="1062"/>
      <c r="AJ4" s="1063"/>
    </row>
    <row r="5" spans="1:36" ht="20.25" customHeight="1" x14ac:dyDescent="0.25">
      <c r="A5" s="1064" t="s">
        <v>48</v>
      </c>
      <c r="B5" s="1045"/>
      <c r="C5" s="1065" t="s">
        <v>15360</v>
      </c>
      <c r="D5" s="1066"/>
      <c r="E5" s="1066"/>
      <c r="F5" s="1066"/>
      <c r="G5" s="1066"/>
      <c r="H5" s="1066"/>
      <c r="I5" s="1067"/>
      <c r="J5" s="1068" t="s">
        <v>87</v>
      </c>
      <c r="K5" s="1069" t="s">
        <v>88</v>
      </c>
      <c r="L5" s="1070" t="s">
        <v>93</v>
      </c>
      <c r="M5" s="1071"/>
      <c r="N5" s="1072" t="s">
        <v>95</v>
      </c>
      <c r="O5" s="1073" t="s">
        <v>100</v>
      </c>
      <c r="P5" s="1074" t="s">
        <v>107</v>
      </c>
      <c r="Q5" s="1075" t="s">
        <v>113</v>
      </c>
      <c r="R5" s="1068" t="s">
        <v>125</v>
      </c>
      <c r="S5" s="1076" t="s">
        <v>127</v>
      </c>
      <c r="T5" s="1077"/>
      <c r="U5" s="1068" t="s">
        <v>130</v>
      </c>
      <c r="V5" s="1078" t="s">
        <v>131</v>
      </c>
      <c r="W5" s="1078"/>
      <c r="X5" s="1079"/>
      <c r="Y5" s="1078"/>
      <c r="Z5" s="1080"/>
      <c r="AA5" s="1081" t="s">
        <v>141</v>
      </c>
      <c r="AB5" s="1078"/>
      <c r="AC5" s="1078"/>
      <c r="AD5" s="1078"/>
      <c r="AE5" s="1080"/>
      <c r="AF5" s="1081" t="s">
        <v>2316</v>
      </c>
      <c r="AG5" s="1078"/>
      <c r="AH5" s="1078"/>
      <c r="AI5" s="1078"/>
      <c r="AJ5" s="1082"/>
    </row>
    <row r="6" spans="1:36" ht="20.25" customHeight="1" x14ac:dyDescent="0.25">
      <c r="A6" s="1039"/>
      <c r="B6" s="1083"/>
      <c r="C6" s="1084"/>
      <c r="D6" s="1085"/>
      <c r="E6" s="1085"/>
      <c r="F6" s="1085"/>
      <c r="G6" s="1085"/>
      <c r="H6" s="1085"/>
      <c r="I6" s="1086"/>
      <c r="J6" s="1087"/>
      <c r="K6" s="1088" t="s">
        <v>147</v>
      </c>
      <c r="L6" s="1070" t="s">
        <v>149</v>
      </c>
      <c r="M6" s="1071"/>
      <c r="N6" s="1060">
        <v>5.0999999999999996</v>
      </c>
      <c r="O6" s="1089"/>
      <c r="P6" s="1090" t="s">
        <v>154</v>
      </c>
      <c r="Q6" s="1052"/>
      <c r="R6" s="1087"/>
      <c r="S6" s="1091" t="s">
        <v>161</v>
      </c>
      <c r="T6" s="1092"/>
      <c r="U6" s="1087"/>
      <c r="V6" s="1093" t="s">
        <v>15323</v>
      </c>
      <c r="W6" s="1094"/>
      <c r="X6" s="1094"/>
      <c r="Y6" s="1094"/>
      <c r="Z6" s="1095"/>
      <c r="AA6" s="1093" t="s">
        <v>15324</v>
      </c>
      <c r="AB6" s="1094"/>
      <c r="AC6" s="1094"/>
      <c r="AD6" s="1094"/>
      <c r="AE6" s="1095"/>
      <c r="AF6" s="1093" t="s">
        <v>15326</v>
      </c>
      <c r="AG6" s="1094"/>
      <c r="AH6" s="1094"/>
      <c r="AI6" s="1094"/>
      <c r="AJ6" s="1096"/>
    </row>
    <row r="7" spans="1:36" ht="20.25" customHeight="1" x14ac:dyDescent="0.25">
      <c r="A7" s="1055" t="s">
        <v>155</v>
      </c>
      <c r="B7" s="1051"/>
      <c r="C7" s="1097"/>
      <c r="D7" s="1098"/>
      <c r="E7" s="1098"/>
      <c r="F7" s="1098"/>
      <c r="G7" s="1098"/>
      <c r="H7" s="1098"/>
      <c r="I7" s="1099"/>
      <c r="J7" s="1100" t="s">
        <v>162</v>
      </c>
      <c r="K7" s="1101" t="s">
        <v>172</v>
      </c>
      <c r="L7" s="1070" t="s">
        <v>182</v>
      </c>
      <c r="M7" s="1071"/>
      <c r="N7" s="1060">
        <v>25</v>
      </c>
      <c r="O7" s="1089"/>
      <c r="P7" s="1090" t="s">
        <v>136</v>
      </c>
      <c r="Q7" s="1049" t="s">
        <v>208</v>
      </c>
      <c r="R7" s="1100" t="s">
        <v>220</v>
      </c>
      <c r="S7" s="1102" t="s">
        <v>73</v>
      </c>
      <c r="T7" s="1103"/>
      <c r="U7" s="1100" t="s">
        <v>225</v>
      </c>
      <c r="V7" s="1104"/>
      <c r="W7" s="1104"/>
      <c r="X7" s="1104"/>
      <c r="Y7" s="1104"/>
      <c r="Z7" s="1105"/>
      <c r="AA7" s="1106" t="s">
        <v>15325</v>
      </c>
      <c r="AB7" s="1107"/>
      <c r="AC7" s="1107"/>
      <c r="AD7" s="1107"/>
      <c r="AE7" s="1108"/>
      <c r="AF7" s="1109"/>
      <c r="AG7" s="1104"/>
      <c r="AH7" s="1104"/>
      <c r="AI7" s="1104"/>
      <c r="AJ7" s="1110"/>
    </row>
    <row r="8" spans="1:36" s="1115" customFormat="1" ht="20.25" customHeight="1" x14ac:dyDescent="0.25">
      <c r="A8" s="1064" t="s">
        <v>228</v>
      </c>
      <c r="B8" s="1111"/>
      <c r="C8" s="1111"/>
      <c r="D8" s="1112"/>
      <c r="E8" s="1112"/>
      <c r="F8" s="1112"/>
      <c r="G8" s="1112"/>
      <c r="H8" s="1112"/>
      <c r="I8" s="1112"/>
      <c r="J8" s="1112"/>
      <c r="K8" s="1112"/>
      <c r="L8" s="1111"/>
      <c r="M8" s="1111"/>
      <c r="N8" s="1111"/>
      <c r="O8" s="1045"/>
      <c r="P8" s="1113">
        <v>1</v>
      </c>
      <c r="Q8" s="1114">
        <v>0</v>
      </c>
      <c r="R8" s="1070" t="s">
        <v>61</v>
      </c>
      <c r="S8" s="1061"/>
      <c r="T8" s="1114">
        <v>0</v>
      </c>
      <c r="U8" s="1113">
        <v>2</v>
      </c>
      <c r="V8" s="1044" t="s">
        <v>228</v>
      </c>
      <c r="W8" s="1111"/>
      <c r="X8" s="1111"/>
      <c r="Y8" s="1112"/>
      <c r="Z8" s="1112"/>
      <c r="AA8" s="1112"/>
      <c r="AE8" s="1112"/>
      <c r="AF8" s="1112"/>
      <c r="AG8" s="1111"/>
      <c r="AH8" s="1111"/>
      <c r="AI8" s="1111"/>
      <c r="AJ8" s="1116"/>
    </row>
    <row r="9" spans="1:36" s="1115" customFormat="1" ht="20.25" customHeight="1" x14ac:dyDescent="0.25">
      <c r="A9" s="1117"/>
      <c r="B9" s="1118" t="s">
        <v>1446</v>
      </c>
      <c r="C9" s="1118"/>
      <c r="D9" s="1118"/>
      <c r="E9" s="1118"/>
      <c r="F9" s="1118"/>
      <c r="G9" s="1118"/>
      <c r="H9" s="1118"/>
      <c r="I9" s="1118"/>
      <c r="J9" s="1118"/>
      <c r="K9" s="1118"/>
      <c r="L9" s="1040" t="s">
        <v>15363</v>
      </c>
      <c r="M9" s="1040"/>
      <c r="N9" s="1040"/>
      <c r="O9" s="1083"/>
      <c r="P9" s="1119"/>
      <c r="Q9" s="1114">
        <v>0</v>
      </c>
      <c r="R9" s="1070" t="s">
        <v>126</v>
      </c>
      <c r="S9" s="1061"/>
      <c r="T9" s="1114">
        <v>0</v>
      </c>
      <c r="U9" s="1119"/>
      <c r="V9" s="1052"/>
      <c r="W9" s="1118" t="s">
        <v>2188</v>
      </c>
      <c r="X9" s="1118"/>
      <c r="Y9" s="1118"/>
      <c r="Z9" s="1118"/>
      <c r="AA9" s="1118"/>
      <c r="AB9" s="1118"/>
      <c r="AC9" s="1118"/>
      <c r="AD9" s="1118"/>
      <c r="AE9" s="1118"/>
      <c r="AF9" s="1118"/>
      <c r="AG9" s="1040" t="s">
        <v>15364</v>
      </c>
      <c r="AH9" s="1040"/>
      <c r="AI9" s="1040"/>
      <c r="AJ9" s="1054"/>
    </row>
    <row r="10" spans="1:36" s="1115" customFormat="1" ht="20.25" customHeight="1" x14ac:dyDescent="0.25">
      <c r="A10" s="1120"/>
      <c r="B10" s="1121"/>
      <c r="C10" s="1121"/>
      <c r="D10" s="1121"/>
      <c r="E10" s="1121"/>
      <c r="F10" s="1121"/>
      <c r="G10" s="1121"/>
      <c r="H10" s="1121"/>
      <c r="I10" s="1121"/>
      <c r="J10" s="1062" t="s">
        <v>448</v>
      </c>
      <c r="K10" s="1062"/>
      <c r="L10" s="1062"/>
      <c r="M10" s="1062" t="s">
        <v>404</v>
      </c>
      <c r="N10" s="1062"/>
      <c r="O10" s="1051"/>
      <c r="P10" s="1119"/>
      <c r="Q10" s="1114">
        <v>1</v>
      </c>
      <c r="R10" s="1070" t="s">
        <v>203</v>
      </c>
      <c r="S10" s="1061"/>
      <c r="T10" s="1114">
        <v>1</v>
      </c>
      <c r="U10" s="1119"/>
      <c r="V10" s="1059" t="s">
        <v>404</v>
      </c>
      <c r="W10" s="1062"/>
      <c r="X10" s="1062"/>
      <c r="Y10" s="1062" t="s">
        <v>448</v>
      </c>
      <c r="Z10" s="1062"/>
      <c r="AA10" s="1062"/>
      <c r="AB10" s="1121"/>
      <c r="AC10" s="1121"/>
      <c r="AD10" s="1121"/>
      <c r="AE10" s="1121"/>
      <c r="AF10" s="1121"/>
      <c r="AG10" s="1121"/>
      <c r="AH10" s="1121"/>
      <c r="AI10" s="1121"/>
      <c r="AJ10" s="1122"/>
    </row>
    <row r="11" spans="1:36" s="1115" customFormat="1" ht="20.25" customHeight="1" x14ac:dyDescent="0.25">
      <c r="A11" s="1123"/>
      <c r="B11" s="1114"/>
      <c r="C11" s="1114"/>
      <c r="D11" s="1114"/>
      <c r="E11" s="1114"/>
      <c r="F11" s="1114"/>
      <c r="G11" s="1114"/>
      <c r="H11" s="1114"/>
      <c r="I11" s="1114"/>
      <c r="J11" s="1114"/>
      <c r="K11" s="1124"/>
      <c r="L11" s="1070" t="s">
        <v>234</v>
      </c>
      <c r="M11" s="1061"/>
      <c r="N11" s="1125" t="s">
        <v>407</v>
      </c>
      <c r="O11" s="1125"/>
      <c r="P11" s="1119"/>
      <c r="Q11" s="1114">
        <v>0</v>
      </c>
      <c r="R11" s="1070" t="s">
        <v>195</v>
      </c>
      <c r="S11" s="1061"/>
      <c r="T11" s="1114">
        <v>1</v>
      </c>
      <c r="U11" s="1119"/>
      <c r="V11" s="1125" t="s">
        <v>407</v>
      </c>
      <c r="W11" s="1125"/>
      <c r="X11" s="1070" t="s">
        <v>234</v>
      </c>
      <c r="Y11" s="1061"/>
      <c r="Z11" s="1114"/>
      <c r="AA11" s="1114"/>
      <c r="AB11" s="1114"/>
      <c r="AC11" s="1114"/>
      <c r="AD11" s="1114"/>
      <c r="AE11" s="1114"/>
      <c r="AF11" s="1114"/>
      <c r="AG11" s="1114"/>
      <c r="AH11" s="1114"/>
      <c r="AI11" s="1114"/>
      <c r="AJ11" s="1126"/>
    </row>
    <row r="12" spans="1:36" s="1115" customFormat="1" ht="20.25" customHeight="1" x14ac:dyDescent="0.25">
      <c r="A12" s="1123"/>
      <c r="B12" s="1114"/>
      <c r="C12" s="1127"/>
      <c r="D12" s="1127"/>
      <c r="E12" s="1127"/>
      <c r="F12" s="1127"/>
      <c r="G12" s="1114"/>
      <c r="H12" s="1114"/>
      <c r="I12" s="1114"/>
      <c r="J12" s="1114"/>
      <c r="K12" s="1124"/>
      <c r="L12" s="1124" t="s">
        <v>408</v>
      </c>
      <c r="M12" s="1090" t="s">
        <v>410</v>
      </c>
      <c r="N12" s="1124" t="s">
        <v>121</v>
      </c>
      <c r="O12" s="1090" t="s">
        <v>218</v>
      </c>
      <c r="P12" s="1128"/>
      <c r="Q12" s="1114"/>
      <c r="R12" s="1070" t="s">
        <v>22</v>
      </c>
      <c r="S12" s="1061"/>
      <c r="T12" s="1114"/>
      <c r="U12" s="1128"/>
      <c r="V12" s="1124" t="s">
        <v>121</v>
      </c>
      <c r="W12" s="1090" t="s">
        <v>218</v>
      </c>
      <c r="X12" s="1124" t="s">
        <v>408</v>
      </c>
      <c r="Y12" s="1090" t="s">
        <v>410</v>
      </c>
      <c r="Z12" s="1114"/>
      <c r="AA12" s="1114"/>
      <c r="AB12" s="1114"/>
      <c r="AC12" s="1114"/>
      <c r="AD12" s="1114"/>
      <c r="AE12" s="1114"/>
      <c r="AF12" s="1114"/>
      <c r="AG12" s="1114"/>
      <c r="AH12" s="1101"/>
      <c r="AI12" s="1114"/>
      <c r="AJ12" s="1126"/>
    </row>
    <row r="13" spans="1:36" s="1115" customFormat="1" ht="20.25" customHeight="1" x14ac:dyDescent="0.25">
      <c r="A13" s="1129"/>
      <c r="B13" s="1112"/>
      <c r="C13" s="1089" t="s">
        <v>176</v>
      </c>
      <c r="D13" s="1089"/>
      <c r="E13" s="1089"/>
      <c r="F13" s="1089"/>
      <c r="G13" s="1089"/>
      <c r="H13" s="1089"/>
      <c r="I13" s="1089"/>
      <c r="J13" s="1061"/>
      <c r="K13" s="1127" t="s">
        <v>238</v>
      </c>
      <c r="L13" s="1075"/>
      <c r="M13" s="1112"/>
      <c r="N13" s="1112"/>
      <c r="O13" s="1112"/>
      <c r="P13" s="1069"/>
      <c r="Q13" s="1127" t="s">
        <v>219</v>
      </c>
      <c r="R13" s="1075"/>
      <c r="S13" s="1069"/>
      <c r="T13" s="1127" t="s">
        <v>219</v>
      </c>
      <c r="U13" s="1075"/>
      <c r="V13" s="1112"/>
      <c r="W13" s="1112"/>
      <c r="X13" s="1112"/>
      <c r="Y13" s="1069"/>
      <c r="Z13" s="1127" t="s">
        <v>238</v>
      </c>
      <c r="AA13" s="1044" t="s">
        <v>176</v>
      </c>
      <c r="AB13" s="1111"/>
      <c r="AC13" s="1111"/>
      <c r="AD13" s="1111"/>
      <c r="AE13" s="1111"/>
      <c r="AF13" s="1111"/>
      <c r="AG13" s="1111"/>
      <c r="AH13" s="1111"/>
      <c r="AI13" s="1112"/>
      <c r="AJ13" s="1130"/>
    </row>
    <row r="14" spans="1:36" s="1115" customFormat="1" ht="20.25" customHeight="1" x14ac:dyDescent="0.25">
      <c r="A14" s="1064" t="s">
        <v>412</v>
      </c>
      <c r="B14" s="1045"/>
      <c r="C14" s="1131" t="s">
        <v>249</v>
      </c>
      <c r="D14" s="1131"/>
      <c r="E14" s="1131" t="s">
        <v>249</v>
      </c>
      <c r="F14" s="1131"/>
      <c r="G14" s="1044" t="s">
        <v>218</v>
      </c>
      <c r="H14" s="1045"/>
      <c r="I14" s="1132" t="s">
        <v>260</v>
      </c>
      <c r="J14" s="1083"/>
      <c r="K14" s="1133"/>
      <c r="L14" s="1052"/>
      <c r="M14" s="1115" t="s">
        <v>60</v>
      </c>
      <c r="N14" s="1115" t="s">
        <v>216</v>
      </c>
      <c r="O14" s="1115" t="s">
        <v>75</v>
      </c>
      <c r="P14" s="1088"/>
      <c r="Q14" s="1133" t="s">
        <v>111</v>
      </c>
      <c r="R14" s="1132" t="s">
        <v>209</v>
      </c>
      <c r="S14" s="1083"/>
      <c r="T14" s="1133" t="s">
        <v>111</v>
      </c>
      <c r="U14" s="1052"/>
      <c r="V14" s="1115" t="s">
        <v>60</v>
      </c>
      <c r="W14" s="1115" t="s">
        <v>216</v>
      </c>
      <c r="X14" s="1115" t="s">
        <v>163</v>
      </c>
      <c r="Y14" s="1088"/>
      <c r="Z14" s="1133"/>
      <c r="AA14" s="1044" t="s">
        <v>260</v>
      </c>
      <c r="AB14" s="1045"/>
      <c r="AC14" s="1044" t="s">
        <v>218</v>
      </c>
      <c r="AD14" s="1045"/>
      <c r="AE14" s="1044" t="s">
        <v>249</v>
      </c>
      <c r="AF14" s="1045"/>
      <c r="AG14" s="1044" t="s">
        <v>249</v>
      </c>
      <c r="AH14" s="1045"/>
      <c r="AI14" s="1044" t="s">
        <v>412</v>
      </c>
      <c r="AJ14" s="1116"/>
    </row>
    <row r="15" spans="1:36" s="1115" customFormat="1" ht="20.25" customHeight="1" x14ac:dyDescent="0.25">
      <c r="A15" s="1055" t="s">
        <v>414</v>
      </c>
      <c r="B15" s="1051"/>
      <c r="C15" s="1134" t="s">
        <v>218</v>
      </c>
      <c r="D15" s="1134"/>
      <c r="E15" s="1134" t="s">
        <v>260</v>
      </c>
      <c r="F15" s="1134"/>
      <c r="G15" s="1132" t="s">
        <v>103</v>
      </c>
      <c r="H15" s="1083"/>
      <c r="I15" s="1132" t="s">
        <v>103</v>
      </c>
      <c r="J15" s="1083"/>
      <c r="K15" s="1135" t="s">
        <v>27</v>
      </c>
      <c r="L15" s="1049"/>
      <c r="M15" s="1121"/>
      <c r="N15" s="1121"/>
      <c r="O15" s="1121"/>
      <c r="P15" s="1101"/>
      <c r="Q15" s="1135" t="s">
        <v>145</v>
      </c>
      <c r="R15" s="1049"/>
      <c r="S15" s="1101"/>
      <c r="T15" s="1135" t="s">
        <v>145</v>
      </c>
      <c r="U15" s="1049"/>
      <c r="V15" s="1121"/>
      <c r="W15" s="1121"/>
      <c r="X15" s="1121"/>
      <c r="Y15" s="1101"/>
      <c r="Z15" s="1135" t="s">
        <v>27</v>
      </c>
      <c r="AA15" s="1059" t="s">
        <v>103</v>
      </c>
      <c r="AB15" s="1051"/>
      <c r="AC15" s="1059" t="s">
        <v>103</v>
      </c>
      <c r="AD15" s="1051"/>
      <c r="AE15" s="1059" t="s">
        <v>260</v>
      </c>
      <c r="AF15" s="1051"/>
      <c r="AG15" s="1059" t="s">
        <v>218</v>
      </c>
      <c r="AH15" s="1051"/>
      <c r="AI15" s="1059" t="s">
        <v>414</v>
      </c>
      <c r="AJ15" s="1063"/>
    </row>
    <row r="16" spans="1:36" s="1138" customFormat="1" ht="20.25" customHeight="1" x14ac:dyDescent="0.25">
      <c r="A16" s="1136"/>
      <c r="B16" s="1137">
        <v>0</v>
      </c>
      <c r="C16" s="1115"/>
      <c r="E16" s="1124"/>
      <c r="F16" s="1137"/>
      <c r="G16" s="1124"/>
      <c r="H16" s="1137"/>
      <c r="I16" s="1124"/>
      <c r="J16" s="1137"/>
      <c r="K16" s="1139">
        <v>6</v>
      </c>
      <c r="L16" s="1140" t="s">
        <v>4793</v>
      </c>
      <c r="M16" s="1141"/>
      <c r="N16" s="1141"/>
      <c r="O16" s="1141"/>
      <c r="P16" s="1142"/>
      <c r="Q16" s="1143">
        <v>1</v>
      </c>
      <c r="R16" s="1144" t="s">
        <v>796</v>
      </c>
      <c r="S16" s="1137" t="s">
        <v>796</v>
      </c>
      <c r="T16" s="1143">
        <v>1</v>
      </c>
      <c r="U16" s="1140" t="s">
        <v>8844</v>
      </c>
      <c r="V16" s="1141"/>
      <c r="W16" s="1141"/>
      <c r="X16" s="1141"/>
      <c r="Y16" s="1142"/>
      <c r="Z16" s="1139">
        <v>6</v>
      </c>
      <c r="AA16" s="1124"/>
      <c r="AB16" s="1137"/>
      <c r="AC16" s="1124"/>
      <c r="AD16" s="1137"/>
      <c r="AE16" s="1124"/>
      <c r="AF16" s="1137"/>
      <c r="AG16" s="1124"/>
      <c r="AH16" s="1137"/>
      <c r="AI16" s="1145"/>
      <c r="AJ16" s="1126">
        <v>0</v>
      </c>
    </row>
    <row r="17" spans="1:36" s="1138" customFormat="1" ht="20.25" customHeight="1" x14ac:dyDescent="0.25">
      <c r="A17" s="1136"/>
      <c r="B17" s="1137">
        <v>1</v>
      </c>
      <c r="C17" s="1124"/>
      <c r="D17" s="1145"/>
      <c r="E17" s="1124"/>
      <c r="F17" s="1137"/>
      <c r="G17" s="1124"/>
      <c r="H17" s="1137">
        <v>1</v>
      </c>
      <c r="I17" s="1124"/>
      <c r="J17" s="1137"/>
      <c r="K17" s="1139">
        <v>6</v>
      </c>
      <c r="L17" s="1140" t="s">
        <v>4785</v>
      </c>
      <c r="M17" s="1141"/>
      <c r="N17" s="1141"/>
      <c r="O17" s="1141"/>
      <c r="P17" s="1142"/>
      <c r="Q17" s="1143">
        <v>3</v>
      </c>
      <c r="R17" s="1144" t="s">
        <v>235</v>
      </c>
      <c r="S17" s="1137" t="s">
        <v>235</v>
      </c>
      <c r="T17" s="1143">
        <v>10</v>
      </c>
      <c r="U17" s="1140" t="s">
        <v>5671</v>
      </c>
      <c r="V17" s="1141"/>
      <c r="W17" s="1141"/>
      <c r="X17" s="1141"/>
      <c r="Y17" s="1142"/>
      <c r="Z17" s="1139">
        <v>6</v>
      </c>
      <c r="AA17" s="1124"/>
      <c r="AB17" s="1137"/>
      <c r="AC17" s="1124"/>
      <c r="AD17" s="1137"/>
      <c r="AE17" s="1124"/>
      <c r="AF17" s="1137"/>
      <c r="AG17" s="1124"/>
      <c r="AH17" s="1137"/>
      <c r="AI17" s="1145"/>
      <c r="AJ17" s="1126">
        <v>0</v>
      </c>
    </row>
    <row r="18" spans="1:36" s="1138" customFormat="1" ht="20.25" customHeight="1" x14ac:dyDescent="0.25">
      <c r="A18" s="1136"/>
      <c r="B18" s="1137">
        <v>0</v>
      </c>
      <c r="C18" s="1124"/>
      <c r="E18" s="1124"/>
      <c r="F18" s="1137"/>
      <c r="G18" s="1124"/>
      <c r="H18" s="1137"/>
      <c r="I18" s="1124"/>
      <c r="J18" s="1137"/>
      <c r="K18" s="1139">
        <v>6</v>
      </c>
      <c r="L18" s="1140" t="s">
        <v>5759</v>
      </c>
      <c r="M18" s="1141"/>
      <c r="N18" s="1141"/>
      <c r="O18" s="1141"/>
      <c r="P18" s="1142"/>
      <c r="Q18" s="1143">
        <v>5</v>
      </c>
      <c r="R18" s="1144" t="s">
        <v>235</v>
      </c>
      <c r="S18" s="1137" t="s">
        <v>235</v>
      </c>
      <c r="T18" s="1143">
        <v>11</v>
      </c>
      <c r="U18" s="1140" t="s">
        <v>8394</v>
      </c>
      <c r="V18" s="1141"/>
      <c r="W18" s="1141"/>
      <c r="X18" s="1141"/>
      <c r="Y18" s="1142"/>
      <c r="Z18" s="1139">
        <v>5</v>
      </c>
      <c r="AA18" s="1124"/>
      <c r="AB18" s="1137"/>
      <c r="AC18" s="1124"/>
      <c r="AD18" s="1137"/>
      <c r="AE18" s="1124"/>
      <c r="AF18" s="1137"/>
      <c r="AG18" s="1124"/>
      <c r="AH18" s="1137"/>
      <c r="AI18" s="1145"/>
      <c r="AJ18" s="1126">
        <v>0</v>
      </c>
    </row>
    <row r="19" spans="1:36" s="1138" customFormat="1" ht="20.25" customHeight="1" x14ac:dyDescent="0.25">
      <c r="A19" s="1136"/>
      <c r="B19" s="1137">
        <v>2</v>
      </c>
      <c r="C19" s="1146"/>
      <c r="D19" s="1137"/>
      <c r="E19" s="1124"/>
      <c r="F19" s="1137"/>
      <c r="G19" s="1124"/>
      <c r="H19" s="1137">
        <v>2</v>
      </c>
      <c r="I19" s="1124"/>
      <c r="J19" s="1137"/>
      <c r="K19" s="1139">
        <v>6</v>
      </c>
      <c r="L19" s="1140" t="s">
        <v>4791</v>
      </c>
      <c r="M19" s="1141"/>
      <c r="N19" s="1141"/>
      <c r="O19" s="1141"/>
      <c r="P19" s="1142"/>
      <c r="Q19" s="1143">
        <v>7</v>
      </c>
      <c r="R19" s="1144" t="s">
        <v>798</v>
      </c>
      <c r="S19" s="1137" t="s">
        <v>235</v>
      </c>
      <c r="T19" s="1143">
        <v>17</v>
      </c>
      <c r="U19" s="1140" t="s">
        <v>8431</v>
      </c>
      <c r="V19" s="1141"/>
      <c r="W19" s="1141"/>
      <c r="X19" s="1141"/>
      <c r="Y19" s="1142"/>
      <c r="Z19" s="1139">
        <v>5</v>
      </c>
      <c r="AA19" s="1124"/>
      <c r="AB19" s="1137"/>
      <c r="AC19" s="1124"/>
      <c r="AD19" s="1137"/>
      <c r="AE19" s="1124"/>
      <c r="AF19" s="1137"/>
      <c r="AG19" s="1124"/>
      <c r="AH19" s="1137"/>
      <c r="AI19" s="1145"/>
      <c r="AJ19" s="1126">
        <v>0</v>
      </c>
    </row>
    <row r="20" spans="1:36" s="1138" customFormat="1" ht="20.25" customHeight="1" x14ac:dyDescent="0.25">
      <c r="A20" s="1136"/>
      <c r="B20" s="1137">
        <v>0</v>
      </c>
      <c r="C20" s="1146"/>
      <c r="D20" s="1147"/>
      <c r="E20" s="1124"/>
      <c r="F20" s="1137"/>
      <c r="G20" s="1124"/>
      <c r="H20" s="1145"/>
      <c r="I20" s="1124"/>
      <c r="J20" s="1137"/>
      <c r="K20" s="1139">
        <v>6</v>
      </c>
      <c r="L20" s="1140" t="s">
        <v>4789</v>
      </c>
      <c r="M20" s="1141"/>
      <c r="N20" s="1141"/>
      <c r="O20" s="1141"/>
      <c r="P20" s="1142"/>
      <c r="Q20" s="1143">
        <v>8</v>
      </c>
      <c r="R20" s="1144" t="s">
        <v>798</v>
      </c>
      <c r="S20" s="1137" t="s">
        <v>798</v>
      </c>
      <c r="T20" s="1143">
        <v>5</v>
      </c>
      <c r="U20" s="1140" t="s">
        <v>5675</v>
      </c>
      <c r="V20" s="1141"/>
      <c r="W20" s="1141"/>
      <c r="X20" s="1141"/>
      <c r="Y20" s="1142"/>
      <c r="Z20" s="1139">
        <v>6</v>
      </c>
      <c r="AA20" s="1124"/>
      <c r="AB20" s="1137">
        <v>1</v>
      </c>
      <c r="AC20" s="1124"/>
      <c r="AD20" s="1137"/>
      <c r="AE20" s="1124" t="s">
        <v>15351</v>
      </c>
      <c r="AF20" s="1137">
        <v>1</v>
      </c>
      <c r="AG20" s="1124" t="s">
        <v>15351</v>
      </c>
      <c r="AH20" s="1137">
        <v>2</v>
      </c>
      <c r="AI20" s="1145"/>
      <c r="AJ20" s="1126">
        <v>4</v>
      </c>
    </row>
    <row r="21" spans="1:36" s="1138" customFormat="1" ht="20.25" customHeight="1" x14ac:dyDescent="0.25">
      <c r="A21" s="1148"/>
      <c r="B21" s="1137">
        <v>1</v>
      </c>
      <c r="C21" s="1146"/>
      <c r="D21" s="1147"/>
      <c r="E21" s="1124"/>
      <c r="F21" s="1137"/>
      <c r="G21" s="1052"/>
      <c r="H21" s="1149">
        <v>1</v>
      </c>
      <c r="I21" s="1052"/>
      <c r="J21" s="1149"/>
      <c r="K21" s="1139">
        <v>6</v>
      </c>
      <c r="L21" s="1140" t="s">
        <v>4787</v>
      </c>
      <c r="M21" s="1141"/>
      <c r="N21" s="1141"/>
      <c r="O21" s="1141"/>
      <c r="P21" s="1142"/>
      <c r="Q21" s="1143">
        <v>10</v>
      </c>
      <c r="R21" s="1144" t="s">
        <v>798</v>
      </c>
      <c r="S21" s="1137" t="s">
        <v>798</v>
      </c>
      <c r="T21" s="1143">
        <v>9</v>
      </c>
      <c r="U21" s="1140" t="s">
        <v>5673</v>
      </c>
      <c r="V21" s="1141"/>
      <c r="W21" s="1141"/>
      <c r="X21" s="1141"/>
      <c r="Y21" s="1142"/>
      <c r="Z21" s="1139">
        <v>6</v>
      </c>
      <c r="AA21" s="1052"/>
      <c r="AB21" s="1149"/>
      <c r="AC21" s="1052"/>
      <c r="AD21" s="1149"/>
      <c r="AE21" s="1124"/>
      <c r="AF21" s="1149"/>
      <c r="AG21" s="1124"/>
      <c r="AH21" s="1149"/>
      <c r="AI21" s="1145"/>
      <c r="AJ21" s="1126">
        <v>0</v>
      </c>
    </row>
    <row r="22" spans="1:36" s="1138" customFormat="1" ht="20.25" customHeight="1" x14ac:dyDescent="0.25">
      <c r="A22" s="1148"/>
      <c r="B22" s="1137">
        <v>2</v>
      </c>
      <c r="C22" s="1124"/>
      <c r="D22" s="1137"/>
      <c r="E22" s="1124"/>
      <c r="F22" s="1137">
        <v>1</v>
      </c>
      <c r="G22" s="1124"/>
      <c r="H22" s="1137">
        <v>1</v>
      </c>
      <c r="I22" s="1124"/>
      <c r="J22" s="1137"/>
      <c r="K22" s="1139">
        <v>6</v>
      </c>
      <c r="L22" s="1140" t="s">
        <v>6176</v>
      </c>
      <c r="M22" s="1141"/>
      <c r="N22" s="1141"/>
      <c r="O22" s="1141"/>
      <c r="P22" s="1142"/>
      <c r="Q22" s="1143">
        <v>11</v>
      </c>
      <c r="R22" s="1144" t="s">
        <v>798</v>
      </c>
      <c r="S22" s="1137" t="s">
        <v>798</v>
      </c>
      <c r="T22" s="1143">
        <v>14</v>
      </c>
      <c r="U22" s="1140" t="s">
        <v>5674</v>
      </c>
      <c r="V22" s="1141"/>
      <c r="W22" s="1141"/>
      <c r="X22" s="1141"/>
      <c r="Y22" s="1142"/>
      <c r="Z22" s="1139">
        <v>5</v>
      </c>
      <c r="AA22" s="1124"/>
      <c r="AB22" s="1137"/>
      <c r="AC22" s="1124"/>
      <c r="AD22" s="1137"/>
      <c r="AE22" s="1124"/>
      <c r="AF22" s="1137"/>
      <c r="AG22" s="1124"/>
      <c r="AH22" s="1137"/>
      <c r="AI22" s="1145"/>
      <c r="AJ22" s="1126">
        <v>0</v>
      </c>
    </row>
    <row r="23" spans="1:36" s="1138" customFormat="1" ht="20.25" customHeight="1" x14ac:dyDescent="0.25">
      <c r="A23" s="1136"/>
      <c r="B23" s="1137">
        <v>7</v>
      </c>
      <c r="C23" s="1124"/>
      <c r="D23" s="1137">
        <v>1</v>
      </c>
      <c r="E23" s="1124" t="s">
        <v>15351</v>
      </c>
      <c r="F23" s="1137">
        <v>1</v>
      </c>
      <c r="G23" s="1124"/>
      <c r="H23" s="1137">
        <v>3</v>
      </c>
      <c r="I23" s="1124"/>
      <c r="J23" s="1137">
        <v>2</v>
      </c>
      <c r="K23" s="1139">
        <v>6</v>
      </c>
      <c r="L23" s="1140" t="s">
        <v>4365</v>
      </c>
      <c r="M23" s="1141"/>
      <c r="N23" s="1141"/>
      <c r="O23" s="1141"/>
      <c r="P23" s="1142"/>
      <c r="Q23" s="1143">
        <v>9</v>
      </c>
      <c r="R23" s="1144" t="s">
        <v>280</v>
      </c>
      <c r="S23" s="1137" t="s">
        <v>280</v>
      </c>
      <c r="T23" s="1143">
        <v>7</v>
      </c>
      <c r="U23" s="1140" t="s">
        <v>5672</v>
      </c>
      <c r="V23" s="1141"/>
      <c r="W23" s="1141"/>
      <c r="X23" s="1141"/>
      <c r="Y23" s="1142"/>
      <c r="Z23" s="1139">
        <v>6</v>
      </c>
      <c r="AA23" s="1124"/>
      <c r="AB23" s="1137"/>
      <c r="AC23" s="1124"/>
      <c r="AD23" s="1137"/>
      <c r="AE23" s="1124"/>
      <c r="AF23" s="1137"/>
      <c r="AG23" s="1124"/>
      <c r="AH23" s="1137"/>
      <c r="AI23" s="1145"/>
      <c r="AJ23" s="1126">
        <v>0</v>
      </c>
    </row>
    <row r="24" spans="1:36" s="1138" customFormat="1" ht="20.25" customHeight="1" x14ac:dyDescent="0.25">
      <c r="A24" s="1148"/>
      <c r="B24" s="1150"/>
      <c r="C24" s="1150"/>
      <c r="D24" s="1150"/>
      <c r="E24" s="1150"/>
      <c r="F24" s="1150"/>
      <c r="G24" s="1150"/>
      <c r="H24" s="1150"/>
      <c r="I24" s="1150"/>
      <c r="J24" s="1150"/>
      <c r="K24" s="1150"/>
      <c r="L24" s="1150"/>
      <c r="M24" s="1150"/>
      <c r="N24" s="1150"/>
      <c r="O24" s="1150"/>
      <c r="P24" s="1150"/>
      <c r="Q24" s="1107" t="s">
        <v>415</v>
      </c>
      <c r="R24" s="1107"/>
      <c r="S24" s="1107"/>
      <c r="T24" s="1107"/>
      <c r="U24" s="1150"/>
      <c r="V24" s="1150"/>
      <c r="W24" s="1150"/>
      <c r="X24" s="1150"/>
      <c r="Y24" s="1150"/>
      <c r="Z24" s="1150"/>
      <c r="AA24" s="1150"/>
      <c r="AB24" s="1150"/>
      <c r="AC24" s="1150"/>
      <c r="AD24" s="1150"/>
      <c r="AE24" s="1150"/>
      <c r="AF24" s="1150"/>
      <c r="AG24" s="1150"/>
      <c r="AH24" s="1150"/>
      <c r="AI24" s="1150"/>
      <c r="AJ24" s="1151"/>
    </row>
    <row r="25" spans="1:36" s="1138" customFormat="1" ht="20.25" customHeight="1" x14ac:dyDescent="0.25">
      <c r="A25" s="1136"/>
      <c r="B25" s="1137">
        <v>0</v>
      </c>
      <c r="C25" s="1115"/>
      <c r="E25" s="1124"/>
      <c r="G25" s="1124"/>
      <c r="H25" s="1137"/>
      <c r="I25" s="1124"/>
      <c r="J25" s="1137"/>
      <c r="K25" s="1139">
        <v>6</v>
      </c>
      <c r="L25" s="1140" t="s">
        <v>6159</v>
      </c>
      <c r="M25" s="1141"/>
      <c r="N25" s="1141"/>
      <c r="O25" s="1141"/>
      <c r="P25" s="1142"/>
      <c r="Q25" s="1143">
        <v>2</v>
      </c>
      <c r="R25" s="1144" t="s">
        <v>235</v>
      </c>
      <c r="S25" s="1137" t="s">
        <v>798</v>
      </c>
      <c r="T25" s="1143">
        <v>2</v>
      </c>
      <c r="U25" s="1140" t="s">
        <v>8355</v>
      </c>
      <c r="V25" s="1141"/>
      <c r="W25" s="1141"/>
      <c r="X25" s="1141"/>
      <c r="Y25" s="1142"/>
      <c r="Z25" s="1139">
        <v>5</v>
      </c>
      <c r="AA25" s="1124"/>
      <c r="AB25" s="1137"/>
      <c r="AC25" s="1124"/>
      <c r="AD25" s="1137"/>
      <c r="AE25" s="1124"/>
      <c r="AF25" s="1137"/>
      <c r="AG25" s="1124"/>
      <c r="AH25" s="1137"/>
      <c r="AI25" s="1145"/>
      <c r="AJ25" s="1126">
        <v>0</v>
      </c>
    </row>
    <row r="26" spans="1:36" s="1138" customFormat="1" ht="20.25" customHeight="1" x14ac:dyDescent="0.25">
      <c r="A26" s="1136"/>
      <c r="B26" s="1137">
        <v>0</v>
      </c>
      <c r="C26" s="1124"/>
      <c r="D26" s="1145"/>
      <c r="E26" s="1124"/>
      <c r="F26" s="1145"/>
      <c r="G26" s="1124"/>
      <c r="H26" s="1137"/>
      <c r="I26" s="1124"/>
      <c r="J26" s="1137"/>
      <c r="K26" s="1139">
        <v>6</v>
      </c>
      <c r="L26" s="1140" t="s">
        <v>6157</v>
      </c>
      <c r="M26" s="1141"/>
      <c r="N26" s="1141"/>
      <c r="O26" s="1141"/>
      <c r="P26" s="1142"/>
      <c r="Q26" s="1143">
        <v>4</v>
      </c>
      <c r="R26" s="1144" t="s">
        <v>798</v>
      </c>
      <c r="S26" s="1137" t="s">
        <v>235</v>
      </c>
      <c r="T26" s="1143">
        <v>4</v>
      </c>
      <c r="U26" s="1140" t="s">
        <v>8256</v>
      </c>
      <c r="V26" s="1141"/>
      <c r="W26" s="1141"/>
      <c r="X26" s="1141"/>
      <c r="Y26" s="1142"/>
      <c r="Z26" s="1139">
        <v>5</v>
      </c>
      <c r="AA26" s="1124"/>
      <c r="AB26" s="1137"/>
      <c r="AC26" s="1124"/>
      <c r="AD26" s="1137"/>
      <c r="AE26" s="1124"/>
      <c r="AF26" s="1137"/>
      <c r="AG26" s="1124"/>
      <c r="AH26" s="1137"/>
      <c r="AI26" s="1145"/>
      <c r="AJ26" s="1126">
        <v>0</v>
      </c>
    </row>
    <row r="27" spans="1:36" s="1138" customFormat="1" ht="20.25" customHeight="1" x14ac:dyDescent="0.25">
      <c r="A27" s="1136"/>
      <c r="B27" s="1137">
        <v>0</v>
      </c>
      <c r="C27" s="1124"/>
      <c r="D27" s="1145"/>
      <c r="E27" s="1124"/>
      <c r="F27" s="1145"/>
      <c r="G27" s="1124"/>
      <c r="H27" s="1137"/>
      <c r="I27" s="1124"/>
      <c r="J27" s="1137"/>
      <c r="K27" s="1139">
        <v>6</v>
      </c>
      <c r="L27" s="1140" t="s">
        <v>8576</v>
      </c>
      <c r="M27" s="1141"/>
      <c r="N27" s="1141"/>
      <c r="O27" s="1141"/>
      <c r="P27" s="1142"/>
      <c r="Q27" s="1143">
        <v>6</v>
      </c>
      <c r="R27" s="1144" t="s">
        <v>798</v>
      </c>
      <c r="S27" s="1137" t="s">
        <v>798</v>
      </c>
      <c r="T27" s="1143">
        <v>6</v>
      </c>
      <c r="U27" s="1140" t="s">
        <v>7862</v>
      </c>
      <c r="V27" s="1141"/>
      <c r="W27" s="1141"/>
      <c r="X27" s="1141"/>
      <c r="Y27" s="1142"/>
      <c r="Z27" s="1139">
        <v>5</v>
      </c>
      <c r="AA27" s="1124"/>
      <c r="AB27" s="1137"/>
      <c r="AC27" s="1124"/>
      <c r="AD27" s="1137"/>
      <c r="AE27" s="1124"/>
      <c r="AF27" s="1137"/>
      <c r="AG27" s="1124"/>
      <c r="AH27" s="1137"/>
      <c r="AI27" s="1145"/>
      <c r="AJ27" s="1126">
        <v>0</v>
      </c>
    </row>
    <row r="28" spans="1:36" s="1138" customFormat="1" ht="20.25" customHeight="1" x14ac:dyDescent="0.25">
      <c r="A28" s="1136"/>
      <c r="B28" s="1137">
        <v>0</v>
      </c>
      <c r="C28" s="1124"/>
      <c r="D28" s="1145"/>
      <c r="E28" s="1124"/>
      <c r="F28" s="1145"/>
      <c r="G28" s="1124"/>
      <c r="H28" s="1137"/>
      <c r="I28" s="1124"/>
      <c r="J28" s="1137"/>
      <c r="K28" s="1139">
        <v>5</v>
      </c>
      <c r="L28" s="1140" t="s">
        <v>8267</v>
      </c>
      <c r="M28" s="1141"/>
      <c r="N28" s="1141"/>
      <c r="O28" s="1141"/>
      <c r="P28" s="1142"/>
      <c r="Q28" s="1143">
        <v>12</v>
      </c>
      <c r="R28" s="1144" t="s">
        <v>798</v>
      </c>
      <c r="S28" s="1137" t="s">
        <v>798</v>
      </c>
      <c r="T28" s="1143">
        <v>8</v>
      </c>
      <c r="U28" s="1140" t="s">
        <v>4290</v>
      </c>
      <c r="V28" s="1141"/>
      <c r="W28" s="1141"/>
      <c r="X28" s="1141"/>
      <c r="Y28" s="1142"/>
      <c r="Z28" s="1139">
        <v>5</v>
      </c>
      <c r="AA28" s="1124"/>
      <c r="AB28" s="1137"/>
      <c r="AC28" s="1124"/>
      <c r="AD28" s="1137"/>
      <c r="AE28" s="1124"/>
      <c r="AF28" s="1137"/>
      <c r="AG28" s="1124"/>
      <c r="AH28" s="1137"/>
      <c r="AI28" s="1145"/>
      <c r="AJ28" s="1126">
        <v>0</v>
      </c>
    </row>
    <row r="29" spans="1:36" s="1138" customFormat="1" ht="20.25" customHeight="1" x14ac:dyDescent="0.25">
      <c r="A29" s="1136"/>
      <c r="B29" s="1137">
        <v>0</v>
      </c>
      <c r="C29" s="1124"/>
      <c r="D29" s="1145"/>
      <c r="E29" s="1124"/>
      <c r="F29" s="1145"/>
      <c r="G29" s="1124"/>
      <c r="H29" s="1137"/>
      <c r="I29" s="1124"/>
      <c r="J29" s="1137"/>
      <c r="K29" s="1139">
        <v>5</v>
      </c>
      <c r="L29" s="1140" t="s">
        <v>8041</v>
      </c>
      <c r="M29" s="1141"/>
      <c r="N29" s="1141"/>
      <c r="O29" s="1141"/>
      <c r="P29" s="1142"/>
      <c r="Q29" s="1143">
        <v>13</v>
      </c>
      <c r="R29" s="1144" t="s">
        <v>235</v>
      </c>
      <c r="S29" s="1137" t="s">
        <v>798</v>
      </c>
      <c r="T29" s="1143">
        <v>12</v>
      </c>
      <c r="U29" s="1140" t="s">
        <v>8296</v>
      </c>
      <c r="V29" s="1141"/>
      <c r="W29" s="1141"/>
      <c r="X29" s="1141"/>
      <c r="Y29" s="1142"/>
      <c r="Z29" s="1139">
        <v>5</v>
      </c>
      <c r="AA29" s="1124"/>
      <c r="AB29" s="1137"/>
      <c r="AC29" s="1124"/>
      <c r="AD29" s="1137"/>
      <c r="AE29" s="1124"/>
      <c r="AF29" s="1137"/>
      <c r="AG29" s="1124"/>
      <c r="AH29" s="1137"/>
      <c r="AI29" s="1145"/>
      <c r="AJ29" s="1126">
        <v>0</v>
      </c>
    </row>
    <row r="30" spans="1:36" s="1138" customFormat="1" ht="20.25" customHeight="1" x14ac:dyDescent="0.25">
      <c r="A30" s="1136"/>
      <c r="B30" s="1137">
        <v>0</v>
      </c>
      <c r="C30" s="1124"/>
      <c r="D30" s="1145"/>
      <c r="E30" s="1124"/>
      <c r="F30" s="1145"/>
      <c r="G30" s="1124"/>
      <c r="H30" s="1137"/>
      <c r="I30" s="1124"/>
      <c r="J30" s="1137"/>
      <c r="K30" s="1139">
        <v>6</v>
      </c>
      <c r="L30" s="1140" t="s">
        <v>6158</v>
      </c>
      <c r="M30" s="1141"/>
      <c r="N30" s="1141"/>
      <c r="O30" s="1141"/>
      <c r="P30" s="1142"/>
      <c r="Q30" s="1143">
        <v>14</v>
      </c>
      <c r="R30" s="1144" t="s">
        <v>280</v>
      </c>
      <c r="S30" s="1137" t="s">
        <v>798</v>
      </c>
      <c r="T30" s="1143">
        <v>13</v>
      </c>
      <c r="U30" s="1140" t="s">
        <v>8537</v>
      </c>
      <c r="V30" s="1141"/>
      <c r="W30" s="1141"/>
      <c r="X30" s="1141"/>
      <c r="Y30" s="1142"/>
      <c r="Z30" s="1139">
        <v>5</v>
      </c>
      <c r="AA30" s="1124"/>
      <c r="AB30" s="1137"/>
      <c r="AC30" s="1124"/>
      <c r="AD30" s="1137"/>
      <c r="AE30" s="1124"/>
      <c r="AF30" s="1137"/>
      <c r="AG30" s="1124"/>
      <c r="AH30" s="1137"/>
      <c r="AI30" s="1145"/>
      <c r="AJ30" s="1126">
        <v>0</v>
      </c>
    </row>
    <row r="31" spans="1:36" s="1138" customFormat="1" ht="20.25" customHeight="1" x14ac:dyDescent="0.25">
      <c r="A31" s="1136"/>
      <c r="B31" s="1137">
        <v>0</v>
      </c>
      <c r="C31" s="1124"/>
      <c r="D31" s="1145"/>
      <c r="E31" s="1124"/>
      <c r="F31" s="1145"/>
      <c r="G31" s="1124"/>
      <c r="H31" s="1137"/>
      <c r="I31" s="1124"/>
      <c r="J31" s="1137"/>
      <c r="K31" s="1139">
        <v>4</v>
      </c>
      <c r="L31" s="1140" t="s">
        <v>9216</v>
      </c>
      <c r="M31" s="1141"/>
      <c r="N31" s="1141"/>
      <c r="O31" s="1141"/>
      <c r="P31" s="1142"/>
      <c r="Q31" s="1143">
        <v>15</v>
      </c>
      <c r="R31" s="1144" t="s">
        <v>280</v>
      </c>
      <c r="S31" s="1137" t="s">
        <v>798</v>
      </c>
      <c r="T31" s="1143">
        <v>15</v>
      </c>
      <c r="U31" s="1140" t="s">
        <v>8975</v>
      </c>
      <c r="V31" s="1141"/>
      <c r="W31" s="1141"/>
      <c r="X31" s="1141"/>
      <c r="Y31" s="1142"/>
      <c r="Z31" s="1139">
        <v>6</v>
      </c>
      <c r="AA31" s="1124"/>
      <c r="AB31" s="1137"/>
      <c r="AC31" s="1124"/>
      <c r="AD31" s="1137"/>
      <c r="AE31" s="1124"/>
      <c r="AF31" s="1137"/>
      <c r="AG31" s="1124"/>
      <c r="AH31" s="1137"/>
      <c r="AI31" s="1145"/>
      <c r="AJ31" s="1126">
        <v>0</v>
      </c>
    </row>
    <row r="32" spans="1:36" s="1138" customFormat="1" ht="20.25" customHeight="1" x14ac:dyDescent="0.25">
      <c r="A32" s="1136"/>
      <c r="B32" s="1137">
        <v>0</v>
      </c>
      <c r="C32" s="1124"/>
      <c r="D32" s="1145"/>
      <c r="E32" s="1124"/>
      <c r="F32" s="1145"/>
      <c r="G32" s="1124"/>
      <c r="H32" s="1137"/>
      <c r="I32" s="1124"/>
      <c r="J32" s="1137"/>
      <c r="K32" s="1139">
        <v>6</v>
      </c>
      <c r="L32" s="1140" t="s">
        <v>4811</v>
      </c>
      <c r="M32" s="1141"/>
      <c r="N32" s="1141"/>
      <c r="O32" s="1141"/>
      <c r="P32" s="1142"/>
      <c r="Q32" s="1143">
        <v>16</v>
      </c>
      <c r="R32" s="1144" t="s">
        <v>796</v>
      </c>
      <c r="S32" s="1137" t="s">
        <v>796</v>
      </c>
      <c r="T32" s="1143">
        <v>16</v>
      </c>
      <c r="U32" s="1140" t="s">
        <v>8279</v>
      </c>
      <c r="V32" s="1141"/>
      <c r="W32" s="1141"/>
      <c r="X32" s="1141"/>
      <c r="Y32" s="1142"/>
      <c r="Z32" s="1139">
        <v>5</v>
      </c>
      <c r="AA32" s="1124"/>
      <c r="AB32" s="1137"/>
      <c r="AC32" s="1124"/>
      <c r="AD32" s="1137"/>
      <c r="AE32" s="1124"/>
      <c r="AF32" s="1137"/>
      <c r="AG32" s="1124"/>
      <c r="AH32" s="1137"/>
      <c r="AI32" s="1145"/>
      <c r="AJ32" s="1126">
        <v>0</v>
      </c>
    </row>
    <row r="33" spans="1:38" s="1138" customFormat="1" ht="20.25" customHeight="1" x14ac:dyDescent="0.25">
      <c r="A33" s="1136"/>
      <c r="B33" s="1137">
        <v>0</v>
      </c>
      <c r="C33" s="1124"/>
      <c r="E33" s="1124"/>
      <c r="G33" s="1124"/>
      <c r="H33" s="1137"/>
      <c r="I33" s="1124"/>
      <c r="J33" s="1137"/>
      <c r="K33" s="1139" t="s">
        <v>15359</v>
      </c>
      <c r="L33" s="1140" t="s">
        <v>15359</v>
      </c>
      <c r="M33" s="1141"/>
      <c r="N33" s="1141"/>
      <c r="O33" s="1141"/>
      <c r="P33" s="1142"/>
      <c r="Q33" s="1143"/>
      <c r="R33" s="1144" t="s">
        <v>15359</v>
      </c>
      <c r="S33" s="1137" t="s">
        <v>798</v>
      </c>
      <c r="T33" s="1143">
        <v>20</v>
      </c>
      <c r="U33" s="1140" t="s">
        <v>8087</v>
      </c>
      <c r="V33" s="1141"/>
      <c r="W33" s="1141"/>
      <c r="X33" s="1141"/>
      <c r="Y33" s="1142"/>
      <c r="Z33" s="1139">
        <v>5</v>
      </c>
      <c r="AA33" s="1124"/>
      <c r="AB33" s="1137"/>
      <c r="AC33" s="1124"/>
      <c r="AD33" s="1137"/>
      <c r="AE33" s="1124"/>
      <c r="AF33" s="1137"/>
      <c r="AG33" s="1124"/>
      <c r="AH33" s="1137"/>
      <c r="AI33" s="1145"/>
      <c r="AJ33" s="1126">
        <v>0</v>
      </c>
    </row>
    <row r="34" spans="1:38" s="1138" customFormat="1" ht="20.25" customHeight="1" x14ac:dyDescent="0.25">
      <c r="A34" s="1136"/>
      <c r="B34" s="1137">
        <v>0</v>
      </c>
      <c r="C34" s="1146"/>
      <c r="D34" s="1137"/>
      <c r="E34" s="1146"/>
      <c r="F34" s="1137"/>
      <c r="G34" s="1124"/>
      <c r="H34" s="1137"/>
      <c r="I34" s="1124"/>
      <c r="J34" s="1137"/>
      <c r="K34" s="1139" t="s">
        <v>15359</v>
      </c>
      <c r="L34" s="1140" t="s">
        <v>15359</v>
      </c>
      <c r="M34" s="1141"/>
      <c r="N34" s="1141"/>
      <c r="O34" s="1141"/>
      <c r="P34" s="1142"/>
      <c r="Q34" s="1143"/>
      <c r="R34" s="1144" t="s">
        <v>15359</v>
      </c>
      <c r="S34" s="1137" t="s">
        <v>15359</v>
      </c>
      <c r="T34" s="1143"/>
      <c r="U34" s="1140" t="s">
        <v>15359</v>
      </c>
      <c r="V34" s="1141"/>
      <c r="W34" s="1141"/>
      <c r="X34" s="1141"/>
      <c r="Y34" s="1142"/>
      <c r="Z34" s="1139" t="s">
        <v>15359</v>
      </c>
      <c r="AA34" s="1124"/>
      <c r="AB34" s="1137"/>
      <c r="AC34" s="1124"/>
      <c r="AD34" s="1137"/>
      <c r="AE34" s="1124"/>
      <c r="AF34" s="1137"/>
      <c r="AG34" s="1124"/>
      <c r="AH34" s="1137"/>
      <c r="AI34" s="1145"/>
      <c r="AJ34" s="1126">
        <v>0</v>
      </c>
    </row>
    <row r="35" spans="1:38" s="1138" customFormat="1" ht="20.25" customHeight="1" x14ac:dyDescent="0.25">
      <c r="A35" s="1129"/>
      <c r="B35" s="1112"/>
      <c r="C35" s="1075"/>
      <c r="D35" s="1069">
        <v>1</v>
      </c>
      <c r="E35" s="1112"/>
      <c r="F35" s="1069">
        <v>2</v>
      </c>
      <c r="G35" s="1075"/>
      <c r="H35" s="1069">
        <v>8</v>
      </c>
      <c r="I35" s="1075"/>
      <c r="J35" s="1069">
        <v>2</v>
      </c>
      <c r="K35" s="1127" t="s">
        <v>278</v>
      </c>
      <c r="L35" s="1044">
        <v>13</v>
      </c>
      <c r="M35" s="1111"/>
      <c r="N35" s="1111"/>
      <c r="O35" s="1111"/>
      <c r="P35" s="1045"/>
      <c r="Q35" s="1127" t="s">
        <v>5</v>
      </c>
      <c r="R35" s="1044" t="s">
        <v>283</v>
      </c>
      <c r="S35" s="1045"/>
      <c r="T35" s="1127" t="s">
        <v>5</v>
      </c>
      <c r="U35" s="1044">
        <v>4</v>
      </c>
      <c r="V35" s="1111"/>
      <c r="W35" s="1111"/>
      <c r="X35" s="1111"/>
      <c r="Y35" s="1045"/>
      <c r="Z35" s="1127" t="s">
        <v>278</v>
      </c>
      <c r="AA35" s="1075"/>
      <c r="AB35" s="1069">
        <v>1</v>
      </c>
      <c r="AC35" s="1075"/>
      <c r="AD35" s="1069">
        <v>0</v>
      </c>
      <c r="AE35" s="1075"/>
      <c r="AF35" s="1069">
        <v>1</v>
      </c>
      <c r="AG35" s="1075"/>
      <c r="AH35" s="1069">
        <v>2</v>
      </c>
      <c r="AI35" s="1112"/>
      <c r="AJ35" s="1130"/>
    </row>
    <row r="36" spans="1:38" s="1115" customFormat="1" ht="20.25" customHeight="1" x14ac:dyDescent="0.25">
      <c r="A36" s="1152"/>
      <c r="B36" s="1153"/>
      <c r="C36" s="1037" t="s">
        <v>248</v>
      </c>
      <c r="D36" s="1037"/>
      <c r="E36" s="1037"/>
      <c r="F36" s="1037"/>
      <c r="G36" s="1037"/>
      <c r="H36" s="1037"/>
      <c r="I36" s="1037"/>
      <c r="J36" s="1037" t="s">
        <v>247</v>
      </c>
      <c r="K36" s="1037" t="s">
        <v>416</v>
      </c>
      <c r="L36" s="1037"/>
      <c r="M36" s="1037"/>
      <c r="N36" s="1037"/>
      <c r="O36" s="1037"/>
      <c r="P36" s="1037"/>
      <c r="Q36" s="1037"/>
      <c r="R36" s="1154" t="s">
        <v>1</v>
      </c>
      <c r="S36" s="1154"/>
      <c r="T36" s="1153"/>
      <c r="U36" s="1037" t="s">
        <v>248</v>
      </c>
      <c r="V36" s="1037"/>
      <c r="W36" s="1037"/>
      <c r="X36" s="1037"/>
      <c r="Y36" s="1037"/>
      <c r="Z36" s="1037"/>
      <c r="AA36" s="1037"/>
      <c r="AB36" s="1037" t="s">
        <v>247</v>
      </c>
      <c r="AC36" s="1037" t="s">
        <v>416</v>
      </c>
      <c r="AD36" s="1037"/>
      <c r="AE36" s="1037"/>
      <c r="AF36" s="1037"/>
      <c r="AG36" s="1037"/>
      <c r="AH36" s="1037"/>
      <c r="AI36" s="1037"/>
      <c r="AJ36" s="1155"/>
    </row>
    <row r="37" spans="1:38" s="1115" customFormat="1" ht="20.25" customHeight="1" x14ac:dyDescent="0.25">
      <c r="A37" s="1156"/>
      <c r="B37" s="1157"/>
      <c r="C37" s="1158"/>
      <c r="D37" s="1158"/>
      <c r="E37" s="1158"/>
      <c r="F37" s="1158"/>
      <c r="G37" s="1158"/>
      <c r="H37" s="1158"/>
      <c r="I37" s="1158"/>
      <c r="J37" s="1158"/>
      <c r="K37" s="1158"/>
      <c r="L37" s="1158"/>
      <c r="M37" s="1158"/>
      <c r="N37" s="1158"/>
      <c r="O37" s="1158"/>
      <c r="P37" s="1158"/>
      <c r="Q37" s="1158"/>
      <c r="R37" s="1159" t="s">
        <v>274</v>
      </c>
      <c r="S37" s="1160"/>
      <c r="U37" s="1040"/>
      <c r="V37" s="1040"/>
      <c r="W37" s="1040"/>
      <c r="X37" s="1040"/>
      <c r="Y37" s="1040"/>
      <c r="Z37" s="1040"/>
      <c r="AA37" s="1040"/>
      <c r="AB37" s="1040"/>
      <c r="AC37" s="1040"/>
      <c r="AD37" s="1040"/>
      <c r="AE37" s="1040"/>
      <c r="AF37" s="1040"/>
      <c r="AG37" s="1040"/>
      <c r="AH37" s="1040"/>
      <c r="AI37" s="1040"/>
      <c r="AJ37" s="1161"/>
    </row>
    <row r="38" spans="1:38" s="1138" customFormat="1" ht="20.25" customHeight="1" x14ac:dyDescent="0.25">
      <c r="A38" s="1117"/>
      <c r="B38" s="1115" t="s">
        <v>272</v>
      </c>
      <c r="C38" s="1115"/>
      <c r="D38" s="1115" t="s">
        <v>111</v>
      </c>
      <c r="E38" s="1040" t="s">
        <v>15359</v>
      </c>
      <c r="F38" s="1040"/>
      <c r="G38" s="1040"/>
      <c r="H38" s="1040"/>
      <c r="I38" s="1040"/>
      <c r="J38" s="1115" t="s">
        <v>247</v>
      </c>
      <c r="K38" s="1115"/>
      <c r="L38" s="1115" t="s">
        <v>111</v>
      </c>
      <c r="M38" s="1040" t="s">
        <v>15359</v>
      </c>
      <c r="N38" s="1040"/>
      <c r="O38" s="1040"/>
      <c r="P38" s="1040"/>
      <c r="Q38" s="1040"/>
      <c r="R38" s="1115"/>
      <c r="S38" s="1152"/>
      <c r="T38" s="1153" t="s">
        <v>272</v>
      </c>
      <c r="U38" s="1153"/>
      <c r="V38" s="1153" t="s">
        <v>111</v>
      </c>
      <c r="W38" s="1037" t="s">
        <v>15359</v>
      </c>
      <c r="X38" s="1037"/>
      <c r="Y38" s="1037"/>
      <c r="Z38" s="1037"/>
      <c r="AA38" s="1037"/>
      <c r="AB38" s="1153" t="s">
        <v>247</v>
      </c>
      <c r="AC38" s="1153"/>
      <c r="AD38" s="1153" t="s">
        <v>111</v>
      </c>
      <c r="AE38" s="1037" t="s">
        <v>15359</v>
      </c>
      <c r="AF38" s="1037"/>
      <c r="AG38" s="1037"/>
      <c r="AH38" s="1037"/>
      <c r="AI38" s="1037"/>
      <c r="AJ38" s="1162"/>
      <c r="AK38" s="1115"/>
      <c r="AL38" s="1115"/>
    </row>
    <row r="39" spans="1:38" s="1138" customFormat="1" ht="19.5" customHeight="1" x14ac:dyDescent="0.25">
      <c r="A39" s="1117"/>
      <c r="B39" s="1115" t="s">
        <v>272</v>
      </c>
      <c r="C39" s="1115"/>
      <c r="D39" s="1115" t="s">
        <v>111</v>
      </c>
      <c r="E39" s="1040" t="s">
        <v>15359</v>
      </c>
      <c r="F39" s="1040"/>
      <c r="G39" s="1040"/>
      <c r="H39" s="1040"/>
      <c r="I39" s="1040"/>
      <c r="J39" s="1115" t="s">
        <v>247</v>
      </c>
      <c r="K39" s="1115"/>
      <c r="L39" s="1115" t="s">
        <v>111</v>
      </c>
      <c r="M39" s="1040" t="s">
        <v>15359</v>
      </c>
      <c r="N39" s="1040"/>
      <c r="O39" s="1040"/>
      <c r="P39" s="1040"/>
      <c r="Q39" s="1040"/>
      <c r="R39" s="1115"/>
      <c r="S39" s="1117"/>
      <c r="T39" s="1115" t="s">
        <v>272</v>
      </c>
      <c r="U39" s="1115"/>
      <c r="V39" s="1115" t="s">
        <v>111</v>
      </c>
      <c r="W39" s="1040" t="s">
        <v>15359</v>
      </c>
      <c r="X39" s="1040"/>
      <c r="Y39" s="1040"/>
      <c r="Z39" s="1040"/>
      <c r="AA39" s="1040"/>
      <c r="AB39" s="1115" t="s">
        <v>247</v>
      </c>
      <c r="AC39" s="1115"/>
      <c r="AD39" s="1115" t="s">
        <v>111</v>
      </c>
      <c r="AE39" s="1040" t="s">
        <v>15359</v>
      </c>
      <c r="AF39" s="1040"/>
      <c r="AG39" s="1040"/>
      <c r="AH39" s="1040"/>
      <c r="AI39" s="1040"/>
      <c r="AJ39" s="1163"/>
      <c r="AK39" s="1115"/>
      <c r="AL39" s="1115"/>
    </row>
    <row r="40" spans="1:38" s="1138" customFormat="1" ht="20.25" customHeight="1" x14ac:dyDescent="0.25">
      <c r="A40" s="1117"/>
      <c r="B40" s="1115" t="s">
        <v>272</v>
      </c>
      <c r="C40" s="1115"/>
      <c r="D40" s="1115" t="s">
        <v>111</v>
      </c>
      <c r="E40" s="1040" t="s">
        <v>15359</v>
      </c>
      <c r="F40" s="1040"/>
      <c r="G40" s="1040"/>
      <c r="H40" s="1040"/>
      <c r="I40" s="1040"/>
      <c r="J40" s="1115" t="s">
        <v>247</v>
      </c>
      <c r="K40" s="1115"/>
      <c r="L40" s="1115" t="s">
        <v>111</v>
      </c>
      <c r="M40" s="1040" t="s">
        <v>15359</v>
      </c>
      <c r="N40" s="1040"/>
      <c r="O40" s="1040"/>
      <c r="P40" s="1040"/>
      <c r="Q40" s="1040"/>
      <c r="R40" s="1115"/>
      <c r="S40" s="1117"/>
      <c r="T40" s="1115" t="s">
        <v>272</v>
      </c>
      <c r="U40" s="1115"/>
      <c r="V40" s="1115" t="s">
        <v>111</v>
      </c>
      <c r="W40" s="1040" t="s">
        <v>15359</v>
      </c>
      <c r="X40" s="1040"/>
      <c r="Y40" s="1040"/>
      <c r="Z40" s="1040"/>
      <c r="AA40" s="1040"/>
      <c r="AB40" s="1115" t="s">
        <v>247</v>
      </c>
      <c r="AC40" s="1115"/>
      <c r="AD40" s="1115" t="s">
        <v>111</v>
      </c>
      <c r="AE40" s="1040" t="s">
        <v>15359</v>
      </c>
      <c r="AF40" s="1040"/>
      <c r="AG40" s="1040"/>
      <c r="AH40" s="1040"/>
      <c r="AI40" s="1040"/>
      <c r="AJ40" s="1163"/>
      <c r="AK40" s="1115"/>
      <c r="AL40" s="1115"/>
    </row>
    <row r="41" spans="1:38" s="1138" customFormat="1" ht="20.25" customHeight="1" x14ac:dyDescent="0.25">
      <c r="A41" s="1117"/>
      <c r="B41" s="1115" t="s">
        <v>272</v>
      </c>
      <c r="C41" s="1115"/>
      <c r="D41" s="1115" t="s">
        <v>111</v>
      </c>
      <c r="E41" s="1040" t="s">
        <v>15359</v>
      </c>
      <c r="F41" s="1040"/>
      <c r="G41" s="1040"/>
      <c r="H41" s="1040"/>
      <c r="I41" s="1040"/>
      <c r="J41" s="1115" t="s">
        <v>247</v>
      </c>
      <c r="K41" s="1115"/>
      <c r="L41" s="1115" t="s">
        <v>111</v>
      </c>
      <c r="M41" s="1040" t="s">
        <v>15359</v>
      </c>
      <c r="N41" s="1040"/>
      <c r="O41" s="1040"/>
      <c r="P41" s="1040"/>
      <c r="Q41" s="1040"/>
      <c r="R41" s="1115"/>
      <c r="S41" s="1117"/>
      <c r="T41" s="1115" t="s">
        <v>272</v>
      </c>
      <c r="U41" s="1115"/>
      <c r="V41" s="1115" t="s">
        <v>111</v>
      </c>
      <c r="W41" s="1040" t="s">
        <v>15359</v>
      </c>
      <c r="X41" s="1040"/>
      <c r="Y41" s="1040"/>
      <c r="Z41" s="1040"/>
      <c r="AA41" s="1040"/>
      <c r="AB41" s="1115" t="s">
        <v>247</v>
      </c>
      <c r="AC41" s="1115"/>
      <c r="AD41" s="1115" t="s">
        <v>111</v>
      </c>
      <c r="AE41" s="1040" t="s">
        <v>15359</v>
      </c>
      <c r="AF41" s="1040"/>
      <c r="AG41" s="1040"/>
      <c r="AH41" s="1040"/>
      <c r="AI41" s="1040"/>
      <c r="AJ41" s="1163"/>
      <c r="AK41" s="1115"/>
      <c r="AL41" s="1115"/>
    </row>
    <row r="42" spans="1:38" s="1138" customFormat="1" ht="20.25" customHeight="1" x14ac:dyDescent="0.25">
      <c r="A42" s="1117"/>
      <c r="B42" s="1115" t="s">
        <v>272</v>
      </c>
      <c r="C42" s="1115"/>
      <c r="D42" s="1115" t="s">
        <v>111</v>
      </c>
      <c r="E42" s="1040" t="s">
        <v>15359</v>
      </c>
      <c r="F42" s="1040"/>
      <c r="G42" s="1040"/>
      <c r="H42" s="1040"/>
      <c r="I42" s="1040"/>
      <c r="J42" s="1115" t="s">
        <v>247</v>
      </c>
      <c r="K42" s="1115"/>
      <c r="L42" s="1115" t="s">
        <v>111</v>
      </c>
      <c r="M42" s="1040" t="s">
        <v>15359</v>
      </c>
      <c r="N42" s="1040"/>
      <c r="O42" s="1040"/>
      <c r="P42" s="1040"/>
      <c r="Q42" s="1040"/>
      <c r="R42" s="1115"/>
      <c r="S42" s="1117"/>
      <c r="T42" s="1115" t="s">
        <v>272</v>
      </c>
      <c r="U42" s="1115"/>
      <c r="V42" s="1115" t="s">
        <v>111</v>
      </c>
      <c r="W42" s="1040" t="s">
        <v>15359</v>
      </c>
      <c r="X42" s="1040"/>
      <c r="Y42" s="1040"/>
      <c r="Z42" s="1040"/>
      <c r="AA42" s="1040"/>
      <c r="AB42" s="1115" t="s">
        <v>247</v>
      </c>
      <c r="AC42" s="1115"/>
      <c r="AD42" s="1115" t="s">
        <v>111</v>
      </c>
      <c r="AE42" s="1040" t="s">
        <v>15359</v>
      </c>
      <c r="AF42" s="1040"/>
      <c r="AG42" s="1040"/>
      <c r="AH42" s="1040"/>
      <c r="AI42" s="1040"/>
      <c r="AJ42" s="1163"/>
      <c r="AK42" s="1115"/>
      <c r="AL42" s="1115"/>
    </row>
    <row r="43" spans="1:38" s="1138" customFormat="1" ht="20.25" customHeight="1" x14ac:dyDescent="0.25">
      <c r="A43" s="1117"/>
      <c r="B43" s="1115" t="s">
        <v>272</v>
      </c>
      <c r="C43" s="1115"/>
      <c r="D43" s="1115" t="s">
        <v>111</v>
      </c>
      <c r="E43" s="1040" t="s">
        <v>15359</v>
      </c>
      <c r="F43" s="1040"/>
      <c r="G43" s="1040"/>
      <c r="H43" s="1040"/>
      <c r="I43" s="1040"/>
      <c r="J43" s="1115" t="s">
        <v>247</v>
      </c>
      <c r="K43" s="1115"/>
      <c r="L43" s="1115" t="s">
        <v>111</v>
      </c>
      <c r="M43" s="1040" t="s">
        <v>15359</v>
      </c>
      <c r="N43" s="1040"/>
      <c r="O43" s="1040"/>
      <c r="P43" s="1040"/>
      <c r="Q43" s="1040"/>
      <c r="R43" s="1115"/>
      <c r="S43" s="1117"/>
      <c r="T43" s="1115" t="s">
        <v>272</v>
      </c>
      <c r="U43" s="1115"/>
      <c r="V43" s="1115" t="s">
        <v>111</v>
      </c>
      <c r="W43" s="1040" t="s">
        <v>15359</v>
      </c>
      <c r="X43" s="1040"/>
      <c r="Y43" s="1040"/>
      <c r="Z43" s="1040"/>
      <c r="AA43" s="1040"/>
      <c r="AB43" s="1115" t="s">
        <v>247</v>
      </c>
      <c r="AC43" s="1115"/>
      <c r="AD43" s="1115" t="s">
        <v>111</v>
      </c>
      <c r="AE43" s="1040" t="s">
        <v>15359</v>
      </c>
      <c r="AF43" s="1040"/>
      <c r="AG43" s="1040"/>
      <c r="AH43" s="1040"/>
      <c r="AI43" s="1040"/>
      <c r="AJ43" s="1163"/>
      <c r="AK43" s="1115"/>
      <c r="AL43" s="1115"/>
    </row>
    <row r="44" spans="1:38" s="1138" customFormat="1" ht="20.25" customHeight="1" x14ac:dyDescent="0.25">
      <c r="A44" s="1117"/>
      <c r="B44" s="1115" t="s">
        <v>272</v>
      </c>
      <c r="C44" s="1115"/>
      <c r="D44" s="1115" t="s">
        <v>111</v>
      </c>
      <c r="E44" s="1040" t="s">
        <v>15359</v>
      </c>
      <c r="F44" s="1040"/>
      <c r="G44" s="1040"/>
      <c r="H44" s="1040"/>
      <c r="I44" s="1040"/>
      <c r="J44" s="1115" t="s">
        <v>247</v>
      </c>
      <c r="K44" s="1115"/>
      <c r="L44" s="1115" t="s">
        <v>111</v>
      </c>
      <c r="M44" s="1040" t="s">
        <v>15359</v>
      </c>
      <c r="N44" s="1040"/>
      <c r="O44" s="1040"/>
      <c r="P44" s="1040"/>
      <c r="Q44" s="1040"/>
      <c r="R44" s="1115"/>
      <c r="S44" s="1117"/>
      <c r="T44" s="1115" t="s">
        <v>272</v>
      </c>
      <c r="U44" s="1115"/>
      <c r="V44" s="1115" t="s">
        <v>111</v>
      </c>
      <c r="W44" s="1040" t="s">
        <v>15359</v>
      </c>
      <c r="X44" s="1040"/>
      <c r="Y44" s="1040"/>
      <c r="Z44" s="1040"/>
      <c r="AA44" s="1040"/>
      <c r="AB44" s="1115" t="s">
        <v>247</v>
      </c>
      <c r="AC44" s="1115"/>
      <c r="AD44" s="1115" t="s">
        <v>111</v>
      </c>
      <c r="AE44" s="1040" t="s">
        <v>15359</v>
      </c>
      <c r="AF44" s="1040"/>
      <c r="AG44" s="1040"/>
      <c r="AH44" s="1040"/>
      <c r="AI44" s="1040"/>
      <c r="AJ44" s="1163"/>
      <c r="AK44" s="1115"/>
      <c r="AL44" s="1115"/>
    </row>
    <row r="45" spans="1:38" s="1138" customFormat="1" ht="20.25" customHeight="1" x14ac:dyDescent="0.25">
      <c r="A45" s="1156"/>
      <c r="B45" s="1157" t="s">
        <v>272</v>
      </c>
      <c r="C45" s="1157"/>
      <c r="D45" s="1157" t="s">
        <v>111</v>
      </c>
      <c r="E45" s="1158" t="s">
        <v>15359</v>
      </c>
      <c r="F45" s="1158"/>
      <c r="G45" s="1158"/>
      <c r="H45" s="1158"/>
      <c r="I45" s="1158"/>
      <c r="J45" s="1157" t="s">
        <v>247</v>
      </c>
      <c r="K45" s="1157"/>
      <c r="L45" s="1157" t="s">
        <v>111</v>
      </c>
      <c r="M45" s="1158" t="s">
        <v>15359</v>
      </c>
      <c r="N45" s="1158"/>
      <c r="O45" s="1158"/>
      <c r="P45" s="1158"/>
      <c r="Q45" s="1158"/>
      <c r="R45" s="1157"/>
      <c r="S45" s="1156"/>
      <c r="T45" s="1157" t="s">
        <v>272</v>
      </c>
      <c r="U45" s="1157"/>
      <c r="V45" s="1157" t="s">
        <v>111</v>
      </c>
      <c r="W45" s="1158" t="s">
        <v>15359</v>
      </c>
      <c r="X45" s="1158"/>
      <c r="Y45" s="1158"/>
      <c r="Z45" s="1158"/>
      <c r="AA45" s="1158"/>
      <c r="AB45" s="1157" t="s">
        <v>247</v>
      </c>
      <c r="AC45" s="1157"/>
      <c r="AD45" s="1157" t="s">
        <v>111</v>
      </c>
      <c r="AE45" s="1158" t="s">
        <v>15359</v>
      </c>
      <c r="AF45" s="1158"/>
      <c r="AG45" s="1158"/>
      <c r="AH45" s="1158"/>
      <c r="AI45" s="1158"/>
      <c r="AJ45" s="1164"/>
      <c r="AK45" s="1115"/>
      <c r="AL45" s="1115"/>
    </row>
    <row r="46" spans="1:38" s="1115" customFormat="1" ht="36" customHeight="1" x14ac:dyDescent="0.25">
      <c r="A46" s="1055" t="s">
        <v>286</v>
      </c>
      <c r="B46" s="1062"/>
      <c r="C46" s="1062"/>
      <c r="D46" s="1062"/>
      <c r="E46" s="1062"/>
      <c r="F46" s="1062"/>
      <c r="G46" s="1051"/>
      <c r="H46" s="1059" t="s">
        <v>5</v>
      </c>
      <c r="I46" s="1051"/>
      <c r="J46" s="1059" t="s">
        <v>290</v>
      </c>
      <c r="K46" s="1051"/>
      <c r="L46" s="1062" t="s">
        <v>291</v>
      </c>
      <c r="M46" s="1051"/>
      <c r="N46" s="1059" t="s">
        <v>295</v>
      </c>
      <c r="O46" s="1051"/>
      <c r="P46" s="1059" t="s">
        <v>189</v>
      </c>
      <c r="Q46" s="1051"/>
      <c r="R46" s="1165" t="s">
        <v>298</v>
      </c>
      <c r="S46" s="1058"/>
      <c r="T46" s="1059" t="s">
        <v>189</v>
      </c>
      <c r="U46" s="1051"/>
      <c r="V46" s="1059" t="s">
        <v>295</v>
      </c>
      <c r="W46" s="1051"/>
      <c r="X46" s="1062" t="s">
        <v>291</v>
      </c>
      <c r="Y46" s="1051"/>
      <c r="Z46" s="1059" t="s">
        <v>290</v>
      </c>
      <c r="AA46" s="1062"/>
      <c r="AB46" s="1059" t="s">
        <v>5</v>
      </c>
      <c r="AC46" s="1051"/>
      <c r="AD46" s="1059" t="s">
        <v>286</v>
      </c>
      <c r="AE46" s="1062"/>
      <c r="AF46" s="1062"/>
      <c r="AG46" s="1062"/>
      <c r="AH46" s="1062"/>
      <c r="AI46" s="1062"/>
      <c r="AJ46" s="1063"/>
    </row>
    <row r="47" spans="1:38" s="1115" customFormat="1" ht="20.25" customHeight="1" x14ac:dyDescent="0.25">
      <c r="A47" s="1117"/>
      <c r="H47" s="1125">
        <v>3</v>
      </c>
      <c r="I47" s="1125"/>
      <c r="J47" s="1125">
        <v>0</v>
      </c>
      <c r="K47" s="1125"/>
      <c r="L47" s="1089">
        <v>0</v>
      </c>
      <c r="M47" s="1061"/>
      <c r="N47" s="1070">
        <v>0</v>
      </c>
      <c r="O47" s="1061"/>
      <c r="P47" s="1070">
        <v>3</v>
      </c>
      <c r="Q47" s="1061"/>
      <c r="R47" s="1124" t="s">
        <v>421</v>
      </c>
      <c r="S47" s="1090" t="s">
        <v>15</v>
      </c>
      <c r="T47" s="1070">
        <v>5</v>
      </c>
      <c r="U47" s="1061"/>
      <c r="V47" s="1070">
        <v>6</v>
      </c>
      <c r="W47" s="1061"/>
      <c r="X47" s="1089">
        <v>1</v>
      </c>
      <c r="Y47" s="1061"/>
      <c r="Z47" s="1125">
        <v>2</v>
      </c>
      <c r="AA47" s="1125"/>
      <c r="AB47" s="1125">
        <v>14</v>
      </c>
      <c r="AC47" s="1125"/>
      <c r="AD47" s="1112"/>
      <c r="AE47" s="1112"/>
      <c r="AF47" s="1112"/>
      <c r="AG47" s="1112"/>
      <c r="AH47" s="1112"/>
      <c r="AI47" s="1112"/>
      <c r="AJ47" s="1130"/>
    </row>
    <row r="48" spans="1:38" s="1115" customFormat="1" ht="20.25" customHeight="1" x14ac:dyDescent="0.25">
      <c r="A48" s="1117"/>
      <c r="H48" s="1125">
        <v>11</v>
      </c>
      <c r="I48" s="1125"/>
      <c r="J48" s="1125">
        <v>2</v>
      </c>
      <c r="K48" s="1125"/>
      <c r="L48" s="1089">
        <v>0</v>
      </c>
      <c r="M48" s="1061"/>
      <c r="N48" s="1070">
        <v>7</v>
      </c>
      <c r="O48" s="1061"/>
      <c r="P48" s="1070">
        <v>2</v>
      </c>
      <c r="Q48" s="1061"/>
      <c r="R48" s="1124" t="s">
        <v>151</v>
      </c>
      <c r="S48" s="1090" t="s">
        <v>15</v>
      </c>
      <c r="T48" s="1070">
        <v>0</v>
      </c>
      <c r="U48" s="1061"/>
      <c r="V48" s="1070">
        <v>0</v>
      </c>
      <c r="W48" s="1061"/>
      <c r="X48" s="1089">
        <v>0</v>
      </c>
      <c r="Y48" s="1061"/>
      <c r="Z48" s="1125">
        <v>0</v>
      </c>
      <c r="AA48" s="1125"/>
      <c r="AB48" s="1125">
        <v>0</v>
      </c>
      <c r="AC48" s="1125"/>
      <c r="AJ48" s="1161"/>
    </row>
    <row r="49" spans="1:36" s="1115" customFormat="1" ht="20.25" customHeight="1" x14ac:dyDescent="0.25">
      <c r="A49" s="1117"/>
      <c r="H49" s="1125">
        <v>1</v>
      </c>
      <c r="I49" s="1125"/>
      <c r="J49" s="1125">
        <v>0</v>
      </c>
      <c r="K49" s="1125"/>
      <c r="L49" s="1089">
        <v>0</v>
      </c>
      <c r="M49" s="1061"/>
      <c r="N49" s="1070">
        <v>0</v>
      </c>
      <c r="O49" s="1061"/>
      <c r="P49" s="1070">
        <v>1</v>
      </c>
      <c r="Q49" s="1061"/>
      <c r="R49" s="1124" t="s">
        <v>300</v>
      </c>
      <c r="S49" s="1090" t="s">
        <v>425</v>
      </c>
      <c r="T49" s="1070">
        <v>0</v>
      </c>
      <c r="U49" s="1061"/>
      <c r="V49" s="1070">
        <v>3</v>
      </c>
      <c r="W49" s="1061"/>
      <c r="X49" s="1089">
        <v>0</v>
      </c>
      <c r="Y49" s="1061"/>
      <c r="Z49" s="1125">
        <v>1</v>
      </c>
      <c r="AA49" s="1125"/>
      <c r="AB49" s="1125">
        <v>4</v>
      </c>
      <c r="AC49" s="1125"/>
      <c r="AJ49" s="1161"/>
    </row>
    <row r="50" spans="1:36" s="1115" customFormat="1" ht="20.25" customHeight="1" x14ac:dyDescent="0.25">
      <c r="A50" s="1117"/>
      <c r="H50" s="1125">
        <v>0</v>
      </c>
      <c r="I50" s="1125"/>
      <c r="J50" s="1125">
        <v>0</v>
      </c>
      <c r="K50" s="1125"/>
      <c r="L50" s="1089">
        <v>0</v>
      </c>
      <c r="M50" s="1061"/>
      <c r="N50" s="1070">
        <v>0</v>
      </c>
      <c r="O50" s="1061"/>
      <c r="P50" s="1070">
        <v>0</v>
      </c>
      <c r="Q50" s="1061"/>
      <c r="R50" s="1124" t="s">
        <v>301</v>
      </c>
      <c r="S50" s="1090" t="s">
        <v>425</v>
      </c>
      <c r="T50" s="1070">
        <v>0</v>
      </c>
      <c r="U50" s="1061"/>
      <c r="V50" s="1070">
        <v>2</v>
      </c>
      <c r="W50" s="1061"/>
      <c r="X50" s="1089">
        <v>0</v>
      </c>
      <c r="Y50" s="1061"/>
      <c r="Z50" s="1125">
        <v>0</v>
      </c>
      <c r="AA50" s="1125"/>
      <c r="AB50" s="1125">
        <v>2</v>
      </c>
      <c r="AC50" s="1125"/>
      <c r="AJ50" s="1161"/>
    </row>
    <row r="51" spans="1:36" s="1115" customFormat="1" ht="20.25" customHeight="1" x14ac:dyDescent="0.25">
      <c r="A51" s="1120"/>
      <c r="B51" s="1121"/>
      <c r="C51" s="1121"/>
      <c r="D51" s="1121"/>
      <c r="E51" s="1121"/>
      <c r="F51" s="1121"/>
      <c r="G51" s="1121"/>
      <c r="H51" s="1125">
        <v>0</v>
      </c>
      <c r="I51" s="1125"/>
      <c r="J51" s="1125">
        <v>0</v>
      </c>
      <c r="K51" s="1125"/>
      <c r="L51" s="1089">
        <v>0</v>
      </c>
      <c r="M51" s="1061"/>
      <c r="N51" s="1070">
        <v>0</v>
      </c>
      <c r="O51" s="1061"/>
      <c r="P51" s="1070">
        <v>0</v>
      </c>
      <c r="Q51" s="1061"/>
      <c r="R51" s="1124" t="s">
        <v>120</v>
      </c>
      <c r="S51" s="1069" t="s">
        <v>15</v>
      </c>
      <c r="T51" s="1070">
        <v>0</v>
      </c>
      <c r="U51" s="1061"/>
      <c r="V51" s="1070">
        <v>0</v>
      </c>
      <c r="W51" s="1061"/>
      <c r="X51" s="1089">
        <v>0</v>
      </c>
      <c r="Y51" s="1061"/>
      <c r="Z51" s="1125">
        <v>0</v>
      </c>
      <c r="AA51" s="1125"/>
      <c r="AB51" s="1125">
        <v>0</v>
      </c>
      <c r="AC51" s="1125"/>
      <c r="AD51" s="1121"/>
      <c r="AE51" s="1121"/>
      <c r="AF51" s="1121"/>
      <c r="AG51" s="1121"/>
      <c r="AH51" s="1121"/>
      <c r="AI51" s="1121"/>
      <c r="AJ51" s="1122"/>
    </row>
    <row r="52" spans="1:36" s="1115" customFormat="1" ht="20.25" customHeight="1" x14ac:dyDescent="0.25">
      <c r="A52" s="1166" t="s">
        <v>261</v>
      </c>
      <c r="B52" s="1089"/>
      <c r="C52" s="1061"/>
      <c r="D52" s="1070" t="s">
        <v>303</v>
      </c>
      <c r="E52" s="1061"/>
      <c r="F52" s="1070" t="s">
        <v>312</v>
      </c>
      <c r="G52" s="1089"/>
      <c r="H52" s="1089"/>
      <c r="I52" s="1089"/>
      <c r="J52" s="1089"/>
      <c r="K52" s="1089"/>
      <c r="L52" s="1089"/>
      <c r="M52" s="1089"/>
      <c r="N52" s="1089"/>
      <c r="O52" s="1089"/>
      <c r="P52" s="1089"/>
      <c r="Q52" s="1089"/>
      <c r="R52" s="1167"/>
      <c r="S52" s="1166" t="s">
        <v>261</v>
      </c>
      <c r="T52" s="1089"/>
      <c r="U52" s="1061"/>
      <c r="V52" s="1070" t="s">
        <v>303</v>
      </c>
      <c r="W52" s="1061"/>
      <c r="X52" s="1070" t="s">
        <v>312</v>
      </c>
      <c r="Y52" s="1089"/>
      <c r="Z52" s="1089"/>
      <c r="AA52" s="1089"/>
      <c r="AB52" s="1089"/>
      <c r="AC52" s="1089"/>
      <c r="AD52" s="1089"/>
      <c r="AE52" s="1089"/>
      <c r="AF52" s="1089"/>
      <c r="AG52" s="1089"/>
      <c r="AH52" s="1089"/>
      <c r="AI52" s="1089"/>
      <c r="AJ52" s="1167"/>
    </row>
    <row r="53" spans="1:36" s="1115" customFormat="1" ht="20.25" customHeight="1" x14ac:dyDescent="0.25">
      <c r="A53" s="1123"/>
      <c r="B53" s="1146">
        <v>43</v>
      </c>
      <c r="C53" s="1090" t="s">
        <v>272</v>
      </c>
      <c r="D53" s="1070">
        <v>9</v>
      </c>
      <c r="E53" s="1061"/>
      <c r="F53" s="1070" t="s">
        <v>15361</v>
      </c>
      <c r="G53" s="1089"/>
      <c r="H53" s="1089"/>
      <c r="I53" s="1089"/>
      <c r="J53" s="1089"/>
      <c r="K53" s="1089"/>
      <c r="L53" s="1089"/>
      <c r="M53" s="1089"/>
      <c r="N53" s="1089"/>
      <c r="O53" s="1089"/>
      <c r="P53" s="1089"/>
      <c r="Q53" s="1089"/>
      <c r="R53" s="1167"/>
      <c r="S53" s="1123"/>
      <c r="T53" s="1146">
        <v>44</v>
      </c>
      <c r="U53" s="1090" t="s">
        <v>272</v>
      </c>
      <c r="V53" s="1070">
        <v>5</v>
      </c>
      <c r="W53" s="1061"/>
      <c r="X53" s="1070" t="s">
        <v>15362</v>
      </c>
      <c r="Y53" s="1089"/>
      <c r="Z53" s="1089"/>
      <c r="AA53" s="1089"/>
      <c r="AB53" s="1089"/>
      <c r="AC53" s="1089"/>
      <c r="AD53" s="1089"/>
      <c r="AE53" s="1089"/>
      <c r="AF53" s="1089"/>
      <c r="AG53" s="1089"/>
      <c r="AH53" s="1089"/>
      <c r="AI53" s="1089"/>
      <c r="AJ53" s="1167"/>
    </row>
    <row r="54" spans="1:36" s="1115" customFormat="1" ht="20.25" customHeight="1" x14ac:dyDescent="0.25">
      <c r="A54" s="1123"/>
      <c r="B54" s="1146"/>
      <c r="C54" s="1090" t="s">
        <v>272</v>
      </c>
      <c r="D54" s="1070"/>
      <c r="E54" s="1061"/>
      <c r="F54" s="1070"/>
      <c r="G54" s="1089"/>
      <c r="H54" s="1089"/>
      <c r="I54" s="1089"/>
      <c r="J54" s="1089"/>
      <c r="K54" s="1089"/>
      <c r="L54" s="1089"/>
      <c r="M54" s="1089"/>
      <c r="N54" s="1089"/>
      <c r="O54" s="1089"/>
      <c r="P54" s="1089"/>
      <c r="Q54" s="1089"/>
      <c r="R54" s="1167"/>
      <c r="S54" s="1123"/>
      <c r="T54" s="1146">
        <v>50</v>
      </c>
      <c r="U54" s="1090" t="s">
        <v>272</v>
      </c>
      <c r="V54" s="1070">
        <v>5</v>
      </c>
      <c r="W54" s="1061"/>
      <c r="X54" s="1070" t="s">
        <v>15362</v>
      </c>
      <c r="Y54" s="1089"/>
      <c r="Z54" s="1089"/>
      <c r="AA54" s="1089"/>
      <c r="AB54" s="1089"/>
      <c r="AC54" s="1089"/>
      <c r="AD54" s="1089"/>
      <c r="AE54" s="1089"/>
      <c r="AF54" s="1089"/>
      <c r="AG54" s="1089"/>
      <c r="AH54" s="1089"/>
      <c r="AI54" s="1089"/>
      <c r="AJ54" s="1167"/>
    </row>
    <row r="55" spans="1:36" s="1115" customFormat="1" ht="20.25" customHeight="1" x14ac:dyDescent="0.25">
      <c r="A55" s="1123"/>
      <c r="B55" s="1146"/>
      <c r="C55" s="1090" t="s">
        <v>272</v>
      </c>
      <c r="D55" s="1070"/>
      <c r="E55" s="1061"/>
      <c r="F55" s="1070"/>
      <c r="G55" s="1089"/>
      <c r="H55" s="1089"/>
      <c r="I55" s="1089"/>
      <c r="J55" s="1089"/>
      <c r="K55" s="1089"/>
      <c r="L55" s="1089"/>
      <c r="M55" s="1089"/>
      <c r="N55" s="1089"/>
      <c r="O55" s="1089"/>
      <c r="P55" s="1089"/>
      <c r="Q55" s="1089"/>
      <c r="R55" s="1167"/>
      <c r="S55" s="1123"/>
      <c r="T55" s="1146"/>
      <c r="U55" s="1090" t="s">
        <v>272</v>
      </c>
      <c r="V55" s="1070"/>
      <c r="W55" s="1061"/>
      <c r="X55" s="1070"/>
      <c r="Y55" s="1089"/>
      <c r="Z55" s="1089"/>
      <c r="AA55" s="1089"/>
      <c r="AB55" s="1089"/>
      <c r="AC55" s="1089"/>
      <c r="AD55" s="1089"/>
      <c r="AE55" s="1089"/>
      <c r="AF55" s="1089"/>
      <c r="AG55" s="1089"/>
      <c r="AH55" s="1089"/>
      <c r="AI55" s="1089"/>
      <c r="AJ55" s="1167"/>
    </row>
    <row r="56" spans="1:36" s="1115" customFormat="1" ht="20.25" customHeight="1" x14ac:dyDescent="0.25">
      <c r="A56" s="1123"/>
      <c r="B56" s="1146"/>
      <c r="C56" s="1090" t="s">
        <v>272</v>
      </c>
      <c r="D56" s="1070"/>
      <c r="E56" s="1061"/>
      <c r="F56" s="1070"/>
      <c r="G56" s="1089"/>
      <c r="H56" s="1089"/>
      <c r="I56" s="1089"/>
      <c r="J56" s="1089"/>
      <c r="K56" s="1089"/>
      <c r="L56" s="1089"/>
      <c r="M56" s="1089"/>
      <c r="N56" s="1089"/>
      <c r="O56" s="1089"/>
      <c r="P56" s="1089"/>
      <c r="Q56" s="1089"/>
      <c r="R56" s="1167"/>
      <c r="S56" s="1123"/>
      <c r="T56" s="1146"/>
      <c r="U56" s="1090" t="s">
        <v>272</v>
      </c>
      <c r="V56" s="1070"/>
      <c r="W56" s="1061"/>
      <c r="X56" s="1070"/>
      <c r="Y56" s="1089"/>
      <c r="Z56" s="1089"/>
      <c r="AA56" s="1089"/>
      <c r="AB56" s="1089"/>
      <c r="AC56" s="1089"/>
      <c r="AD56" s="1089"/>
      <c r="AE56" s="1089"/>
      <c r="AF56" s="1089"/>
      <c r="AG56" s="1089"/>
      <c r="AH56" s="1089"/>
      <c r="AI56" s="1089"/>
      <c r="AJ56" s="1167"/>
    </row>
    <row r="57" spans="1:36" s="1115" customFormat="1" ht="20.25" customHeight="1" x14ac:dyDescent="0.25">
      <c r="A57" s="1123"/>
      <c r="B57" s="1146"/>
      <c r="C57" s="1090" t="s">
        <v>272</v>
      </c>
      <c r="D57" s="1070"/>
      <c r="E57" s="1061"/>
      <c r="F57" s="1070"/>
      <c r="G57" s="1089"/>
      <c r="H57" s="1089"/>
      <c r="I57" s="1089"/>
      <c r="J57" s="1089"/>
      <c r="K57" s="1089"/>
      <c r="L57" s="1089"/>
      <c r="M57" s="1089"/>
      <c r="N57" s="1089"/>
      <c r="O57" s="1089"/>
      <c r="P57" s="1089"/>
      <c r="Q57" s="1089"/>
      <c r="R57" s="1167"/>
      <c r="S57" s="1123"/>
      <c r="T57" s="1146"/>
      <c r="U57" s="1090" t="s">
        <v>272</v>
      </c>
      <c r="V57" s="1070"/>
      <c r="W57" s="1061"/>
      <c r="X57" s="1070"/>
      <c r="Y57" s="1089"/>
      <c r="Z57" s="1089"/>
      <c r="AA57" s="1089"/>
      <c r="AB57" s="1089"/>
      <c r="AC57" s="1089"/>
      <c r="AD57" s="1089"/>
      <c r="AE57" s="1089"/>
      <c r="AF57" s="1089"/>
      <c r="AG57" s="1089"/>
      <c r="AH57" s="1089"/>
      <c r="AI57" s="1089"/>
      <c r="AJ57" s="1167"/>
    </row>
    <row r="58" spans="1:36" s="1115" customFormat="1" ht="20.25" customHeight="1" x14ac:dyDescent="0.25">
      <c r="A58" s="1123"/>
      <c r="B58" s="1146"/>
      <c r="C58" s="1090" t="s">
        <v>272</v>
      </c>
      <c r="D58" s="1070"/>
      <c r="E58" s="1061"/>
      <c r="F58" s="1070"/>
      <c r="G58" s="1089"/>
      <c r="H58" s="1089"/>
      <c r="I58" s="1089"/>
      <c r="J58" s="1089"/>
      <c r="K58" s="1089"/>
      <c r="L58" s="1089"/>
      <c r="M58" s="1089"/>
      <c r="N58" s="1089"/>
      <c r="O58" s="1089"/>
      <c r="P58" s="1089"/>
      <c r="Q58" s="1089"/>
      <c r="R58" s="1167"/>
      <c r="S58" s="1123"/>
      <c r="T58" s="1146"/>
      <c r="U58" s="1090" t="s">
        <v>272</v>
      </c>
      <c r="V58" s="1070"/>
      <c r="W58" s="1061"/>
      <c r="X58" s="1070"/>
      <c r="Y58" s="1089"/>
      <c r="Z58" s="1089"/>
      <c r="AA58" s="1089"/>
      <c r="AB58" s="1089"/>
      <c r="AC58" s="1089"/>
      <c r="AD58" s="1089"/>
      <c r="AE58" s="1089"/>
      <c r="AF58" s="1089"/>
      <c r="AG58" s="1089"/>
      <c r="AH58" s="1089"/>
      <c r="AI58" s="1089"/>
      <c r="AJ58" s="1167"/>
    </row>
    <row r="59" spans="1:36" s="1115" customFormat="1" ht="20.25" customHeight="1" x14ac:dyDescent="0.25">
      <c r="A59" s="1168" t="s">
        <v>317</v>
      </c>
      <c r="B59" s="1169"/>
      <c r="C59" s="1170"/>
      <c r="D59" s="1171" t="s">
        <v>319</v>
      </c>
      <c r="E59" s="1171"/>
      <c r="F59" s="1171"/>
      <c r="G59" s="1170"/>
      <c r="H59" s="1171" t="s">
        <v>323</v>
      </c>
      <c r="I59" s="1171"/>
      <c r="J59" s="1170" t="s">
        <v>326</v>
      </c>
      <c r="K59" s="1170"/>
      <c r="L59" s="1171" t="s">
        <v>327</v>
      </c>
      <c r="M59" s="1171"/>
      <c r="N59" s="1171"/>
      <c r="O59" s="1170" t="s">
        <v>247</v>
      </c>
      <c r="P59" s="1170"/>
      <c r="Q59" s="1171" t="s">
        <v>329</v>
      </c>
      <c r="R59" s="1171"/>
      <c r="S59" s="1170" t="s">
        <v>330</v>
      </c>
      <c r="T59" s="1170"/>
      <c r="U59" s="1171" t="s">
        <v>332</v>
      </c>
      <c r="V59" s="1171"/>
      <c r="W59" s="1170" t="s">
        <v>410</v>
      </c>
      <c r="X59" s="1170"/>
      <c r="Y59" s="1171" t="s">
        <v>207</v>
      </c>
      <c r="Z59" s="1171"/>
      <c r="AA59" s="1171"/>
      <c r="AB59" s="1170" t="s">
        <v>429</v>
      </c>
      <c r="AC59" s="1170"/>
      <c r="AD59" s="1171" t="s">
        <v>431</v>
      </c>
      <c r="AE59" s="1171"/>
      <c r="AF59" s="1170" t="s">
        <v>435</v>
      </c>
      <c r="AG59" s="1170"/>
      <c r="AH59" s="1170"/>
      <c r="AI59" s="1170"/>
      <c r="AJ59" s="1172"/>
    </row>
    <row r="60" spans="1:36" s="1115" customFormat="1" ht="20.25" customHeight="1" x14ac:dyDescent="0.25">
      <c r="A60" s="1173" t="s">
        <v>2435</v>
      </c>
      <c r="B60" s="1173"/>
      <c r="C60" s="1173"/>
      <c r="D60" s="1173"/>
      <c r="E60" s="1173"/>
      <c r="F60" s="1173"/>
      <c r="G60" s="1173"/>
      <c r="H60" s="1173"/>
      <c r="I60" s="1173"/>
      <c r="J60" s="1173"/>
      <c r="K60" s="1173"/>
      <c r="L60" s="1173"/>
      <c r="M60" s="1173"/>
      <c r="N60" s="1173"/>
      <c r="O60" s="1173"/>
      <c r="P60" s="1173"/>
      <c r="Q60" s="1173"/>
      <c r="R60" s="1173"/>
      <c r="S60" s="1173"/>
      <c r="T60" s="1173"/>
      <c r="U60" s="1173"/>
      <c r="V60" s="1173"/>
      <c r="W60" s="1173"/>
      <c r="X60" s="1173"/>
      <c r="Y60" s="1173"/>
      <c r="Z60" s="1173"/>
      <c r="AA60" s="1173"/>
      <c r="AB60" s="1173"/>
      <c r="AC60" s="1173"/>
      <c r="AD60" s="1173"/>
      <c r="AE60" s="1173"/>
      <c r="AF60" s="1173"/>
      <c r="AG60" s="1173"/>
      <c r="AH60" s="1173"/>
      <c r="AI60" s="1173"/>
      <c r="AJ60" s="1173"/>
    </row>
    <row r="61" spans="1:36" s="1115" customFormat="1" ht="20.25" customHeight="1" x14ac:dyDescent="0.25">
      <c r="A61" s="1174" t="s">
        <v>2866</v>
      </c>
      <c r="B61" s="1174"/>
      <c r="C61" s="1174"/>
      <c r="D61" s="1174"/>
      <c r="E61" s="1174"/>
      <c r="F61" s="1174"/>
      <c r="G61" s="1174"/>
      <c r="H61" s="1174"/>
      <c r="I61" s="1174"/>
      <c r="J61" s="1174"/>
      <c r="K61" s="1174"/>
      <c r="L61" s="1174"/>
      <c r="M61" s="1174"/>
      <c r="N61" s="1174"/>
      <c r="O61" s="1174"/>
      <c r="P61" s="1174"/>
      <c r="Q61" s="1174"/>
      <c r="R61" s="1174"/>
      <c r="S61" s="1174"/>
      <c r="T61" s="1174"/>
      <c r="U61" s="1174"/>
      <c r="V61" s="1174"/>
      <c r="W61" s="1174"/>
      <c r="X61" s="1174"/>
      <c r="Y61" s="1174"/>
      <c r="Z61" s="1174"/>
      <c r="AA61" s="1174"/>
      <c r="AB61" s="1174"/>
      <c r="AC61" s="1174"/>
      <c r="AD61" s="1174"/>
      <c r="AE61" s="1174"/>
      <c r="AF61" s="1174"/>
      <c r="AG61" s="1174"/>
      <c r="AH61" s="1174"/>
      <c r="AI61" s="1174"/>
      <c r="AJ61" s="1174"/>
    </row>
    <row r="62" spans="1:36" ht="18.75" hidden="1" customHeight="1" x14ac:dyDescent="0.25">
      <c r="A62" s="1023"/>
      <c r="B62" s="1023"/>
      <c r="C62" s="1023"/>
      <c r="D62" s="1023"/>
      <c r="E62" s="1023"/>
      <c r="F62" s="1023"/>
      <c r="G62" s="1023"/>
      <c r="H62" s="1023"/>
      <c r="I62" s="1023"/>
      <c r="J62" s="1023"/>
      <c r="K62" s="1023"/>
      <c r="L62" s="1023"/>
      <c r="M62" s="1023"/>
      <c r="N62" s="1023"/>
      <c r="O62" s="1023"/>
      <c r="P62" s="1023"/>
      <c r="Q62" s="1023"/>
      <c r="R62" s="1023"/>
      <c r="S62" s="1023"/>
      <c r="T62" s="1023"/>
      <c r="U62" s="1023"/>
      <c r="V62" s="1023"/>
      <c r="W62" s="1023"/>
      <c r="X62" s="1023"/>
      <c r="Y62" s="1023"/>
      <c r="Z62" s="1023"/>
      <c r="AA62" s="1023"/>
      <c r="AB62" s="1023"/>
      <c r="AC62" s="1023"/>
      <c r="AD62" s="1023"/>
      <c r="AE62" s="1023"/>
      <c r="AF62" s="1023"/>
      <c r="AG62" s="1023"/>
      <c r="AH62" s="1023"/>
      <c r="AI62" s="1023"/>
      <c r="AJ62" s="1175"/>
    </row>
    <row r="63" spans="1:36" s="1138" customFormat="1" ht="20.25" hidden="1" customHeight="1" x14ac:dyDescent="0.25">
      <c r="A63" s="1176" t="s">
        <v>106</v>
      </c>
      <c r="B63" s="1177"/>
      <c r="C63" s="1177"/>
      <c r="D63" s="1177"/>
      <c r="E63" s="1178" t="s">
        <v>336</v>
      </c>
      <c r="F63" s="1177"/>
      <c r="G63" s="1177"/>
      <c r="H63" s="1177"/>
      <c r="I63" s="1177"/>
      <c r="J63" s="1177"/>
      <c r="K63" s="1178" t="s">
        <v>339</v>
      </c>
      <c r="L63" s="1178"/>
      <c r="M63" s="1177" t="s">
        <v>342</v>
      </c>
      <c r="N63" s="1177"/>
      <c r="O63" s="1177"/>
      <c r="P63" s="1177"/>
      <c r="Q63" s="1177"/>
      <c r="R63" s="1178" t="s">
        <v>336</v>
      </c>
      <c r="S63" s="1177"/>
      <c r="T63" s="1177"/>
      <c r="U63" s="1177"/>
      <c r="V63" s="1177"/>
      <c r="W63" s="1177"/>
      <c r="X63" s="1177"/>
      <c r="Y63" s="1177"/>
      <c r="Z63" s="1177"/>
      <c r="AA63" s="1177"/>
      <c r="AB63" s="1177"/>
      <c r="AC63" s="1177"/>
      <c r="AD63" s="1177"/>
      <c r="AE63" s="1177"/>
      <c r="AF63" s="1177"/>
      <c r="AG63" s="1177"/>
      <c r="AH63" s="1177"/>
      <c r="AI63" s="1178" t="s">
        <v>344</v>
      </c>
      <c r="AJ63" s="1179"/>
    </row>
    <row r="64" spans="1:36" ht="20.25" hidden="1" customHeight="1" x14ac:dyDescent="0.25">
      <c r="A64" s="1180"/>
      <c r="B64" s="1181"/>
      <c r="C64" s="1181"/>
      <c r="D64" s="1181"/>
      <c r="E64" s="1181"/>
      <c r="F64" s="1181"/>
      <c r="G64" s="1181"/>
      <c r="H64" s="1181"/>
      <c r="I64" s="1181"/>
      <c r="J64" s="1181"/>
      <c r="K64" s="1181"/>
      <c r="L64" s="1181"/>
      <c r="M64" s="1181"/>
      <c r="N64" s="1181"/>
      <c r="O64" s="1181"/>
      <c r="P64" s="1181"/>
      <c r="Q64" s="1181"/>
      <c r="R64" s="1181"/>
      <c r="S64" s="1181"/>
      <c r="T64" s="1181"/>
      <c r="U64" s="1181"/>
      <c r="V64" s="1181"/>
      <c r="W64" s="1181"/>
      <c r="X64" s="1181"/>
      <c r="Y64" s="1181"/>
      <c r="Z64" s="1181"/>
      <c r="AA64" s="1181"/>
      <c r="AB64" s="1181"/>
      <c r="AC64" s="1181"/>
      <c r="AD64" s="1181"/>
      <c r="AE64" s="1181"/>
      <c r="AF64" s="1181"/>
      <c r="AG64" s="1181"/>
      <c r="AH64" s="1181"/>
      <c r="AI64" s="1181"/>
      <c r="AJ64" s="1182"/>
    </row>
    <row r="65" spans="1:41" ht="20.25" hidden="1" customHeight="1" x14ac:dyDescent="0.25">
      <c r="A65" s="1183"/>
      <c r="AJ65" s="1184"/>
    </row>
    <row r="66" spans="1:41" ht="20.25" hidden="1" customHeight="1" x14ac:dyDescent="0.25">
      <c r="A66" s="1183"/>
      <c r="AJ66" s="1184"/>
    </row>
    <row r="67" spans="1:41" ht="20.25" hidden="1" customHeight="1" x14ac:dyDescent="0.25">
      <c r="A67" s="1183"/>
      <c r="AJ67" s="1184"/>
    </row>
    <row r="68" spans="1:41" ht="20.25" hidden="1" customHeight="1" x14ac:dyDescent="0.25">
      <c r="A68" s="1183"/>
      <c r="AJ68" s="1184"/>
    </row>
    <row r="69" spans="1:41" ht="20.25" hidden="1" customHeight="1" x14ac:dyDescent="0.25">
      <c r="A69" s="1183"/>
      <c r="AJ69" s="1184"/>
    </row>
    <row r="70" spans="1:41" ht="20.25" hidden="1" customHeight="1" x14ac:dyDescent="0.25">
      <c r="A70" s="1185"/>
      <c r="B70" s="1023"/>
      <c r="C70" s="1023"/>
      <c r="D70" s="1023"/>
      <c r="E70" s="1023"/>
      <c r="F70" s="1023"/>
      <c r="G70" s="1023"/>
      <c r="H70" s="1023"/>
      <c r="I70" s="1023"/>
      <c r="J70" s="1023"/>
      <c r="K70" s="1023"/>
      <c r="L70" s="1023"/>
      <c r="M70" s="1023"/>
      <c r="N70" s="1023"/>
      <c r="O70" s="1023"/>
      <c r="P70" s="1023"/>
      <c r="Q70" s="1023"/>
      <c r="R70" s="1023"/>
      <c r="S70" s="1023"/>
      <c r="T70" s="1023"/>
      <c r="U70" s="1023"/>
      <c r="V70" s="1023"/>
      <c r="W70" s="1023"/>
      <c r="X70" s="1023"/>
      <c r="Y70" s="1023"/>
      <c r="Z70" s="1023"/>
      <c r="AA70" s="1023"/>
      <c r="AB70" s="1023"/>
      <c r="AC70" s="1023"/>
      <c r="AD70" s="1023"/>
      <c r="AE70" s="1023"/>
      <c r="AF70" s="1023"/>
      <c r="AG70" s="1023"/>
      <c r="AH70" s="1023"/>
      <c r="AI70" s="1023"/>
      <c r="AJ70" s="1186"/>
    </row>
    <row r="72" spans="1:41" s="1138" customFormat="1" ht="16.149999999999999" x14ac:dyDescent="0.25">
      <c r="I72" s="1187" t="s">
        <v>86</v>
      </c>
      <c r="J72" s="1187"/>
      <c r="K72" s="1187"/>
      <c r="L72" s="1187"/>
      <c r="M72" s="1187"/>
      <c r="N72" s="1187"/>
      <c r="O72" s="1187"/>
      <c r="P72" s="1187" t="s">
        <v>2133</v>
      </c>
      <c r="Q72" s="1187"/>
      <c r="R72" s="1187"/>
      <c r="S72" s="1187"/>
      <c r="T72" s="1187"/>
      <c r="U72" s="1187"/>
      <c r="V72" s="1187"/>
      <c r="W72" s="1188" t="s">
        <v>347</v>
      </c>
      <c r="X72" s="1141"/>
      <c r="Y72" s="1141"/>
      <c r="Z72" s="1141"/>
      <c r="AA72" s="1141"/>
      <c r="AB72" s="1141"/>
      <c r="AC72" s="1142"/>
      <c r="AD72" s="1188" t="s">
        <v>349</v>
      </c>
      <c r="AE72" s="1141"/>
      <c r="AF72" s="1141"/>
      <c r="AG72" s="1141"/>
      <c r="AH72" s="1141"/>
      <c r="AI72" s="1141"/>
      <c r="AJ72" s="1142"/>
    </row>
    <row r="73" spans="1:41" ht="13.5" customHeight="1" x14ac:dyDescent="0.25">
      <c r="I73" s="1189" t="s">
        <v>15332</v>
      </c>
      <c r="J73" s="1189"/>
      <c r="K73" s="1189"/>
      <c r="L73" s="1189"/>
      <c r="M73" s="1189"/>
      <c r="N73" s="1189"/>
      <c r="O73" s="1189"/>
      <c r="P73" s="1189" t="s">
        <v>15333</v>
      </c>
      <c r="Q73" s="1189"/>
      <c r="R73" s="1189"/>
      <c r="S73" s="1189"/>
      <c r="T73" s="1189"/>
      <c r="U73" s="1189"/>
      <c r="V73" s="1189"/>
      <c r="W73" s="1190" t="s">
        <v>15327</v>
      </c>
      <c r="X73" s="1191"/>
      <c r="Y73" s="1191"/>
      <c r="Z73" s="1191"/>
      <c r="AA73" s="1191"/>
      <c r="AB73" s="1191"/>
      <c r="AC73" s="1192"/>
      <c r="AD73" s="1190" t="s">
        <v>15323</v>
      </c>
      <c r="AE73" s="1191"/>
      <c r="AF73" s="1191"/>
      <c r="AG73" s="1191"/>
      <c r="AH73" s="1191"/>
      <c r="AI73" s="1191"/>
      <c r="AJ73" s="1192"/>
    </row>
    <row r="74" spans="1:41" ht="13.5" customHeight="1" x14ac:dyDescent="0.25">
      <c r="I74" s="1189"/>
      <c r="J74" s="1189"/>
      <c r="K74" s="1189"/>
      <c r="L74" s="1189"/>
      <c r="M74" s="1189"/>
      <c r="N74" s="1189"/>
      <c r="O74" s="1189"/>
      <c r="P74" s="1189"/>
      <c r="Q74" s="1189"/>
      <c r="R74" s="1189"/>
      <c r="S74" s="1189"/>
      <c r="T74" s="1189"/>
      <c r="U74" s="1189"/>
      <c r="V74" s="1189"/>
      <c r="W74" s="1193"/>
      <c r="X74" s="1194"/>
      <c r="Y74" s="1194"/>
      <c r="Z74" s="1194"/>
      <c r="AA74" s="1194"/>
      <c r="AB74" s="1194"/>
      <c r="AC74" s="1195"/>
      <c r="AD74" s="1193"/>
      <c r="AE74" s="1194"/>
      <c r="AF74" s="1194"/>
      <c r="AG74" s="1194"/>
      <c r="AH74" s="1194"/>
      <c r="AI74" s="1194"/>
      <c r="AJ74" s="1195"/>
    </row>
    <row r="75" spans="1:41" ht="13.5" customHeight="1" x14ac:dyDescent="0.25">
      <c r="I75" s="1189"/>
      <c r="J75" s="1189"/>
      <c r="K75" s="1189"/>
      <c r="L75" s="1189"/>
      <c r="M75" s="1189"/>
      <c r="N75" s="1189"/>
      <c r="O75" s="1189"/>
      <c r="P75" s="1189"/>
      <c r="Q75" s="1189"/>
      <c r="R75" s="1189"/>
      <c r="S75" s="1189"/>
      <c r="T75" s="1189"/>
      <c r="U75" s="1189"/>
      <c r="V75" s="1189"/>
      <c r="W75" s="1196"/>
      <c r="X75" s="1197"/>
      <c r="Y75" s="1197"/>
      <c r="Z75" s="1197"/>
      <c r="AA75" s="1197"/>
      <c r="AB75" s="1197"/>
      <c r="AC75" s="1198"/>
      <c r="AD75" s="1196"/>
      <c r="AE75" s="1197"/>
      <c r="AF75" s="1197"/>
      <c r="AG75" s="1197"/>
      <c r="AH75" s="1197"/>
      <c r="AI75" s="1197"/>
      <c r="AJ75" s="1198"/>
    </row>
    <row r="76" spans="1:41" x14ac:dyDescent="0.25">
      <c r="AN76" s="1199"/>
      <c r="AO76" s="1199"/>
    </row>
    <row r="77" spans="1:41" x14ac:dyDescent="0.25">
      <c r="AN77" s="1199"/>
      <c r="AO77" s="1199"/>
    </row>
  </sheetData>
  <mergeCells count="275">
    <mergeCell ref="A1:F1"/>
    <mergeCell ref="G1:J1"/>
    <mergeCell ref="K1:L1"/>
    <mergeCell ref="A2:B2"/>
    <mergeCell ref="P2:Q2"/>
    <mergeCell ref="AF2:AJ2"/>
    <mergeCell ref="A3:B3"/>
    <mergeCell ref="O3:P3"/>
    <mergeCell ref="Q3:R3"/>
    <mergeCell ref="S3:AA3"/>
    <mergeCell ref="AF3:AJ3"/>
    <mergeCell ref="A4:B4"/>
    <mergeCell ref="O4:P4"/>
    <mergeCell ref="Q4:R4"/>
    <mergeCell ref="S4:AA4"/>
    <mergeCell ref="AC4:AD4"/>
    <mergeCell ref="AF4:AJ4"/>
    <mergeCell ref="A5:B5"/>
    <mergeCell ref="L5:M5"/>
    <mergeCell ref="S5:T5"/>
    <mergeCell ref="C2:N4"/>
    <mergeCell ref="AC2:AD3"/>
    <mergeCell ref="A6:B6"/>
    <mergeCell ref="L6:M6"/>
    <mergeCell ref="N6:O6"/>
    <mergeCell ref="S6:T6"/>
    <mergeCell ref="V6:Z6"/>
    <mergeCell ref="AA6:AE6"/>
    <mergeCell ref="AF6:AJ6"/>
    <mergeCell ref="A7:B7"/>
    <mergeCell ref="L7:M7"/>
    <mergeCell ref="N7:O7"/>
    <mergeCell ref="S7:T7"/>
    <mergeCell ref="AA7:AE7"/>
    <mergeCell ref="C5:I7"/>
    <mergeCell ref="X11:Y11"/>
    <mergeCell ref="A8:C8"/>
    <mergeCell ref="L8:O8"/>
    <mergeCell ref="R8:S8"/>
    <mergeCell ref="V8:X8"/>
    <mergeCell ref="AG8:AJ8"/>
    <mergeCell ref="B9:K9"/>
    <mergeCell ref="L9:O9"/>
    <mergeCell ref="R9:S9"/>
    <mergeCell ref="W9:AF9"/>
    <mergeCell ref="AG9:AJ9"/>
    <mergeCell ref="R12:S12"/>
    <mergeCell ref="C13:J13"/>
    <mergeCell ref="AA13:AH13"/>
    <mergeCell ref="A14:B14"/>
    <mergeCell ref="C14:D14"/>
    <mergeCell ref="E14:F14"/>
    <mergeCell ref="G14:H14"/>
    <mergeCell ref="I14:J14"/>
    <mergeCell ref="R14:S14"/>
    <mergeCell ref="AA14:AB14"/>
    <mergeCell ref="AC14:AD14"/>
    <mergeCell ref="AE14:AF14"/>
    <mergeCell ref="AG14:AH14"/>
    <mergeCell ref="P8:P12"/>
    <mergeCell ref="U8:U12"/>
    <mergeCell ref="J10:L10"/>
    <mergeCell ref="M10:O10"/>
    <mergeCell ref="R10:S10"/>
    <mergeCell ref="V10:X10"/>
    <mergeCell ref="Y10:AA10"/>
    <mergeCell ref="L11:M11"/>
    <mergeCell ref="N11:O11"/>
    <mergeCell ref="R11:S11"/>
    <mergeCell ref="V11:W11"/>
    <mergeCell ref="AI14:AJ14"/>
    <mergeCell ref="A15:B15"/>
    <mergeCell ref="C15:D15"/>
    <mergeCell ref="E15:F15"/>
    <mergeCell ref="G15:H15"/>
    <mergeCell ref="I15:J15"/>
    <mergeCell ref="AA15:AB15"/>
    <mergeCell ref="AC15:AD15"/>
    <mergeCell ref="AE15:AF15"/>
    <mergeCell ref="AG15:AH15"/>
    <mergeCell ref="AI15:AJ15"/>
    <mergeCell ref="L16:P16"/>
    <mergeCell ref="U16:Y16"/>
    <mergeCell ref="L17:P17"/>
    <mergeCell ref="U17:Y17"/>
    <mergeCell ref="L18:P18"/>
    <mergeCell ref="U18:Y18"/>
    <mergeCell ref="L19:P19"/>
    <mergeCell ref="U19:Y19"/>
    <mergeCell ref="L20:P20"/>
    <mergeCell ref="U20:Y20"/>
    <mergeCell ref="L21:P21"/>
    <mergeCell ref="U21:Y21"/>
    <mergeCell ref="L22:P22"/>
    <mergeCell ref="U22:Y22"/>
    <mergeCell ref="L23:P23"/>
    <mergeCell ref="U23:Y23"/>
    <mergeCell ref="Q24:T24"/>
    <mergeCell ref="L25:P25"/>
    <mergeCell ref="U25:Y25"/>
    <mergeCell ref="L26:P26"/>
    <mergeCell ref="U26:Y26"/>
    <mergeCell ref="L27:P27"/>
    <mergeCell ref="U27:Y27"/>
    <mergeCell ref="L28:P28"/>
    <mergeCell ref="U28:Y28"/>
    <mergeCell ref="L29:P29"/>
    <mergeCell ref="U29:Y29"/>
    <mergeCell ref="L30:P30"/>
    <mergeCell ref="U30:Y30"/>
    <mergeCell ref="L31:P31"/>
    <mergeCell ref="U31:Y31"/>
    <mergeCell ref="L32:P32"/>
    <mergeCell ref="U32:Y32"/>
    <mergeCell ref="L33:P33"/>
    <mergeCell ref="U33:Y33"/>
    <mergeCell ref="L34:P34"/>
    <mergeCell ref="U34:Y34"/>
    <mergeCell ref="L35:P35"/>
    <mergeCell ref="R35:S35"/>
    <mergeCell ref="U35:Y35"/>
    <mergeCell ref="R36:S36"/>
    <mergeCell ref="R37:S37"/>
    <mergeCell ref="E38:I38"/>
    <mergeCell ref="M38:Q38"/>
    <mergeCell ref="W38:AA38"/>
    <mergeCell ref="AE38:AI38"/>
    <mergeCell ref="E39:I39"/>
    <mergeCell ref="M39:Q39"/>
    <mergeCell ref="W39:AA39"/>
    <mergeCell ref="AE39:AI39"/>
    <mergeCell ref="C36:I37"/>
    <mergeCell ref="J36:J37"/>
    <mergeCell ref="K36:Q37"/>
    <mergeCell ref="U36:AA37"/>
    <mergeCell ref="AB36:AB37"/>
    <mergeCell ref="AC36:AI37"/>
    <mergeCell ref="E40:I40"/>
    <mergeCell ref="M40:Q40"/>
    <mergeCell ref="W40:AA40"/>
    <mergeCell ref="AE40:AI40"/>
    <mergeCell ref="E41:I41"/>
    <mergeCell ref="M41:Q41"/>
    <mergeCell ref="W41:AA41"/>
    <mergeCell ref="AE41:AI41"/>
    <mergeCell ref="E42:I42"/>
    <mergeCell ref="M42:Q42"/>
    <mergeCell ref="W42:AA42"/>
    <mergeCell ref="AE42:AI42"/>
    <mergeCell ref="E43:I43"/>
    <mergeCell ref="M43:Q43"/>
    <mergeCell ref="W43:AA43"/>
    <mergeCell ref="AE43:AI43"/>
    <mergeCell ref="E44:I44"/>
    <mergeCell ref="M44:Q44"/>
    <mergeCell ref="W44:AA44"/>
    <mergeCell ref="AE44:AI44"/>
    <mergeCell ref="E45:I45"/>
    <mergeCell ref="M45:Q45"/>
    <mergeCell ref="W45:AA45"/>
    <mergeCell ref="AE45:AI45"/>
    <mergeCell ref="A46:G46"/>
    <mergeCell ref="H46:I46"/>
    <mergeCell ref="J46:K46"/>
    <mergeCell ref="L46:M46"/>
    <mergeCell ref="N46:O46"/>
    <mergeCell ref="P46:Q46"/>
    <mergeCell ref="R46:S46"/>
    <mergeCell ref="T46:U46"/>
    <mergeCell ref="V46:W46"/>
    <mergeCell ref="X46:Y46"/>
    <mergeCell ref="Z46:AA46"/>
    <mergeCell ref="AB46:AC46"/>
    <mergeCell ref="AD46:AJ46"/>
    <mergeCell ref="H47:I47"/>
    <mergeCell ref="J47:K47"/>
    <mergeCell ref="L47:M47"/>
    <mergeCell ref="N47:O47"/>
    <mergeCell ref="P47:Q47"/>
    <mergeCell ref="T47:U47"/>
    <mergeCell ref="V47:W47"/>
    <mergeCell ref="X47:Y47"/>
    <mergeCell ref="Z47:AA47"/>
    <mergeCell ref="AB47:AC47"/>
    <mergeCell ref="AB48:AC48"/>
    <mergeCell ref="H49:I49"/>
    <mergeCell ref="J49:K49"/>
    <mergeCell ref="L49:M49"/>
    <mergeCell ref="N49:O49"/>
    <mergeCell ref="P49:Q49"/>
    <mergeCell ref="T49:U49"/>
    <mergeCell ref="V49:W49"/>
    <mergeCell ref="X49:Y49"/>
    <mergeCell ref="Z49:AA49"/>
    <mergeCell ref="AB49:AC49"/>
    <mergeCell ref="H48:I48"/>
    <mergeCell ref="J48:K48"/>
    <mergeCell ref="L48:M48"/>
    <mergeCell ref="N48:O48"/>
    <mergeCell ref="P48:Q48"/>
    <mergeCell ref="T48:U48"/>
    <mergeCell ref="V48:W48"/>
    <mergeCell ref="X48:Y48"/>
    <mergeCell ref="Z48:AA48"/>
    <mergeCell ref="AB50:AC50"/>
    <mergeCell ref="H51:I51"/>
    <mergeCell ref="J51:K51"/>
    <mergeCell ref="L51:M51"/>
    <mergeCell ref="N51:O51"/>
    <mergeCell ref="P51:Q51"/>
    <mergeCell ref="T51:U51"/>
    <mergeCell ref="V51:W51"/>
    <mergeCell ref="X51:Y51"/>
    <mergeCell ref="Z51:AA51"/>
    <mergeCell ref="AB51:AC51"/>
    <mergeCell ref="H50:I50"/>
    <mergeCell ref="J50:K50"/>
    <mergeCell ref="L50:M50"/>
    <mergeCell ref="N50:O50"/>
    <mergeCell ref="P50:Q50"/>
    <mergeCell ref="T50:U50"/>
    <mergeCell ref="V50:W50"/>
    <mergeCell ref="X50:Y50"/>
    <mergeCell ref="Z50:AA50"/>
    <mergeCell ref="A52:C52"/>
    <mergeCell ref="D52:E52"/>
    <mergeCell ref="F52:R52"/>
    <mergeCell ref="S52:U52"/>
    <mergeCell ref="V52:W52"/>
    <mergeCell ref="X52:AJ52"/>
    <mergeCell ref="D53:E53"/>
    <mergeCell ref="F53:R53"/>
    <mergeCell ref="V53:W53"/>
    <mergeCell ref="X53:AJ53"/>
    <mergeCell ref="D54:E54"/>
    <mergeCell ref="F54:R54"/>
    <mergeCell ref="V54:W54"/>
    <mergeCell ref="X54:AJ54"/>
    <mergeCell ref="D55:E55"/>
    <mergeCell ref="F55:R55"/>
    <mergeCell ref="V55:W55"/>
    <mergeCell ref="X55:AJ55"/>
    <mergeCell ref="D56:E56"/>
    <mergeCell ref="F56:R56"/>
    <mergeCell ref="V56:W56"/>
    <mergeCell ref="X56:AJ56"/>
    <mergeCell ref="D57:E57"/>
    <mergeCell ref="F57:R57"/>
    <mergeCell ref="V57:W57"/>
    <mergeCell ref="X57:AJ57"/>
    <mergeCell ref="D58:E58"/>
    <mergeCell ref="F58:R58"/>
    <mergeCell ref="V58:W58"/>
    <mergeCell ref="X58:AJ58"/>
    <mergeCell ref="D59:F59"/>
    <mergeCell ref="H59:I59"/>
    <mergeCell ref="L59:N59"/>
    <mergeCell ref="Q59:R59"/>
    <mergeCell ref="U59:V59"/>
    <mergeCell ref="Y59:AA59"/>
    <mergeCell ref="AD59:AE59"/>
    <mergeCell ref="I73:O75"/>
    <mergeCell ref="P73:V75"/>
    <mergeCell ref="W73:AC75"/>
    <mergeCell ref="AD73:AJ75"/>
    <mergeCell ref="A60:AJ60"/>
    <mergeCell ref="A61:AJ61"/>
    <mergeCell ref="A63:D63"/>
    <mergeCell ref="F63:J63"/>
    <mergeCell ref="M63:Q63"/>
    <mergeCell ref="S63:AH63"/>
    <mergeCell ref="I72:O72"/>
    <mergeCell ref="P72:V72"/>
    <mergeCell ref="W72:AC72"/>
    <mergeCell ref="AD72:AJ72"/>
  </mergeCells>
  <phoneticPr fontId="29"/>
  <printOptions horizontalCentered="1" verticalCentered="1"/>
  <pageMargins left="0" right="0" top="0" bottom="0" header="0.19685039370078741" footer="0.35433070866141736"/>
  <pageSetup paperSize="9" scale="63" orientation="portrait" r:id="rId1"/>
  <headerFooter alignWithMargins="0"/>
  <rowBreaks count="1" manualBreakCount="1">
    <brk id="70" max="1638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6">
    <tabColor theme="0"/>
    <pageSetUpPr fitToPage="1"/>
  </sheetPr>
  <dimension ref="A1:AO77"/>
  <sheetViews>
    <sheetView zoomScale="85" zoomScaleNormal="85" zoomScaleSheetLayoutView="75" workbookViewId="0">
      <selection activeCell="A2" sqref="A2:B2"/>
    </sheetView>
  </sheetViews>
  <sheetFormatPr defaultColWidth="3.796875" defaultRowHeight="12.75" x14ac:dyDescent="0.25"/>
  <cols>
    <col min="1" max="16" width="3.796875" style="1022"/>
    <col min="17" max="17" width="4.06640625" style="1022" bestFit="1" customWidth="1"/>
    <col min="18" max="19" width="3.796875" style="1022"/>
    <col min="20" max="20" width="4.06640625" style="1022" bestFit="1" customWidth="1"/>
    <col min="21" max="16384" width="3.796875" style="1022"/>
  </cols>
  <sheetData>
    <row r="1" spans="1:36" ht="30" customHeight="1" x14ac:dyDescent="0.25">
      <c r="A1" s="1018" t="s">
        <v>37</v>
      </c>
      <c r="B1" s="1018"/>
      <c r="C1" s="1019"/>
      <c r="D1" s="1019"/>
      <c r="E1" s="1019"/>
      <c r="F1" s="1019"/>
      <c r="G1" s="1020" t="s">
        <v>623</v>
      </c>
      <c r="H1" s="1020"/>
      <c r="I1" s="1020"/>
      <c r="J1" s="1020"/>
      <c r="K1" s="1021">
        <v>49</v>
      </c>
      <c r="L1" s="1020"/>
      <c r="T1" s="1023"/>
      <c r="U1" s="1023"/>
      <c r="V1" s="1023"/>
      <c r="W1" s="1023"/>
      <c r="X1" s="1023"/>
      <c r="Y1" s="1023"/>
      <c r="AA1" s="1023"/>
    </row>
    <row r="2" spans="1:36" ht="20.25" customHeight="1" x14ac:dyDescent="0.25">
      <c r="A2" s="1024" t="s">
        <v>2</v>
      </c>
      <c r="B2" s="1025"/>
      <c r="C2" s="1026" t="s">
        <v>7789</v>
      </c>
      <c r="D2" s="1027"/>
      <c r="E2" s="1027"/>
      <c r="F2" s="1027"/>
      <c r="G2" s="1027"/>
      <c r="H2" s="1027"/>
      <c r="I2" s="1027"/>
      <c r="J2" s="1027"/>
      <c r="K2" s="1027"/>
      <c r="L2" s="1027"/>
      <c r="M2" s="1027"/>
      <c r="N2" s="1028"/>
      <c r="O2" s="1029" t="s">
        <v>32</v>
      </c>
      <c r="P2" s="1030">
        <v>3</v>
      </c>
      <c r="Q2" s="1030"/>
      <c r="R2" s="1031" t="s">
        <v>14</v>
      </c>
      <c r="S2" s="1032"/>
      <c r="T2" s="1033"/>
      <c r="U2" s="1033"/>
      <c r="V2" s="1033"/>
      <c r="W2" s="1033"/>
      <c r="X2" s="1033"/>
      <c r="Y2" s="1033"/>
      <c r="Z2" s="1033"/>
      <c r="AA2" s="1034"/>
      <c r="AB2" s="1035" t="s">
        <v>49</v>
      </c>
      <c r="AC2" s="1036" t="s">
        <v>2311</v>
      </c>
      <c r="AD2" s="1025"/>
      <c r="AE2" s="1035" t="s">
        <v>53</v>
      </c>
      <c r="AF2" s="1036"/>
      <c r="AG2" s="1037"/>
      <c r="AH2" s="1037"/>
      <c r="AI2" s="1037"/>
      <c r="AJ2" s="1038"/>
    </row>
    <row r="3" spans="1:36" ht="20.25" customHeight="1" x14ac:dyDescent="0.25">
      <c r="A3" s="1039" t="s">
        <v>48</v>
      </c>
      <c r="B3" s="1040"/>
      <c r="C3" s="1041"/>
      <c r="D3" s="1042"/>
      <c r="E3" s="1042"/>
      <c r="F3" s="1042"/>
      <c r="G3" s="1042"/>
      <c r="H3" s="1042"/>
      <c r="I3" s="1042"/>
      <c r="J3" s="1042"/>
      <c r="K3" s="1042"/>
      <c r="L3" s="1042"/>
      <c r="M3" s="1042"/>
      <c r="N3" s="1043"/>
      <c r="O3" s="1044" t="s">
        <v>2313</v>
      </c>
      <c r="P3" s="1045"/>
      <c r="Q3" s="1044" t="s">
        <v>2314</v>
      </c>
      <c r="R3" s="1045"/>
      <c r="S3" s="1046">
        <v>46061</v>
      </c>
      <c r="T3" s="1047"/>
      <c r="U3" s="1047"/>
      <c r="V3" s="1047"/>
      <c r="W3" s="1047"/>
      <c r="X3" s="1047"/>
      <c r="Y3" s="1047"/>
      <c r="Z3" s="1047"/>
      <c r="AA3" s="1048"/>
      <c r="AB3" s="1049" t="s">
        <v>64</v>
      </c>
      <c r="AC3" s="1050"/>
      <c r="AD3" s="1051"/>
      <c r="AE3" s="1052" t="s">
        <v>69</v>
      </c>
      <c r="AF3" s="1053" t="s">
        <v>15330</v>
      </c>
      <c r="AG3" s="1040"/>
      <c r="AH3" s="1040"/>
      <c r="AI3" s="1040"/>
      <c r="AJ3" s="1054"/>
    </row>
    <row r="4" spans="1:36" ht="20.25" customHeight="1" x14ac:dyDescent="0.25">
      <c r="A4" s="1055" t="s">
        <v>75</v>
      </c>
      <c r="B4" s="1051"/>
      <c r="C4" s="1056"/>
      <c r="D4" s="1057"/>
      <c r="E4" s="1057"/>
      <c r="F4" s="1057"/>
      <c r="G4" s="1057"/>
      <c r="H4" s="1057"/>
      <c r="I4" s="1057"/>
      <c r="J4" s="1057"/>
      <c r="K4" s="1057"/>
      <c r="L4" s="1057"/>
      <c r="M4" s="1057"/>
      <c r="N4" s="1058"/>
      <c r="O4" s="1059" t="s">
        <v>28</v>
      </c>
      <c r="P4" s="1051"/>
      <c r="Q4" s="1059" t="s">
        <v>40</v>
      </c>
      <c r="R4" s="1051"/>
      <c r="S4" s="1056" t="s">
        <v>15349</v>
      </c>
      <c r="T4" s="1057"/>
      <c r="U4" s="1057"/>
      <c r="V4" s="1057"/>
      <c r="W4" s="1057"/>
      <c r="X4" s="1057"/>
      <c r="Y4" s="1057"/>
      <c r="Z4" s="1057"/>
      <c r="AA4" s="1058"/>
      <c r="AB4" s="1049" t="s">
        <v>77</v>
      </c>
      <c r="AC4" s="1060"/>
      <c r="AD4" s="1061"/>
      <c r="AE4" s="1052" t="s">
        <v>82</v>
      </c>
      <c r="AF4" s="1050" t="s">
        <v>15331</v>
      </c>
      <c r="AG4" s="1062"/>
      <c r="AH4" s="1062"/>
      <c r="AI4" s="1062"/>
      <c r="AJ4" s="1063"/>
    </row>
    <row r="5" spans="1:36" ht="20.25" customHeight="1" x14ac:dyDescent="0.25">
      <c r="A5" s="1064" t="s">
        <v>48</v>
      </c>
      <c r="B5" s="1045"/>
      <c r="C5" s="1065" t="s">
        <v>15350</v>
      </c>
      <c r="D5" s="1066"/>
      <c r="E5" s="1066"/>
      <c r="F5" s="1066"/>
      <c r="G5" s="1066"/>
      <c r="H5" s="1066"/>
      <c r="I5" s="1067"/>
      <c r="J5" s="1068" t="s">
        <v>87</v>
      </c>
      <c r="K5" s="1069" t="s">
        <v>88</v>
      </c>
      <c r="L5" s="1070" t="s">
        <v>93</v>
      </c>
      <c r="M5" s="1071"/>
      <c r="N5" s="1072" t="s">
        <v>95</v>
      </c>
      <c r="O5" s="1073" t="s">
        <v>100</v>
      </c>
      <c r="P5" s="1074" t="s">
        <v>107</v>
      </c>
      <c r="Q5" s="1075" t="s">
        <v>113</v>
      </c>
      <c r="R5" s="1068" t="s">
        <v>125</v>
      </c>
      <c r="S5" s="1076" t="s">
        <v>127</v>
      </c>
      <c r="T5" s="1077"/>
      <c r="U5" s="1068" t="s">
        <v>130</v>
      </c>
      <c r="V5" s="1078" t="s">
        <v>131</v>
      </c>
      <c r="W5" s="1078"/>
      <c r="X5" s="1079"/>
      <c r="Y5" s="1078"/>
      <c r="Z5" s="1080"/>
      <c r="AA5" s="1081" t="s">
        <v>141</v>
      </c>
      <c r="AB5" s="1078"/>
      <c r="AC5" s="1078"/>
      <c r="AD5" s="1078"/>
      <c r="AE5" s="1080"/>
      <c r="AF5" s="1081" t="s">
        <v>2316</v>
      </c>
      <c r="AG5" s="1078"/>
      <c r="AH5" s="1078"/>
      <c r="AI5" s="1078"/>
      <c r="AJ5" s="1082"/>
    </row>
    <row r="6" spans="1:36" ht="20.25" customHeight="1" x14ac:dyDescent="0.25">
      <c r="A6" s="1039"/>
      <c r="B6" s="1083"/>
      <c r="C6" s="1084"/>
      <c r="D6" s="1085"/>
      <c r="E6" s="1085"/>
      <c r="F6" s="1085"/>
      <c r="G6" s="1085"/>
      <c r="H6" s="1085"/>
      <c r="I6" s="1086"/>
      <c r="J6" s="1087"/>
      <c r="K6" s="1088" t="s">
        <v>147</v>
      </c>
      <c r="L6" s="1070" t="s">
        <v>149</v>
      </c>
      <c r="M6" s="1071"/>
      <c r="N6" s="1060">
        <v>5.0999999999999996</v>
      </c>
      <c r="O6" s="1089"/>
      <c r="P6" s="1090" t="s">
        <v>154</v>
      </c>
      <c r="Q6" s="1052"/>
      <c r="R6" s="1087"/>
      <c r="S6" s="1091" t="s">
        <v>161</v>
      </c>
      <c r="T6" s="1092"/>
      <c r="U6" s="1087"/>
      <c r="V6" s="1093" t="s">
        <v>15319</v>
      </c>
      <c r="W6" s="1094"/>
      <c r="X6" s="1094"/>
      <c r="Y6" s="1094"/>
      <c r="Z6" s="1095"/>
      <c r="AA6" s="1093" t="s">
        <v>15320</v>
      </c>
      <c r="AB6" s="1094"/>
      <c r="AC6" s="1094"/>
      <c r="AD6" s="1094"/>
      <c r="AE6" s="1095"/>
      <c r="AF6" s="1093" t="s">
        <v>15322</v>
      </c>
      <c r="AG6" s="1094"/>
      <c r="AH6" s="1094"/>
      <c r="AI6" s="1094"/>
      <c r="AJ6" s="1096"/>
    </row>
    <row r="7" spans="1:36" ht="20.25" customHeight="1" x14ac:dyDescent="0.25">
      <c r="A7" s="1055" t="s">
        <v>155</v>
      </c>
      <c r="B7" s="1051"/>
      <c r="C7" s="1097"/>
      <c r="D7" s="1098"/>
      <c r="E7" s="1098"/>
      <c r="F7" s="1098"/>
      <c r="G7" s="1098"/>
      <c r="H7" s="1098"/>
      <c r="I7" s="1099"/>
      <c r="J7" s="1100" t="s">
        <v>162</v>
      </c>
      <c r="K7" s="1101" t="s">
        <v>172</v>
      </c>
      <c r="L7" s="1070" t="s">
        <v>182</v>
      </c>
      <c r="M7" s="1071"/>
      <c r="N7" s="1060">
        <v>25</v>
      </c>
      <c r="O7" s="1089"/>
      <c r="P7" s="1090" t="s">
        <v>136</v>
      </c>
      <c r="Q7" s="1049" t="s">
        <v>208</v>
      </c>
      <c r="R7" s="1100" t="s">
        <v>220</v>
      </c>
      <c r="S7" s="1102" t="s">
        <v>73</v>
      </c>
      <c r="T7" s="1103"/>
      <c r="U7" s="1100" t="s">
        <v>225</v>
      </c>
      <c r="V7" s="1104"/>
      <c r="W7" s="1104"/>
      <c r="X7" s="1104"/>
      <c r="Y7" s="1104"/>
      <c r="Z7" s="1105"/>
      <c r="AA7" s="1106" t="s">
        <v>15321</v>
      </c>
      <c r="AB7" s="1107"/>
      <c r="AC7" s="1107"/>
      <c r="AD7" s="1107"/>
      <c r="AE7" s="1108"/>
      <c r="AF7" s="1109"/>
      <c r="AG7" s="1104"/>
      <c r="AH7" s="1104"/>
      <c r="AI7" s="1104"/>
      <c r="AJ7" s="1110"/>
    </row>
    <row r="8" spans="1:36" s="1115" customFormat="1" ht="20.25" customHeight="1" x14ac:dyDescent="0.25">
      <c r="A8" s="1064" t="s">
        <v>228</v>
      </c>
      <c r="B8" s="1111"/>
      <c r="C8" s="1111"/>
      <c r="D8" s="1112"/>
      <c r="E8" s="1112"/>
      <c r="F8" s="1112"/>
      <c r="G8" s="1112"/>
      <c r="H8" s="1112"/>
      <c r="I8" s="1112"/>
      <c r="J8" s="1112"/>
      <c r="K8" s="1112"/>
      <c r="L8" s="1111"/>
      <c r="M8" s="1111"/>
      <c r="N8" s="1111"/>
      <c r="O8" s="1045"/>
      <c r="P8" s="1113">
        <v>4</v>
      </c>
      <c r="Q8" s="1114">
        <v>4</v>
      </c>
      <c r="R8" s="1070" t="s">
        <v>61</v>
      </c>
      <c r="S8" s="1061"/>
      <c r="T8" s="1114">
        <v>0</v>
      </c>
      <c r="U8" s="1113">
        <v>0</v>
      </c>
      <c r="V8" s="1044" t="s">
        <v>228</v>
      </c>
      <c r="W8" s="1111"/>
      <c r="X8" s="1111"/>
      <c r="Y8" s="1112"/>
      <c r="Z8" s="1112"/>
      <c r="AA8" s="1112"/>
      <c r="AE8" s="1112"/>
      <c r="AF8" s="1112"/>
      <c r="AG8" s="1111"/>
      <c r="AH8" s="1111"/>
      <c r="AI8" s="1111"/>
      <c r="AJ8" s="1116"/>
    </row>
    <row r="9" spans="1:36" s="1115" customFormat="1" ht="20.25" customHeight="1" x14ac:dyDescent="0.25">
      <c r="A9" s="1117"/>
      <c r="B9" s="1118" t="s">
        <v>2530</v>
      </c>
      <c r="C9" s="1118"/>
      <c r="D9" s="1118"/>
      <c r="E9" s="1118"/>
      <c r="F9" s="1118"/>
      <c r="G9" s="1118"/>
      <c r="H9" s="1118"/>
      <c r="I9" s="1118"/>
      <c r="J9" s="1118"/>
      <c r="K9" s="1118"/>
      <c r="L9" s="1040" t="s">
        <v>15358</v>
      </c>
      <c r="M9" s="1040"/>
      <c r="N9" s="1040"/>
      <c r="O9" s="1083"/>
      <c r="P9" s="1119"/>
      <c r="Q9" s="1114">
        <v>0</v>
      </c>
      <c r="R9" s="1070" t="s">
        <v>126</v>
      </c>
      <c r="S9" s="1061"/>
      <c r="T9" s="1114">
        <v>0</v>
      </c>
      <c r="U9" s="1119"/>
      <c r="V9" s="1052"/>
      <c r="W9" s="1118" t="s">
        <v>2587</v>
      </c>
      <c r="X9" s="1118"/>
      <c r="Y9" s="1118"/>
      <c r="Z9" s="1118"/>
      <c r="AA9" s="1118"/>
      <c r="AB9" s="1118"/>
      <c r="AC9" s="1118"/>
      <c r="AD9" s="1118"/>
      <c r="AE9" s="1118"/>
      <c r="AF9" s="1118"/>
      <c r="AG9" s="1040" t="s">
        <v>15358</v>
      </c>
      <c r="AH9" s="1040"/>
      <c r="AI9" s="1040"/>
      <c r="AJ9" s="1054"/>
    </row>
    <row r="10" spans="1:36" s="1115" customFormat="1" ht="20.25" customHeight="1" x14ac:dyDescent="0.25">
      <c r="A10" s="1120"/>
      <c r="B10" s="1121"/>
      <c r="C10" s="1121"/>
      <c r="D10" s="1121"/>
      <c r="E10" s="1121"/>
      <c r="F10" s="1121"/>
      <c r="G10" s="1121"/>
      <c r="H10" s="1121"/>
      <c r="I10" s="1121"/>
      <c r="J10" s="1062" t="s">
        <v>448</v>
      </c>
      <c r="K10" s="1062"/>
      <c r="L10" s="1062"/>
      <c r="M10" s="1062" t="s">
        <v>404</v>
      </c>
      <c r="N10" s="1062"/>
      <c r="O10" s="1051"/>
      <c r="P10" s="1119"/>
      <c r="Q10" s="1114"/>
      <c r="R10" s="1070" t="s">
        <v>203</v>
      </c>
      <c r="S10" s="1061"/>
      <c r="T10" s="1114"/>
      <c r="U10" s="1119"/>
      <c r="V10" s="1059" t="s">
        <v>404</v>
      </c>
      <c r="W10" s="1062"/>
      <c r="X10" s="1062"/>
      <c r="Y10" s="1062" t="s">
        <v>448</v>
      </c>
      <c r="Z10" s="1062"/>
      <c r="AA10" s="1062"/>
      <c r="AB10" s="1121"/>
      <c r="AC10" s="1121"/>
      <c r="AD10" s="1121"/>
      <c r="AE10" s="1121"/>
      <c r="AF10" s="1121"/>
      <c r="AG10" s="1121"/>
      <c r="AH10" s="1121"/>
      <c r="AI10" s="1121"/>
      <c r="AJ10" s="1122"/>
    </row>
    <row r="11" spans="1:36" s="1115" customFormat="1" ht="20.25" customHeight="1" x14ac:dyDescent="0.25">
      <c r="A11" s="1123"/>
      <c r="B11" s="1114"/>
      <c r="C11" s="1114"/>
      <c r="D11" s="1114"/>
      <c r="E11" s="1114"/>
      <c r="F11" s="1114"/>
      <c r="G11" s="1114"/>
      <c r="H11" s="1114"/>
      <c r="I11" s="1114"/>
      <c r="J11" s="1114"/>
      <c r="K11" s="1124"/>
      <c r="L11" s="1070" t="s">
        <v>234</v>
      </c>
      <c r="M11" s="1061"/>
      <c r="N11" s="1125" t="s">
        <v>407</v>
      </c>
      <c r="O11" s="1125"/>
      <c r="P11" s="1119"/>
      <c r="Q11" s="1114"/>
      <c r="R11" s="1070" t="s">
        <v>195</v>
      </c>
      <c r="S11" s="1061"/>
      <c r="T11" s="1114"/>
      <c r="U11" s="1119"/>
      <c r="V11" s="1125" t="s">
        <v>407</v>
      </c>
      <c r="W11" s="1125"/>
      <c r="X11" s="1070" t="s">
        <v>234</v>
      </c>
      <c r="Y11" s="1061"/>
      <c r="Z11" s="1114"/>
      <c r="AA11" s="1114"/>
      <c r="AB11" s="1114"/>
      <c r="AC11" s="1114"/>
      <c r="AD11" s="1114"/>
      <c r="AE11" s="1114"/>
      <c r="AF11" s="1114"/>
      <c r="AG11" s="1114"/>
      <c r="AH11" s="1114"/>
      <c r="AI11" s="1114"/>
      <c r="AJ11" s="1126"/>
    </row>
    <row r="12" spans="1:36" s="1115" customFormat="1" ht="20.25" customHeight="1" x14ac:dyDescent="0.25">
      <c r="A12" s="1123"/>
      <c r="B12" s="1114"/>
      <c r="C12" s="1127"/>
      <c r="D12" s="1127"/>
      <c r="E12" s="1127"/>
      <c r="F12" s="1127"/>
      <c r="G12" s="1114"/>
      <c r="H12" s="1114"/>
      <c r="I12" s="1114"/>
      <c r="J12" s="1114"/>
      <c r="K12" s="1124"/>
      <c r="L12" s="1124" t="s">
        <v>408</v>
      </c>
      <c r="M12" s="1090" t="s">
        <v>410</v>
      </c>
      <c r="N12" s="1124" t="s">
        <v>121</v>
      </c>
      <c r="O12" s="1090" t="s">
        <v>218</v>
      </c>
      <c r="P12" s="1128"/>
      <c r="Q12" s="1114"/>
      <c r="R12" s="1070" t="s">
        <v>22</v>
      </c>
      <c r="S12" s="1061"/>
      <c r="T12" s="1114"/>
      <c r="U12" s="1128"/>
      <c r="V12" s="1124" t="s">
        <v>121</v>
      </c>
      <c r="W12" s="1090" t="s">
        <v>218</v>
      </c>
      <c r="X12" s="1124" t="s">
        <v>408</v>
      </c>
      <c r="Y12" s="1090" t="s">
        <v>410</v>
      </c>
      <c r="Z12" s="1114"/>
      <c r="AA12" s="1114"/>
      <c r="AB12" s="1114"/>
      <c r="AC12" s="1114"/>
      <c r="AD12" s="1114"/>
      <c r="AE12" s="1114"/>
      <c r="AF12" s="1114"/>
      <c r="AG12" s="1114"/>
      <c r="AH12" s="1101"/>
      <c r="AI12" s="1114"/>
      <c r="AJ12" s="1126"/>
    </row>
    <row r="13" spans="1:36" s="1115" customFormat="1" ht="20.25" customHeight="1" x14ac:dyDescent="0.25">
      <c r="A13" s="1129"/>
      <c r="B13" s="1112"/>
      <c r="C13" s="1089" t="s">
        <v>176</v>
      </c>
      <c r="D13" s="1089"/>
      <c r="E13" s="1089"/>
      <c r="F13" s="1089"/>
      <c r="G13" s="1089"/>
      <c r="H13" s="1089"/>
      <c r="I13" s="1089"/>
      <c r="J13" s="1061"/>
      <c r="K13" s="1127" t="s">
        <v>238</v>
      </c>
      <c r="L13" s="1075"/>
      <c r="M13" s="1112"/>
      <c r="N13" s="1112"/>
      <c r="O13" s="1112"/>
      <c r="P13" s="1069"/>
      <c r="Q13" s="1127" t="s">
        <v>219</v>
      </c>
      <c r="R13" s="1075"/>
      <c r="S13" s="1069"/>
      <c r="T13" s="1127" t="s">
        <v>219</v>
      </c>
      <c r="U13" s="1075"/>
      <c r="V13" s="1112"/>
      <c r="W13" s="1112"/>
      <c r="X13" s="1112"/>
      <c r="Y13" s="1069"/>
      <c r="Z13" s="1127" t="s">
        <v>238</v>
      </c>
      <c r="AA13" s="1044" t="s">
        <v>176</v>
      </c>
      <c r="AB13" s="1111"/>
      <c r="AC13" s="1111"/>
      <c r="AD13" s="1111"/>
      <c r="AE13" s="1111"/>
      <c r="AF13" s="1111"/>
      <c r="AG13" s="1111"/>
      <c r="AH13" s="1111"/>
      <c r="AI13" s="1112"/>
      <c r="AJ13" s="1130"/>
    </row>
    <row r="14" spans="1:36" s="1115" customFormat="1" ht="20.25" customHeight="1" x14ac:dyDescent="0.25">
      <c r="A14" s="1064" t="s">
        <v>412</v>
      </c>
      <c r="B14" s="1045"/>
      <c r="C14" s="1131" t="s">
        <v>249</v>
      </c>
      <c r="D14" s="1131"/>
      <c r="E14" s="1131" t="s">
        <v>249</v>
      </c>
      <c r="F14" s="1131"/>
      <c r="G14" s="1044" t="s">
        <v>218</v>
      </c>
      <c r="H14" s="1045"/>
      <c r="I14" s="1132" t="s">
        <v>260</v>
      </c>
      <c r="J14" s="1083"/>
      <c r="K14" s="1133"/>
      <c r="L14" s="1052"/>
      <c r="M14" s="1115" t="s">
        <v>60</v>
      </c>
      <c r="N14" s="1115" t="s">
        <v>216</v>
      </c>
      <c r="O14" s="1115" t="s">
        <v>75</v>
      </c>
      <c r="P14" s="1088"/>
      <c r="Q14" s="1133" t="s">
        <v>111</v>
      </c>
      <c r="R14" s="1132" t="s">
        <v>209</v>
      </c>
      <c r="S14" s="1083"/>
      <c r="T14" s="1133" t="s">
        <v>111</v>
      </c>
      <c r="U14" s="1052"/>
      <c r="V14" s="1115" t="s">
        <v>60</v>
      </c>
      <c r="W14" s="1115" t="s">
        <v>216</v>
      </c>
      <c r="X14" s="1115" t="s">
        <v>163</v>
      </c>
      <c r="Y14" s="1088"/>
      <c r="Z14" s="1133"/>
      <c r="AA14" s="1044" t="s">
        <v>260</v>
      </c>
      <c r="AB14" s="1045"/>
      <c r="AC14" s="1044" t="s">
        <v>218</v>
      </c>
      <c r="AD14" s="1045"/>
      <c r="AE14" s="1044" t="s">
        <v>249</v>
      </c>
      <c r="AF14" s="1045"/>
      <c r="AG14" s="1044" t="s">
        <v>249</v>
      </c>
      <c r="AH14" s="1045"/>
      <c r="AI14" s="1044" t="s">
        <v>412</v>
      </c>
      <c r="AJ14" s="1116"/>
    </row>
    <row r="15" spans="1:36" s="1115" customFormat="1" ht="20.25" customHeight="1" x14ac:dyDescent="0.25">
      <c r="A15" s="1055" t="s">
        <v>414</v>
      </c>
      <c r="B15" s="1051"/>
      <c r="C15" s="1134" t="s">
        <v>218</v>
      </c>
      <c r="D15" s="1134"/>
      <c r="E15" s="1134" t="s">
        <v>260</v>
      </c>
      <c r="F15" s="1134"/>
      <c r="G15" s="1132" t="s">
        <v>103</v>
      </c>
      <c r="H15" s="1083"/>
      <c r="I15" s="1132" t="s">
        <v>103</v>
      </c>
      <c r="J15" s="1083"/>
      <c r="K15" s="1135" t="s">
        <v>27</v>
      </c>
      <c r="L15" s="1049"/>
      <c r="M15" s="1121"/>
      <c r="N15" s="1121"/>
      <c r="O15" s="1121"/>
      <c r="P15" s="1101"/>
      <c r="Q15" s="1135" t="s">
        <v>145</v>
      </c>
      <c r="R15" s="1049"/>
      <c r="S15" s="1101"/>
      <c r="T15" s="1135" t="s">
        <v>145</v>
      </c>
      <c r="U15" s="1049"/>
      <c r="V15" s="1121"/>
      <c r="W15" s="1121"/>
      <c r="X15" s="1121"/>
      <c r="Y15" s="1101"/>
      <c r="Z15" s="1135" t="s">
        <v>27</v>
      </c>
      <c r="AA15" s="1059" t="s">
        <v>103</v>
      </c>
      <c r="AB15" s="1051"/>
      <c r="AC15" s="1059" t="s">
        <v>103</v>
      </c>
      <c r="AD15" s="1051"/>
      <c r="AE15" s="1059" t="s">
        <v>260</v>
      </c>
      <c r="AF15" s="1051"/>
      <c r="AG15" s="1059" t="s">
        <v>218</v>
      </c>
      <c r="AH15" s="1051"/>
      <c r="AI15" s="1059" t="s">
        <v>414</v>
      </c>
      <c r="AJ15" s="1063"/>
    </row>
    <row r="16" spans="1:36" s="1138" customFormat="1" ht="20.25" customHeight="1" x14ac:dyDescent="0.25">
      <c r="A16" s="1136"/>
      <c r="B16" s="1137">
        <v>0</v>
      </c>
      <c r="C16" s="1115"/>
      <c r="E16" s="1124"/>
      <c r="F16" s="1137"/>
      <c r="G16" s="1124"/>
      <c r="H16" s="1137"/>
      <c r="I16" s="1124"/>
      <c r="J16" s="1137"/>
      <c r="K16" s="1139">
        <v>5</v>
      </c>
      <c r="L16" s="1140" t="s">
        <v>8073</v>
      </c>
      <c r="M16" s="1141"/>
      <c r="N16" s="1141"/>
      <c r="O16" s="1141"/>
      <c r="P16" s="1142"/>
      <c r="Q16" s="1143">
        <v>1</v>
      </c>
      <c r="R16" s="1144" t="s">
        <v>796</v>
      </c>
      <c r="S16" s="1137" t="s">
        <v>796</v>
      </c>
      <c r="T16" s="1143">
        <v>1</v>
      </c>
      <c r="U16" s="1140" t="s">
        <v>6060</v>
      </c>
      <c r="V16" s="1141"/>
      <c r="W16" s="1141"/>
      <c r="X16" s="1141"/>
      <c r="Y16" s="1142"/>
      <c r="Z16" s="1139">
        <v>6</v>
      </c>
      <c r="AA16" s="1124"/>
      <c r="AB16" s="1137"/>
      <c r="AC16" s="1124"/>
      <c r="AD16" s="1137"/>
      <c r="AE16" s="1124"/>
      <c r="AF16" s="1137"/>
      <c r="AG16" s="1124"/>
      <c r="AH16" s="1137"/>
      <c r="AI16" s="1145"/>
      <c r="AJ16" s="1126">
        <v>0</v>
      </c>
    </row>
    <row r="17" spans="1:36" s="1138" customFormat="1" ht="20.25" customHeight="1" x14ac:dyDescent="0.25">
      <c r="A17" s="1136"/>
      <c r="B17" s="1137">
        <v>0</v>
      </c>
      <c r="C17" s="1124"/>
      <c r="D17" s="1145"/>
      <c r="E17" s="1124"/>
      <c r="F17" s="1137"/>
      <c r="G17" s="1124"/>
      <c r="H17" s="1137"/>
      <c r="I17" s="1124"/>
      <c r="J17" s="1137"/>
      <c r="K17" s="1139">
        <v>6</v>
      </c>
      <c r="L17" s="1140" t="s">
        <v>4679</v>
      </c>
      <c r="M17" s="1141"/>
      <c r="N17" s="1141"/>
      <c r="O17" s="1141"/>
      <c r="P17" s="1142"/>
      <c r="Q17" s="1143">
        <v>3</v>
      </c>
      <c r="R17" s="1144" t="s">
        <v>235</v>
      </c>
      <c r="S17" s="1137" t="s">
        <v>235</v>
      </c>
      <c r="T17" s="1143">
        <v>4</v>
      </c>
      <c r="U17" s="1140" t="s">
        <v>8738</v>
      </c>
      <c r="V17" s="1141"/>
      <c r="W17" s="1141"/>
      <c r="X17" s="1141"/>
      <c r="Y17" s="1142"/>
      <c r="Z17" s="1139">
        <v>6</v>
      </c>
      <c r="AA17" s="1124"/>
      <c r="AB17" s="1137"/>
      <c r="AC17" s="1124"/>
      <c r="AD17" s="1137"/>
      <c r="AE17" s="1124"/>
      <c r="AF17" s="1137"/>
      <c r="AG17" s="1124"/>
      <c r="AH17" s="1137"/>
      <c r="AI17" s="1145"/>
      <c r="AJ17" s="1126">
        <v>0</v>
      </c>
    </row>
    <row r="18" spans="1:36" s="1138" customFormat="1" ht="20.25" customHeight="1" x14ac:dyDescent="0.25">
      <c r="A18" s="1136"/>
      <c r="B18" s="1137">
        <v>2</v>
      </c>
      <c r="C18" s="1124"/>
      <c r="E18" s="1124"/>
      <c r="F18" s="1137"/>
      <c r="G18" s="1124"/>
      <c r="H18" s="1137">
        <v>1</v>
      </c>
      <c r="I18" s="1124" t="s">
        <v>15351</v>
      </c>
      <c r="J18" s="1137">
        <v>1</v>
      </c>
      <c r="K18" s="1139">
        <v>6</v>
      </c>
      <c r="L18" s="1140" t="s">
        <v>6019</v>
      </c>
      <c r="M18" s="1141"/>
      <c r="N18" s="1141"/>
      <c r="O18" s="1141"/>
      <c r="P18" s="1142"/>
      <c r="Q18" s="1143">
        <v>5</v>
      </c>
      <c r="R18" s="1144" t="s">
        <v>235</v>
      </c>
      <c r="S18" s="1137" t="s">
        <v>235</v>
      </c>
      <c r="T18" s="1143">
        <v>5</v>
      </c>
      <c r="U18" s="1140" t="s">
        <v>6054</v>
      </c>
      <c r="V18" s="1141"/>
      <c r="W18" s="1141"/>
      <c r="X18" s="1141"/>
      <c r="Y18" s="1142"/>
      <c r="Z18" s="1139">
        <v>6</v>
      </c>
      <c r="AA18" s="1124"/>
      <c r="AB18" s="1137"/>
      <c r="AC18" s="1124"/>
      <c r="AD18" s="1137">
        <v>1</v>
      </c>
      <c r="AE18" s="1124"/>
      <c r="AF18" s="1137"/>
      <c r="AG18" s="1124"/>
      <c r="AH18" s="1137"/>
      <c r="AI18" s="1145"/>
      <c r="AJ18" s="1126">
        <v>1</v>
      </c>
    </row>
    <row r="19" spans="1:36" s="1138" customFormat="1" ht="20.25" customHeight="1" x14ac:dyDescent="0.25">
      <c r="A19" s="1136"/>
      <c r="B19" s="1137">
        <v>0</v>
      </c>
      <c r="C19" s="1146"/>
      <c r="D19" s="1137"/>
      <c r="E19" s="1124"/>
      <c r="F19" s="1137"/>
      <c r="G19" s="1124"/>
      <c r="H19" s="1137"/>
      <c r="I19" s="1124"/>
      <c r="J19" s="1137"/>
      <c r="K19" s="1139">
        <v>6</v>
      </c>
      <c r="L19" s="1140" t="s">
        <v>6017</v>
      </c>
      <c r="M19" s="1141"/>
      <c r="N19" s="1141"/>
      <c r="O19" s="1141"/>
      <c r="P19" s="1142"/>
      <c r="Q19" s="1143">
        <v>7</v>
      </c>
      <c r="R19" s="1144" t="s">
        <v>235</v>
      </c>
      <c r="S19" s="1137" t="s">
        <v>235</v>
      </c>
      <c r="T19" s="1143">
        <v>6</v>
      </c>
      <c r="U19" s="1140" t="s">
        <v>6065</v>
      </c>
      <c r="V19" s="1141"/>
      <c r="W19" s="1141"/>
      <c r="X19" s="1141"/>
      <c r="Y19" s="1142"/>
      <c r="Z19" s="1139">
        <v>6</v>
      </c>
      <c r="AA19" s="1124"/>
      <c r="AB19" s="1137"/>
      <c r="AC19" s="1124"/>
      <c r="AD19" s="1137"/>
      <c r="AE19" s="1124"/>
      <c r="AF19" s="1137"/>
      <c r="AG19" s="1124"/>
      <c r="AH19" s="1137"/>
      <c r="AI19" s="1145"/>
      <c r="AJ19" s="1126">
        <v>0</v>
      </c>
    </row>
    <row r="20" spans="1:36" s="1138" customFormat="1" ht="20.25" customHeight="1" x14ac:dyDescent="0.25">
      <c r="A20" s="1136"/>
      <c r="B20" s="1137">
        <v>0</v>
      </c>
      <c r="C20" s="1146"/>
      <c r="D20" s="1147"/>
      <c r="E20" s="1124"/>
      <c r="F20" s="1137"/>
      <c r="G20" s="1124"/>
      <c r="H20" s="1145"/>
      <c r="I20" s="1124"/>
      <c r="J20" s="1137"/>
      <c r="K20" s="1139">
        <v>6</v>
      </c>
      <c r="L20" s="1140" t="s">
        <v>6018</v>
      </c>
      <c r="M20" s="1141"/>
      <c r="N20" s="1141"/>
      <c r="O20" s="1141"/>
      <c r="P20" s="1142"/>
      <c r="Q20" s="1143">
        <v>9</v>
      </c>
      <c r="R20" s="1144" t="s">
        <v>235</v>
      </c>
      <c r="S20" s="1137" t="s">
        <v>235</v>
      </c>
      <c r="T20" s="1143">
        <v>13</v>
      </c>
      <c r="U20" s="1140" t="s">
        <v>8701</v>
      </c>
      <c r="V20" s="1141"/>
      <c r="W20" s="1141"/>
      <c r="X20" s="1141"/>
      <c r="Y20" s="1142"/>
      <c r="Z20" s="1139">
        <v>6</v>
      </c>
      <c r="AA20" s="1124"/>
      <c r="AB20" s="1137"/>
      <c r="AC20" s="1124"/>
      <c r="AD20" s="1137"/>
      <c r="AE20" s="1124"/>
      <c r="AF20" s="1137"/>
      <c r="AG20" s="1124"/>
      <c r="AH20" s="1137"/>
      <c r="AI20" s="1145"/>
      <c r="AJ20" s="1126">
        <v>0</v>
      </c>
    </row>
    <row r="21" spans="1:36" s="1138" customFormat="1" ht="20.25" customHeight="1" x14ac:dyDescent="0.25">
      <c r="A21" s="1148"/>
      <c r="B21" s="1137">
        <v>3</v>
      </c>
      <c r="C21" s="1146"/>
      <c r="D21" s="1147"/>
      <c r="E21" s="1124"/>
      <c r="F21" s="1137"/>
      <c r="G21" s="1052"/>
      <c r="H21" s="1149">
        <v>2</v>
      </c>
      <c r="I21" s="1052"/>
      <c r="J21" s="1149">
        <v>1</v>
      </c>
      <c r="K21" s="1139">
        <v>6</v>
      </c>
      <c r="L21" s="1140" t="s">
        <v>4683</v>
      </c>
      <c r="M21" s="1141"/>
      <c r="N21" s="1141"/>
      <c r="O21" s="1141"/>
      <c r="P21" s="1142"/>
      <c r="Q21" s="1143">
        <v>8</v>
      </c>
      <c r="R21" s="1144" t="s">
        <v>798</v>
      </c>
      <c r="S21" s="1137" t="s">
        <v>798</v>
      </c>
      <c r="T21" s="1143">
        <v>7</v>
      </c>
      <c r="U21" s="1140" t="s">
        <v>6057</v>
      </c>
      <c r="V21" s="1141"/>
      <c r="W21" s="1141"/>
      <c r="X21" s="1141"/>
      <c r="Y21" s="1142"/>
      <c r="Z21" s="1139">
        <v>6</v>
      </c>
      <c r="AA21" s="1052"/>
      <c r="AB21" s="1149"/>
      <c r="AC21" s="1052"/>
      <c r="AD21" s="1149"/>
      <c r="AE21" s="1124"/>
      <c r="AF21" s="1149"/>
      <c r="AG21" s="1124"/>
      <c r="AH21" s="1149"/>
      <c r="AI21" s="1145"/>
      <c r="AJ21" s="1126">
        <v>0</v>
      </c>
    </row>
    <row r="22" spans="1:36" s="1138" customFormat="1" ht="20.25" customHeight="1" x14ac:dyDescent="0.25">
      <c r="A22" s="1148"/>
      <c r="B22" s="1137">
        <v>4</v>
      </c>
      <c r="C22" s="1124"/>
      <c r="D22" s="1137"/>
      <c r="E22" s="1124"/>
      <c r="F22" s="1137"/>
      <c r="G22" s="1124"/>
      <c r="H22" s="1137"/>
      <c r="I22" s="1124" t="s">
        <v>15352</v>
      </c>
      <c r="J22" s="1137">
        <v>4</v>
      </c>
      <c r="K22" s="1139">
        <v>6</v>
      </c>
      <c r="L22" s="1140" t="s">
        <v>6016</v>
      </c>
      <c r="M22" s="1141"/>
      <c r="N22" s="1141"/>
      <c r="O22" s="1141"/>
      <c r="P22" s="1142"/>
      <c r="Q22" s="1143">
        <v>10</v>
      </c>
      <c r="R22" s="1144" t="s">
        <v>798</v>
      </c>
      <c r="S22" s="1137" t="s">
        <v>798</v>
      </c>
      <c r="T22" s="1143">
        <v>9</v>
      </c>
      <c r="U22" s="1140" t="s">
        <v>6064</v>
      </c>
      <c r="V22" s="1141"/>
      <c r="W22" s="1141"/>
      <c r="X22" s="1141"/>
      <c r="Y22" s="1142"/>
      <c r="Z22" s="1139">
        <v>6</v>
      </c>
      <c r="AA22" s="1124"/>
      <c r="AB22" s="1137"/>
      <c r="AC22" s="1124"/>
      <c r="AD22" s="1137"/>
      <c r="AE22" s="1124"/>
      <c r="AF22" s="1137"/>
      <c r="AG22" s="1124"/>
      <c r="AH22" s="1137"/>
      <c r="AI22" s="1145"/>
      <c r="AJ22" s="1126">
        <v>0</v>
      </c>
    </row>
    <row r="23" spans="1:36" s="1138" customFormat="1" ht="20.25" customHeight="1" x14ac:dyDescent="0.25">
      <c r="A23" s="1136"/>
      <c r="B23" s="1137">
        <v>0</v>
      </c>
      <c r="C23" s="1124"/>
      <c r="D23" s="1137"/>
      <c r="E23" s="1124"/>
      <c r="F23" s="1137"/>
      <c r="G23" s="1124"/>
      <c r="H23" s="1137"/>
      <c r="I23" s="1124"/>
      <c r="J23" s="1137"/>
      <c r="K23" s="1139">
        <v>5</v>
      </c>
      <c r="L23" s="1140" t="s">
        <v>6014</v>
      </c>
      <c r="M23" s="1141"/>
      <c r="N23" s="1141"/>
      <c r="O23" s="1141"/>
      <c r="P23" s="1142"/>
      <c r="Q23" s="1143">
        <v>11</v>
      </c>
      <c r="R23" s="1144" t="s">
        <v>280</v>
      </c>
      <c r="S23" s="1137" t="s">
        <v>798</v>
      </c>
      <c r="T23" s="1143">
        <v>10</v>
      </c>
      <c r="U23" s="1140" t="s">
        <v>6055</v>
      </c>
      <c r="V23" s="1141"/>
      <c r="W23" s="1141"/>
      <c r="X23" s="1141"/>
      <c r="Y23" s="1142"/>
      <c r="Z23" s="1139">
        <v>6</v>
      </c>
      <c r="AA23" s="1124"/>
      <c r="AB23" s="1137"/>
      <c r="AC23" s="1124"/>
      <c r="AD23" s="1137">
        <v>1</v>
      </c>
      <c r="AE23" s="1124"/>
      <c r="AF23" s="1137"/>
      <c r="AG23" s="1124"/>
      <c r="AH23" s="1137"/>
      <c r="AI23" s="1145"/>
      <c r="AJ23" s="1126">
        <v>1</v>
      </c>
    </row>
    <row r="24" spans="1:36" s="1138" customFormat="1" ht="20.25" customHeight="1" x14ac:dyDescent="0.25">
      <c r="A24" s="1148"/>
      <c r="B24" s="1150"/>
      <c r="C24" s="1150"/>
      <c r="D24" s="1150"/>
      <c r="E24" s="1150"/>
      <c r="F24" s="1150"/>
      <c r="G24" s="1150"/>
      <c r="H24" s="1150"/>
      <c r="I24" s="1150"/>
      <c r="J24" s="1150"/>
      <c r="K24" s="1150"/>
      <c r="L24" s="1150"/>
      <c r="M24" s="1150"/>
      <c r="N24" s="1150"/>
      <c r="O24" s="1150"/>
      <c r="P24" s="1150"/>
      <c r="Q24" s="1107" t="s">
        <v>415</v>
      </c>
      <c r="R24" s="1107"/>
      <c r="S24" s="1107"/>
      <c r="T24" s="1107"/>
      <c r="U24" s="1150"/>
      <c r="V24" s="1150"/>
      <c r="W24" s="1150"/>
      <c r="X24" s="1150"/>
      <c r="Y24" s="1150"/>
      <c r="Z24" s="1150"/>
      <c r="AA24" s="1150"/>
      <c r="AB24" s="1150"/>
      <c r="AC24" s="1150"/>
      <c r="AD24" s="1150"/>
      <c r="AE24" s="1150"/>
      <c r="AF24" s="1150"/>
      <c r="AG24" s="1150"/>
      <c r="AH24" s="1150"/>
      <c r="AI24" s="1150"/>
      <c r="AJ24" s="1151"/>
    </row>
    <row r="25" spans="1:36" s="1138" customFormat="1" ht="20.25" customHeight="1" x14ac:dyDescent="0.25">
      <c r="A25" s="1136"/>
      <c r="B25" s="1137">
        <v>1</v>
      </c>
      <c r="C25" s="1115"/>
      <c r="E25" s="1124"/>
      <c r="G25" s="1124"/>
      <c r="H25" s="1137">
        <v>1</v>
      </c>
      <c r="I25" s="1124"/>
      <c r="J25" s="1137"/>
      <c r="K25" s="1139">
        <v>5</v>
      </c>
      <c r="L25" s="1140" t="s">
        <v>7856</v>
      </c>
      <c r="M25" s="1141"/>
      <c r="N25" s="1141"/>
      <c r="O25" s="1141"/>
      <c r="P25" s="1142"/>
      <c r="Q25" s="1143">
        <v>2</v>
      </c>
      <c r="R25" s="1144" t="s">
        <v>235</v>
      </c>
      <c r="S25" s="1137" t="s">
        <v>235</v>
      </c>
      <c r="T25" s="1143">
        <v>2</v>
      </c>
      <c r="U25" s="1140" t="s">
        <v>8717</v>
      </c>
      <c r="V25" s="1141"/>
      <c r="W25" s="1141"/>
      <c r="X25" s="1141"/>
      <c r="Y25" s="1142"/>
      <c r="Z25" s="1139">
        <v>6</v>
      </c>
      <c r="AA25" s="1124"/>
      <c r="AB25" s="1137"/>
      <c r="AC25" s="1124"/>
      <c r="AD25" s="1137"/>
      <c r="AE25" s="1124"/>
      <c r="AF25" s="1137"/>
      <c r="AG25" s="1124"/>
      <c r="AH25" s="1137"/>
      <c r="AI25" s="1145"/>
      <c r="AJ25" s="1126">
        <v>0</v>
      </c>
    </row>
    <row r="26" spans="1:36" s="1138" customFormat="1" ht="20.25" customHeight="1" x14ac:dyDescent="0.25">
      <c r="A26" s="1136"/>
      <c r="B26" s="1137">
        <v>0</v>
      </c>
      <c r="C26" s="1124"/>
      <c r="D26" s="1145"/>
      <c r="E26" s="1124"/>
      <c r="F26" s="1145"/>
      <c r="G26" s="1124"/>
      <c r="H26" s="1137"/>
      <c r="I26" s="1124"/>
      <c r="J26" s="1137"/>
      <c r="K26" s="1139">
        <v>6</v>
      </c>
      <c r="L26" s="1140" t="s">
        <v>4677</v>
      </c>
      <c r="M26" s="1141"/>
      <c r="N26" s="1141"/>
      <c r="O26" s="1141"/>
      <c r="P26" s="1142"/>
      <c r="Q26" s="1143">
        <v>4</v>
      </c>
      <c r="R26" s="1144" t="s">
        <v>798</v>
      </c>
      <c r="S26" s="1137" t="s">
        <v>798</v>
      </c>
      <c r="T26" s="1143">
        <v>3</v>
      </c>
      <c r="U26" s="1140" t="s">
        <v>8153</v>
      </c>
      <c r="V26" s="1141"/>
      <c r="W26" s="1141"/>
      <c r="X26" s="1141"/>
      <c r="Y26" s="1142"/>
      <c r="Z26" s="1139">
        <v>5</v>
      </c>
      <c r="AA26" s="1124"/>
      <c r="AB26" s="1137"/>
      <c r="AC26" s="1124"/>
      <c r="AD26" s="1137">
        <v>2</v>
      </c>
      <c r="AE26" s="1124"/>
      <c r="AF26" s="1137"/>
      <c r="AG26" s="1124"/>
      <c r="AH26" s="1137"/>
      <c r="AI26" s="1145"/>
      <c r="AJ26" s="1126">
        <v>2</v>
      </c>
    </row>
    <row r="27" spans="1:36" s="1138" customFormat="1" ht="20.25" customHeight="1" x14ac:dyDescent="0.25">
      <c r="A27" s="1136"/>
      <c r="B27" s="1137">
        <v>0</v>
      </c>
      <c r="C27" s="1124"/>
      <c r="D27" s="1145"/>
      <c r="E27" s="1124"/>
      <c r="F27" s="1145"/>
      <c r="G27" s="1124"/>
      <c r="H27" s="1137"/>
      <c r="I27" s="1124"/>
      <c r="J27" s="1137"/>
      <c r="K27" s="1139">
        <v>5</v>
      </c>
      <c r="L27" s="1140" t="s">
        <v>5862</v>
      </c>
      <c r="M27" s="1141"/>
      <c r="N27" s="1141"/>
      <c r="O27" s="1141"/>
      <c r="P27" s="1142"/>
      <c r="Q27" s="1143">
        <v>6</v>
      </c>
      <c r="R27" s="1144" t="s">
        <v>798</v>
      </c>
      <c r="S27" s="1137" t="s">
        <v>280</v>
      </c>
      <c r="T27" s="1143">
        <v>8</v>
      </c>
      <c r="U27" s="1140" t="s">
        <v>6056</v>
      </c>
      <c r="V27" s="1141"/>
      <c r="W27" s="1141"/>
      <c r="X27" s="1141"/>
      <c r="Y27" s="1142"/>
      <c r="Z27" s="1139">
        <v>6</v>
      </c>
      <c r="AA27" s="1124"/>
      <c r="AB27" s="1137"/>
      <c r="AC27" s="1124"/>
      <c r="AD27" s="1137"/>
      <c r="AE27" s="1124"/>
      <c r="AF27" s="1137"/>
      <c r="AG27" s="1124"/>
      <c r="AH27" s="1137"/>
      <c r="AI27" s="1145"/>
      <c r="AJ27" s="1126">
        <v>0</v>
      </c>
    </row>
    <row r="28" spans="1:36" s="1138" customFormat="1" ht="20.25" customHeight="1" x14ac:dyDescent="0.25">
      <c r="A28" s="1136"/>
      <c r="B28" s="1137">
        <v>0</v>
      </c>
      <c r="C28" s="1124"/>
      <c r="D28" s="1145"/>
      <c r="E28" s="1124"/>
      <c r="F28" s="1145"/>
      <c r="G28" s="1124"/>
      <c r="H28" s="1137"/>
      <c r="I28" s="1124"/>
      <c r="J28" s="1137"/>
      <c r="K28" s="1139">
        <v>5</v>
      </c>
      <c r="L28" s="1140" t="s">
        <v>5910</v>
      </c>
      <c r="M28" s="1141"/>
      <c r="N28" s="1141"/>
      <c r="O28" s="1141"/>
      <c r="P28" s="1142"/>
      <c r="Q28" s="1143">
        <v>12</v>
      </c>
      <c r="R28" s="1144" t="s">
        <v>235</v>
      </c>
      <c r="S28" s="1137" t="s">
        <v>280</v>
      </c>
      <c r="T28" s="1143">
        <v>11</v>
      </c>
      <c r="U28" s="1140" t="s">
        <v>6062</v>
      </c>
      <c r="V28" s="1141"/>
      <c r="W28" s="1141"/>
      <c r="X28" s="1141"/>
      <c r="Y28" s="1142"/>
      <c r="Z28" s="1139">
        <v>6</v>
      </c>
      <c r="AA28" s="1124"/>
      <c r="AB28" s="1137"/>
      <c r="AC28" s="1124"/>
      <c r="AD28" s="1137">
        <v>1</v>
      </c>
      <c r="AE28" s="1124"/>
      <c r="AF28" s="1137"/>
      <c r="AG28" s="1124"/>
      <c r="AH28" s="1137"/>
      <c r="AI28" s="1145"/>
      <c r="AJ28" s="1126">
        <v>1</v>
      </c>
    </row>
    <row r="29" spans="1:36" s="1138" customFormat="1" ht="20.25" customHeight="1" x14ac:dyDescent="0.25">
      <c r="A29" s="1136"/>
      <c r="B29" s="1137">
        <v>0</v>
      </c>
      <c r="C29" s="1124"/>
      <c r="D29" s="1145"/>
      <c r="E29" s="1124"/>
      <c r="F29" s="1145"/>
      <c r="G29" s="1124"/>
      <c r="H29" s="1137"/>
      <c r="I29" s="1124"/>
      <c r="J29" s="1137"/>
      <c r="K29" s="1139">
        <v>5</v>
      </c>
      <c r="L29" s="1140" t="s">
        <v>7895</v>
      </c>
      <c r="M29" s="1141"/>
      <c r="N29" s="1141"/>
      <c r="O29" s="1141"/>
      <c r="P29" s="1142"/>
      <c r="Q29" s="1143">
        <v>13</v>
      </c>
      <c r="R29" s="1144" t="s">
        <v>280</v>
      </c>
      <c r="S29" s="1137" t="s">
        <v>796</v>
      </c>
      <c r="T29" s="1143">
        <v>12</v>
      </c>
      <c r="U29" s="1140" t="s">
        <v>9090</v>
      </c>
      <c r="V29" s="1141"/>
      <c r="W29" s="1141"/>
      <c r="X29" s="1141"/>
      <c r="Y29" s="1142"/>
      <c r="Z29" s="1139">
        <v>4</v>
      </c>
      <c r="AA29" s="1124"/>
      <c r="AB29" s="1137"/>
      <c r="AC29" s="1124"/>
      <c r="AD29" s="1137"/>
      <c r="AE29" s="1124"/>
      <c r="AF29" s="1137"/>
      <c r="AG29" s="1124"/>
      <c r="AH29" s="1137"/>
      <c r="AI29" s="1145"/>
      <c r="AJ29" s="1126">
        <v>0</v>
      </c>
    </row>
    <row r="30" spans="1:36" s="1138" customFormat="1" ht="20.25" customHeight="1" x14ac:dyDescent="0.25">
      <c r="A30" s="1136"/>
      <c r="B30" s="1137">
        <v>0</v>
      </c>
      <c r="C30" s="1124"/>
      <c r="D30" s="1145"/>
      <c r="E30" s="1124"/>
      <c r="F30" s="1145"/>
      <c r="G30" s="1124"/>
      <c r="H30" s="1137"/>
      <c r="I30" s="1124"/>
      <c r="J30" s="1137"/>
      <c r="K30" s="1139">
        <v>5</v>
      </c>
      <c r="L30" s="1140" t="s">
        <v>8181</v>
      </c>
      <c r="M30" s="1141"/>
      <c r="N30" s="1141"/>
      <c r="O30" s="1141"/>
      <c r="P30" s="1142"/>
      <c r="Q30" s="1143">
        <v>14</v>
      </c>
      <c r="R30" s="1144" t="s">
        <v>235</v>
      </c>
      <c r="S30" s="1137" t="s">
        <v>798</v>
      </c>
      <c r="T30" s="1143">
        <v>14</v>
      </c>
      <c r="U30" s="1140" t="s">
        <v>8232</v>
      </c>
      <c r="V30" s="1141"/>
      <c r="W30" s="1141"/>
      <c r="X30" s="1141"/>
      <c r="Y30" s="1142"/>
      <c r="Z30" s="1139">
        <v>5</v>
      </c>
      <c r="AA30" s="1124"/>
      <c r="AB30" s="1137"/>
      <c r="AC30" s="1124"/>
      <c r="AD30" s="1137"/>
      <c r="AE30" s="1124"/>
      <c r="AF30" s="1137"/>
      <c r="AG30" s="1124"/>
      <c r="AH30" s="1137"/>
      <c r="AI30" s="1145"/>
      <c r="AJ30" s="1126">
        <v>0</v>
      </c>
    </row>
    <row r="31" spans="1:36" s="1138" customFormat="1" ht="20.25" customHeight="1" x14ac:dyDescent="0.25">
      <c r="A31" s="1136"/>
      <c r="B31" s="1137">
        <v>0</v>
      </c>
      <c r="C31" s="1124"/>
      <c r="D31" s="1145"/>
      <c r="E31" s="1124"/>
      <c r="F31" s="1145"/>
      <c r="G31" s="1124"/>
      <c r="H31" s="1137"/>
      <c r="I31" s="1124"/>
      <c r="J31" s="1137"/>
      <c r="K31" s="1139">
        <v>5</v>
      </c>
      <c r="L31" s="1140" t="s">
        <v>8378</v>
      </c>
      <c r="M31" s="1141"/>
      <c r="N31" s="1141"/>
      <c r="O31" s="1141"/>
      <c r="P31" s="1142"/>
      <c r="Q31" s="1143">
        <v>15</v>
      </c>
      <c r="R31" s="1144" t="s">
        <v>798</v>
      </c>
      <c r="S31" s="1137" t="s">
        <v>15359</v>
      </c>
      <c r="T31" s="1143"/>
      <c r="U31" s="1140" t="s">
        <v>15359</v>
      </c>
      <c r="V31" s="1141"/>
      <c r="W31" s="1141"/>
      <c r="X31" s="1141"/>
      <c r="Y31" s="1142"/>
      <c r="Z31" s="1139" t="s">
        <v>15359</v>
      </c>
      <c r="AA31" s="1124"/>
      <c r="AB31" s="1137"/>
      <c r="AC31" s="1124"/>
      <c r="AD31" s="1137"/>
      <c r="AE31" s="1124"/>
      <c r="AF31" s="1137"/>
      <c r="AG31" s="1124"/>
      <c r="AH31" s="1137"/>
      <c r="AI31" s="1145"/>
      <c r="AJ31" s="1126">
        <v>0</v>
      </c>
    </row>
    <row r="32" spans="1:36" s="1138" customFormat="1" ht="20.25" customHeight="1" x14ac:dyDescent="0.25">
      <c r="A32" s="1136"/>
      <c r="B32" s="1137">
        <v>0</v>
      </c>
      <c r="C32" s="1124"/>
      <c r="D32" s="1145"/>
      <c r="E32" s="1124"/>
      <c r="F32" s="1145"/>
      <c r="G32" s="1124"/>
      <c r="H32" s="1137"/>
      <c r="I32" s="1124"/>
      <c r="J32" s="1137"/>
      <c r="K32" s="1139">
        <v>5</v>
      </c>
      <c r="L32" s="1140" t="s">
        <v>7956</v>
      </c>
      <c r="M32" s="1141"/>
      <c r="N32" s="1141"/>
      <c r="O32" s="1141"/>
      <c r="P32" s="1142"/>
      <c r="Q32" s="1143">
        <v>16</v>
      </c>
      <c r="R32" s="1144" t="s">
        <v>796</v>
      </c>
      <c r="S32" s="1137" t="s">
        <v>15359</v>
      </c>
      <c r="T32" s="1143"/>
      <c r="U32" s="1140" t="s">
        <v>15359</v>
      </c>
      <c r="V32" s="1141"/>
      <c r="W32" s="1141"/>
      <c r="X32" s="1141"/>
      <c r="Y32" s="1142"/>
      <c r="Z32" s="1139" t="s">
        <v>15359</v>
      </c>
      <c r="AA32" s="1124"/>
      <c r="AB32" s="1137"/>
      <c r="AC32" s="1124"/>
      <c r="AD32" s="1137"/>
      <c r="AE32" s="1124"/>
      <c r="AF32" s="1137"/>
      <c r="AG32" s="1124"/>
      <c r="AH32" s="1137"/>
      <c r="AI32" s="1145"/>
      <c r="AJ32" s="1126">
        <v>0</v>
      </c>
    </row>
    <row r="33" spans="1:38" s="1138" customFormat="1" ht="20.25" customHeight="1" x14ac:dyDescent="0.25">
      <c r="A33" s="1136"/>
      <c r="B33" s="1137">
        <v>0</v>
      </c>
      <c r="C33" s="1124"/>
      <c r="E33" s="1124"/>
      <c r="G33" s="1124"/>
      <c r="H33" s="1137"/>
      <c r="I33" s="1124"/>
      <c r="J33" s="1137"/>
      <c r="K33" s="1139" t="s">
        <v>15359</v>
      </c>
      <c r="L33" s="1140" t="s">
        <v>15359</v>
      </c>
      <c r="M33" s="1141"/>
      <c r="N33" s="1141"/>
      <c r="O33" s="1141"/>
      <c r="P33" s="1142"/>
      <c r="Q33" s="1143"/>
      <c r="R33" s="1144" t="s">
        <v>15359</v>
      </c>
      <c r="S33" s="1137" t="s">
        <v>15359</v>
      </c>
      <c r="T33" s="1143"/>
      <c r="U33" s="1140" t="s">
        <v>15359</v>
      </c>
      <c r="V33" s="1141"/>
      <c r="W33" s="1141"/>
      <c r="X33" s="1141"/>
      <c r="Y33" s="1142"/>
      <c r="Z33" s="1139" t="s">
        <v>15359</v>
      </c>
      <c r="AA33" s="1124"/>
      <c r="AB33" s="1137"/>
      <c r="AC33" s="1124"/>
      <c r="AD33" s="1137"/>
      <c r="AE33" s="1124"/>
      <c r="AF33" s="1137"/>
      <c r="AG33" s="1124"/>
      <c r="AH33" s="1137"/>
      <c r="AI33" s="1145"/>
      <c r="AJ33" s="1126">
        <v>0</v>
      </c>
    </row>
    <row r="34" spans="1:38" s="1138" customFormat="1" ht="20.25" customHeight="1" x14ac:dyDescent="0.25">
      <c r="A34" s="1136"/>
      <c r="B34" s="1137">
        <v>0</v>
      </c>
      <c r="C34" s="1146"/>
      <c r="D34" s="1137"/>
      <c r="E34" s="1146"/>
      <c r="F34" s="1137"/>
      <c r="G34" s="1124"/>
      <c r="H34" s="1137"/>
      <c r="I34" s="1124"/>
      <c r="J34" s="1137"/>
      <c r="K34" s="1139" t="s">
        <v>15359</v>
      </c>
      <c r="L34" s="1140" t="s">
        <v>15359</v>
      </c>
      <c r="M34" s="1141"/>
      <c r="N34" s="1141"/>
      <c r="O34" s="1141"/>
      <c r="P34" s="1142"/>
      <c r="Q34" s="1143"/>
      <c r="R34" s="1144" t="s">
        <v>15359</v>
      </c>
      <c r="S34" s="1137" t="s">
        <v>15359</v>
      </c>
      <c r="T34" s="1143"/>
      <c r="U34" s="1140" t="s">
        <v>15359</v>
      </c>
      <c r="V34" s="1141"/>
      <c r="W34" s="1141"/>
      <c r="X34" s="1141"/>
      <c r="Y34" s="1142"/>
      <c r="Z34" s="1139" t="s">
        <v>15359</v>
      </c>
      <c r="AA34" s="1124"/>
      <c r="AB34" s="1137"/>
      <c r="AC34" s="1124"/>
      <c r="AD34" s="1137"/>
      <c r="AE34" s="1124"/>
      <c r="AF34" s="1137"/>
      <c r="AG34" s="1124"/>
      <c r="AH34" s="1137"/>
      <c r="AI34" s="1145"/>
      <c r="AJ34" s="1126">
        <v>0</v>
      </c>
    </row>
    <row r="35" spans="1:38" s="1138" customFormat="1" ht="20.25" customHeight="1" x14ac:dyDescent="0.25">
      <c r="A35" s="1129"/>
      <c r="B35" s="1112"/>
      <c r="C35" s="1075"/>
      <c r="D35" s="1069">
        <v>0</v>
      </c>
      <c r="E35" s="1112"/>
      <c r="F35" s="1069">
        <v>0</v>
      </c>
      <c r="G35" s="1075"/>
      <c r="H35" s="1069">
        <v>4</v>
      </c>
      <c r="I35" s="1075"/>
      <c r="J35" s="1069">
        <v>6</v>
      </c>
      <c r="K35" s="1127" t="s">
        <v>278</v>
      </c>
      <c r="L35" s="1044">
        <v>10</v>
      </c>
      <c r="M35" s="1111"/>
      <c r="N35" s="1111"/>
      <c r="O35" s="1111"/>
      <c r="P35" s="1045"/>
      <c r="Q35" s="1127" t="s">
        <v>5</v>
      </c>
      <c r="R35" s="1044" t="s">
        <v>283</v>
      </c>
      <c r="S35" s="1045"/>
      <c r="T35" s="1127" t="s">
        <v>5</v>
      </c>
      <c r="U35" s="1044">
        <v>5</v>
      </c>
      <c r="V35" s="1111"/>
      <c r="W35" s="1111"/>
      <c r="X35" s="1111"/>
      <c r="Y35" s="1045"/>
      <c r="Z35" s="1127" t="s">
        <v>278</v>
      </c>
      <c r="AA35" s="1075"/>
      <c r="AB35" s="1069">
        <v>0</v>
      </c>
      <c r="AC35" s="1075"/>
      <c r="AD35" s="1069">
        <v>5</v>
      </c>
      <c r="AE35" s="1075"/>
      <c r="AF35" s="1069">
        <v>0</v>
      </c>
      <c r="AG35" s="1075"/>
      <c r="AH35" s="1069">
        <v>0</v>
      </c>
      <c r="AI35" s="1112"/>
      <c r="AJ35" s="1130"/>
    </row>
    <row r="36" spans="1:38" s="1115" customFormat="1" ht="20.25" customHeight="1" x14ac:dyDescent="0.25">
      <c r="A36" s="1152"/>
      <c r="B36" s="1153"/>
      <c r="C36" s="1037" t="s">
        <v>248</v>
      </c>
      <c r="D36" s="1037"/>
      <c r="E36" s="1037"/>
      <c r="F36" s="1037"/>
      <c r="G36" s="1037"/>
      <c r="H36" s="1037"/>
      <c r="I36" s="1037"/>
      <c r="J36" s="1037" t="s">
        <v>247</v>
      </c>
      <c r="K36" s="1037" t="s">
        <v>416</v>
      </c>
      <c r="L36" s="1037"/>
      <c r="M36" s="1037"/>
      <c r="N36" s="1037"/>
      <c r="O36" s="1037"/>
      <c r="P36" s="1037"/>
      <c r="Q36" s="1037"/>
      <c r="R36" s="1154" t="s">
        <v>1</v>
      </c>
      <c r="S36" s="1154"/>
      <c r="T36" s="1153"/>
      <c r="U36" s="1037" t="s">
        <v>248</v>
      </c>
      <c r="V36" s="1037"/>
      <c r="W36" s="1037"/>
      <c r="X36" s="1037"/>
      <c r="Y36" s="1037"/>
      <c r="Z36" s="1037"/>
      <c r="AA36" s="1037"/>
      <c r="AB36" s="1037" t="s">
        <v>247</v>
      </c>
      <c r="AC36" s="1037" t="s">
        <v>416</v>
      </c>
      <c r="AD36" s="1037"/>
      <c r="AE36" s="1037"/>
      <c r="AF36" s="1037"/>
      <c r="AG36" s="1037"/>
      <c r="AH36" s="1037"/>
      <c r="AI36" s="1037"/>
      <c r="AJ36" s="1155"/>
    </row>
    <row r="37" spans="1:38" s="1115" customFormat="1" ht="20.25" customHeight="1" x14ac:dyDescent="0.25">
      <c r="A37" s="1156"/>
      <c r="B37" s="1157"/>
      <c r="C37" s="1158"/>
      <c r="D37" s="1158"/>
      <c r="E37" s="1158"/>
      <c r="F37" s="1158"/>
      <c r="G37" s="1158"/>
      <c r="H37" s="1158"/>
      <c r="I37" s="1158"/>
      <c r="J37" s="1158"/>
      <c r="K37" s="1158"/>
      <c r="L37" s="1158"/>
      <c r="M37" s="1158"/>
      <c r="N37" s="1158"/>
      <c r="O37" s="1158"/>
      <c r="P37" s="1158"/>
      <c r="Q37" s="1158"/>
      <c r="R37" s="1159" t="s">
        <v>274</v>
      </c>
      <c r="S37" s="1160"/>
      <c r="U37" s="1040"/>
      <c r="V37" s="1040"/>
      <c r="W37" s="1040"/>
      <c r="X37" s="1040"/>
      <c r="Y37" s="1040"/>
      <c r="Z37" s="1040"/>
      <c r="AA37" s="1040"/>
      <c r="AB37" s="1040"/>
      <c r="AC37" s="1040"/>
      <c r="AD37" s="1040"/>
      <c r="AE37" s="1040"/>
      <c r="AF37" s="1040"/>
      <c r="AG37" s="1040"/>
      <c r="AH37" s="1040"/>
      <c r="AI37" s="1040"/>
      <c r="AJ37" s="1161"/>
    </row>
    <row r="38" spans="1:38" s="1138" customFormat="1" ht="20.25" customHeight="1" x14ac:dyDescent="0.25">
      <c r="A38" s="1117">
        <v>16</v>
      </c>
      <c r="B38" s="1115" t="s">
        <v>272</v>
      </c>
      <c r="C38" s="1115">
        <v>11</v>
      </c>
      <c r="D38" s="1115" t="s">
        <v>111</v>
      </c>
      <c r="E38" s="1040" t="s">
        <v>6014</v>
      </c>
      <c r="F38" s="1040"/>
      <c r="G38" s="1040"/>
      <c r="H38" s="1040"/>
      <c r="I38" s="1040"/>
      <c r="J38" s="1115" t="s">
        <v>247</v>
      </c>
      <c r="K38" s="1115">
        <v>6</v>
      </c>
      <c r="L38" s="1115" t="s">
        <v>111</v>
      </c>
      <c r="M38" s="1040" t="s">
        <v>5862</v>
      </c>
      <c r="N38" s="1040"/>
      <c r="O38" s="1040"/>
      <c r="P38" s="1040"/>
      <c r="Q38" s="1040"/>
      <c r="R38" s="1115"/>
      <c r="S38" s="1152">
        <v>25</v>
      </c>
      <c r="T38" s="1153" t="s">
        <v>272</v>
      </c>
      <c r="U38" s="1153">
        <v>4</v>
      </c>
      <c r="V38" s="1153" t="s">
        <v>111</v>
      </c>
      <c r="W38" s="1037" t="s">
        <v>8738</v>
      </c>
      <c r="X38" s="1037"/>
      <c r="Y38" s="1037"/>
      <c r="Z38" s="1037"/>
      <c r="AA38" s="1037"/>
      <c r="AB38" s="1153" t="s">
        <v>247</v>
      </c>
      <c r="AC38" s="1153">
        <v>11</v>
      </c>
      <c r="AD38" s="1153" t="s">
        <v>111</v>
      </c>
      <c r="AE38" s="1037" t="s">
        <v>6062</v>
      </c>
      <c r="AF38" s="1037"/>
      <c r="AG38" s="1037"/>
      <c r="AH38" s="1037"/>
      <c r="AI38" s="1037"/>
      <c r="AJ38" s="1162"/>
      <c r="AK38" s="1115"/>
      <c r="AL38" s="1115"/>
    </row>
    <row r="39" spans="1:38" s="1138" customFormat="1" ht="19.5" customHeight="1" x14ac:dyDescent="0.25">
      <c r="A39" s="1117">
        <v>29</v>
      </c>
      <c r="B39" s="1115" t="s">
        <v>272</v>
      </c>
      <c r="C39" s="1115">
        <v>6</v>
      </c>
      <c r="D39" s="1115" t="s">
        <v>111</v>
      </c>
      <c r="E39" s="1040" t="s">
        <v>5862</v>
      </c>
      <c r="F39" s="1040"/>
      <c r="G39" s="1040"/>
      <c r="H39" s="1040"/>
      <c r="I39" s="1040"/>
      <c r="J39" s="1115" t="s">
        <v>247</v>
      </c>
      <c r="K39" s="1115">
        <v>2</v>
      </c>
      <c r="L39" s="1115" t="s">
        <v>111</v>
      </c>
      <c r="M39" s="1040" t="s">
        <v>7856</v>
      </c>
      <c r="N39" s="1040"/>
      <c r="O39" s="1040"/>
      <c r="P39" s="1040"/>
      <c r="Q39" s="1040"/>
      <c r="R39" s="1115"/>
      <c r="S39" s="1117">
        <v>29</v>
      </c>
      <c r="T39" s="1115" t="s">
        <v>272</v>
      </c>
      <c r="U39" s="1115">
        <v>13</v>
      </c>
      <c r="V39" s="1115" t="s">
        <v>111</v>
      </c>
      <c r="W39" s="1040" t="s">
        <v>8701</v>
      </c>
      <c r="X39" s="1040"/>
      <c r="Y39" s="1040"/>
      <c r="Z39" s="1040"/>
      <c r="AA39" s="1040"/>
      <c r="AB39" s="1115" t="s">
        <v>247</v>
      </c>
      <c r="AC39" s="1115">
        <v>3</v>
      </c>
      <c r="AD39" s="1115" t="s">
        <v>111</v>
      </c>
      <c r="AE39" s="1040" t="s">
        <v>8153</v>
      </c>
      <c r="AF39" s="1040"/>
      <c r="AG39" s="1040"/>
      <c r="AH39" s="1040"/>
      <c r="AI39" s="1040"/>
      <c r="AJ39" s="1163"/>
      <c r="AK39" s="1115"/>
      <c r="AL39" s="1115"/>
    </row>
    <row r="40" spans="1:38" s="1138" customFormat="1" ht="20.25" customHeight="1" x14ac:dyDescent="0.25">
      <c r="A40" s="1117"/>
      <c r="B40" s="1115" t="s">
        <v>272</v>
      </c>
      <c r="C40" s="1115"/>
      <c r="D40" s="1115" t="s">
        <v>111</v>
      </c>
      <c r="E40" s="1040" t="s">
        <v>15359</v>
      </c>
      <c r="F40" s="1040"/>
      <c r="G40" s="1040"/>
      <c r="H40" s="1040"/>
      <c r="I40" s="1040"/>
      <c r="J40" s="1115" t="s">
        <v>247</v>
      </c>
      <c r="K40" s="1115"/>
      <c r="L40" s="1115" t="s">
        <v>111</v>
      </c>
      <c r="M40" s="1040" t="s">
        <v>15359</v>
      </c>
      <c r="N40" s="1040"/>
      <c r="O40" s="1040"/>
      <c r="P40" s="1040"/>
      <c r="Q40" s="1040"/>
      <c r="R40" s="1115"/>
      <c r="S40" s="1117"/>
      <c r="T40" s="1115" t="s">
        <v>272</v>
      </c>
      <c r="U40" s="1115"/>
      <c r="V40" s="1115" t="s">
        <v>111</v>
      </c>
      <c r="W40" s="1040" t="s">
        <v>15359</v>
      </c>
      <c r="X40" s="1040"/>
      <c r="Y40" s="1040"/>
      <c r="Z40" s="1040"/>
      <c r="AA40" s="1040"/>
      <c r="AB40" s="1115" t="s">
        <v>247</v>
      </c>
      <c r="AC40" s="1115"/>
      <c r="AD40" s="1115" t="s">
        <v>111</v>
      </c>
      <c r="AE40" s="1040" t="s">
        <v>15359</v>
      </c>
      <c r="AF40" s="1040"/>
      <c r="AG40" s="1040"/>
      <c r="AH40" s="1040"/>
      <c r="AI40" s="1040"/>
      <c r="AJ40" s="1163"/>
      <c r="AK40" s="1115"/>
      <c r="AL40" s="1115"/>
    </row>
    <row r="41" spans="1:38" s="1138" customFormat="1" ht="20.25" customHeight="1" x14ac:dyDescent="0.25">
      <c r="A41" s="1117"/>
      <c r="B41" s="1115" t="s">
        <v>272</v>
      </c>
      <c r="C41" s="1115"/>
      <c r="D41" s="1115" t="s">
        <v>111</v>
      </c>
      <c r="E41" s="1040" t="s">
        <v>15359</v>
      </c>
      <c r="F41" s="1040"/>
      <c r="G41" s="1040"/>
      <c r="H41" s="1040"/>
      <c r="I41" s="1040"/>
      <c r="J41" s="1115" t="s">
        <v>247</v>
      </c>
      <c r="K41" s="1115"/>
      <c r="L41" s="1115" t="s">
        <v>111</v>
      </c>
      <c r="M41" s="1040" t="s">
        <v>15359</v>
      </c>
      <c r="N41" s="1040"/>
      <c r="O41" s="1040"/>
      <c r="P41" s="1040"/>
      <c r="Q41" s="1040"/>
      <c r="R41" s="1115"/>
      <c r="S41" s="1117"/>
      <c r="T41" s="1115" t="s">
        <v>272</v>
      </c>
      <c r="U41" s="1115"/>
      <c r="V41" s="1115" t="s">
        <v>111</v>
      </c>
      <c r="W41" s="1040" t="s">
        <v>15359</v>
      </c>
      <c r="X41" s="1040"/>
      <c r="Y41" s="1040"/>
      <c r="Z41" s="1040"/>
      <c r="AA41" s="1040"/>
      <c r="AB41" s="1115" t="s">
        <v>247</v>
      </c>
      <c r="AC41" s="1115"/>
      <c r="AD41" s="1115" t="s">
        <v>111</v>
      </c>
      <c r="AE41" s="1040" t="s">
        <v>15359</v>
      </c>
      <c r="AF41" s="1040"/>
      <c r="AG41" s="1040"/>
      <c r="AH41" s="1040"/>
      <c r="AI41" s="1040"/>
      <c r="AJ41" s="1163"/>
      <c r="AK41" s="1115"/>
      <c r="AL41" s="1115"/>
    </row>
    <row r="42" spans="1:38" s="1138" customFormat="1" ht="20.25" customHeight="1" x14ac:dyDescent="0.25">
      <c r="A42" s="1117"/>
      <c r="B42" s="1115" t="s">
        <v>272</v>
      </c>
      <c r="C42" s="1115"/>
      <c r="D42" s="1115" t="s">
        <v>111</v>
      </c>
      <c r="E42" s="1040" t="s">
        <v>15359</v>
      </c>
      <c r="F42" s="1040"/>
      <c r="G42" s="1040"/>
      <c r="H42" s="1040"/>
      <c r="I42" s="1040"/>
      <c r="J42" s="1115" t="s">
        <v>247</v>
      </c>
      <c r="K42" s="1115"/>
      <c r="L42" s="1115" t="s">
        <v>111</v>
      </c>
      <c r="M42" s="1040" t="s">
        <v>15359</v>
      </c>
      <c r="N42" s="1040"/>
      <c r="O42" s="1040"/>
      <c r="P42" s="1040"/>
      <c r="Q42" s="1040"/>
      <c r="R42" s="1115"/>
      <c r="S42" s="1117"/>
      <c r="T42" s="1115" t="s">
        <v>272</v>
      </c>
      <c r="U42" s="1115"/>
      <c r="V42" s="1115" t="s">
        <v>111</v>
      </c>
      <c r="W42" s="1040" t="s">
        <v>15359</v>
      </c>
      <c r="X42" s="1040"/>
      <c r="Y42" s="1040"/>
      <c r="Z42" s="1040"/>
      <c r="AA42" s="1040"/>
      <c r="AB42" s="1115" t="s">
        <v>247</v>
      </c>
      <c r="AC42" s="1115"/>
      <c r="AD42" s="1115" t="s">
        <v>111</v>
      </c>
      <c r="AE42" s="1040" t="s">
        <v>15359</v>
      </c>
      <c r="AF42" s="1040"/>
      <c r="AG42" s="1040"/>
      <c r="AH42" s="1040"/>
      <c r="AI42" s="1040"/>
      <c r="AJ42" s="1163"/>
      <c r="AK42" s="1115"/>
      <c r="AL42" s="1115"/>
    </row>
    <row r="43" spans="1:38" s="1138" customFormat="1" ht="20.25" customHeight="1" x14ac:dyDescent="0.25">
      <c r="A43" s="1117"/>
      <c r="B43" s="1115" t="s">
        <v>272</v>
      </c>
      <c r="C43" s="1115"/>
      <c r="D43" s="1115" t="s">
        <v>111</v>
      </c>
      <c r="E43" s="1040" t="s">
        <v>15359</v>
      </c>
      <c r="F43" s="1040"/>
      <c r="G43" s="1040"/>
      <c r="H43" s="1040"/>
      <c r="I43" s="1040"/>
      <c r="J43" s="1115" t="s">
        <v>247</v>
      </c>
      <c r="K43" s="1115"/>
      <c r="L43" s="1115" t="s">
        <v>111</v>
      </c>
      <c r="M43" s="1040" t="s">
        <v>15359</v>
      </c>
      <c r="N43" s="1040"/>
      <c r="O43" s="1040"/>
      <c r="P43" s="1040"/>
      <c r="Q43" s="1040"/>
      <c r="R43" s="1115"/>
      <c r="S43" s="1117"/>
      <c r="T43" s="1115" t="s">
        <v>272</v>
      </c>
      <c r="U43" s="1115"/>
      <c r="V43" s="1115" t="s">
        <v>111</v>
      </c>
      <c r="W43" s="1040" t="s">
        <v>15359</v>
      </c>
      <c r="X43" s="1040"/>
      <c r="Y43" s="1040"/>
      <c r="Z43" s="1040"/>
      <c r="AA43" s="1040"/>
      <c r="AB43" s="1115" t="s">
        <v>247</v>
      </c>
      <c r="AC43" s="1115"/>
      <c r="AD43" s="1115" t="s">
        <v>111</v>
      </c>
      <c r="AE43" s="1040" t="s">
        <v>15359</v>
      </c>
      <c r="AF43" s="1040"/>
      <c r="AG43" s="1040"/>
      <c r="AH43" s="1040"/>
      <c r="AI43" s="1040"/>
      <c r="AJ43" s="1163"/>
      <c r="AK43" s="1115"/>
      <c r="AL43" s="1115"/>
    </row>
    <row r="44" spans="1:38" s="1138" customFormat="1" ht="20.25" customHeight="1" x14ac:dyDescent="0.25">
      <c r="A44" s="1117"/>
      <c r="B44" s="1115" t="s">
        <v>272</v>
      </c>
      <c r="C44" s="1115"/>
      <c r="D44" s="1115" t="s">
        <v>111</v>
      </c>
      <c r="E44" s="1040" t="s">
        <v>15359</v>
      </c>
      <c r="F44" s="1040"/>
      <c r="G44" s="1040"/>
      <c r="H44" s="1040"/>
      <c r="I44" s="1040"/>
      <c r="J44" s="1115" t="s">
        <v>247</v>
      </c>
      <c r="K44" s="1115"/>
      <c r="L44" s="1115" t="s">
        <v>111</v>
      </c>
      <c r="M44" s="1040" t="s">
        <v>15359</v>
      </c>
      <c r="N44" s="1040"/>
      <c r="O44" s="1040"/>
      <c r="P44" s="1040"/>
      <c r="Q44" s="1040"/>
      <c r="R44" s="1115"/>
      <c r="S44" s="1117"/>
      <c r="T44" s="1115" t="s">
        <v>272</v>
      </c>
      <c r="U44" s="1115"/>
      <c r="V44" s="1115" t="s">
        <v>111</v>
      </c>
      <c r="W44" s="1040" t="s">
        <v>15359</v>
      </c>
      <c r="X44" s="1040"/>
      <c r="Y44" s="1040"/>
      <c r="Z44" s="1040"/>
      <c r="AA44" s="1040"/>
      <c r="AB44" s="1115" t="s">
        <v>247</v>
      </c>
      <c r="AC44" s="1115"/>
      <c r="AD44" s="1115" t="s">
        <v>111</v>
      </c>
      <c r="AE44" s="1040" t="s">
        <v>15359</v>
      </c>
      <c r="AF44" s="1040"/>
      <c r="AG44" s="1040"/>
      <c r="AH44" s="1040"/>
      <c r="AI44" s="1040"/>
      <c r="AJ44" s="1163"/>
      <c r="AK44" s="1115"/>
      <c r="AL44" s="1115"/>
    </row>
    <row r="45" spans="1:38" s="1138" customFormat="1" ht="20.25" customHeight="1" x14ac:dyDescent="0.25">
      <c r="A45" s="1156"/>
      <c r="B45" s="1157" t="s">
        <v>272</v>
      </c>
      <c r="C45" s="1157"/>
      <c r="D45" s="1157" t="s">
        <v>111</v>
      </c>
      <c r="E45" s="1158" t="s">
        <v>15359</v>
      </c>
      <c r="F45" s="1158"/>
      <c r="G45" s="1158"/>
      <c r="H45" s="1158"/>
      <c r="I45" s="1158"/>
      <c r="J45" s="1157" t="s">
        <v>247</v>
      </c>
      <c r="K45" s="1157"/>
      <c r="L45" s="1157" t="s">
        <v>111</v>
      </c>
      <c r="M45" s="1158" t="s">
        <v>15359</v>
      </c>
      <c r="N45" s="1158"/>
      <c r="O45" s="1158"/>
      <c r="P45" s="1158"/>
      <c r="Q45" s="1158"/>
      <c r="R45" s="1157"/>
      <c r="S45" s="1156"/>
      <c r="T45" s="1157" t="s">
        <v>272</v>
      </c>
      <c r="U45" s="1157"/>
      <c r="V45" s="1157" t="s">
        <v>111</v>
      </c>
      <c r="W45" s="1158" t="s">
        <v>15359</v>
      </c>
      <c r="X45" s="1158"/>
      <c r="Y45" s="1158"/>
      <c r="Z45" s="1158"/>
      <c r="AA45" s="1158"/>
      <c r="AB45" s="1157" t="s">
        <v>247</v>
      </c>
      <c r="AC45" s="1157"/>
      <c r="AD45" s="1157" t="s">
        <v>111</v>
      </c>
      <c r="AE45" s="1158" t="s">
        <v>15359</v>
      </c>
      <c r="AF45" s="1158"/>
      <c r="AG45" s="1158"/>
      <c r="AH45" s="1158"/>
      <c r="AI45" s="1158"/>
      <c r="AJ45" s="1164"/>
      <c r="AK45" s="1115"/>
      <c r="AL45" s="1115"/>
    </row>
    <row r="46" spans="1:38" s="1115" customFormat="1" ht="36" customHeight="1" x14ac:dyDescent="0.25">
      <c r="A46" s="1055" t="s">
        <v>286</v>
      </c>
      <c r="B46" s="1062"/>
      <c r="C46" s="1062"/>
      <c r="D46" s="1062"/>
      <c r="E46" s="1062"/>
      <c r="F46" s="1062"/>
      <c r="G46" s="1051"/>
      <c r="H46" s="1059" t="s">
        <v>5</v>
      </c>
      <c r="I46" s="1051"/>
      <c r="J46" s="1059" t="s">
        <v>290</v>
      </c>
      <c r="K46" s="1051"/>
      <c r="L46" s="1062" t="s">
        <v>291</v>
      </c>
      <c r="M46" s="1051"/>
      <c r="N46" s="1059" t="s">
        <v>295</v>
      </c>
      <c r="O46" s="1051"/>
      <c r="P46" s="1059" t="s">
        <v>189</v>
      </c>
      <c r="Q46" s="1051"/>
      <c r="R46" s="1165" t="s">
        <v>298</v>
      </c>
      <c r="S46" s="1058"/>
      <c r="T46" s="1059" t="s">
        <v>189</v>
      </c>
      <c r="U46" s="1051"/>
      <c r="V46" s="1059" t="s">
        <v>295</v>
      </c>
      <c r="W46" s="1051"/>
      <c r="X46" s="1062" t="s">
        <v>291</v>
      </c>
      <c r="Y46" s="1051"/>
      <c r="Z46" s="1059" t="s">
        <v>290</v>
      </c>
      <c r="AA46" s="1062"/>
      <c r="AB46" s="1059" t="s">
        <v>5</v>
      </c>
      <c r="AC46" s="1051"/>
      <c r="AD46" s="1059" t="s">
        <v>286</v>
      </c>
      <c r="AE46" s="1062"/>
      <c r="AF46" s="1062"/>
      <c r="AG46" s="1062"/>
      <c r="AH46" s="1062"/>
      <c r="AI46" s="1062"/>
      <c r="AJ46" s="1063"/>
    </row>
    <row r="47" spans="1:38" s="1115" customFormat="1" ht="20.25" customHeight="1" x14ac:dyDescent="0.25">
      <c r="A47" s="1117"/>
      <c r="H47" s="1125">
        <v>9</v>
      </c>
      <c r="I47" s="1125"/>
      <c r="J47" s="1125">
        <v>0</v>
      </c>
      <c r="K47" s="1125"/>
      <c r="L47" s="1089">
        <v>0</v>
      </c>
      <c r="M47" s="1061"/>
      <c r="N47" s="1070">
        <v>7</v>
      </c>
      <c r="O47" s="1061"/>
      <c r="P47" s="1070">
        <v>2</v>
      </c>
      <c r="Q47" s="1061"/>
      <c r="R47" s="1124" t="s">
        <v>421</v>
      </c>
      <c r="S47" s="1090" t="s">
        <v>15</v>
      </c>
      <c r="T47" s="1070">
        <v>3</v>
      </c>
      <c r="U47" s="1061"/>
      <c r="V47" s="1070">
        <v>2</v>
      </c>
      <c r="W47" s="1061"/>
      <c r="X47" s="1089">
        <v>0</v>
      </c>
      <c r="Y47" s="1061"/>
      <c r="Z47" s="1125">
        <v>0</v>
      </c>
      <c r="AA47" s="1125"/>
      <c r="AB47" s="1125">
        <v>5</v>
      </c>
      <c r="AC47" s="1125"/>
      <c r="AD47" s="1112"/>
      <c r="AE47" s="1112"/>
      <c r="AF47" s="1112"/>
      <c r="AG47" s="1112"/>
      <c r="AH47" s="1112"/>
      <c r="AI47" s="1112"/>
      <c r="AJ47" s="1130"/>
    </row>
    <row r="48" spans="1:38" s="1115" customFormat="1" ht="20.25" customHeight="1" x14ac:dyDescent="0.25">
      <c r="A48" s="1117"/>
      <c r="H48" s="1125">
        <v>1</v>
      </c>
      <c r="I48" s="1125"/>
      <c r="J48" s="1125">
        <v>0</v>
      </c>
      <c r="K48" s="1125"/>
      <c r="L48" s="1089">
        <v>0</v>
      </c>
      <c r="M48" s="1061"/>
      <c r="N48" s="1070">
        <v>1</v>
      </c>
      <c r="O48" s="1061"/>
      <c r="P48" s="1070">
        <v>0</v>
      </c>
      <c r="Q48" s="1061"/>
      <c r="R48" s="1124" t="s">
        <v>151</v>
      </c>
      <c r="S48" s="1090" t="s">
        <v>15</v>
      </c>
      <c r="T48" s="1070">
        <v>0</v>
      </c>
      <c r="U48" s="1061"/>
      <c r="V48" s="1070">
        <v>2</v>
      </c>
      <c r="W48" s="1061"/>
      <c r="X48" s="1089">
        <v>0</v>
      </c>
      <c r="Y48" s="1061"/>
      <c r="Z48" s="1125">
        <v>0</v>
      </c>
      <c r="AA48" s="1125"/>
      <c r="AB48" s="1125">
        <v>2</v>
      </c>
      <c r="AC48" s="1125"/>
      <c r="AJ48" s="1161"/>
    </row>
    <row r="49" spans="1:36" s="1115" customFormat="1" ht="20.25" customHeight="1" x14ac:dyDescent="0.25">
      <c r="A49" s="1117"/>
      <c r="H49" s="1125">
        <v>2</v>
      </c>
      <c r="I49" s="1125"/>
      <c r="J49" s="1125">
        <v>0</v>
      </c>
      <c r="K49" s="1125"/>
      <c r="L49" s="1089">
        <v>0</v>
      </c>
      <c r="M49" s="1061"/>
      <c r="N49" s="1070">
        <v>1</v>
      </c>
      <c r="O49" s="1061"/>
      <c r="P49" s="1070">
        <v>1</v>
      </c>
      <c r="Q49" s="1061"/>
      <c r="R49" s="1124" t="s">
        <v>300</v>
      </c>
      <c r="S49" s="1090" t="s">
        <v>425</v>
      </c>
      <c r="T49" s="1070">
        <v>0</v>
      </c>
      <c r="U49" s="1061"/>
      <c r="V49" s="1070">
        <v>1</v>
      </c>
      <c r="W49" s="1061"/>
      <c r="X49" s="1089">
        <v>0</v>
      </c>
      <c r="Y49" s="1061"/>
      <c r="Z49" s="1125">
        <v>0</v>
      </c>
      <c r="AA49" s="1125"/>
      <c r="AB49" s="1125">
        <v>1</v>
      </c>
      <c r="AC49" s="1125"/>
      <c r="AJ49" s="1161"/>
    </row>
    <row r="50" spans="1:36" s="1115" customFormat="1" ht="20.25" customHeight="1" x14ac:dyDescent="0.25">
      <c r="A50" s="1117"/>
      <c r="H50" s="1125">
        <v>2</v>
      </c>
      <c r="I50" s="1125"/>
      <c r="J50" s="1125">
        <v>0</v>
      </c>
      <c r="K50" s="1125"/>
      <c r="L50" s="1089">
        <v>0</v>
      </c>
      <c r="M50" s="1061"/>
      <c r="N50" s="1070">
        <v>1</v>
      </c>
      <c r="O50" s="1061"/>
      <c r="P50" s="1070">
        <v>1</v>
      </c>
      <c r="Q50" s="1061"/>
      <c r="R50" s="1124" t="s">
        <v>301</v>
      </c>
      <c r="S50" s="1090" t="s">
        <v>425</v>
      </c>
      <c r="T50" s="1070">
        <v>0</v>
      </c>
      <c r="U50" s="1061"/>
      <c r="V50" s="1070">
        <v>1</v>
      </c>
      <c r="W50" s="1061"/>
      <c r="X50" s="1089">
        <v>0</v>
      </c>
      <c r="Y50" s="1061"/>
      <c r="Z50" s="1125">
        <v>0</v>
      </c>
      <c r="AA50" s="1125"/>
      <c r="AB50" s="1125">
        <v>1</v>
      </c>
      <c r="AC50" s="1125"/>
      <c r="AJ50" s="1161"/>
    </row>
    <row r="51" spans="1:36" s="1115" customFormat="1" ht="20.25" customHeight="1" x14ac:dyDescent="0.25">
      <c r="A51" s="1120"/>
      <c r="B51" s="1121"/>
      <c r="C51" s="1121"/>
      <c r="D51" s="1121"/>
      <c r="E51" s="1121"/>
      <c r="F51" s="1121"/>
      <c r="G51" s="1121"/>
      <c r="H51" s="1125">
        <v>0</v>
      </c>
      <c r="I51" s="1125"/>
      <c r="J51" s="1125">
        <v>0</v>
      </c>
      <c r="K51" s="1125"/>
      <c r="L51" s="1089">
        <v>0</v>
      </c>
      <c r="M51" s="1061"/>
      <c r="N51" s="1070">
        <v>0</v>
      </c>
      <c r="O51" s="1061"/>
      <c r="P51" s="1070">
        <v>0</v>
      </c>
      <c r="Q51" s="1061"/>
      <c r="R51" s="1124" t="s">
        <v>120</v>
      </c>
      <c r="S51" s="1069" t="s">
        <v>15</v>
      </c>
      <c r="T51" s="1070">
        <v>0</v>
      </c>
      <c r="U51" s="1061"/>
      <c r="V51" s="1070">
        <v>0</v>
      </c>
      <c r="W51" s="1061"/>
      <c r="X51" s="1089">
        <v>0</v>
      </c>
      <c r="Y51" s="1061"/>
      <c r="Z51" s="1125">
        <v>0</v>
      </c>
      <c r="AA51" s="1125"/>
      <c r="AB51" s="1125">
        <v>0</v>
      </c>
      <c r="AC51" s="1125"/>
      <c r="AD51" s="1121"/>
      <c r="AE51" s="1121"/>
      <c r="AF51" s="1121"/>
      <c r="AG51" s="1121"/>
      <c r="AH51" s="1121"/>
      <c r="AI51" s="1121"/>
      <c r="AJ51" s="1122"/>
    </row>
    <row r="52" spans="1:36" s="1115" customFormat="1" ht="20.25" customHeight="1" x14ac:dyDescent="0.25">
      <c r="A52" s="1166" t="s">
        <v>261</v>
      </c>
      <c r="B52" s="1089"/>
      <c r="C52" s="1061"/>
      <c r="D52" s="1070" t="s">
        <v>303</v>
      </c>
      <c r="E52" s="1061"/>
      <c r="F52" s="1070" t="s">
        <v>312</v>
      </c>
      <c r="G52" s="1089"/>
      <c r="H52" s="1089"/>
      <c r="I52" s="1089"/>
      <c r="J52" s="1089"/>
      <c r="K52" s="1089"/>
      <c r="L52" s="1089"/>
      <c r="M52" s="1089"/>
      <c r="N52" s="1089"/>
      <c r="O52" s="1089"/>
      <c r="P52" s="1089"/>
      <c r="Q52" s="1089"/>
      <c r="R52" s="1167"/>
      <c r="S52" s="1166" t="s">
        <v>261</v>
      </c>
      <c r="T52" s="1089"/>
      <c r="U52" s="1061"/>
      <c r="V52" s="1070" t="s">
        <v>303</v>
      </c>
      <c r="W52" s="1061"/>
      <c r="X52" s="1070" t="s">
        <v>312</v>
      </c>
      <c r="Y52" s="1089"/>
      <c r="Z52" s="1089"/>
      <c r="AA52" s="1089"/>
      <c r="AB52" s="1089"/>
      <c r="AC52" s="1089"/>
      <c r="AD52" s="1089"/>
      <c r="AE52" s="1089"/>
      <c r="AF52" s="1089"/>
      <c r="AG52" s="1089"/>
      <c r="AH52" s="1089"/>
      <c r="AI52" s="1089"/>
      <c r="AJ52" s="1167"/>
    </row>
    <row r="53" spans="1:36" s="1115" customFormat="1" ht="20.25" customHeight="1" x14ac:dyDescent="0.25">
      <c r="A53" s="1123"/>
      <c r="B53" s="1146">
        <v>2</v>
      </c>
      <c r="C53" s="1090" t="s">
        <v>272</v>
      </c>
      <c r="D53" s="1070">
        <v>10</v>
      </c>
      <c r="E53" s="1061"/>
      <c r="F53" s="1070" t="s">
        <v>15353</v>
      </c>
      <c r="G53" s="1089"/>
      <c r="H53" s="1089"/>
      <c r="I53" s="1089"/>
      <c r="J53" s="1089"/>
      <c r="K53" s="1089"/>
      <c r="L53" s="1089"/>
      <c r="M53" s="1089"/>
      <c r="N53" s="1089"/>
      <c r="O53" s="1089"/>
      <c r="P53" s="1089"/>
      <c r="Q53" s="1089"/>
      <c r="R53" s="1167"/>
      <c r="S53" s="1123"/>
      <c r="T53" s="1146"/>
      <c r="U53" s="1090" t="s">
        <v>272</v>
      </c>
      <c r="V53" s="1070"/>
      <c r="W53" s="1061"/>
      <c r="X53" s="1070"/>
      <c r="Y53" s="1089"/>
      <c r="Z53" s="1089"/>
      <c r="AA53" s="1089"/>
      <c r="AB53" s="1089"/>
      <c r="AC53" s="1089"/>
      <c r="AD53" s="1089"/>
      <c r="AE53" s="1089"/>
      <c r="AF53" s="1089"/>
      <c r="AG53" s="1089"/>
      <c r="AH53" s="1089"/>
      <c r="AI53" s="1089"/>
      <c r="AJ53" s="1167"/>
    </row>
    <row r="54" spans="1:36" s="1115" customFormat="1" ht="20.25" customHeight="1" x14ac:dyDescent="0.25">
      <c r="A54" s="1123"/>
      <c r="B54" s="1146">
        <v>6</v>
      </c>
      <c r="C54" s="1090" t="s">
        <v>272</v>
      </c>
      <c r="D54" s="1070">
        <v>10</v>
      </c>
      <c r="E54" s="1061"/>
      <c r="F54" s="1070" t="s">
        <v>15354</v>
      </c>
      <c r="G54" s="1089"/>
      <c r="H54" s="1089"/>
      <c r="I54" s="1089"/>
      <c r="J54" s="1089"/>
      <c r="K54" s="1089"/>
      <c r="L54" s="1089"/>
      <c r="M54" s="1089"/>
      <c r="N54" s="1089"/>
      <c r="O54" s="1089"/>
      <c r="P54" s="1089"/>
      <c r="Q54" s="1089"/>
      <c r="R54" s="1167"/>
      <c r="S54" s="1123"/>
      <c r="T54" s="1146"/>
      <c r="U54" s="1090" t="s">
        <v>272</v>
      </c>
      <c r="V54" s="1070"/>
      <c r="W54" s="1061"/>
      <c r="X54" s="1070"/>
      <c r="Y54" s="1089"/>
      <c r="Z54" s="1089"/>
      <c r="AA54" s="1089"/>
      <c r="AB54" s="1089"/>
      <c r="AC54" s="1089"/>
      <c r="AD54" s="1089"/>
      <c r="AE54" s="1089"/>
      <c r="AF54" s="1089"/>
      <c r="AG54" s="1089"/>
      <c r="AH54" s="1089"/>
      <c r="AI54" s="1089"/>
      <c r="AJ54" s="1167"/>
    </row>
    <row r="55" spans="1:36" s="1115" customFormat="1" ht="20.25" customHeight="1" x14ac:dyDescent="0.25">
      <c r="A55" s="1123"/>
      <c r="B55" s="1146">
        <v>13</v>
      </c>
      <c r="C55" s="1090" t="s">
        <v>272</v>
      </c>
      <c r="D55" s="1070">
        <v>10</v>
      </c>
      <c r="E55" s="1061"/>
      <c r="F55" s="1070" t="s">
        <v>15355</v>
      </c>
      <c r="G55" s="1089"/>
      <c r="H55" s="1089"/>
      <c r="I55" s="1089"/>
      <c r="J55" s="1089"/>
      <c r="K55" s="1089"/>
      <c r="L55" s="1089"/>
      <c r="M55" s="1089"/>
      <c r="N55" s="1089"/>
      <c r="O55" s="1089"/>
      <c r="P55" s="1089"/>
      <c r="Q55" s="1089"/>
      <c r="R55" s="1167"/>
      <c r="S55" s="1123"/>
      <c r="T55" s="1146"/>
      <c r="U55" s="1090" t="s">
        <v>272</v>
      </c>
      <c r="V55" s="1070"/>
      <c r="W55" s="1061"/>
      <c r="X55" s="1070"/>
      <c r="Y55" s="1089"/>
      <c r="Z55" s="1089"/>
      <c r="AA55" s="1089"/>
      <c r="AB55" s="1089"/>
      <c r="AC55" s="1089"/>
      <c r="AD55" s="1089"/>
      <c r="AE55" s="1089"/>
      <c r="AF55" s="1089"/>
      <c r="AG55" s="1089"/>
      <c r="AH55" s="1089"/>
      <c r="AI55" s="1089"/>
      <c r="AJ55" s="1167"/>
    </row>
    <row r="56" spans="1:36" s="1115" customFormat="1" ht="20.25" customHeight="1" x14ac:dyDescent="0.25">
      <c r="A56" s="1123"/>
      <c r="B56" s="1146">
        <v>15</v>
      </c>
      <c r="C56" s="1090" t="s">
        <v>272</v>
      </c>
      <c r="D56" s="1070">
        <v>5</v>
      </c>
      <c r="E56" s="1061"/>
      <c r="F56" s="1070" t="s">
        <v>15356</v>
      </c>
      <c r="G56" s="1089"/>
      <c r="H56" s="1089"/>
      <c r="I56" s="1089"/>
      <c r="J56" s="1089"/>
      <c r="K56" s="1089"/>
      <c r="L56" s="1089"/>
      <c r="M56" s="1089"/>
      <c r="N56" s="1089"/>
      <c r="O56" s="1089"/>
      <c r="P56" s="1089"/>
      <c r="Q56" s="1089"/>
      <c r="R56" s="1167"/>
      <c r="S56" s="1123"/>
      <c r="T56" s="1146"/>
      <c r="U56" s="1090" t="s">
        <v>272</v>
      </c>
      <c r="V56" s="1070"/>
      <c r="W56" s="1061"/>
      <c r="X56" s="1070"/>
      <c r="Y56" s="1089"/>
      <c r="Z56" s="1089"/>
      <c r="AA56" s="1089"/>
      <c r="AB56" s="1089"/>
      <c r="AC56" s="1089"/>
      <c r="AD56" s="1089"/>
      <c r="AE56" s="1089"/>
      <c r="AF56" s="1089"/>
      <c r="AG56" s="1089"/>
      <c r="AH56" s="1089"/>
      <c r="AI56" s="1089"/>
      <c r="AJ56" s="1167"/>
    </row>
    <row r="57" spans="1:36" s="1115" customFormat="1" ht="20.25" customHeight="1" x14ac:dyDescent="0.25">
      <c r="A57" s="1123"/>
      <c r="B57" s="1146"/>
      <c r="C57" s="1090" t="s">
        <v>272</v>
      </c>
      <c r="D57" s="1070"/>
      <c r="E57" s="1061"/>
      <c r="F57" s="1070"/>
      <c r="G57" s="1089"/>
      <c r="H57" s="1089"/>
      <c r="I57" s="1089"/>
      <c r="J57" s="1089"/>
      <c r="K57" s="1089"/>
      <c r="L57" s="1089"/>
      <c r="M57" s="1089"/>
      <c r="N57" s="1089"/>
      <c r="O57" s="1089"/>
      <c r="P57" s="1089"/>
      <c r="Q57" s="1089"/>
      <c r="R57" s="1167"/>
      <c r="S57" s="1123"/>
      <c r="T57" s="1146"/>
      <c r="U57" s="1090" t="s">
        <v>272</v>
      </c>
      <c r="V57" s="1070"/>
      <c r="W57" s="1061"/>
      <c r="X57" s="1070"/>
      <c r="Y57" s="1089"/>
      <c r="Z57" s="1089"/>
      <c r="AA57" s="1089"/>
      <c r="AB57" s="1089"/>
      <c r="AC57" s="1089"/>
      <c r="AD57" s="1089"/>
      <c r="AE57" s="1089"/>
      <c r="AF57" s="1089"/>
      <c r="AG57" s="1089"/>
      <c r="AH57" s="1089"/>
      <c r="AI57" s="1089"/>
      <c r="AJ57" s="1167"/>
    </row>
    <row r="58" spans="1:36" s="1115" customFormat="1" ht="20.25" customHeight="1" x14ac:dyDescent="0.25">
      <c r="A58" s="1123"/>
      <c r="B58" s="1146"/>
      <c r="C58" s="1090" t="s">
        <v>272</v>
      </c>
      <c r="D58" s="1070"/>
      <c r="E58" s="1061"/>
      <c r="F58" s="1070"/>
      <c r="G58" s="1089"/>
      <c r="H58" s="1089"/>
      <c r="I58" s="1089"/>
      <c r="J58" s="1089"/>
      <c r="K58" s="1089"/>
      <c r="L58" s="1089"/>
      <c r="M58" s="1089"/>
      <c r="N58" s="1089"/>
      <c r="O58" s="1089"/>
      <c r="P58" s="1089"/>
      <c r="Q58" s="1089"/>
      <c r="R58" s="1167"/>
      <c r="S58" s="1123"/>
      <c r="T58" s="1146"/>
      <c r="U58" s="1090" t="s">
        <v>272</v>
      </c>
      <c r="V58" s="1070"/>
      <c r="W58" s="1061"/>
      <c r="X58" s="1070"/>
      <c r="Y58" s="1089"/>
      <c r="Z58" s="1089"/>
      <c r="AA58" s="1089"/>
      <c r="AB58" s="1089"/>
      <c r="AC58" s="1089"/>
      <c r="AD58" s="1089"/>
      <c r="AE58" s="1089"/>
      <c r="AF58" s="1089"/>
      <c r="AG58" s="1089"/>
      <c r="AH58" s="1089"/>
      <c r="AI58" s="1089"/>
      <c r="AJ58" s="1167"/>
    </row>
    <row r="59" spans="1:36" s="1115" customFormat="1" ht="20.25" customHeight="1" x14ac:dyDescent="0.25">
      <c r="A59" s="1168" t="s">
        <v>317</v>
      </c>
      <c r="B59" s="1169"/>
      <c r="C59" s="1170"/>
      <c r="D59" s="1171" t="s">
        <v>319</v>
      </c>
      <c r="E59" s="1171"/>
      <c r="F59" s="1171"/>
      <c r="G59" s="1170"/>
      <c r="H59" s="1171" t="s">
        <v>323</v>
      </c>
      <c r="I59" s="1171"/>
      <c r="J59" s="1170" t="s">
        <v>326</v>
      </c>
      <c r="K59" s="1170"/>
      <c r="L59" s="1171" t="s">
        <v>327</v>
      </c>
      <c r="M59" s="1171"/>
      <c r="N59" s="1171"/>
      <c r="O59" s="1170" t="s">
        <v>247</v>
      </c>
      <c r="P59" s="1170"/>
      <c r="Q59" s="1171" t="s">
        <v>329</v>
      </c>
      <c r="R59" s="1171"/>
      <c r="S59" s="1170" t="s">
        <v>15357</v>
      </c>
      <c r="T59" s="1170"/>
      <c r="U59" s="1171" t="s">
        <v>332</v>
      </c>
      <c r="V59" s="1171"/>
      <c r="W59" s="1170" t="s">
        <v>410</v>
      </c>
      <c r="X59" s="1170"/>
      <c r="Y59" s="1171" t="s">
        <v>207</v>
      </c>
      <c r="Z59" s="1171"/>
      <c r="AA59" s="1171"/>
      <c r="AB59" s="1170" t="s">
        <v>429</v>
      </c>
      <c r="AC59" s="1170"/>
      <c r="AD59" s="1171" t="s">
        <v>431</v>
      </c>
      <c r="AE59" s="1171"/>
      <c r="AF59" s="1170" t="s">
        <v>435</v>
      </c>
      <c r="AG59" s="1170"/>
      <c r="AH59" s="1170"/>
      <c r="AI59" s="1170"/>
      <c r="AJ59" s="1172"/>
    </row>
    <row r="60" spans="1:36" s="1115" customFormat="1" ht="20.25" customHeight="1" x14ac:dyDescent="0.25">
      <c r="A60" s="1173" t="s">
        <v>2435</v>
      </c>
      <c r="B60" s="1173"/>
      <c r="C60" s="1173"/>
      <c r="D60" s="1173"/>
      <c r="E60" s="1173"/>
      <c r="F60" s="1173"/>
      <c r="G60" s="1173"/>
      <c r="H60" s="1173"/>
      <c r="I60" s="1173"/>
      <c r="J60" s="1173"/>
      <c r="K60" s="1173"/>
      <c r="L60" s="1173"/>
      <c r="M60" s="1173"/>
      <c r="N60" s="1173"/>
      <c r="O60" s="1173"/>
      <c r="P60" s="1173"/>
      <c r="Q60" s="1173"/>
      <c r="R60" s="1173"/>
      <c r="S60" s="1173"/>
      <c r="T60" s="1173"/>
      <c r="U60" s="1173"/>
      <c r="V60" s="1173"/>
      <c r="W60" s="1173"/>
      <c r="X60" s="1173"/>
      <c r="Y60" s="1173"/>
      <c r="Z60" s="1173"/>
      <c r="AA60" s="1173"/>
      <c r="AB60" s="1173"/>
      <c r="AC60" s="1173"/>
      <c r="AD60" s="1173"/>
      <c r="AE60" s="1173"/>
      <c r="AF60" s="1173"/>
      <c r="AG60" s="1173"/>
      <c r="AH60" s="1173"/>
      <c r="AI60" s="1173"/>
      <c r="AJ60" s="1173"/>
    </row>
    <row r="61" spans="1:36" s="1115" customFormat="1" ht="20.25" customHeight="1" x14ac:dyDescent="0.25">
      <c r="A61" s="1174" t="s">
        <v>2866</v>
      </c>
      <c r="B61" s="1174"/>
      <c r="C61" s="1174"/>
      <c r="D61" s="1174"/>
      <c r="E61" s="1174"/>
      <c r="F61" s="1174"/>
      <c r="G61" s="1174"/>
      <c r="H61" s="1174"/>
      <c r="I61" s="1174"/>
      <c r="J61" s="1174"/>
      <c r="K61" s="1174"/>
      <c r="L61" s="1174"/>
      <c r="M61" s="1174"/>
      <c r="N61" s="1174"/>
      <c r="O61" s="1174"/>
      <c r="P61" s="1174"/>
      <c r="Q61" s="1174"/>
      <c r="R61" s="1174"/>
      <c r="S61" s="1174"/>
      <c r="T61" s="1174"/>
      <c r="U61" s="1174"/>
      <c r="V61" s="1174"/>
      <c r="W61" s="1174"/>
      <c r="X61" s="1174"/>
      <c r="Y61" s="1174"/>
      <c r="Z61" s="1174"/>
      <c r="AA61" s="1174"/>
      <c r="AB61" s="1174"/>
      <c r="AC61" s="1174"/>
      <c r="AD61" s="1174"/>
      <c r="AE61" s="1174"/>
      <c r="AF61" s="1174"/>
      <c r="AG61" s="1174"/>
      <c r="AH61" s="1174"/>
      <c r="AI61" s="1174"/>
      <c r="AJ61" s="1174"/>
    </row>
    <row r="62" spans="1:36" ht="18.75" hidden="1" customHeight="1" x14ac:dyDescent="0.25">
      <c r="A62" s="1023"/>
      <c r="B62" s="1023"/>
      <c r="C62" s="1023"/>
      <c r="D62" s="1023"/>
      <c r="E62" s="1023"/>
      <c r="F62" s="1023"/>
      <c r="G62" s="1023"/>
      <c r="H62" s="1023"/>
      <c r="I62" s="1023"/>
      <c r="J62" s="1023"/>
      <c r="K62" s="1023"/>
      <c r="L62" s="1023"/>
      <c r="M62" s="1023"/>
      <c r="N62" s="1023"/>
      <c r="O62" s="1023"/>
      <c r="P62" s="1023"/>
      <c r="Q62" s="1023"/>
      <c r="R62" s="1023"/>
      <c r="S62" s="1023"/>
      <c r="T62" s="1023"/>
      <c r="U62" s="1023"/>
      <c r="V62" s="1023"/>
      <c r="W62" s="1023"/>
      <c r="X62" s="1023"/>
      <c r="Y62" s="1023"/>
      <c r="Z62" s="1023"/>
      <c r="AA62" s="1023"/>
      <c r="AB62" s="1023"/>
      <c r="AC62" s="1023"/>
      <c r="AD62" s="1023"/>
      <c r="AE62" s="1023"/>
      <c r="AF62" s="1023"/>
      <c r="AG62" s="1023"/>
      <c r="AH62" s="1023"/>
      <c r="AI62" s="1023"/>
      <c r="AJ62" s="1175"/>
    </row>
    <row r="63" spans="1:36" s="1138" customFormat="1" ht="20.25" hidden="1" customHeight="1" x14ac:dyDescent="0.25">
      <c r="A63" s="1176" t="s">
        <v>106</v>
      </c>
      <c r="B63" s="1177"/>
      <c r="C63" s="1177"/>
      <c r="D63" s="1177"/>
      <c r="E63" s="1178" t="s">
        <v>336</v>
      </c>
      <c r="F63" s="1177"/>
      <c r="G63" s="1177"/>
      <c r="H63" s="1177"/>
      <c r="I63" s="1177"/>
      <c r="J63" s="1177"/>
      <c r="K63" s="1178" t="s">
        <v>339</v>
      </c>
      <c r="L63" s="1178"/>
      <c r="M63" s="1177" t="s">
        <v>342</v>
      </c>
      <c r="N63" s="1177"/>
      <c r="O63" s="1177"/>
      <c r="P63" s="1177"/>
      <c r="Q63" s="1177"/>
      <c r="R63" s="1178" t="s">
        <v>336</v>
      </c>
      <c r="S63" s="1177"/>
      <c r="T63" s="1177"/>
      <c r="U63" s="1177"/>
      <c r="V63" s="1177"/>
      <c r="W63" s="1177"/>
      <c r="X63" s="1177"/>
      <c r="Y63" s="1177"/>
      <c r="Z63" s="1177"/>
      <c r="AA63" s="1177"/>
      <c r="AB63" s="1177"/>
      <c r="AC63" s="1177"/>
      <c r="AD63" s="1177"/>
      <c r="AE63" s="1177"/>
      <c r="AF63" s="1177"/>
      <c r="AG63" s="1177"/>
      <c r="AH63" s="1177"/>
      <c r="AI63" s="1178" t="s">
        <v>344</v>
      </c>
      <c r="AJ63" s="1179"/>
    </row>
    <row r="64" spans="1:36" ht="20.25" hidden="1" customHeight="1" x14ac:dyDescent="0.25">
      <c r="A64" s="1180"/>
      <c r="B64" s="1181"/>
      <c r="C64" s="1181"/>
      <c r="D64" s="1181"/>
      <c r="E64" s="1181"/>
      <c r="F64" s="1181"/>
      <c r="G64" s="1181"/>
      <c r="H64" s="1181"/>
      <c r="I64" s="1181"/>
      <c r="J64" s="1181"/>
      <c r="K64" s="1181"/>
      <c r="L64" s="1181"/>
      <c r="M64" s="1181"/>
      <c r="N64" s="1181"/>
      <c r="O64" s="1181"/>
      <c r="P64" s="1181"/>
      <c r="Q64" s="1181"/>
      <c r="R64" s="1181"/>
      <c r="S64" s="1181"/>
      <c r="T64" s="1181"/>
      <c r="U64" s="1181"/>
      <c r="V64" s="1181"/>
      <c r="W64" s="1181"/>
      <c r="X64" s="1181"/>
      <c r="Y64" s="1181"/>
      <c r="Z64" s="1181"/>
      <c r="AA64" s="1181"/>
      <c r="AB64" s="1181"/>
      <c r="AC64" s="1181"/>
      <c r="AD64" s="1181"/>
      <c r="AE64" s="1181"/>
      <c r="AF64" s="1181"/>
      <c r="AG64" s="1181"/>
      <c r="AH64" s="1181"/>
      <c r="AI64" s="1181"/>
      <c r="AJ64" s="1182"/>
    </row>
    <row r="65" spans="1:41" ht="20.25" hidden="1" customHeight="1" x14ac:dyDescent="0.25">
      <c r="A65" s="1183"/>
      <c r="AJ65" s="1184"/>
    </row>
    <row r="66" spans="1:41" ht="20.25" hidden="1" customHeight="1" x14ac:dyDescent="0.25">
      <c r="A66" s="1183"/>
      <c r="AJ66" s="1184"/>
    </row>
    <row r="67" spans="1:41" ht="20.25" hidden="1" customHeight="1" x14ac:dyDescent="0.25">
      <c r="A67" s="1183"/>
      <c r="AJ67" s="1184"/>
    </row>
    <row r="68" spans="1:41" ht="20.25" hidden="1" customHeight="1" x14ac:dyDescent="0.25">
      <c r="A68" s="1183"/>
      <c r="AJ68" s="1184"/>
    </row>
    <row r="69" spans="1:41" ht="20.25" hidden="1" customHeight="1" x14ac:dyDescent="0.25">
      <c r="A69" s="1183"/>
      <c r="AJ69" s="1184"/>
    </row>
    <row r="70" spans="1:41" ht="20.25" hidden="1" customHeight="1" x14ac:dyDescent="0.25">
      <c r="A70" s="1185"/>
      <c r="B70" s="1023"/>
      <c r="C70" s="1023"/>
      <c r="D70" s="1023"/>
      <c r="E70" s="1023"/>
      <c r="F70" s="1023"/>
      <c r="G70" s="1023"/>
      <c r="H70" s="1023"/>
      <c r="I70" s="1023"/>
      <c r="J70" s="1023"/>
      <c r="K70" s="1023"/>
      <c r="L70" s="1023"/>
      <c r="M70" s="1023"/>
      <c r="N70" s="1023"/>
      <c r="O70" s="1023"/>
      <c r="P70" s="1023"/>
      <c r="Q70" s="1023"/>
      <c r="R70" s="1023"/>
      <c r="S70" s="1023"/>
      <c r="T70" s="1023"/>
      <c r="U70" s="1023"/>
      <c r="V70" s="1023"/>
      <c r="W70" s="1023"/>
      <c r="X70" s="1023"/>
      <c r="Y70" s="1023"/>
      <c r="Z70" s="1023"/>
      <c r="AA70" s="1023"/>
      <c r="AB70" s="1023"/>
      <c r="AC70" s="1023"/>
      <c r="AD70" s="1023"/>
      <c r="AE70" s="1023"/>
      <c r="AF70" s="1023"/>
      <c r="AG70" s="1023"/>
      <c r="AH70" s="1023"/>
      <c r="AI70" s="1023"/>
      <c r="AJ70" s="1186"/>
    </row>
    <row r="72" spans="1:41" s="1138" customFormat="1" ht="16.149999999999999" x14ac:dyDescent="0.25">
      <c r="I72" s="1187" t="s">
        <v>86</v>
      </c>
      <c r="J72" s="1187"/>
      <c r="K72" s="1187"/>
      <c r="L72" s="1187"/>
      <c r="M72" s="1187"/>
      <c r="N72" s="1187"/>
      <c r="O72" s="1187"/>
      <c r="P72" s="1187" t="s">
        <v>2133</v>
      </c>
      <c r="Q72" s="1187"/>
      <c r="R72" s="1187"/>
      <c r="S72" s="1187"/>
      <c r="T72" s="1187"/>
      <c r="U72" s="1187"/>
      <c r="V72" s="1187"/>
      <c r="W72" s="1188" t="s">
        <v>347</v>
      </c>
      <c r="X72" s="1141"/>
      <c r="Y72" s="1141"/>
      <c r="Z72" s="1141"/>
      <c r="AA72" s="1141"/>
      <c r="AB72" s="1141"/>
      <c r="AC72" s="1142"/>
      <c r="AD72" s="1188" t="s">
        <v>349</v>
      </c>
      <c r="AE72" s="1141"/>
      <c r="AF72" s="1141"/>
      <c r="AG72" s="1141"/>
      <c r="AH72" s="1141"/>
      <c r="AI72" s="1141"/>
      <c r="AJ72" s="1142"/>
    </row>
    <row r="73" spans="1:41" ht="13.5" customHeight="1" x14ac:dyDescent="0.25">
      <c r="I73" s="1189" t="s">
        <v>15328</v>
      </c>
      <c r="J73" s="1189"/>
      <c r="K73" s="1189"/>
      <c r="L73" s="1189"/>
      <c r="M73" s="1189"/>
      <c r="N73" s="1189"/>
      <c r="O73" s="1189"/>
      <c r="P73" s="1189" t="s">
        <v>15329</v>
      </c>
      <c r="Q73" s="1189"/>
      <c r="R73" s="1189"/>
      <c r="S73" s="1189"/>
      <c r="T73" s="1189"/>
      <c r="U73" s="1189"/>
      <c r="V73" s="1189"/>
      <c r="W73" s="1190" t="s">
        <v>15327</v>
      </c>
      <c r="X73" s="1191"/>
      <c r="Y73" s="1191"/>
      <c r="Z73" s="1191"/>
      <c r="AA73" s="1191"/>
      <c r="AB73" s="1191"/>
      <c r="AC73" s="1192"/>
      <c r="AD73" s="1190" t="s">
        <v>15319</v>
      </c>
      <c r="AE73" s="1191"/>
      <c r="AF73" s="1191"/>
      <c r="AG73" s="1191"/>
      <c r="AH73" s="1191"/>
      <c r="AI73" s="1191"/>
      <c r="AJ73" s="1192"/>
    </row>
    <row r="74" spans="1:41" ht="13.5" customHeight="1" x14ac:dyDescent="0.25">
      <c r="I74" s="1189"/>
      <c r="J74" s="1189"/>
      <c r="K74" s="1189"/>
      <c r="L74" s="1189"/>
      <c r="M74" s="1189"/>
      <c r="N74" s="1189"/>
      <c r="O74" s="1189"/>
      <c r="P74" s="1189"/>
      <c r="Q74" s="1189"/>
      <c r="R74" s="1189"/>
      <c r="S74" s="1189"/>
      <c r="T74" s="1189"/>
      <c r="U74" s="1189"/>
      <c r="V74" s="1189"/>
      <c r="W74" s="1193"/>
      <c r="X74" s="1194"/>
      <c r="Y74" s="1194"/>
      <c r="Z74" s="1194"/>
      <c r="AA74" s="1194"/>
      <c r="AB74" s="1194"/>
      <c r="AC74" s="1195"/>
      <c r="AD74" s="1193"/>
      <c r="AE74" s="1194"/>
      <c r="AF74" s="1194"/>
      <c r="AG74" s="1194"/>
      <c r="AH74" s="1194"/>
      <c r="AI74" s="1194"/>
      <c r="AJ74" s="1195"/>
    </row>
    <row r="75" spans="1:41" ht="13.5" customHeight="1" x14ac:dyDescent="0.25">
      <c r="I75" s="1189"/>
      <c r="J75" s="1189"/>
      <c r="K75" s="1189"/>
      <c r="L75" s="1189"/>
      <c r="M75" s="1189"/>
      <c r="N75" s="1189"/>
      <c r="O75" s="1189"/>
      <c r="P75" s="1189"/>
      <c r="Q75" s="1189"/>
      <c r="R75" s="1189"/>
      <c r="S75" s="1189"/>
      <c r="T75" s="1189"/>
      <c r="U75" s="1189"/>
      <c r="V75" s="1189"/>
      <c r="W75" s="1196"/>
      <c r="X75" s="1197"/>
      <c r="Y75" s="1197"/>
      <c r="Z75" s="1197"/>
      <c r="AA75" s="1197"/>
      <c r="AB75" s="1197"/>
      <c r="AC75" s="1198"/>
      <c r="AD75" s="1196"/>
      <c r="AE75" s="1197"/>
      <c r="AF75" s="1197"/>
      <c r="AG75" s="1197"/>
      <c r="AH75" s="1197"/>
      <c r="AI75" s="1197"/>
      <c r="AJ75" s="1198"/>
    </row>
    <row r="76" spans="1:41" x14ac:dyDescent="0.25">
      <c r="AN76" s="1199"/>
      <c r="AO76" s="1199"/>
    </row>
    <row r="77" spans="1:41" x14ac:dyDescent="0.25">
      <c r="AN77" s="1199"/>
      <c r="AO77" s="1199"/>
    </row>
  </sheetData>
  <mergeCells count="275">
    <mergeCell ref="A1:F1"/>
    <mergeCell ref="G1:J1"/>
    <mergeCell ref="K1:L1"/>
    <mergeCell ref="A2:B2"/>
    <mergeCell ref="P2:Q2"/>
    <mergeCell ref="AF2:AJ2"/>
    <mergeCell ref="A3:B3"/>
    <mergeCell ref="O3:P3"/>
    <mergeCell ref="Q3:R3"/>
    <mergeCell ref="S3:AA3"/>
    <mergeCell ref="AF3:AJ3"/>
    <mergeCell ref="A4:B4"/>
    <mergeCell ref="O4:P4"/>
    <mergeCell ref="Q4:R4"/>
    <mergeCell ref="S4:AA4"/>
    <mergeCell ref="AC4:AD4"/>
    <mergeCell ref="AF4:AJ4"/>
    <mergeCell ref="A5:B5"/>
    <mergeCell ref="L5:M5"/>
    <mergeCell ref="S5:T5"/>
    <mergeCell ref="C2:N4"/>
    <mergeCell ref="AC2:AD3"/>
    <mergeCell ref="A6:B6"/>
    <mergeCell ref="L6:M6"/>
    <mergeCell ref="N6:O6"/>
    <mergeCell ref="S6:T6"/>
    <mergeCell ref="V6:Z6"/>
    <mergeCell ref="AA6:AE6"/>
    <mergeCell ref="AF6:AJ6"/>
    <mergeCell ref="A7:B7"/>
    <mergeCell ref="L7:M7"/>
    <mergeCell ref="N7:O7"/>
    <mergeCell ref="S7:T7"/>
    <mergeCell ref="AA7:AE7"/>
    <mergeCell ref="C5:I7"/>
    <mergeCell ref="X11:Y11"/>
    <mergeCell ref="A8:C8"/>
    <mergeCell ref="L8:O8"/>
    <mergeCell ref="R8:S8"/>
    <mergeCell ref="V8:X8"/>
    <mergeCell ref="AG8:AJ8"/>
    <mergeCell ref="B9:K9"/>
    <mergeCell ref="L9:O9"/>
    <mergeCell ref="R9:S9"/>
    <mergeCell ref="W9:AF9"/>
    <mergeCell ref="AG9:AJ9"/>
    <mergeCell ref="R12:S12"/>
    <mergeCell ref="C13:J13"/>
    <mergeCell ref="AA13:AH13"/>
    <mergeCell ref="A14:B14"/>
    <mergeCell ref="C14:D14"/>
    <mergeCell ref="E14:F14"/>
    <mergeCell ref="G14:H14"/>
    <mergeCell ref="I14:J14"/>
    <mergeCell ref="R14:S14"/>
    <mergeCell ref="AA14:AB14"/>
    <mergeCell ref="AC14:AD14"/>
    <mergeCell ref="AE14:AF14"/>
    <mergeCell ref="AG14:AH14"/>
    <mergeCell ref="P8:P12"/>
    <mergeCell ref="U8:U12"/>
    <mergeCell ref="J10:L10"/>
    <mergeCell ref="M10:O10"/>
    <mergeCell ref="R10:S10"/>
    <mergeCell ref="V10:X10"/>
    <mergeCell ref="Y10:AA10"/>
    <mergeCell ref="L11:M11"/>
    <mergeCell ref="N11:O11"/>
    <mergeCell ref="R11:S11"/>
    <mergeCell ref="V11:W11"/>
    <mergeCell ref="AI14:AJ14"/>
    <mergeCell ref="A15:B15"/>
    <mergeCell ref="C15:D15"/>
    <mergeCell ref="E15:F15"/>
    <mergeCell ref="G15:H15"/>
    <mergeCell ref="I15:J15"/>
    <mergeCell ref="AA15:AB15"/>
    <mergeCell ref="AC15:AD15"/>
    <mergeCell ref="AE15:AF15"/>
    <mergeCell ref="AG15:AH15"/>
    <mergeCell ref="AI15:AJ15"/>
    <mergeCell ref="L16:P16"/>
    <mergeCell ref="U16:Y16"/>
    <mergeCell ref="L17:P17"/>
    <mergeCell ref="U17:Y17"/>
    <mergeCell ref="L18:P18"/>
    <mergeCell ref="U18:Y18"/>
    <mergeCell ref="L19:P19"/>
    <mergeCell ref="U19:Y19"/>
    <mergeCell ref="L20:P20"/>
    <mergeCell ref="U20:Y20"/>
    <mergeCell ref="L21:P21"/>
    <mergeCell ref="U21:Y21"/>
    <mergeCell ref="L22:P22"/>
    <mergeCell ref="U22:Y22"/>
    <mergeCell ref="L23:P23"/>
    <mergeCell ref="U23:Y23"/>
    <mergeCell ref="Q24:T24"/>
    <mergeCell ref="L25:P25"/>
    <mergeCell ref="U25:Y25"/>
    <mergeCell ref="L26:P26"/>
    <mergeCell ref="U26:Y26"/>
    <mergeCell ref="L27:P27"/>
    <mergeCell ref="U27:Y27"/>
    <mergeCell ref="L28:P28"/>
    <mergeCell ref="U28:Y28"/>
    <mergeCell ref="L29:P29"/>
    <mergeCell ref="U29:Y29"/>
    <mergeCell ref="L30:P30"/>
    <mergeCell ref="U30:Y30"/>
    <mergeCell ref="L31:P31"/>
    <mergeCell ref="U31:Y31"/>
    <mergeCell ref="L32:P32"/>
    <mergeCell ref="U32:Y32"/>
    <mergeCell ref="L33:P33"/>
    <mergeCell ref="U33:Y33"/>
    <mergeCell ref="L34:P34"/>
    <mergeCell ref="U34:Y34"/>
    <mergeCell ref="L35:P35"/>
    <mergeCell ref="R35:S35"/>
    <mergeCell ref="U35:Y35"/>
    <mergeCell ref="R36:S36"/>
    <mergeCell ref="R37:S37"/>
    <mergeCell ref="E38:I38"/>
    <mergeCell ref="M38:Q38"/>
    <mergeCell ref="W38:AA38"/>
    <mergeCell ref="AE38:AI38"/>
    <mergeCell ref="E39:I39"/>
    <mergeCell ref="M39:Q39"/>
    <mergeCell ref="W39:AA39"/>
    <mergeCell ref="AE39:AI39"/>
    <mergeCell ref="C36:I37"/>
    <mergeCell ref="J36:J37"/>
    <mergeCell ref="K36:Q37"/>
    <mergeCell ref="U36:AA37"/>
    <mergeCell ref="AB36:AB37"/>
    <mergeCell ref="AC36:AI37"/>
    <mergeCell ref="E40:I40"/>
    <mergeCell ref="M40:Q40"/>
    <mergeCell ref="W40:AA40"/>
    <mergeCell ref="AE40:AI40"/>
    <mergeCell ref="E41:I41"/>
    <mergeCell ref="M41:Q41"/>
    <mergeCell ref="W41:AA41"/>
    <mergeCell ref="AE41:AI41"/>
    <mergeCell ref="E42:I42"/>
    <mergeCell ref="M42:Q42"/>
    <mergeCell ref="W42:AA42"/>
    <mergeCell ref="AE42:AI42"/>
    <mergeCell ref="E43:I43"/>
    <mergeCell ref="M43:Q43"/>
    <mergeCell ref="W43:AA43"/>
    <mergeCell ref="AE43:AI43"/>
    <mergeCell ref="E44:I44"/>
    <mergeCell ref="M44:Q44"/>
    <mergeCell ref="W44:AA44"/>
    <mergeCell ref="AE44:AI44"/>
    <mergeCell ref="E45:I45"/>
    <mergeCell ref="M45:Q45"/>
    <mergeCell ref="W45:AA45"/>
    <mergeCell ref="AE45:AI45"/>
    <mergeCell ref="A46:G46"/>
    <mergeCell ref="H46:I46"/>
    <mergeCell ref="J46:K46"/>
    <mergeCell ref="L46:M46"/>
    <mergeCell ref="N46:O46"/>
    <mergeCell ref="P46:Q46"/>
    <mergeCell ref="R46:S46"/>
    <mergeCell ref="T46:U46"/>
    <mergeCell ref="V46:W46"/>
    <mergeCell ref="X46:Y46"/>
    <mergeCell ref="Z46:AA46"/>
    <mergeCell ref="AB46:AC46"/>
    <mergeCell ref="AD46:AJ46"/>
    <mergeCell ref="H47:I47"/>
    <mergeCell ref="J47:K47"/>
    <mergeCell ref="L47:M47"/>
    <mergeCell ref="N47:O47"/>
    <mergeCell ref="P47:Q47"/>
    <mergeCell ref="T47:U47"/>
    <mergeCell ref="V47:W47"/>
    <mergeCell ref="X47:Y47"/>
    <mergeCell ref="Z47:AA47"/>
    <mergeCell ref="AB47:AC47"/>
    <mergeCell ref="AB48:AC48"/>
    <mergeCell ref="H49:I49"/>
    <mergeCell ref="J49:K49"/>
    <mergeCell ref="L49:M49"/>
    <mergeCell ref="N49:O49"/>
    <mergeCell ref="P49:Q49"/>
    <mergeCell ref="T49:U49"/>
    <mergeCell ref="V49:W49"/>
    <mergeCell ref="X49:Y49"/>
    <mergeCell ref="Z49:AA49"/>
    <mergeCell ref="AB49:AC49"/>
    <mergeCell ref="H48:I48"/>
    <mergeCell ref="J48:K48"/>
    <mergeCell ref="L48:M48"/>
    <mergeCell ref="N48:O48"/>
    <mergeCell ref="P48:Q48"/>
    <mergeCell ref="T48:U48"/>
    <mergeCell ref="V48:W48"/>
    <mergeCell ref="X48:Y48"/>
    <mergeCell ref="Z48:AA48"/>
    <mergeCell ref="AB50:AC50"/>
    <mergeCell ref="H51:I51"/>
    <mergeCell ref="J51:K51"/>
    <mergeCell ref="L51:M51"/>
    <mergeCell ref="N51:O51"/>
    <mergeCell ref="P51:Q51"/>
    <mergeCell ref="T51:U51"/>
    <mergeCell ref="V51:W51"/>
    <mergeCell ref="X51:Y51"/>
    <mergeCell ref="Z51:AA51"/>
    <mergeCell ref="AB51:AC51"/>
    <mergeCell ref="H50:I50"/>
    <mergeCell ref="J50:K50"/>
    <mergeCell ref="L50:M50"/>
    <mergeCell ref="N50:O50"/>
    <mergeCell ref="P50:Q50"/>
    <mergeCell ref="T50:U50"/>
    <mergeCell ref="V50:W50"/>
    <mergeCell ref="X50:Y50"/>
    <mergeCell ref="Z50:AA50"/>
    <mergeCell ref="A52:C52"/>
    <mergeCell ref="D52:E52"/>
    <mergeCell ref="F52:R52"/>
    <mergeCell ref="S52:U52"/>
    <mergeCell ref="V52:W52"/>
    <mergeCell ref="X52:AJ52"/>
    <mergeCell ref="D53:E53"/>
    <mergeCell ref="F53:R53"/>
    <mergeCell ref="V53:W53"/>
    <mergeCell ref="X53:AJ53"/>
    <mergeCell ref="D54:E54"/>
    <mergeCell ref="F54:R54"/>
    <mergeCell ref="V54:W54"/>
    <mergeCell ref="X54:AJ54"/>
    <mergeCell ref="D55:E55"/>
    <mergeCell ref="F55:R55"/>
    <mergeCell ref="V55:W55"/>
    <mergeCell ref="X55:AJ55"/>
    <mergeCell ref="D56:E56"/>
    <mergeCell ref="F56:R56"/>
    <mergeCell ref="V56:W56"/>
    <mergeCell ref="X56:AJ56"/>
    <mergeCell ref="D57:E57"/>
    <mergeCell ref="F57:R57"/>
    <mergeCell ref="V57:W57"/>
    <mergeCell ref="X57:AJ57"/>
    <mergeCell ref="D58:E58"/>
    <mergeCell ref="F58:R58"/>
    <mergeCell ref="V58:W58"/>
    <mergeCell ref="X58:AJ58"/>
    <mergeCell ref="D59:F59"/>
    <mergeCell ref="H59:I59"/>
    <mergeCell ref="L59:N59"/>
    <mergeCell ref="Q59:R59"/>
    <mergeCell ref="U59:V59"/>
    <mergeCell ref="Y59:AA59"/>
    <mergeCell ref="AD59:AE59"/>
    <mergeCell ref="I73:O75"/>
    <mergeCell ref="P73:V75"/>
    <mergeCell ref="W73:AC75"/>
    <mergeCell ref="AD73:AJ75"/>
    <mergeCell ref="A60:AJ60"/>
    <mergeCell ref="A61:AJ61"/>
    <mergeCell ref="A63:D63"/>
    <mergeCell ref="F63:J63"/>
    <mergeCell ref="M63:Q63"/>
    <mergeCell ref="S63:AH63"/>
    <mergeCell ref="I72:O72"/>
    <mergeCell ref="P72:V72"/>
    <mergeCell ref="W72:AC72"/>
    <mergeCell ref="AD72:AJ72"/>
  </mergeCells>
  <phoneticPr fontId="29"/>
  <printOptions horizontalCentered="1" verticalCentered="1"/>
  <pageMargins left="0" right="0" top="0" bottom="0" header="0.19685039370078741" footer="0.35433070866141736"/>
  <pageSetup paperSize="9" scale="63" orientation="portrait" r:id="rId1"/>
  <headerFooter alignWithMargins="0"/>
  <rowBreaks count="1" manualBreakCount="1">
    <brk id="70" max="16383"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pageSetUpPr fitToPage="1"/>
  </sheetPr>
  <dimension ref="A1:BD68"/>
  <sheetViews>
    <sheetView showGridLines="0" zoomScale="40" zoomScaleNormal="40" workbookViewId="0">
      <selection activeCell="A2" sqref="A2:B2"/>
    </sheetView>
  </sheetViews>
  <sheetFormatPr defaultColWidth="4.1328125" defaultRowHeight="14.25" x14ac:dyDescent="0.25"/>
  <cols>
    <col min="1" max="1" width="18.46484375" style="127" customWidth="1"/>
    <col min="2" max="27" width="6.46484375" style="127" customWidth="1"/>
    <col min="28" max="28" width="4.1328125" style="97"/>
    <col min="29" max="29" width="18.46484375" style="128" customWidth="1"/>
    <col min="30" max="42" width="6.46484375" style="128" customWidth="1"/>
    <col min="43" max="55" width="6.46484375" style="97" customWidth="1"/>
    <col min="56" max="16384" width="4.1328125" style="97"/>
  </cols>
  <sheetData>
    <row r="1" spans="1:55" ht="25.5" x14ac:dyDescent="0.25">
      <c r="A1" s="832" t="s">
        <v>1965</v>
      </c>
      <c r="B1" s="832"/>
      <c r="C1" s="832"/>
      <c r="D1" s="832"/>
      <c r="E1" s="832"/>
      <c r="F1" s="832"/>
      <c r="G1" s="832"/>
      <c r="H1" s="832"/>
      <c r="I1" s="832"/>
      <c r="J1" s="832"/>
      <c r="K1" s="832"/>
      <c r="L1" s="832"/>
      <c r="M1" s="832"/>
      <c r="N1" s="832"/>
      <c r="O1" s="832"/>
      <c r="P1" s="832"/>
      <c r="Q1" s="832"/>
      <c r="R1" s="832"/>
      <c r="S1" s="832"/>
      <c r="T1" s="832"/>
      <c r="U1" s="832"/>
      <c r="V1" s="832"/>
      <c r="W1" s="832"/>
      <c r="X1" s="832"/>
      <c r="Y1" s="832"/>
      <c r="Z1" s="832"/>
      <c r="AA1" s="832"/>
      <c r="AB1" s="188"/>
      <c r="AC1" s="832"/>
      <c r="AD1" s="832"/>
      <c r="AE1" s="832"/>
      <c r="AF1" s="832"/>
      <c r="AG1" s="832"/>
      <c r="AH1" s="832"/>
      <c r="AI1" s="832"/>
      <c r="AJ1" s="832"/>
      <c r="AK1" s="832"/>
      <c r="AL1" s="832"/>
      <c r="AM1" s="832"/>
      <c r="AN1" s="832"/>
      <c r="AO1" s="832"/>
      <c r="AP1" s="832"/>
      <c r="AQ1" s="832"/>
      <c r="AR1" s="832"/>
      <c r="AS1" s="832"/>
      <c r="AT1" s="832"/>
      <c r="AU1" s="832"/>
      <c r="AV1" s="832"/>
      <c r="AW1" s="832"/>
      <c r="AX1" s="832"/>
      <c r="AY1" s="832"/>
      <c r="AZ1" s="832"/>
      <c r="BA1" s="832"/>
      <c r="BB1" s="832"/>
      <c r="BC1" s="832"/>
    </row>
    <row r="2" spans="1:55" ht="16.149999999999999" x14ac:dyDescent="0.25">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C2" s="97"/>
      <c r="AD2" s="97"/>
      <c r="AE2" s="97"/>
      <c r="AF2" s="97"/>
      <c r="AG2" s="97"/>
      <c r="AH2" s="97"/>
      <c r="AI2" s="97"/>
      <c r="AJ2" s="97"/>
      <c r="AK2" s="97"/>
      <c r="AL2" s="97"/>
      <c r="AM2" s="97"/>
      <c r="AN2" s="97"/>
      <c r="AO2" s="97"/>
      <c r="AP2" s="97"/>
    </row>
    <row r="3" spans="1:55" ht="27.75" customHeight="1" x14ac:dyDescent="0.25">
      <c r="A3" s="833" t="s">
        <v>487</v>
      </c>
      <c r="B3" s="834"/>
      <c r="C3" s="835"/>
      <c r="D3" s="836" t="str">
        <f>'２次リーグ（豊肥）'!B4</f>
        <v>豊肥</v>
      </c>
      <c r="E3" s="837"/>
      <c r="F3" s="837"/>
      <c r="G3" s="837"/>
      <c r="H3" s="837"/>
      <c r="I3" s="837"/>
      <c r="J3" s="837"/>
      <c r="K3" s="837"/>
      <c r="L3" s="837"/>
      <c r="M3" s="837"/>
      <c r="N3" s="837"/>
      <c r="O3" s="838"/>
      <c r="P3" s="97"/>
      <c r="Q3" s="97"/>
      <c r="R3" s="97"/>
      <c r="S3" s="97"/>
      <c r="T3" s="97"/>
      <c r="U3" s="97"/>
      <c r="V3" s="97"/>
      <c r="W3" s="97"/>
      <c r="X3" s="97"/>
      <c r="Y3" s="97"/>
      <c r="Z3" s="97"/>
      <c r="AA3" s="97"/>
      <c r="AC3" s="833" t="s">
        <v>487</v>
      </c>
      <c r="AD3" s="834"/>
      <c r="AE3" s="835"/>
      <c r="AF3" s="837" t="str">
        <f>'２次リーグ（佐伯）'!B4</f>
        <v>佐伯</v>
      </c>
      <c r="AG3" s="837"/>
      <c r="AH3" s="837"/>
      <c r="AI3" s="837"/>
      <c r="AJ3" s="837"/>
      <c r="AK3" s="837"/>
      <c r="AL3" s="837"/>
      <c r="AM3" s="837"/>
      <c r="AN3" s="837"/>
      <c r="AO3" s="837"/>
      <c r="AP3" s="837"/>
      <c r="AQ3" s="838"/>
    </row>
    <row r="4" spans="1:55" ht="27.75" customHeight="1" x14ac:dyDescent="0.25">
      <c r="A4" s="820" t="s">
        <v>281</v>
      </c>
      <c r="B4" s="821"/>
      <c r="C4" s="822"/>
      <c r="D4" s="839" t="str">
        <f>'２次リーグ（豊肥）'!B6</f>
        <v>2次リーグ　Aパート</v>
      </c>
      <c r="E4" s="840"/>
      <c r="F4" s="840"/>
      <c r="G4" s="840"/>
      <c r="H4" s="840"/>
      <c r="I4" s="840"/>
      <c r="J4" s="840" t="str">
        <f>'２次リーグ（豊肥）'!N6</f>
        <v>2次リーグ　Cパート</v>
      </c>
      <c r="K4" s="840"/>
      <c r="L4" s="840"/>
      <c r="M4" s="840"/>
      <c r="N4" s="840"/>
      <c r="O4" s="841"/>
      <c r="P4" s="97"/>
      <c r="Q4" s="97"/>
      <c r="R4" s="97"/>
      <c r="S4" s="97"/>
      <c r="T4" s="97"/>
      <c r="U4" s="97"/>
      <c r="V4" s="97"/>
      <c r="W4" s="97"/>
      <c r="X4" s="97"/>
      <c r="Y4" s="97"/>
      <c r="Z4" s="97"/>
      <c r="AA4" s="97"/>
      <c r="AC4" s="820" t="s">
        <v>281</v>
      </c>
      <c r="AD4" s="821"/>
      <c r="AE4" s="822"/>
      <c r="AF4" s="842" t="str">
        <f>'２次リーグ（佐伯）'!B6</f>
        <v>2次リーグ　Bパート</v>
      </c>
      <c r="AG4" s="840"/>
      <c r="AH4" s="840"/>
      <c r="AI4" s="840"/>
      <c r="AJ4" s="840"/>
      <c r="AK4" s="840"/>
      <c r="AL4" s="840" t="str">
        <f>'２次リーグ（佐伯）'!N6</f>
        <v>2次リーグ　Dパート</v>
      </c>
      <c r="AM4" s="840"/>
      <c r="AN4" s="840"/>
      <c r="AO4" s="840"/>
      <c r="AP4" s="840"/>
      <c r="AQ4" s="841"/>
    </row>
    <row r="5" spans="1:55" ht="27.75" customHeight="1" x14ac:dyDescent="0.25">
      <c r="A5" s="820" t="s">
        <v>723</v>
      </c>
      <c r="B5" s="821"/>
      <c r="C5" s="822"/>
      <c r="D5" s="823">
        <v>0.36805555555555558</v>
      </c>
      <c r="E5" s="824"/>
      <c r="F5" s="824"/>
      <c r="G5" s="824"/>
      <c r="H5" s="824"/>
      <c r="I5" s="825"/>
      <c r="J5" s="826">
        <v>0.40972222222222227</v>
      </c>
      <c r="K5" s="824"/>
      <c r="L5" s="824"/>
      <c r="M5" s="824"/>
      <c r="N5" s="824"/>
      <c r="O5" s="827"/>
      <c r="P5" s="97"/>
      <c r="Q5" s="97"/>
      <c r="R5" s="97"/>
      <c r="S5" s="97"/>
      <c r="T5" s="97"/>
      <c r="U5" s="97"/>
      <c r="V5" s="97"/>
      <c r="W5" s="97"/>
      <c r="X5" s="97"/>
      <c r="Y5" s="97"/>
      <c r="Z5" s="97"/>
      <c r="AA5" s="97"/>
      <c r="AC5" s="820" t="s">
        <v>723</v>
      </c>
      <c r="AD5" s="821"/>
      <c r="AE5" s="822"/>
      <c r="AF5" s="823">
        <v>0.36805555555555558</v>
      </c>
      <c r="AG5" s="824"/>
      <c r="AH5" s="824"/>
      <c r="AI5" s="824"/>
      <c r="AJ5" s="824"/>
      <c r="AK5" s="825"/>
      <c r="AL5" s="826">
        <v>0.40972222222222227</v>
      </c>
      <c r="AM5" s="824"/>
      <c r="AN5" s="824"/>
      <c r="AO5" s="824"/>
      <c r="AP5" s="824"/>
      <c r="AQ5" s="827"/>
    </row>
    <row r="6" spans="1:55" ht="27.75" customHeight="1" x14ac:dyDescent="0.25">
      <c r="A6" s="812" t="s">
        <v>641</v>
      </c>
      <c r="B6" s="813"/>
      <c r="C6" s="814"/>
      <c r="D6" s="741" t="str">
        <f>'２次リーグ（豊肥）'!C7</f>
        <v>ドリームキッズフットボールクラブ</v>
      </c>
      <c r="E6" s="828"/>
      <c r="F6" s="828"/>
      <c r="G6" s="828"/>
      <c r="H6" s="828"/>
      <c r="I6" s="828"/>
      <c r="J6" s="828" t="str">
        <f>'２次リーグ（豊肥）'!O7</f>
        <v>ティエラフットボールクラブＵ－１２</v>
      </c>
      <c r="K6" s="828"/>
      <c r="L6" s="828"/>
      <c r="M6" s="828"/>
      <c r="N6" s="828"/>
      <c r="O6" s="829"/>
      <c r="P6" s="97"/>
      <c r="Q6" s="97"/>
      <c r="R6" s="97"/>
      <c r="S6" s="97"/>
      <c r="T6" s="97"/>
      <c r="U6" s="97"/>
      <c r="V6" s="97"/>
      <c r="W6" s="97"/>
      <c r="X6" s="97"/>
      <c r="Y6" s="97"/>
      <c r="Z6" s="97"/>
      <c r="AA6" s="97"/>
      <c r="AC6" s="812" t="s">
        <v>641</v>
      </c>
      <c r="AD6" s="813"/>
      <c r="AE6" s="814"/>
      <c r="AF6" s="830" t="str">
        <f>'２次リーグ（佐伯）'!C7</f>
        <v>弥生少年サッカークラブ</v>
      </c>
      <c r="AG6" s="830"/>
      <c r="AH6" s="830"/>
      <c r="AI6" s="830"/>
      <c r="AJ6" s="830"/>
      <c r="AK6" s="831"/>
      <c r="AL6" s="828" t="str">
        <f>'２次リーグ（佐伯）'!O7</f>
        <v>滝尾下郡サッカースポーツ少年団</v>
      </c>
      <c r="AM6" s="828"/>
      <c r="AN6" s="828"/>
      <c r="AO6" s="828"/>
      <c r="AP6" s="828"/>
      <c r="AQ6" s="829"/>
    </row>
    <row r="7" spans="1:55" ht="27.75" customHeight="1" x14ac:dyDescent="0.25">
      <c r="A7" s="815"/>
      <c r="B7" s="811"/>
      <c r="C7" s="816"/>
      <c r="D7" s="801" t="str">
        <f>'２次リーグ（豊肥）'!C8</f>
        <v>臼杵ＳＳＳ</v>
      </c>
      <c r="E7" s="802"/>
      <c r="F7" s="802"/>
      <c r="G7" s="802"/>
      <c r="H7" s="802"/>
      <c r="I7" s="802"/>
      <c r="J7" s="802" t="str">
        <f>'２次リーグ（豊肥）'!O8</f>
        <v>大分トリニータタートルズ</v>
      </c>
      <c r="K7" s="802"/>
      <c r="L7" s="802"/>
      <c r="M7" s="802"/>
      <c r="N7" s="802"/>
      <c r="O7" s="803"/>
      <c r="P7" s="97"/>
      <c r="Q7" s="97"/>
      <c r="R7" s="97"/>
      <c r="S7" s="97"/>
      <c r="T7" s="97"/>
      <c r="U7" s="97"/>
      <c r="V7" s="97"/>
      <c r="W7" s="97"/>
      <c r="X7" s="97"/>
      <c r="Y7" s="97"/>
      <c r="Z7" s="97"/>
      <c r="AA7" s="97"/>
      <c r="AC7" s="815"/>
      <c r="AD7" s="811"/>
      <c r="AE7" s="816"/>
      <c r="AF7" s="804" t="str">
        <f>'２次リーグ（佐伯）'!C8</f>
        <v>アトレチコエラン横瀬</v>
      </c>
      <c r="AG7" s="804"/>
      <c r="AH7" s="804"/>
      <c r="AI7" s="804"/>
      <c r="AJ7" s="804"/>
      <c r="AK7" s="805"/>
      <c r="AL7" s="802" t="str">
        <f>'２次リーグ（佐伯）'!O8</f>
        <v>戸次吉野ＳＳＳ</v>
      </c>
      <c r="AM7" s="802"/>
      <c r="AN7" s="802"/>
      <c r="AO7" s="802"/>
      <c r="AP7" s="802"/>
      <c r="AQ7" s="803"/>
    </row>
    <row r="8" spans="1:55" ht="27.75" customHeight="1" x14ac:dyDescent="0.25">
      <c r="A8" s="817"/>
      <c r="B8" s="818"/>
      <c r="C8" s="819"/>
      <c r="D8" s="806" t="str">
        <f>'２次リーグ（豊肥）'!C9</f>
        <v>別府フットボールクラブ．ミネルバＵ－１２</v>
      </c>
      <c r="E8" s="807"/>
      <c r="F8" s="807"/>
      <c r="G8" s="807"/>
      <c r="H8" s="807"/>
      <c r="I8" s="807"/>
      <c r="J8" s="807" t="str">
        <f>'２次リーグ（豊肥）'!O9</f>
        <v>リノスフットボールクラブ　Ｕ－１２</v>
      </c>
      <c r="K8" s="807"/>
      <c r="L8" s="807"/>
      <c r="M8" s="807"/>
      <c r="N8" s="807"/>
      <c r="O8" s="808"/>
      <c r="P8" s="97"/>
      <c r="Q8" s="97"/>
      <c r="R8" s="97"/>
      <c r="S8" s="97"/>
      <c r="T8" s="97"/>
      <c r="U8" s="97"/>
      <c r="V8" s="97"/>
      <c r="W8" s="97"/>
      <c r="X8" s="97"/>
      <c r="Y8" s="97"/>
      <c r="Z8" s="97"/>
      <c r="AA8" s="97"/>
      <c r="AC8" s="817"/>
      <c r="AD8" s="818"/>
      <c r="AE8" s="819"/>
      <c r="AF8" s="809" t="str">
        <f>'２次リーグ（佐伯）'!C9</f>
        <v>カティオーラフットボールクラブＵ－１２</v>
      </c>
      <c r="AG8" s="809"/>
      <c r="AH8" s="809"/>
      <c r="AI8" s="809"/>
      <c r="AJ8" s="809"/>
      <c r="AK8" s="810"/>
      <c r="AL8" s="807" t="str">
        <f>'２次リーグ（佐伯）'!O9</f>
        <v>四日市南ＳＳＣ</v>
      </c>
      <c r="AM8" s="807"/>
      <c r="AN8" s="807"/>
      <c r="AO8" s="807"/>
      <c r="AP8" s="807"/>
      <c r="AQ8" s="808"/>
    </row>
    <row r="9" spans="1:55" ht="16.149999999999999" x14ac:dyDescent="0.25">
      <c r="A9" s="131"/>
      <c r="B9" s="131"/>
      <c r="C9" s="131"/>
      <c r="D9" s="137"/>
      <c r="E9" s="137"/>
      <c r="F9" s="137"/>
      <c r="G9" s="137"/>
      <c r="H9" s="137"/>
      <c r="I9" s="137"/>
      <c r="J9" s="137"/>
      <c r="K9" s="137"/>
      <c r="L9" s="137"/>
      <c r="M9" s="137"/>
      <c r="N9" s="137"/>
      <c r="O9" s="137"/>
      <c r="P9" s="97"/>
      <c r="Q9" s="97"/>
      <c r="R9" s="97"/>
      <c r="S9" s="97"/>
      <c r="T9" s="97"/>
      <c r="U9" s="97"/>
      <c r="V9" s="97"/>
      <c r="W9" s="97"/>
      <c r="X9" s="97"/>
      <c r="Y9" s="97"/>
      <c r="Z9" s="97"/>
      <c r="AA9" s="97"/>
      <c r="AC9" s="131"/>
      <c r="AD9" s="131"/>
      <c r="AE9" s="131"/>
      <c r="AF9" s="137"/>
      <c r="AG9" s="137"/>
      <c r="AH9" s="137"/>
      <c r="AI9" s="137"/>
      <c r="AJ9" s="137"/>
      <c r="AK9" s="137"/>
      <c r="AL9" s="137"/>
      <c r="AM9" s="137"/>
      <c r="AN9" s="137"/>
      <c r="AO9" s="137"/>
      <c r="AP9" s="137"/>
      <c r="AQ9" s="137"/>
    </row>
    <row r="10" spans="1:55" ht="21" x14ac:dyDescent="0.25">
      <c r="C10" s="136"/>
      <c r="P10" s="97"/>
      <c r="Q10" s="97"/>
      <c r="R10" s="97"/>
      <c r="S10" s="97"/>
      <c r="T10" s="97"/>
      <c r="U10" s="97"/>
      <c r="V10" s="97"/>
      <c r="W10" s="97"/>
      <c r="X10" s="97"/>
      <c r="Y10" s="97"/>
      <c r="Z10" s="97"/>
      <c r="AA10" s="97"/>
      <c r="AC10" s="127"/>
      <c r="AD10" s="127"/>
      <c r="AE10" s="136"/>
      <c r="AF10" s="127"/>
      <c r="AG10" s="127"/>
      <c r="AH10" s="127"/>
      <c r="AI10" s="127"/>
      <c r="AJ10" s="127"/>
      <c r="AK10" s="127"/>
      <c r="AL10" s="127"/>
      <c r="AM10" s="127"/>
      <c r="AN10" s="127"/>
      <c r="AO10" s="127"/>
      <c r="AP10" s="127"/>
      <c r="AQ10" s="127"/>
    </row>
    <row r="11" spans="1:55" ht="21.75" customHeight="1" x14ac:dyDescent="0.25">
      <c r="A11" s="811" t="s">
        <v>1595</v>
      </c>
      <c r="B11" s="811"/>
      <c r="C11" s="811"/>
      <c r="P11" s="97"/>
      <c r="Q11" s="97"/>
      <c r="R11" s="97"/>
      <c r="S11" s="97"/>
      <c r="T11" s="97"/>
      <c r="U11" s="97"/>
      <c r="V11" s="97"/>
      <c r="W11" s="97"/>
      <c r="X11" s="97"/>
      <c r="Y11" s="97"/>
      <c r="Z11" s="97"/>
      <c r="AA11" s="97"/>
      <c r="AC11" s="811" t="s">
        <v>1595</v>
      </c>
      <c r="AD11" s="811"/>
      <c r="AE11" s="811"/>
      <c r="AF11" s="127"/>
      <c r="AG11" s="127"/>
      <c r="AH11" s="127"/>
      <c r="AI11" s="127"/>
      <c r="AJ11" s="127"/>
      <c r="AK11" s="127"/>
      <c r="AL11" s="127"/>
      <c r="AM11" s="127"/>
      <c r="AN11" s="127"/>
      <c r="AO11" s="127"/>
      <c r="AP11" s="127"/>
      <c r="AQ11" s="127"/>
    </row>
    <row r="12" spans="1:55" ht="27.75" customHeight="1" x14ac:dyDescent="0.25">
      <c r="A12" s="796" t="s">
        <v>399</v>
      </c>
      <c r="B12" s="797"/>
      <c r="C12" s="798"/>
      <c r="D12" s="138"/>
      <c r="E12" s="146"/>
      <c r="F12" s="150"/>
      <c r="G12" s="146"/>
      <c r="H12" s="146"/>
      <c r="I12" s="167" t="s">
        <v>2300</v>
      </c>
      <c r="J12" s="146"/>
      <c r="K12" s="146"/>
      <c r="L12" s="179"/>
      <c r="M12" s="798" t="s">
        <v>1018</v>
      </c>
      <c r="N12" s="799"/>
      <c r="O12" s="800"/>
      <c r="P12" s="97"/>
      <c r="Q12" s="97"/>
      <c r="R12" s="97"/>
      <c r="S12" s="97"/>
      <c r="T12" s="97"/>
      <c r="U12" s="97"/>
      <c r="V12" s="97"/>
      <c r="W12" s="97"/>
      <c r="X12" s="97"/>
      <c r="Y12" s="97"/>
      <c r="Z12" s="97"/>
      <c r="AA12" s="97"/>
      <c r="AC12" s="796" t="s">
        <v>399</v>
      </c>
      <c r="AD12" s="797"/>
      <c r="AE12" s="798"/>
      <c r="AF12" s="167"/>
      <c r="AG12" s="146"/>
      <c r="AH12" s="146"/>
      <c r="AI12" s="146"/>
      <c r="AJ12" s="146"/>
      <c r="AK12" s="167" t="s">
        <v>2300</v>
      </c>
      <c r="AL12" s="146"/>
      <c r="AM12" s="146"/>
      <c r="AN12" s="179"/>
      <c r="AO12" s="798" t="s">
        <v>1018</v>
      </c>
      <c r="AP12" s="799"/>
      <c r="AQ12" s="800"/>
    </row>
    <row r="13" spans="1:55" ht="54.75" customHeight="1" x14ac:dyDescent="0.25">
      <c r="A13" s="757" t="s">
        <v>357</v>
      </c>
      <c r="B13" s="759">
        <v>0.41666666666666669</v>
      </c>
      <c r="C13" s="759"/>
      <c r="D13" s="786" t="s">
        <v>437</v>
      </c>
      <c r="E13" s="787"/>
      <c r="F13" s="788" t="str">
        <f>D6</f>
        <v>ドリームキッズフットボールクラブ</v>
      </c>
      <c r="G13" s="789"/>
      <c r="H13" s="790"/>
      <c r="I13" s="165" t="s">
        <v>2136</v>
      </c>
      <c r="J13" s="791" t="str">
        <f>D7</f>
        <v>臼杵ＳＳＳ</v>
      </c>
      <c r="K13" s="789"/>
      <c r="L13" s="789"/>
      <c r="M13" s="792" t="str">
        <f>J6</f>
        <v>ティエラフットボールクラブＵ－１２</v>
      </c>
      <c r="N13" s="793"/>
      <c r="O13" s="794"/>
      <c r="P13" s="97"/>
      <c r="Q13" s="97"/>
      <c r="R13" s="97"/>
      <c r="S13" s="97"/>
      <c r="T13" s="97"/>
      <c r="U13" s="97"/>
      <c r="V13" s="97"/>
      <c r="W13" s="97"/>
      <c r="X13" s="97"/>
      <c r="Y13" s="97"/>
      <c r="Z13" s="97"/>
      <c r="AA13" s="97"/>
      <c r="AC13" s="757" t="s">
        <v>357</v>
      </c>
      <c r="AD13" s="759">
        <v>0.41666666666666669</v>
      </c>
      <c r="AE13" s="759"/>
      <c r="AF13" s="786" t="s">
        <v>437</v>
      </c>
      <c r="AG13" s="795"/>
      <c r="AH13" s="789" t="str">
        <f>AF6</f>
        <v>弥生少年サッカークラブ</v>
      </c>
      <c r="AI13" s="789"/>
      <c r="AJ13" s="790"/>
      <c r="AK13" s="165" t="s">
        <v>2136</v>
      </c>
      <c r="AL13" s="791" t="str">
        <f>AF7</f>
        <v>アトレチコエラン横瀬</v>
      </c>
      <c r="AM13" s="789"/>
      <c r="AN13" s="789"/>
      <c r="AO13" s="792" t="str">
        <f>AL6</f>
        <v>滝尾下郡サッカースポーツ少年団</v>
      </c>
      <c r="AP13" s="793"/>
      <c r="AQ13" s="794"/>
    </row>
    <row r="14" spans="1:55" s="129" customFormat="1" ht="54.75" customHeight="1" x14ac:dyDescent="0.25">
      <c r="A14" s="758"/>
      <c r="B14" s="760"/>
      <c r="C14" s="760"/>
      <c r="D14" s="761" t="s">
        <v>2010</v>
      </c>
      <c r="E14" s="762"/>
      <c r="F14" s="763">
        <v>2</v>
      </c>
      <c r="G14" s="764"/>
      <c r="H14" s="764"/>
      <c r="I14" s="157" t="s">
        <v>2136</v>
      </c>
      <c r="J14" s="764">
        <v>0</v>
      </c>
      <c r="K14" s="764"/>
      <c r="L14" s="765"/>
      <c r="M14" s="766" t="str">
        <f>J7</f>
        <v>大分トリニータタートルズ</v>
      </c>
      <c r="N14" s="767"/>
      <c r="O14" s="768"/>
      <c r="AC14" s="758"/>
      <c r="AD14" s="760"/>
      <c r="AE14" s="760"/>
      <c r="AF14" s="761" t="s">
        <v>2010</v>
      </c>
      <c r="AG14" s="784"/>
      <c r="AH14" s="785">
        <v>1</v>
      </c>
      <c r="AI14" s="764"/>
      <c r="AJ14" s="764"/>
      <c r="AK14" s="157" t="s">
        <v>2136</v>
      </c>
      <c r="AL14" s="764">
        <v>1</v>
      </c>
      <c r="AM14" s="764"/>
      <c r="AN14" s="765"/>
      <c r="AO14" s="766" t="str">
        <f>AL7</f>
        <v>戸次吉野ＳＳＳ</v>
      </c>
      <c r="AP14" s="767"/>
      <c r="AQ14" s="768"/>
    </row>
    <row r="15" spans="1:55" ht="54.75" customHeight="1" x14ac:dyDescent="0.25">
      <c r="A15" s="757" t="s">
        <v>360</v>
      </c>
      <c r="B15" s="759">
        <v>0.45833333333333331</v>
      </c>
      <c r="C15" s="759"/>
      <c r="D15" s="786" t="s">
        <v>437</v>
      </c>
      <c r="E15" s="787"/>
      <c r="F15" s="788" t="str">
        <f>J6</f>
        <v>ティエラフットボールクラブＵ－１２</v>
      </c>
      <c r="G15" s="789"/>
      <c r="H15" s="790"/>
      <c r="I15" s="165" t="s">
        <v>2136</v>
      </c>
      <c r="J15" s="791" t="str">
        <f>J7</f>
        <v>大分トリニータタートルズ</v>
      </c>
      <c r="K15" s="789"/>
      <c r="L15" s="789"/>
      <c r="M15" s="792" t="str">
        <f>D6</f>
        <v>ドリームキッズフットボールクラブ</v>
      </c>
      <c r="N15" s="793"/>
      <c r="O15" s="794"/>
      <c r="P15" s="97"/>
      <c r="Q15" s="97"/>
      <c r="R15" s="97"/>
      <c r="S15" s="97"/>
      <c r="T15" s="97"/>
      <c r="U15" s="97"/>
      <c r="V15" s="97"/>
      <c r="W15" s="97"/>
      <c r="X15" s="97"/>
      <c r="Y15" s="97"/>
      <c r="Z15" s="97"/>
      <c r="AA15" s="97"/>
      <c r="AC15" s="757" t="s">
        <v>360</v>
      </c>
      <c r="AD15" s="759">
        <v>0.45833333333333331</v>
      </c>
      <c r="AE15" s="759"/>
      <c r="AF15" s="786" t="s">
        <v>437</v>
      </c>
      <c r="AG15" s="795"/>
      <c r="AH15" s="789" t="str">
        <f>AL6</f>
        <v>滝尾下郡サッカースポーツ少年団</v>
      </c>
      <c r="AI15" s="789"/>
      <c r="AJ15" s="790"/>
      <c r="AK15" s="165" t="s">
        <v>2136</v>
      </c>
      <c r="AL15" s="791" t="str">
        <f>AL7</f>
        <v>戸次吉野ＳＳＳ</v>
      </c>
      <c r="AM15" s="789"/>
      <c r="AN15" s="789"/>
      <c r="AO15" s="792" t="str">
        <f>AF6</f>
        <v>弥生少年サッカークラブ</v>
      </c>
      <c r="AP15" s="793"/>
      <c r="AQ15" s="794"/>
    </row>
    <row r="16" spans="1:55" s="129" customFormat="1" ht="54.75" customHeight="1" x14ac:dyDescent="0.25">
      <c r="A16" s="758"/>
      <c r="B16" s="760"/>
      <c r="C16" s="760"/>
      <c r="D16" s="761" t="s">
        <v>2010</v>
      </c>
      <c r="E16" s="762"/>
      <c r="F16" s="763">
        <v>4</v>
      </c>
      <c r="G16" s="764"/>
      <c r="H16" s="764"/>
      <c r="I16" s="157" t="s">
        <v>2136</v>
      </c>
      <c r="J16" s="764">
        <v>3</v>
      </c>
      <c r="K16" s="764"/>
      <c r="L16" s="765"/>
      <c r="M16" s="766" t="str">
        <f>D7</f>
        <v>臼杵ＳＳＳ</v>
      </c>
      <c r="N16" s="767"/>
      <c r="O16" s="768"/>
      <c r="AC16" s="758"/>
      <c r="AD16" s="760"/>
      <c r="AE16" s="760"/>
      <c r="AF16" s="761" t="s">
        <v>2010</v>
      </c>
      <c r="AG16" s="784"/>
      <c r="AH16" s="785">
        <v>2</v>
      </c>
      <c r="AI16" s="764"/>
      <c r="AJ16" s="764"/>
      <c r="AK16" s="157" t="s">
        <v>2136</v>
      </c>
      <c r="AL16" s="764">
        <v>1</v>
      </c>
      <c r="AM16" s="764"/>
      <c r="AN16" s="765"/>
      <c r="AO16" s="766" t="str">
        <f>AF7</f>
        <v>アトレチコエラン横瀬</v>
      </c>
      <c r="AP16" s="767"/>
      <c r="AQ16" s="768"/>
    </row>
    <row r="17" spans="1:56" ht="54.75" customHeight="1" x14ac:dyDescent="0.25">
      <c r="A17" s="757" t="s">
        <v>388</v>
      </c>
      <c r="B17" s="759">
        <v>0.5</v>
      </c>
      <c r="C17" s="759"/>
      <c r="D17" s="786" t="s">
        <v>437</v>
      </c>
      <c r="E17" s="787"/>
      <c r="F17" s="788" t="str">
        <f>D7</f>
        <v>臼杵ＳＳＳ</v>
      </c>
      <c r="G17" s="789"/>
      <c r="H17" s="790"/>
      <c r="I17" s="165" t="s">
        <v>2136</v>
      </c>
      <c r="J17" s="791" t="str">
        <f>D8</f>
        <v>別府フットボールクラブ．ミネルバＵ－１２</v>
      </c>
      <c r="K17" s="789"/>
      <c r="L17" s="789"/>
      <c r="M17" s="792" t="str">
        <f>J7</f>
        <v>大分トリニータタートルズ</v>
      </c>
      <c r="N17" s="793"/>
      <c r="O17" s="794"/>
      <c r="P17" s="97"/>
      <c r="Q17" s="97"/>
      <c r="R17" s="97"/>
      <c r="S17" s="97"/>
      <c r="T17" s="97"/>
      <c r="U17" s="97"/>
      <c r="V17" s="97"/>
      <c r="W17" s="97"/>
      <c r="X17" s="97"/>
      <c r="Y17" s="97"/>
      <c r="Z17" s="97"/>
      <c r="AA17" s="97"/>
      <c r="AC17" s="757" t="s">
        <v>388</v>
      </c>
      <c r="AD17" s="759">
        <v>0.5</v>
      </c>
      <c r="AE17" s="759"/>
      <c r="AF17" s="786" t="s">
        <v>437</v>
      </c>
      <c r="AG17" s="795"/>
      <c r="AH17" s="789" t="str">
        <f>AF7</f>
        <v>アトレチコエラン横瀬</v>
      </c>
      <c r="AI17" s="789"/>
      <c r="AJ17" s="790"/>
      <c r="AK17" s="165" t="s">
        <v>2136</v>
      </c>
      <c r="AL17" s="791" t="str">
        <f>AF8</f>
        <v>カティオーラフットボールクラブＵ－１２</v>
      </c>
      <c r="AM17" s="789"/>
      <c r="AN17" s="789"/>
      <c r="AO17" s="792" t="str">
        <f>AL7</f>
        <v>戸次吉野ＳＳＳ</v>
      </c>
      <c r="AP17" s="793"/>
      <c r="AQ17" s="794"/>
    </row>
    <row r="18" spans="1:56" s="129" customFormat="1" ht="54.75" customHeight="1" x14ac:dyDescent="0.25">
      <c r="A18" s="758"/>
      <c r="B18" s="760"/>
      <c r="C18" s="760"/>
      <c r="D18" s="761" t="s">
        <v>2010</v>
      </c>
      <c r="E18" s="762"/>
      <c r="F18" s="763">
        <v>1</v>
      </c>
      <c r="G18" s="764"/>
      <c r="H18" s="764"/>
      <c r="I18" s="157" t="s">
        <v>2136</v>
      </c>
      <c r="J18" s="764">
        <v>2</v>
      </c>
      <c r="K18" s="764"/>
      <c r="L18" s="765"/>
      <c r="M18" s="766" t="str">
        <f>J8</f>
        <v>リノスフットボールクラブ　Ｕ－１２</v>
      </c>
      <c r="N18" s="767"/>
      <c r="O18" s="768"/>
      <c r="AC18" s="758"/>
      <c r="AD18" s="760"/>
      <c r="AE18" s="760"/>
      <c r="AF18" s="761" t="s">
        <v>2010</v>
      </c>
      <c r="AG18" s="784"/>
      <c r="AH18" s="785">
        <v>1</v>
      </c>
      <c r="AI18" s="764"/>
      <c r="AJ18" s="764"/>
      <c r="AK18" s="157" t="s">
        <v>2136</v>
      </c>
      <c r="AL18" s="764">
        <v>4</v>
      </c>
      <c r="AM18" s="764"/>
      <c r="AN18" s="765"/>
      <c r="AO18" s="766" t="str">
        <f>AL8</f>
        <v>四日市南ＳＳＣ</v>
      </c>
      <c r="AP18" s="767"/>
      <c r="AQ18" s="768"/>
    </row>
    <row r="19" spans="1:56" ht="54.75" customHeight="1" x14ac:dyDescent="0.25">
      <c r="A19" s="757" t="s">
        <v>396</v>
      </c>
      <c r="B19" s="759">
        <v>0.54166666666666663</v>
      </c>
      <c r="C19" s="759"/>
      <c r="D19" s="786" t="s">
        <v>437</v>
      </c>
      <c r="E19" s="787"/>
      <c r="F19" s="788" t="str">
        <f>J7</f>
        <v>大分トリニータタートルズ</v>
      </c>
      <c r="G19" s="789"/>
      <c r="H19" s="790"/>
      <c r="I19" s="165" t="s">
        <v>2136</v>
      </c>
      <c r="J19" s="791" t="str">
        <f>J8</f>
        <v>リノスフットボールクラブ　Ｕ－１２</v>
      </c>
      <c r="K19" s="789"/>
      <c r="L19" s="789"/>
      <c r="M19" s="792" t="str">
        <f>D7</f>
        <v>臼杵ＳＳＳ</v>
      </c>
      <c r="N19" s="793"/>
      <c r="O19" s="794"/>
      <c r="P19" s="97"/>
      <c r="Q19" s="97"/>
      <c r="R19" s="97"/>
      <c r="S19" s="97"/>
      <c r="T19" s="97"/>
      <c r="U19" s="97"/>
      <c r="V19" s="97"/>
      <c r="W19" s="97"/>
      <c r="X19" s="97"/>
      <c r="Y19" s="97"/>
      <c r="Z19" s="97"/>
      <c r="AA19" s="97"/>
      <c r="AC19" s="757" t="s">
        <v>396</v>
      </c>
      <c r="AD19" s="759">
        <v>0.54166666666666663</v>
      </c>
      <c r="AE19" s="759"/>
      <c r="AF19" s="786" t="s">
        <v>437</v>
      </c>
      <c r="AG19" s="795"/>
      <c r="AH19" s="789" t="str">
        <f>AL7</f>
        <v>戸次吉野ＳＳＳ</v>
      </c>
      <c r="AI19" s="789"/>
      <c r="AJ19" s="790"/>
      <c r="AK19" s="165" t="s">
        <v>2136</v>
      </c>
      <c r="AL19" s="791" t="str">
        <f>AL8</f>
        <v>四日市南ＳＳＣ</v>
      </c>
      <c r="AM19" s="789"/>
      <c r="AN19" s="789"/>
      <c r="AO19" s="792" t="str">
        <f>AF7</f>
        <v>アトレチコエラン横瀬</v>
      </c>
      <c r="AP19" s="793"/>
      <c r="AQ19" s="794"/>
    </row>
    <row r="20" spans="1:56" s="129" customFormat="1" ht="54.75" customHeight="1" x14ac:dyDescent="0.25">
      <c r="A20" s="758"/>
      <c r="B20" s="760"/>
      <c r="C20" s="760"/>
      <c r="D20" s="761" t="s">
        <v>2010</v>
      </c>
      <c r="E20" s="762"/>
      <c r="F20" s="763">
        <v>0</v>
      </c>
      <c r="G20" s="764"/>
      <c r="H20" s="764"/>
      <c r="I20" s="157" t="s">
        <v>2136</v>
      </c>
      <c r="J20" s="764">
        <v>1</v>
      </c>
      <c r="K20" s="764"/>
      <c r="L20" s="765"/>
      <c r="M20" s="766" t="str">
        <f>D8</f>
        <v>別府フットボールクラブ．ミネルバＵ－１２</v>
      </c>
      <c r="N20" s="767"/>
      <c r="O20" s="768"/>
      <c r="AC20" s="758"/>
      <c r="AD20" s="760"/>
      <c r="AE20" s="760"/>
      <c r="AF20" s="761" t="s">
        <v>2010</v>
      </c>
      <c r="AG20" s="784"/>
      <c r="AH20" s="785">
        <v>0</v>
      </c>
      <c r="AI20" s="764"/>
      <c r="AJ20" s="764"/>
      <c r="AK20" s="157" t="s">
        <v>2136</v>
      </c>
      <c r="AL20" s="764">
        <v>3</v>
      </c>
      <c r="AM20" s="764"/>
      <c r="AN20" s="765"/>
      <c r="AO20" s="766" t="str">
        <f>AF8</f>
        <v>カティオーラフットボールクラブＵ－１２</v>
      </c>
      <c r="AP20" s="767"/>
      <c r="AQ20" s="768"/>
    </row>
    <row r="21" spans="1:56" ht="54.75" customHeight="1" x14ac:dyDescent="0.25">
      <c r="A21" s="757" t="s">
        <v>400</v>
      </c>
      <c r="B21" s="759">
        <v>0.58333333333333337</v>
      </c>
      <c r="C21" s="759"/>
      <c r="D21" s="786" t="s">
        <v>437</v>
      </c>
      <c r="E21" s="787"/>
      <c r="F21" s="788" t="str">
        <f>D8</f>
        <v>別府フットボールクラブ．ミネルバＵ－１２</v>
      </c>
      <c r="G21" s="789"/>
      <c r="H21" s="790"/>
      <c r="I21" s="165" t="s">
        <v>2136</v>
      </c>
      <c r="J21" s="791" t="str">
        <f>D6</f>
        <v>ドリームキッズフットボールクラブ</v>
      </c>
      <c r="K21" s="789"/>
      <c r="L21" s="789"/>
      <c r="M21" s="792" t="str">
        <f>J8</f>
        <v>リノスフットボールクラブ　Ｕ－１２</v>
      </c>
      <c r="N21" s="793"/>
      <c r="O21" s="794"/>
      <c r="P21" s="97"/>
      <c r="Q21" s="97"/>
      <c r="R21" s="97"/>
      <c r="S21" s="97"/>
      <c r="T21" s="97"/>
      <c r="U21" s="97"/>
      <c r="V21" s="97"/>
      <c r="W21" s="97"/>
      <c r="X21" s="97"/>
      <c r="Y21" s="97"/>
      <c r="Z21" s="97"/>
      <c r="AA21" s="97"/>
      <c r="AC21" s="757" t="s">
        <v>400</v>
      </c>
      <c r="AD21" s="759">
        <v>0.58333333333333337</v>
      </c>
      <c r="AE21" s="759"/>
      <c r="AF21" s="786" t="s">
        <v>437</v>
      </c>
      <c r="AG21" s="795"/>
      <c r="AH21" s="789" t="str">
        <f>AF8</f>
        <v>カティオーラフットボールクラブＵ－１２</v>
      </c>
      <c r="AI21" s="789"/>
      <c r="AJ21" s="790"/>
      <c r="AK21" s="165" t="s">
        <v>2136</v>
      </c>
      <c r="AL21" s="791" t="str">
        <f>AF6</f>
        <v>弥生少年サッカークラブ</v>
      </c>
      <c r="AM21" s="789"/>
      <c r="AN21" s="789"/>
      <c r="AO21" s="792" t="str">
        <f>AL8</f>
        <v>四日市南ＳＳＣ</v>
      </c>
      <c r="AP21" s="793"/>
      <c r="AQ21" s="794"/>
    </row>
    <row r="22" spans="1:56" s="129" customFormat="1" ht="54.75" customHeight="1" x14ac:dyDescent="0.25">
      <c r="A22" s="758"/>
      <c r="B22" s="760"/>
      <c r="C22" s="760"/>
      <c r="D22" s="761" t="s">
        <v>2010</v>
      </c>
      <c r="E22" s="762"/>
      <c r="F22" s="763">
        <v>0</v>
      </c>
      <c r="G22" s="764"/>
      <c r="H22" s="764"/>
      <c r="I22" s="157" t="s">
        <v>2136</v>
      </c>
      <c r="J22" s="764">
        <v>3</v>
      </c>
      <c r="K22" s="764"/>
      <c r="L22" s="765"/>
      <c r="M22" s="766" t="str">
        <f>J6</f>
        <v>ティエラフットボールクラブＵ－１２</v>
      </c>
      <c r="N22" s="767"/>
      <c r="O22" s="768"/>
      <c r="AC22" s="758"/>
      <c r="AD22" s="760"/>
      <c r="AE22" s="760"/>
      <c r="AF22" s="761" t="s">
        <v>2010</v>
      </c>
      <c r="AG22" s="784"/>
      <c r="AH22" s="785">
        <v>0</v>
      </c>
      <c r="AI22" s="764"/>
      <c r="AJ22" s="764"/>
      <c r="AK22" s="157" t="s">
        <v>2136</v>
      </c>
      <c r="AL22" s="764">
        <v>0</v>
      </c>
      <c r="AM22" s="764"/>
      <c r="AN22" s="765"/>
      <c r="AO22" s="766" t="str">
        <f>AL6</f>
        <v>滝尾下郡サッカースポーツ少年団</v>
      </c>
      <c r="AP22" s="767"/>
      <c r="AQ22" s="768"/>
    </row>
    <row r="23" spans="1:56" ht="54.75" customHeight="1" x14ac:dyDescent="0.25">
      <c r="A23" s="757" t="s">
        <v>383</v>
      </c>
      <c r="B23" s="759">
        <v>0.625</v>
      </c>
      <c r="C23" s="759"/>
      <c r="D23" s="786" t="s">
        <v>437</v>
      </c>
      <c r="E23" s="787"/>
      <c r="F23" s="788" t="str">
        <f>J8</f>
        <v>リノスフットボールクラブ　Ｕ－１２</v>
      </c>
      <c r="G23" s="789"/>
      <c r="H23" s="790"/>
      <c r="I23" s="165" t="s">
        <v>2136</v>
      </c>
      <c r="J23" s="791" t="str">
        <f>J6</f>
        <v>ティエラフットボールクラブＵ－１２</v>
      </c>
      <c r="K23" s="789"/>
      <c r="L23" s="789"/>
      <c r="M23" s="792" t="str">
        <f>D8</f>
        <v>別府フットボールクラブ．ミネルバＵ－１２</v>
      </c>
      <c r="N23" s="793"/>
      <c r="O23" s="794"/>
      <c r="AC23" s="757" t="s">
        <v>383</v>
      </c>
      <c r="AD23" s="759">
        <v>0.625</v>
      </c>
      <c r="AE23" s="759"/>
      <c r="AF23" s="786" t="s">
        <v>437</v>
      </c>
      <c r="AG23" s="795"/>
      <c r="AH23" s="789" t="str">
        <f>AL8</f>
        <v>四日市南ＳＳＣ</v>
      </c>
      <c r="AI23" s="789"/>
      <c r="AJ23" s="790"/>
      <c r="AK23" s="165" t="s">
        <v>2136</v>
      </c>
      <c r="AL23" s="791" t="str">
        <f>AL6</f>
        <v>滝尾下郡サッカースポーツ少年団</v>
      </c>
      <c r="AM23" s="789"/>
      <c r="AN23" s="789"/>
      <c r="AO23" s="792" t="str">
        <f>AF8</f>
        <v>カティオーラフットボールクラブＵ－１２</v>
      </c>
      <c r="AP23" s="793"/>
      <c r="AQ23" s="794"/>
      <c r="AR23" s="127"/>
      <c r="AS23" s="127"/>
      <c r="AT23" s="127"/>
      <c r="AU23" s="127"/>
      <c r="AV23" s="127"/>
      <c r="AW23" s="127"/>
      <c r="AX23" s="127"/>
      <c r="AY23" s="127"/>
      <c r="AZ23" s="127"/>
      <c r="BA23" s="127"/>
      <c r="BB23" s="127"/>
      <c r="BC23" s="127"/>
    </row>
    <row r="24" spans="1:56" ht="54.75" customHeight="1" x14ac:dyDescent="0.25">
      <c r="A24" s="758"/>
      <c r="B24" s="760"/>
      <c r="C24" s="760"/>
      <c r="D24" s="761" t="s">
        <v>2010</v>
      </c>
      <c r="E24" s="762"/>
      <c r="F24" s="763">
        <v>0</v>
      </c>
      <c r="G24" s="764"/>
      <c r="H24" s="764"/>
      <c r="I24" s="157" t="s">
        <v>2136</v>
      </c>
      <c r="J24" s="764">
        <v>1</v>
      </c>
      <c r="K24" s="764"/>
      <c r="L24" s="765"/>
      <c r="M24" s="766" t="str">
        <f>D6</f>
        <v>ドリームキッズフットボールクラブ</v>
      </c>
      <c r="N24" s="767"/>
      <c r="O24" s="768"/>
      <c r="AB24" s="129"/>
      <c r="AC24" s="758"/>
      <c r="AD24" s="760"/>
      <c r="AE24" s="760"/>
      <c r="AF24" s="761" t="s">
        <v>2010</v>
      </c>
      <c r="AG24" s="784"/>
      <c r="AH24" s="785">
        <v>2</v>
      </c>
      <c r="AI24" s="764"/>
      <c r="AJ24" s="764"/>
      <c r="AK24" s="157" t="s">
        <v>2136</v>
      </c>
      <c r="AL24" s="764">
        <v>0</v>
      </c>
      <c r="AM24" s="764"/>
      <c r="AN24" s="765"/>
      <c r="AO24" s="766" t="str">
        <f>AF6</f>
        <v>弥生少年サッカークラブ</v>
      </c>
      <c r="AP24" s="767"/>
      <c r="AQ24" s="768"/>
      <c r="AR24" s="127"/>
      <c r="AS24" s="127"/>
      <c r="AT24" s="127"/>
      <c r="AU24" s="127"/>
      <c r="AV24" s="127"/>
      <c r="AW24" s="127"/>
      <c r="AX24" s="127"/>
      <c r="AY24" s="127"/>
      <c r="AZ24" s="127"/>
      <c r="BA24" s="127"/>
      <c r="BB24" s="127"/>
      <c r="BC24" s="127"/>
      <c r="BD24" s="129"/>
    </row>
    <row r="25" spans="1:56" ht="14.25" customHeight="1" x14ac:dyDescent="0.25"/>
    <row r="29" spans="1:56" ht="27.75" hidden="1" customHeight="1" x14ac:dyDescent="0.25">
      <c r="A29" s="132"/>
      <c r="B29" s="134"/>
      <c r="C29" s="134"/>
      <c r="D29" s="139"/>
      <c r="E29" s="139"/>
      <c r="F29" s="137"/>
      <c r="G29" s="137"/>
      <c r="H29" s="137"/>
      <c r="I29" s="133"/>
      <c r="J29" s="137"/>
      <c r="K29" s="137"/>
      <c r="L29" s="137"/>
      <c r="M29" s="137"/>
      <c r="N29" s="137"/>
      <c r="O29" s="137"/>
      <c r="P29" s="139"/>
      <c r="Q29" s="139"/>
      <c r="R29" s="137"/>
      <c r="S29" s="137"/>
      <c r="T29" s="137"/>
      <c r="U29" s="133"/>
      <c r="V29" s="137"/>
      <c r="W29" s="137"/>
      <c r="X29" s="137"/>
      <c r="Y29" s="137"/>
      <c r="Z29" s="137"/>
      <c r="AA29" s="137"/>
      <c r="AC29" s="132"/>
      <c r="AD29" s="134"/>
      <c r="AE29" s="134"/>
      <c r="AF29" s="139"/>
      <c r="AG29" s="139"/>
      <c r="AH29" s="137"/>
      <c r="AI29" s="137"/>
      <c r="AJ29" s="137"/>
      <c r="AK29" s="133"/>
      <c r="AL29" s="137"/>
      <c r="AM29" s="137"/>
      <c r="AN29" s="137"/>
      <c r="AO29" s="137"/>
      <c r="AP29" s="137"/>
      <c r="AQ29" s="137"/>
      <c r="AR29" s="139"/>
      <c r="AS29" s="139"/>
      <c r="AT29" s="137"/>
      <c r="AU29" s="137"/>
      <c r="AV29" s="137"/>
      <c r="AW29" s="133"/>
      <c r="AX29" s="137"/>
      <c r="AY29" s="137"/>
      <c r="AZ29" s="137"/>
      <c r="BA29" s="137"/>
      <c r="BB29" s="137"/>
      <c r="BC29" s="137"/>
    </row>
    <row r="30" spans="1:56" ht="27.75" hidden="1" customHeight="1" x14ac:dyDescent="0.25">
      <c r="A30" s="132"/>
      <c r="B30" s="134"/>
      <c r="C30" s="134"/>
      <c r="D30" s="140"/>
      <c r="E30" s="140"/>
      <c r="F30" s="140"/>
      <c r="G30" s="140"/>
      <c r="H30" s="140"/>
      <c r="I30" s="168"/>
      <c r="J30" s="140"/>
      <c r="K30" s="140"/>
      <c r="L30" s="140"/>
      <c r="M30" s="137"/>
      <c r="N30" s="137"/>
      <c r="O30" s="137"/>
      <c r="P30" s="140"/>
      <c r="Q30" s="140"/>
      <c r="R30" s="140"/>
      <c r="S30" s="140"/>
      <c r="T30" s="140"/>
      <c r="U30" s="168"/>
      <c r="V30" s="140"/>
      <c r="W30" s="140"/>
      <c r="X30" s="140"/>
      <c r="Y30" s="137"/>
      <c r="Z30" s="137"/>
      <c r="AA30" s="137"/>
      <c r="AC30" s="132"/>
      <c r="AD30" s="134"/>
      <c r="AE30" s="134"/>
      <c r="AF30" s="140"/>
      <c r="AG30" s="140"/>
      <c r="AH30" s="140"/>
      <c r="AI30" s="140"/>
      <c r="AJ30" s="140"/>
      <c r="AK30" s="168"/>
      <c r="AL30" s="140"/>
      <c r="AM30" s="140"/>
      <c r="AN30" s="140"/>
      <c r="AO30" s="137"/>
      <c r="AP30" s="137"/>
      <c r="AQ30" s="137"/>
      <c r="AR30" s="140"/>
      <c r="AS30" s="140"/>
      <c r="AT30" s="140"/>
      <c r="AU30" s="140"/>
      <c r="AV30" s="140"/>
      <c r="AW30" s="168"/>
      <c r="AX30" s="140"/>
      <c r="AY30" s="140"/>
      <c r="AZ30" s="140"/>
      <c r="BA30" s="137"/>
      <c r="BB30" s="137"/>
      <c r="BC30" s="137"/>
    </row>
    <row r="31" spans="1:56" ht="27.75" hidden="1" customHeight="1" x14ac:dyDescent="0.25">
      <c r="A31" s="132"/>
      <c r="B31" s="134"/>
      <c r="C31" s="134"/>
      <c r="D31" s="139"/>
      <c r="E31" s="139"/>
      <c r="F31" s="137"/>
      <c r="G31" s="137"/>
      <c r="H31" s="137"/>
      <c r="I31" s="133"/>
      <c r="J31" s="137"/>
      <c r="K31" s="137"/>
      <c r="L31" s="137"/>
      <c r="M31" s="137"/>
      <c r="N31" s="137"/>
      <c r="O31" s="137"/>
      <c r="P31" s="139"/>
      <c r="Q31" s="139"/>
      <c r="R31" s="137"/>
      <c r="S31" s="137"/>
      <c r="T31" s="137"/>
      <c r="U31" s="133"/>
      <c r="V31" s="137"/>
      <c r="W31" s="137"/>
      <c r="X31" s="137"/>
      <c r="Y31" s="137"/>
      <c r="Z31" s="137"/>
      <c r="AA31" s="137"/>
      <c r="AC31" s="132"/>
      <c r="AD31" s="134"/>
      <c r="AE31" s="134"/>
      <c r="AF31" s="139"/>
      <c r="AG31" s="139"/>
      <c r="AH31" s="137"/>
      <c r="AI31" s="137"/>
      <c r="AJ31" s="137"/>
      <c r="AK31" s="133"/>
      <c r="AL31" s="137"/>
      <c r="AM31" s="137"/>
      <c r="AN31" s="137"/>
      <c r="AO31" s="137"/>
      <c r="AP31" s="137"/>
      <c r="AQ31" s="137"/>
      <c r="AR31" s="139"/>
      <c r="AS31" s="139"/>
      <c r="AT31" s="137"/>
      <c r="AU31" s="137"/>
      <c r="AV31" s="137"/>
      <c r="AW31" s="133"/>
      <c r="AX31" s="137"/>
      <c r="AY31" s="137"/>
      <c r="AZ31" s="137"/>
      <c r="BA31" s="137"/>
      <c r="BB31" s="137"/>
      <c r="BC31" s="137"/>
    </row>
    <row r="32" spans="1:56" ht="27.75" hidden="1" customHeight="1" x14ac:dyDescent="0.25">
      <c r="A32" s="132"/>
      <c r="B32" s="134"/>
      <c r="C32" s="134"/>
      <c r="D32" s="140"/>
      <c r="E32" s="140"/>
      <c r="F32" s="140"/>
      <c r="G32" s="140"/>
      <c r="H32" s="140"/>
      <c r="I32" s="168"/>
      <c r="J32" s="140"/>
      <c r="K32" s="140"/>
      <c r="L32" s="140"/>
      <c r="M32" s="137"/>
      <c r="N32" s="137"/>
      <c r="O32" s="137"/>
      <c r="P32" s="140"/>
      <c r="Q32" s="140"/>
      <c r="R32" s="140"/>
      <c r="S32" s="140"/>
      <c r="T32" s="140"/>
      <c r="U32" s="168"/>
      <c r="V32" s="140"/>
      <c r="W32" s="140"/>
      <c r="X32" s="140"/>
      <c r="Y32" s="137"/>
      <c r="Z32" s="137"/>
      <c r="AA32" s="137"/>
      <c r="AC32" s="132"/>
      <c r="AD32" s="134"/>
      <c r="AE32" s="134"/>
      <c r="AF32" s="140"/>
      <c r="AG32" s="140"/>
      <c r="AH32" s="140"/>
      <c r="AI32" s="140"/>
      <c r="AJ32" s="140"/>
      <c r="AK32" s="168"/>
      <c r="AL32" s="140"/>
      <c r="AM32" s="140"/>
      <c r="AN32" s="140"/>
      <c r="AO32" s="137"/>
      <c r="AP32" s="137"/>
      <c r="AQ32" s="137"/>
      <c r="AR32" s="140"/>
      <c r="AS32" s="140"/>
      <c r="AT32" s="140"/>
      <c r="AU32" s="140"/>
      <c r="AV32" s="140"/>
      <c r="AW32" s="168"/>
      <c r="AX32" s="140"/>
      <c r="AY32" s="140"/>
      <c r="AZ32" s="140"/>
      <c r="BA32" s="137"/>
      <c r="BB32" s="137"/>
      <c r="BC32" s="137"/>
    </row>
    <row r="33" spans="1:55" ht="27.75" hidden="1" customHeight="1" x14ac:dyDescent="0.25">
      <c r="A33" s="132"/>
      <c r="B33" s="134"/>
      <c r="C33" s="134"/>
      <c r="D33" s="139"/>
      <c r="E33" s="139"/>
      <c r="F33" s="137"/>
      <c r="G33" s="137"/>
      <c r="H33" s="137"/>
      <c r="I33" s="133"/>
      <c r="J33" s="137"/>
      <c r="K33" s="137"/>
      <c r="L33" s="137"/>
      <c r="M33" s="137"/>
      <c r="N33" s="137"/>
      <c r="O33" s="137"/>
      <c r="P33" s="139"/>
      <c r="Q33" s="139"/>
      <c r="R33" s="137"/>
      <c r="S33" s="137"/>
      <c r="T33" s="137"/>
      <c r="U33" s="133"/>
      <c r="V33" s="137"/>
      <c r="W33" s="137"/>
      <c r="X33" s="137"/>
      <c r="Y33" s="137"/>
      <c r="Z33" s="137"/>
      <c r="AA33" s="137"/>
      <c r="AC33" s="132"/>
      <c r="AD33" s="134"/>
      <c r="AE33" s="134"/>
      <c r="AF33" s="139"/>
      <c r="AG33" s="139"/>
      <c r="AH33" s="137"/>
      <c r="AI33" s="137"/>
      <c r="AJ33" s="137"/>
      <c r="AK33" s="133"/>
      <c r="AL33" s="137"/>
      <c r="AM33" s="137"/>
      <c r="AN33" s="137"/>
      <c r="AO33" s="137"/>
      <c r="AP33" s="137"/>
      <c r="AQ33" s="137"/>
      <c r="AR33" s="139"/>
      <c r="AS33" s="139"/>
      <c r="AT33" s="137"/>
      <c r="AU33" s="137"/>
      <c r="AV33" s="137"/>
      <c r="AW33" s="133"/>
      <c r="AX33" s="137"/>
      <c r="AY33" s="137"/>
      <c r="AZ33" s="137"/>
      <c r="BA33" s="137"/>
      <c r="BB33" s="137"/>
      <c r="BC33" s="137"/>
    </row>
    <row r="34" spans="1:55" ht="27.75" hidden="1" customHeight="1" x14ac:dyDescent="0.25">
      <c r="A34" s="132"/>
      <c r="B34" s="134"/>
      <c r="C34" s="134"/>
      <c r="D34" s="140"/>
      <c r="E34" s="140"/>
      <c r="F34" s="140"/>
      <c r="G34" s="140"/>
      <c r="H34" s="140"/>
      <c r="I34" s="168"/>
      <c r="J34" s="140"/>
      <c r="K34" s="140"/>
      <c r="L34" s="140"/>
      <c r="M34" s="137"/>
      <c r="N34" s="137"/>
      <c r="O34" s="137"/>
      <c r="P34" s="140"/>
      <c r="Q34" s="140"/>
      <c r="R34" s="140"/>
      <c r="S34" s="140"/>
      <c r="T34" s="140"/>
      <c r="U34" s="168"/>
      <c r="V34" s="140"/>
      <c r="W34" s="140"/>
      <c r="X34" s="140"/>
      <c r="Y34" s="137"/>
      <c r="Z34" s="137"/>
      <c r="AA34" s="137"/>
      <c r="AC34" s="132"/>
      <c r="AD34" s="134"/>
      <c r="AE34" s="134"/>
      <c r="AF34" s="140"/>
      <c r="AG34" s="140"/>
      <c r="AH34" s="140"/>
      <c r="AI34" s="140"/>
      <c r="AJ34" s="140"/>
      <c r="AK34" s="168"/>
      <c r="AL34" s="140"/>
      <c r="AM34" s="140"/>
      <c r="AN34" s="140"/>
      <c r="AO34" s="137"/>
      <c r="AP34" s="137"/>
      <c r="AQ34" s="137"/>
      <c r="AR34" s="140"/>
      <c r="AS34" s="140"/>
      <c r="AT34" s="140"/>
      <c r="AU34" s="140"/>
      <c r="AV34" s="140"/>
      <c r="AW34" s="168"/>
      <c r="AX34" s="140"/>
      <c r="AY34" s="140"/>
      <c r="AZ34" s="140"/>
      <c r="BA34" s="137"/>
      <c r="BB34" s="137"/>
      <c r="BC34" s="137"/>
    </row>
    <row r="35" spans="1:55" ht="27.75" hidden="1" customHeight="1" x14ac:dyDescent="0.25">
      <c r="A35" s="132"/>
      <c r="B35" s="134"/>
      <c r="C35" s="134"/>
      <c r="D35" s="139"/>
      <c r="E35" s="139"/>
      <c r="F35" s="137"/>
      <c r="G35" s="137"/>
      <c r="H35" s="137"/>
      <c r="I35" s="133"/>
      <c r="J35" s="137"/>
      <c r="K35" s="137"/>
      <c r="L35" s="137"/>
      <c r="M35" s="137"/>
      <c r="N35" s="137"/>
      <c r="O35" s="137"/>
      <c r="P35" s="139"/>
      <c r="Q35" s="139"/>
      <c r="R35" s="137"/>
      <c r="S35" s="137"/>
      <c r="T35" s="137"/>
      <c r="U35" s="133"/>
      <c r="V35" s="137"/>
      <c r="W35" s="137"/>
      <c r="X35" s="137"/>
      <c r="Y35" s="137"/>
      <c r="Z35" s="137"/>
      <c r="AA35" s="137"/>
      <c r="AC35" s="132"/>
      <c r="AD35" s="134"/>
      <c r="AE35" s="134"/>
      <c r="AF35" s="139"/>
      <c r="AG35" s="139"/>
      <c r="AH35" s="137"/>
      <c r="AI35" s="137"/>
      <c r="AJ35" s="137"/>
      <c r="AK35" s="133"/>
      <c r="AL35" s="137"/>
      <c r="AM35" s="137"/>
      <c r="AN35" s="137"/>
      <c r="AO35" s="137"/>
      <c r="AP35" s="137"/>
      <c r="AQ35" s="137"/>
      <c r="AR35" s="139"/>
      <c r="AS35" s="139"/>
      <c r="AT35" s="137"/>
      <c r="AU35" s="137"/>
      <c r="AV35" s="137"/>
      <c r="AW35" s="133"/>
      <c r="AX35" s="137"/>
      <c r="AY35" s="137"/>
      <c r="AZ35" s="137"/>
      <c r="BA35" s="137"/>
      <c r="BB35" s="137"/>
      <c r="BC35" s="137"/>
    </row>
    <row r="36" spans="1:55" ht="27.75" hidden="1" customHeight="1" x14ac:dyDescent="0.25">
      <c r="A36" s="132"/>
      <c r="B36" s="134"/>
      <c r="C36" s="134"/>
      <c r="D36" s="140"/>
      <c r="E36" s="140"/>
      <c r="F36" s="140"/>
      <c r="G36" s="140"/>
      <c r="H36" s="140"/>
      <c r="I36" s="168"/>
      <c r="J36" s="140"/>
      <c r="K36" s="140"/>
      <c r="L36" s="140"/>
      <c r="M36" s="137"/>
      <c r="N36" s="137"/>
      <c r="O36" s="137"/>
      <c r="P36" s="140"/>
      <c r="Q36" s="140"/>
      <c r="R36" s="140"/>
      <c r="S36" s="140"/>
      <c r="T36" s="140"/>
      <c r="U36" s="168"/>
      <c r="V36" s="140"/>
      <c r="W36" s="140"/>
      <c r="X36" s="140"/>
      <c r="Y36" s="137"/>
      <c r="Z36" s="137"/>
      <c r="AA36" s="137"/>
      <c r="AC36" s="132"/>
      <c r="AD36" s="134"/>
      <c r="AE36" s="134"/>
      <c r="AF36" s="140"/>
      <c r="AG36" s="140"/>
      <c r="AH36" s="140"/>
      <c r="AI36" s="140"/>
      <c r="AJ36" s="140"/>
      <c r="AK36" s="168"/>
      <c r="AL36" s="140"/>
      <c r="AM36" s="140"/>
      <c r="AN36" s="140"/>
      <c r="AO36" s="137"/>
      <c r="AP36" s="137"/>
      <c r="AQ36" s="137"/>
      <c r="AR36" s="140"/>
      <c r="AS36" s="140"/>
      <c r="AT36" s="140"/>
      <c r="AU36" s="140"/>
      <c r="AV36" s="140"/>
      <c r="AW36" s="168"/>
      <c r="AX36" s="140"/>
      <c r="AY36" s="140"/>
      <c r="AZ36" s="140"/>
      <c r="BA36" s="137"/>
      <c r="BB36" s="137"/>
      <c r="BC36" s="137"/>
    </row>
    <row r="37" spans="1:55" ht="27.75" hidden="1" customHeight="1" x14ac:dyDescent="0.25">
      <c r="A37" s="132"/>
      <c r="B37" s="134"/>
      <c r="C37" s="134"/>
      <c r="D37" s="139"/>
      <c r="E37" s="139"/>
      <c r="F37" s="137"/>
      <c r="G37" s="137"/>
      <c r="H37" s="137"/>
      <c r="I37" s="133"/>
      <c r="J37" s="137"/>
      <c r="K37" s="137"/>
      <c r="L37" s="137"/>
      <c r="M37" s="137"/>
      <c r="N37" s="137"/>
      <c r="O37" s="137"/>
      <c r="P37" s="139"/>
      <c r="Q37" s="139"/>
      <c r="R37" s="137"/>
      <c r="S37" s="137"/>
      <c r="T37" s="137"/>
      <c r="U37" s="133"/>
      <c r="V37" s="137"/>
      <c r="W37" s="137"/>
      <c r="X37" s="137"/>
      <c r="Y37" s="137"/>
      <c r="Z37" s="137"/>
      <c r="AA37" s="137"/>
      <c r="AC37" s="132"/>
      <c r="AD37" s="134"/>
      <c r="AE37" s="134"/>
      <c r="AF37" s="139"/>
      <c r="AG37" s="139"/>
      <c r="AH37" s="137"/>
      <c r="AI37" s="137"/>
      <c r="AJ37" s="137"/>
      <c r="AK37" s="133"/>
      <c r="AL37" s="137"/>
      <c r="AM37" s="137"/>
      <c r="AN37" s="137"/>
      <c r="AO37" s="137"/>
      <c r="AP37" s="137"/>
      <c r="AQ37" s="137"/>
      <c r="AR37" s="139"/>
      <c r="AS37" s="139"/>
      <c r="AT37" s="137"/>
      <c r="AU37" s="137"/>
      <c r="AV37" s="137"/>
      <c r="AW37" s="133"/>
      <c r="AX37" s="137"/>
      <c r="AY37" s="137"/>
      <c r="AZ37" s="137"/>
      <c r="BA37" s="137"/>
      <c r="BB37" s="137"/>
      <c r="BC37" s="137"/>
    </row>
    <row r="38" spans="1:55" ht="27.75" hidden="1" customHeight="1" x14ac:dyDescent="0.25">
      <c r="A38" s="132"/>
      <c r="B38" s="134"/>
      <c r="C38" s="134"/>
      <c r="D38" s="140"/>
      <c r="E38" s="140"/>
      <c r="F38" s="140"/>
      <c r="G38" s="140"/>
      <c r="H38" s="140"/>
      <c r="I38" s="168"/>
      <c r="J38" s="140"/>
      <c r="K38" s="140"/>
      <c r="L38" s="140"/>
      <c r="M38" s="137"/>
      <c r="N38" s="137"/>
      <c r="O38" s="137"/>
      <c r="P38" s="140"/>
      <c r="Q38" s="140"/>
      <c r="R38" s="140"/>
      <c r="S38" s="140"/>
      <c r="T38" s="140"/>
      <c r="U38" s="168"/>
      <c r="V38" s="140"/>
      <c r="W38" s="140"/>
      <c r="X38" s="140"/>
      <c r="Y38" s="137"/>
      <c r="Z38" s="137"/>
      <c r="AA38" s="137"/>
      <c r="AC38" s="132"/>
      <c r="AD38" s="134"/>
      <c r="AE38" s="134"/>
      <c r="AF38" s="140"/>
      <c r="AG38" s="140"/>
      <c r="AH38" s="140"/>
      <c r="AI38" s="140"/>
      <c r="AJ38" s="140"/>
      <c r="AK38" s="168"/>
      <c r="AL38" s="140"/>
      <c r="AM38" s="140"/>
      <c r="AN38" s="140"/>
      <c r="AO38" s="137"/>
      <c r="AP38" s="137"/>
      <c r="AQ38" s="137"/>
      <c r="AR38" s="140"/>
      <c r="AS38" s="140"/>
      <c r="AT38" s="140"/>
      <c r="AU38" s="140"/>
      <c r="AV38" s="140"/>
      <c r="AW38" s="168"/>
      <c r="AX38" s="140"/>
      <c r="AY38" s="140"/>
      <c r="AZ38" s="140"/>
      <c r="BA38" s="137"/>
      <c r="BB38" s="137"/>
      <c r="BC38" s="137"/>
    </row>
    <row r="39" spans="1:55" ht="27.75" hidden="1" customHeight="1" x14ac:dyDescent="0.25">
      <c r="A39" s="132"/>
      <c r="B39" s="134"/>
      <c r="C39" s="134"/>
      <c r="D39" s="139"/>
      <c r="E39" s="139"/>
      <c r="F39" s="137"/>
      <c r="G39" s="137"/>
      <c r="H39" s="137"/>
      <c r="I39" s="133"/>
      <c r="J39" s="137"/>
      <c r="K39" s="137"/>
      <c r="L39" s="137"/>
      <c r="M39" s="137"/>
      <c r="N39" s="137"/>
      <c r="O39" s="137"/>
      <c r="P39" s="139"/>
      <c r="Q39" s="139"/>
      <c r="R39" s="137"/>
      <c r="S39" s="137"/>
      <c r="T39" s="137"/>
      <c r="U39" s="133"/>
      <c r="V39" s="137"/>
      <c r="W39" s="137"/>
      <c r="X39" s="137"/>
      <c r="Y39" s="137"/>
      <c r="Z39" s="137"/>
      <c r="AA39" s="137"/>
      <c r="AC39" s="132"/>
      <c r="AD39" s="134"/>
      <c r="AE39" s="134"/>
      <c r="AF39" s="139"/>
      <c r="AG39" s="139"/>
      <c r="AH39" s="137"/>
      <c r="AI39" s="137"/>
      <c r="AJ39" s="137"/>
      <c r="AK39" s="133"/>
      <c r="AL39" s="137"/>
      <c r="AM39" s="137"/>
      <c r="AN39" s="137"/>
      <c r="AO39" s="137"/>
      <c r="AP39" s="137"/>
      <c r="AQ39" s="137"/>
      <c r="AR39" s="139"/>
      <c r="AS39" s="139"/>
      <c r="AT39" s="137"/>
      <c r="AU39" s="137"/>
      <c r="AV39" s="137"/>
      <c r="AW39" s="133"/>
      <c r="AX39" s="137"/>
      <c r="AY39" s="137"/>
      <c r="AZ39" s="137"/>
      <c r="BA39" s="137"/>
      <c r="BB39" s="137"/>
      <c r="BC39" s="137"/>
    </row>
    <row r="40" spans="1:55" ht="27.75" hidden="1" customHeight="1" x14ac:dyDescent="0.25">
      <c r="A40" s="132"/>
      <c r="B40" s="134"/>
      <c r="C40" s="134"/>
      <c r="D40" s="140"/>
      <c r="E40" s="140"/>
      <c r="F40" s="140"/>
      <c r="G40" s="140"/>
      <c r="H40" s="140"/>
      <c r="I40" s="168"/>
      <c r="J40" s="140"/>
      <c r="K40" s="140"/>
      <c r="L40" s="140"/>
      <c r="M40" s="137"/>
      <c r="N40" s="137"/>
      <c r="O40" s="137"/>
      <c r="P40" s="140"/>
      <c r="Q40" s="140"/>
      <c r="R40" s="140"/>
      <c r="S40" s="140"/>
      <c r="T40" s="140"/>
      <c r="U40" s="168"/>
      <c r="V40" s="140"/>
      <c r="W40" s="140"/>
      <c r="X40" s="140"/>
      <c r="Y40" s="137"/>
      <c r="Z40" s="137"/>
      <c r="AA40" s="137"/>
      <c r="AC40" s="132"/>
      <c r="AD40" s="134"/>
      <c r="AE40" s="134"/>
      <c r="AF40" s="140"/>
      <c r="AG40" s="140"/>
      <c r="AH40" s="140"/>
      <c r="AI40" s="140"/>
      <c r="AJ40" s="140"/>
      <c r="AK40" s="168"/>
      <c r="AL40" s="140"/>
      <c r="AM40" s="140"/>
      <c r="AN40" s="140"/>
      <c r="AO40" s="137"/>
      <c r="AP40" s="137"/>
      <c r="AQ40" s="137"/>
      <c r="AR40" s="140"/>
      <c r="AS40" s="140"/>
      <c r="AT40" s="140"/>
      <c r="AU40" s="140"/>
      <c r="AV40" s="140"/>
      <c r="AW40" s="168"/>
      <c r="AX40" s="140"/>
      <c r="AY40" s="140"/>
      <c r="AZ40" s="140"/>
      <c r="BA40" s="137"/>
      <c r="BB40" s="137"/>
      <c r="BC40" s="137"/>
    </row>
    <row r="42" spans="1:55" x14ac:dyDescent="0.25">
      <c r="N42" s="183"/>
      <c r="O42" s="183"/>
      <c r="P42" s="183"/>
      <c r="Q42" s="183"/>
      <c r="R42" s="183"/>
      <c r="S42" s="183"/>
      <c r="T42" s="183"/>
      <c r="U42" s="183"/>
      <c r="V42" s="183"/>
      <c r="W42" s="183"/>
      <c r="X42" s="183"/>
      <c r="Y42" s="183"/>
      <c r="Z42" s="183"/>
    </row>
    <row r="43" spans="1:55" x14ac:dyDescent="0.25">
      <c r="F43" s="151" t="s">
        <v>2013</v>
      </c>
      <c r="G43" s="158" t="s">
        <v>159</v>
      </c>
      <c r="H43" s="164">
        <v>3</v>
      </c>
      <c r="J43" s="173" t="s">
        <v>2301</v>
      </c>
      <c r="K43" s="164">
        <v>1</v>
      </c>
      <c r="M43" s="173" t="s">
        <v>1727</v>
      </c>
      <c r="N43" s="164">
        <v>0</v>
      </c>
      <c r="O43" s="183"/>
      <c r="P43" s="97"/>
      <c r="Q43" s="97"/>
      <c r="R43" s="183"/>
      <c r="S43" s="183"/>
      <c r="T43" s="183"/>
      <c r="U43" s="183"/>
      <c r="V43" s="183"/>
      <c r="W43" s="183"/>
      <c r="X43" s="183"/>
      <c r="Y43" s="183"/>
      <c r="Z43" s="183"/>
      <c r="AA43" s="183"/>
      <c r="AB43" s="127"/>
      <c r="AC43" s="127"/>
      <c r="AD43" s="127"/>
      <c r="AE43" s="127"/>
      <c r="AF43" s="127"/>
      <c r="AG43" s="127"/>
      <c r="AH43" s="151" t="s">
        <v>2013</v>
      </c>
      <c r="AI43" s="158" t="s">
        <v>159</v>
      </c>
      <c r="AJ43" s="164">
        <v>3</v>
      </c>
      <c r="AK43" s="127"/>
      <c r="AL43" s="173" t="s">
        <v>2301</v>
      </c>
      <c r="AM43" s="164">
        <v>1</v>
      </c>
      <c r="AN43" s="127"/>
      <c r="AO43" s="173" t="s">
        <v>1727</v>
      </c>
      <c r="AP43" s="164">
        <v>0</v>
      </c>
      <c r="AQ43" s="183"/>
      <c r="AT43" s="183"/>
      <c r="AU43" s="183"/>
      <c r="AV43" s="183"/>
      <c r="AW43" s="183"/>
      <c r="AX43" s="183"/>
      <c r="AY43" s="183"/>
      <c r="AZ43" s="183"/>
      <c r="BA43" s="183"/>
      <c r="BB43" s="183"/>
      <c r="BC43" s="183"/>
    </row>
    <row r="44" spans="1:55" x14ac:dyDescent="0.25">
      <c r="AB44" s="127"/>
      <c r="AC44" s="127"/>
      <c r="AD44" s="127"/>
      <c r="AE44" s="127"/>
      <c r="AF44" s="127"/>
      <c r="AG44" s="127"/>
      <c r="AH44" s="127"/>
      <c r="AI44" s="127"/>
      <c r="AJ44" s="127"/>
      <c r="AK44" s="127"/>
      <c r="AL44" s="127"/>
      <c r="AM44" s="127"/>
      <c r="AN44" s="127"/>
      <c r="AO44" s="127"/>
      <c r="AP44" s="127"/>
      <c r="AQ44" s="127"/>
      <c r="AR44" s="127"/>
      <c r="AS44" s="127"/>
      <c r="AT44" s="127"/>
      <c r="AU44" s="127"/>
      <c r="AV44" s="127"/>
      <c r="AW44" s="127"/>
      <c r="AX44" s="127"/>
      <c r="AY44" s="127"/>
      <c r="AZ44" s="127"/>
      <c r="BA44" s="127"/>
      <c r="BB44" s="127"/>
      <c r="BC44" s="127"/>
    </row>
    <row r="45" spans="1:55" ht="53.25" customHeight="1" x14ac:dyDescent="0.25">
      <c r="A45" s="781" t="str">
        <f>D4</f>
        <v>2次リーグ　Aパート</v>
      </c>
      <c r="B45" s="782"/>
      <c r="C45" s="783"/>
      <c r="D45" s="771" t="str">
        <f>A46</f>
        <v>ドリームキッズフットボールクラブ</v>
      </c>
      <c r="E45" s="772"/>
      <c r="F45" s="772"/>
      <c r="G45" s="772" t="str">
        <f>A48</f>
        <v>臼杵ＳＳＳ</v>
      </c>
      <c r="H45" s="772"/>
      <c r="I45" s="772"/>
      <c r="J45" s="772" t="str">
        <f>A50</f>
        <v>別府フットボールクラブ．ミネルバＵ－１２</v>
      </c>
      <c r="K45" s="772"/>
      <c r="L45" s="772"/>
      <c r="M45" s="182" t="s">
        <v>159</v>
      </c>
      <c r="N45" s="184" t="s">
        <v>2302</v>
      </c>
      <c r="O45" s="185" t="s">
        <v>1200</v>
      </c>
      <c r="P45" s="184" t="s">
        <v>2303</v>
      </c>
      <c r="Q45" s="184" t="s">
        <v>2304</v>
      </c>
      <c r="R45" s="184" t="s">
        <v>1160</v>
      </c>
      <c r="S45" s="773" t="s">
        <v>577</v>
      </c>
      <c r="T45" s="774"/>
      <c r="U45" s="775" t="s">
        <v>2305</v>
      </c>
      <c r="V45" s="776"/>
      <c r="W45" s="775" t="s">
        <v>1485</v>
      </c>
      <c r="X45" s="776"/>
      <c r="Y45" s="777" t="s">
        <v>2306</v>
      </c>
      <c r="Z45" s="778"/>
      <c r="AA45" s="186"/>
      <c r="AB45" s="128"/>
      <c r="AC45" s="781" t="str">
        <f>AF4</f>
        <v>2次リーグ　Bパート</v>
      </c>
      <c r="AD45" s="782"/>
      <c r="AE45" s="783"/>
      <c r="AF45" s="771" t="str">
        <f>AC46</f>
        <v>弥生少年サッカークラブ</v>
      </c>
      <c r="AG45" s="772"/>
      <c r="AH45" s="772"/>
      <c r="AI45" s="772" t="str">
        <f>AC48</f>
        <v>アトレチコエラン横瀬</v>
      </c>
      <c r="AJ45" s="772"/>
      <c r="AK45" s="772"/>
      <c r="AL45" s="772" t="str">
        <f>AC50</f>
        <v>カティオーラフットボールクラブＵ－１２</v>
      </c>
      <c r="AM45" s="772"/>
      <c r="AN45" s="772"/>
      <c r="AO45" s="182" t="s">
        <v>159</v>
      </c>
      <c r="AP45" s="184" t="s">
        <v>2302</v>
      </c>
      <c r="AQ45" s="185" t="s">
        <v>1200</v>
      </c>
      <c r="AR45" s="184" t="s">
        <v>2303</v>
      </c>
      <c r="AS45" s="184" t="s">
        <v>2304</v>
      </c>
      <c r="AT45" s="184" t="s">
        <v>1160</v>
      </c>
      <c r="AU45" s="773" t="s">
        <v>577</v>
      </c>
      <c r="AV45" s="774"/>
      <c r="AW45" s="775" t="s">
        <v>2305</v>
      </c>
      <c r="AX45" s="776"/>
      <c r="AY45" s="775" t="s">
        <v>1485</v>
      </c>
      <c r="AZ45" s="776"/>
      <c r="BA45" s="777" t="s">
        <v>2306</v>
      </c>
      <c r="BB45" s="778"/>
    </row>
    <row r="46" spans="1:55" ht="26.25" customHeight="1" x14ac:dyDescent="0.25">
      <c r="A46" s="746" t="str">
        <f>D6</f>
        <v>ドリームキッズフットボールクラブ</v>
      </c>
      <c r="B46" s="779" t="s">
        <v>2307</v>
      </c>
      <c r="C46" s="780"/>
      <c r="D46" s="142"/>
      <c r="E46" s="142"/>
      <c r="F46" s="152"/>
      <c r="G46" s="159"/>
      <c r="H46" s="165" t="str">
        <f>IF(G47="","",IF(G47&gt;I47,"○",IF(G47&lt;I47,"●",IF(G47=I47,"△"))))</f>
        <v>○</v>
      </c>
      <c r="I46" s="169"/>
      <c r="J46" s="165"/>
      <c r="K46" s="165" t="str">
        <f>IF(J47="","",IF(J47&gt;L47,"○",IF(J47&lt;L47,"●",IF(J47=L47,"△"))))</f>
        <v>○</v>
      </c>
      <c r="L46" s="169"/>
      <c r="M46" s="747">
        <f>COUNTIF(D46:L46,"○")</f>
        <v>2</v>
      </c>
      <c r="N46" s="748">
        <f>COUNTIF(D46:L46,"△")+COUNTIF(D46:L46,"▲")</f>
        <v>0</v>
      </c>
      <c r="O46" s="748">
        <f>COUNTIF(D46:L46,"●")</f>
        <v>0</v>
      </c>
      <c r="P46" s="748">
        <f>SUM(D47,G47,J47)</f>
        <v>5</v>
      </c>
      <c r="Q46" s="748">
        <f>SUM(F47,I47,L47)</f>
        <v>0</v>
      </c>
      <c r="R46" s="748">
        <f>(M46*3)+(N46*1)</f>
        <v>6</v>
      </c>
      <c r="S46" s="749">
        <f>RANK(R46,R$46:R$51)</f>
        <v>1</v>
      </c>
      <c r="T46" s="750" t="s">
        <v>2308</v>
      </c>
      <c r="U46" s="751">
        <f>P46-Q46</f>
        <v>5</v>
      </c>
      <c r="V46" s="752"/>
      <c r="W46" s="753">
        <f>RANK(U46,U$46:U$51)</f>
        <v>1</v>
      </c>
      <c r="X46" s="754" t="s">
        <v>2308</v>
      </c>
      <c r="Y46" s="755">
        <v>1</v>
      </c>
      <c r="Z46" s="756"/>
      <c r="AA46" s="186"/>
      <c r="AC46" s="746" t="str">
        <f>AF6</f>
        <v>弥生少年サッカークラブ</v>
      </c>
      <c r="AD46" s="779" t="s">
        <v>2307</v>
      </c>
      <c r="AE46" s="780"/>
      <c r="AF46" s="142"/>
      <c r="AG46" s="142"/>
      <c r="AH46" s="152"/>
      <c r="AI46" s="159"/>
      <c r="AJ46" s="165" t="str">
        <f>IF(AI47="","",IF(AI47&gt;AK47,"○",IF(AI47&lt;AK47,"●",IF(AI47=AK47,"△"))))</f>
        <v>△</v>
      </c>
      <c r="AK46" s="169"/>
      <c r="AL46" s="165"/>
      <c r="AM46" s="165" t="str">
        <f>IF(AL47="","",IF(AL47&gt;AN47,"○",IF(AL47&lt;AN47,"●",IF(AL47=AN47,"△"))))</f>
        <v>△</v>
      </c>
      <c r="AN46" s="169"/>
      <c r="AO46" s="747">
        <f>COUNTIF(AF46:AN46,"○")</f>
        <v>0</v>
      </c>
      <c r="AP46" s="748">
        <f>COUNTIF(AF46:AN46,"△")+COUNTIF(AF46:AN46,"▲")</f>
        <v>2</v>
      </c>
      <c r="AQ46" s="748">
        <f>COUNTIF(AF46:AN46,"●")</f>
        <v>0</v>
      </c>
      <c r="AR46" s="748">
        <f>SUM(AF47,AI47,AL47)</f>
        <v>1</v>
      </c>
      <c r="AS46" s="748">
        <f>SUM(AH47,AK47,AN47)</f>
        <v>1</v>
      </c>
      <c r="AT46" s="748">
        <f>(AO46*3)+(AP46*1)</f>
        <v>2</v>
      </c>
      <c r="AU46" s="749">
        <f>RANK(AT46,$AT$46:$AT$51)</f>
        <v>2</v>
      </c>
      <c r="AV46" s="750" t="s">
        <v>2308</v>
      </c>
      <c r="AW46" s="751">
        <f>AR46-AS46</f>
        <v>0</v>
      </c>
      <c r="AX46" s="752"/>
      <c r="AY46" s="753">
        <f>RANK(AW46,$AW$46:$AX$51)</f>
        <v>2</v>
      </c>
      <c r="AZ46" s="754" t="s">
        <v>2308</v>
      </c>
      <c r="BA46" s="755">
        <v>2</v>
      </c>
      <c r="BB46" s="756"/>
    </row>
    <row r="47" spans="1:55" ht="26.25" customHeight="1" x14ac:dyDescent="0.25">
      <c r="A47" s="741"/>
      <c r="B47" s="744" t="s">
        <v>1454</v>
      </c>
      <c r="C47" s="745"/>
      <c r="D47" s="141"/>
      <c r="E47" s="147"/>
      <c r="F47" s="153"/>
      <c r="G47" s="135">
        <f>F14</f>
        <v>2</v>
      </c>
      <c r="H47" s="148" t="s">
        <v>2136</v>
      </c>
      <c r="I47" s="155">
        <f>J14</f>
        <v>0</v>
      </c>
      <c r="J47" s="144">
        <f>J22</f>
        <v>3</v>
      </c>
      <c r="K47" s="176" t="s">
        <v>2136</v>
      </c>
      <c r="L47" s="155">
        <f>F22</f>
        <v>0</v>
      </c>
      <c r="M47" s="737"/>
      <c r="N47" s="738"/>
      <c r="O47" s="738"/>
      <c r="P47" s="738"/>
      <c r="Q47" s="738"/>
      <c r="R47" s="738"/>
      <c r="S47" s="735"/>
      <c r="T47" s="714"/>
      <c r="U47" s="739"/>
      <c r="V47" s="740"/>
      <c r="W47" s="720"/>
      <c r="X47" s="728"/>
      <c r="Y47" s="724"/>
      <c r="Z47" s="725"/>
      <c r="AA47" s="186"/>
      <c r="AC47" s="741"/>
      <c r="AD47" s="744" t="s">
        <v>1454</v>
      </c>
      <c r="AE47" s="745"/>
      <c r="AF47" s="141"/>
      <c r="AG47" s="147"/>
      <c r="AH47" s="153"/>
      <c r="AI47" s="135">
        <f>AH14</f>
        <v>1</v>
      </c>
      <c r="AJ47" s="148" t="s">
        <v>2136</v>
      </c>
      <c r="AK47" s="155">
        <f>AL14</f>
        <v>1</v>
      </c>
      <c r="AL47" s="144">
        <f>AL22</f>
        <v>0</v>
      </c>
      <c r="AM47" s="176" t="s">
        <v>2136</v>
      </c>
      <c r="AN47" s="155">
        <f>AH22</f>
        <v>0</v>
      </c>
      <c r="AO47" s="737"/>
      <c r="AP47" s="738"/>
      <c r="AQ47" s="738"/>
      <c r="AR47" s="738"/>
      <c r="AS47" s="738"/>
      <c r="AT47" s="738"/>
      <c r="AU47" s="735"/>
      <c r="AV47" s="714"/>
      <c r="AW47" s="739"/>
      <c r="AX47" s="740"/>
      <c r="AY47" s="720"/>
      <c r="AZ47" s="728"/>
      <c r="BA47" s="724"/>
      <c r="BB47" s="725"/>
    </row>
    <row r="48" spans="1:55" ht="26.25" customHeight="1" x14ac:dyDescent="0.25">
      <c r="A48" s="729" t="str">
        <f>D7</f>
        <v>臼杵ＳＳＳ</v>
      </c>
      <c r="B48" s="742" t="s">
        <v>2307</v>
      </c>
      <c r="C48" s="743"/>
      <c r="D48" s="143"/>
      <c r="E48" s="143" t="str">
        <f>IF(D49="","",IF(D49&gt;F49,"○",IF(D49&lt;F49,"●",IF(D49=F49,"△"))))</f>
        <v>●</v>
      </c>
      <c r="F48" s="154"/>
      <c r="G48" s="160"/>
      <c r="H48" s="166"/>
      <c r="I48" s="170"/>
      <c r="J48" s="162"/>
      <c r="K48" s="177" t="str">
        <f>IF(J49="","",IF(J49&gt;L49,"○",IF(J49&lt;L49,"●",IF(J49=L49,"△"))))</f>
        <v>●</v>
      </c>
      <c r="L48" s="154"/>
      <c r="M48" s="731">
        <f>COUNTIF(D48:L48,"○")</f>
        <v>0</v>
      </c>
      <c r="N48" s="733">
        <f>COUNTIF(D48:L48,"△")+COUNTIF(D48:L48,"▲")</f>
        <v>0</v>
      </c>
      <c r="O48" s="733">
        <f>COUNTIF(D48:L48,"●")</f>
        <v>2</v>
      </c>
      <c r="P48" s="733">
        <f>SUM(D49,G49,J49)</f>
        <v>1</v>
      </c>
      <c r="Q48" s="733">
        <f>SUM(F49,I49,L49)</f>
        <v>4</v>
      </c>
      <c r="R48" s="733">
        <f>(M48*3)+(N48*1)</f>
        <v>0</v>
      </c>
      <c r="S48" s="735">
        <f>RANK(R48,R$46:R$51)</f>
        <v>3</v>
      </c>
      <c r="T48" s="714" t="s">
        <v>2308</v>
      </c>
      <c r="U48" s="716">
        <f>P48-Q48</f>
        <v>-3</v>
      </c>
      <c r="V48" s="717"/>
      <c r="W48" s="720">
        <f>RANK(U48,U$46:U$51)</f>
        <v>3</v>
      </c>
      <c r="X48" s="722" t="s">
        <v>2308</v>
      </c>
      <c r="Y48" s="724">
        <v>3</v>
      </c>
      <c r="Z48" s="725"/>
      <c r="AA48" s="186"/>
      <c r="AC48" s="729" t="str">
        <f>AF7</f>
        <v>アトレチコエラン横瀬</v>
      </c>
      <c r="AD48" s="742" t="s">
        <v>2307</v>
      </c>
      <c r="AE48" s="743"/>
      <c r="AF48" s="143"/>
      <c r="AG48" s="143" t="str">
        <f>IF(AF49="","",IF(AF49&gt;AH49,"○",IF(AF49&lt;AH49,"●",IF(AF49=AH49,"△"))))</f>
        <v>△</v>
      </c>
      <c r="AH48" s="154"/>
      <c r="AI48" s="160"/>
      <c r="AJ48" s="166"/>
      <c r="AK48" s="170"/>
      <c r="AL48" s="162"/>
      <c r="AM48" s="177" t="str">
        <f>IF(AL49="","",IF(AL49&gt;AN49,"○",IF(AL49&lt;AN49,"●",IF(AL49=AN49,"△"))))</f>
        <v>●</v>
      </c>
      <c r="AN48" s="154"/>
      <c r="AO48" s="731">
        <f>COUNTIF(AF48:AN48,"○")</f>
        <v>0</v>
      </c>
      <c r="AP48" s="733">
        <f>COUNTIF(AF48:AN48,"△")+COUNTIF(AF48:AN48,"▲")</f>
        <v>1</v>
      </c>
      <c r="AQ48" s="733">
        <f>COUNTIF(AF48:AN48,"●")</f>
        <v>1</v>
      </c>
      <c r="AR48" s="733">
        <f>SUM(AF49,AI49,AL49)</f>
        <v>2</v>
      </c>
      <c r="AS48" s="733">
        <f>SUM(AH49,AK49,AN49)</f>
        <v>5</v>
      </c>
      <c r="AT48" s="733">
        <f>(AO48*3)+(AP48*1)</f>
        <v>1</v>
      </c>
      <c r="AU48" s="735">
        <f>RANK(AT48,$AT$46:$AT$51)</f>
        <v>3</v>
      </c>
      <c r="AV48" s="714" t="s">
        <v>2308</v>
      </c>
      <c r="AW48" s="716">
        <f>AR48-AS48</f>
        <v>-3</v>
      </c>
      <c r="AX48" s="717"/>
      <c r="AY48" s="720">
        <f>RANK(AW48,$AW$46:$AX$51)</f>
        <v>3</v>
      </c>
      <c r="AZ48" s="722" t="s">
        <v>2308</v>
      </c>
      <c r="BA48" s="724">
        <v>3</v>
      </c>
      <c r="BB48" s="725"/>
    </row>
    <row r="49" spans="1:54" ht="26.25" customHeight="1" x14ac:dyDescent="0.25">
      <c r="A49" s="741"/>
      <c r="B49" s="744" t="s">
        <v>1454</v>
      </c>
      <c r="C49" s="745"/>
      <c r="D49" s="144">
        <f>I47</f>
        <v>0</v>
      </c>
      <c r="E49" s="148" t="s">
        <v>2136</v>
      </c>
      <c r="F49" s="155">
        <f>G47</f>
        <v>2</v>
      </c>
      <c r="G49" s="161"/>
      <c r="H49" s="147"/>
      <c r="I49" s="171"/>
      <c r="J49" s="174">
        <f>F18</f>
        <v>1</v>
      </c>
      <c r="K49" s="148" t="s">
        <v>2136</v>
      </c>
      <c r="L49" s="180">
        <f>J18</f>
        <v>2</v>
      </c>
      <c r="M49" s="737"/>
      <c r="N49" s="738"/>
      <c r="O49" s="738"/>
      <c r="P49" s="738"/>
      <c r="Q49" s="738"/>
      <c r="R49" s="738"/>
      <c r="S49" s="735"/>
      <c r="T49" s="714"/>
      <c r="U49" s="739"/>
      <c r="V49" s="740"/>
      <c r="W49" s="720"/>
      <c r="X49" s="728"/>
      <c r="Y49" s="724"/>
      <c r="Z49" s="725"/>
      <c r="AA49" s="186"/>
      <c r="AC49" s="741"/>
      <c r="AD49" s="744" t="s">
        <v>1454</v>
      </c>
      <c r="AE49" s="745"/>
      <c r="AF49" s="144">
        <f>AK47</f>
        <v>1</v>
      </c>
      <c r="AG49" s="148" t="s">
        <v>2136</v>
      </c>
      <c r="AH49" s="155">
        <f>AI47</f>
        <v>1</v>
      </c>
      <c r="AI49" s="161"/>
      <c r="AJ49" s="147"/>
      <c r="AK49" s="171"/>
      <c r="AL49" s="174">
        <f>AH18</f>
        <v>1</v>
      </c>
      <c r="AM49" s="148" t="s">
        <v>2136</v>
      </c>
      <c r="AN49" s="180">
        <f>AL18</f>
        <v>4</v>
      </c>
      <c r="AO49" s="737"/>
      <c r="AP49" s="738"/>
      <c r="AQ49" s="738"/>
      <c r="AR49" s="738"/>
      <c r="AS49" s="738"/>
      <c r="AT49" s="738"/>
      <c r="AU49" s="735"/>
      <c r="AV49" s="714"/>
      <c r="AW49" s="739"/>
      <c r="AX49" s="740"/>
      <c r="AY49" s="720"/>
      <c r="AZ49" s="728"/>
      <c r="BA49" s="724"/>
      <c r="BB49" s="725"/>
    </row>
    <row r="50" spans="1:54" ht="26.25" customHeight="1" x14ac:dyDescent="0.25">
      <c r="A50" s="729" t="str">
        <f>D8</f>
        <v>別府フットボールクラブ．ミネルバＵ－１２</v>
      </c>
      <c r="B50" s="742" t="s">
        <v>2307</v>
      </c>
      <c r="C50" s="743"/>
      <c r="D50" s="143"/>
      <c r="E50" s="143" t="str">
        <f>IF(D51="","",IF(D51&gt;F51,"○",IF(D51&lt;F51,"●",IF(D51=F51,"△"))))</f>
        <v>●</v>
      </c>
      <c r="F50" s="154"/>
      <c r="G50" s="162"/>
      <c r="H50" s="143" t="str">
        <f>IF(G51="","",IF(G51&gt;I51,"○",IF(G51&lt;I51,"●",IF(G51=I51,"△"))))</f>
        <v>○</v>
      </c>
      <c r="I50" s="154"/>
      <c r="J50" s="160"/>
      <c r="K50" s="166"/>
      <c r="L50" s="170"/>
      <c r="M50" s="731">
        <f>COUNTIF(D50:L50,"○")</f>
        <v>1</v>
      </c>
      <c r="N50" s="733">
        <f>COUNTIF(D50:L50,"△")+COUNTIF(D50:L50,"▲")</f>
        <v>0</v>
      </c>
      <c r="O50" s="733">
        <f>COUNTIF(D50:L50,"●")</f>
        <v>1</v>
      </c>
      <c r="P50" s="733">
        <f>SUM(D51,G51,J51)</f>
        <v>2</v>
      </c>
      <c r="Q50" s="733">
        <f>SUM(F51,I51,L51)</f>
        <v>4</v>
      </c>
      <c r="R50" s="733">
        <f>(M50*3)+(N50*1)</f>
        <v>3</v>
      </c>
      <c r="S50" s="735">
        <f>RANK(R50,R$46:R$51)</f>
        <v>2</v>
      </c>
      <c r="T50" s="714" t="s">
        <v>2308</v>
      </c>
      <c r="U50" s="716">
        <f>P50-Q50</f>
        <v>-2</v>
      </c>
      <c r="V50" s="717"/>
      <c r="W50" s="720">
        <f>RANK(U50,U$46:U$51)</f>
        <v>2</v>
      </c>
      <c r="X50" s="722" t="s">
        <v>2308</v>
      </c>
      <c r="Y50" s="724">
        <v>2</v>
      </c>
      <c r="Z50" s="725"/>
      <c r="AA50" s="186"/>
      <c r="AC50" s="729" t="str">
        <f>AF8</f>
        <v>カティオーラフットボールクラブＵ－１２</v>
      </c>
      <c r="AD50" s="742" t="s">
        <v>2307</v>
      </c>
      <c r="AE50" s="743"/>
      <c r="AF50" s="143"/>
      <c r="AG50" s="143" t="str">
        <f>IF(AF51="","",IF(AF51&gt;AH51,"○",IF(AF51&lt;AH51,"●",IF(AF51=AH51,"△"))))</f>
        <v>△</v>
      </c>
      <c r="AH50" s="154"/>
      <c r="AI50" s="162"/>
      <c r="AJ50" s="143" t="str">
        <f>IF(AI51="","",IF(AI51&gt;AK51,"○",IF(AI51&lt;AK51,"●",IF(AI51=AK51,"△"))))</f>
        <v>○</v>
      </c>
      <c r="AK50" s="154"/>
      <c r="AL50" s="160"/>
      <c r="AM50" s="166"/>
      <c r="AN50" s="170"/>
      <c r="AO50" s="731">
        <f>COUNTIF(AF50:AN50,"○")</f>
        <v>1</v>
      </c>
      <c r="AP50" s="733">
        <f>COUNTIF(AF50:AN50,"△")+COUNTIF(AF50:AN50,"▲")</f>
        <v>1</v>
      </c>
      <c r="AQ50" s="733">
        <f>COUNTIF(AF50:AN50,"●")</f>
        <v>0</v>
      </c>
      <c r="AR50" s="733">
        <f>SUM(AF51,AI51,AL51)</f>
        <v>4</v>
      </c>
      <c r="AS50" s="733">
        <f>SUM(AH51,AK51,AN51)</f>
        <v>1</v>
      </c>
      <c r="AT50" s="733">
        <f>(AO50*3)+(AP50*1)</f>
        <v>4</v>
      </c>
      <c r="AU50" s="735">
        <f>RANK(AT50,$AT$46:$AT$51)</f>
        <v>1</v>
      </c>
      <c r="AV50" s="714" t="s">
        <v>2308</v>
      </c>
      <c r="AW50" s="716">
        <f>AR50-AS50</f>
        <v>3</v>
      </c>
      <c r="AX50" s="717"/>
      <c r="AY50" s="720">
        <f>RANK(AW50,$AW$46:$AX$51)</f>
        <v>1</v>
      </c>
      <c r="AZ50" s="722" t="s">
        <v>2308</v>
      </c>
      <c r="BA50" s="724">
        <v>1</v>
      </c>
      <c r="BB50" s="725"/>
    </row>
    <row r="51" spans="1:54" ht="26.25" customHeight="1" x14ac:dyDescent="0.25">
      <c r="A51" s="730"/>
      <c r="B51" s="769" t="s">
        <v>1454</v>
      </c>
      <c r="C51" s="770"/>
      <c r="D51" s="145">
        <f>L47</f>
        <v>0</v>
      </c>
      <c r="E51" s="149" t="s">
        <v>2136</v>
      </c>
      <c r="F51" s="156">
        <f>J47</f>
        <v>3</v>
      </c>
      <c r="G51" s="163">
        <f>L49</f>
        <v>2</v>
      </c>
      <c r="H51" s="149" t="s">
        <v>2136</v>
      </c>
      <c r="I51" s="172">
        <f>J49</f>
        <v>1</v>
      </c>
      <c r="J51" s="175"/>
      <c r="K51" s="178"/>
      <c r="L51" s="181"/>
      <c r="M51" s="732"/>
      <c r="N51" s="734"/>
      <c r="O51" s="734"/>
      <c r="P51" s="734"/>
      <c r="Q51" s="734"/>
      <c r="R51" s="734"/>
      <c r="S51" s="736"/>
      <c r="T51" s="715"/>
      <c r="U51" s="718"/>
      <c r="V51" s="719"/>
      <c r="W51" s="721"/>
      <c r="X51" s="723"/>
      <c r="Y51" s="726"/>
      <c r="Z51" s="727"/>
      <c r="AA51" s="186"/>
      <c r="AC51" s="730"/>
      <c r="AD51" s="769" t="s">
        <v>1454</v>
      </c>
      <c r="AE51" s="770"/>
      <c r="AF51" s="145">
        <f>AN47</f>
        <v>0</v>
      </c>
      <c r="AG51" s="149" t="s">
        <v>2136</v>
      </c>
      <c r="AH51" s="156">
        <f>AL47</f>
        <v>0</v>
      </c>
      <c r="AI51" s="163">
        <f>AN49</f>
        <v>4</v>
      </c>
      <c r="AJ51" s="149" t="s">
        <v>2136</v>
      </c>
      <c r="AK51" s="172">
        <f>AL49</f>
        <v>1</v>
      </c>
      <c r="AL51" s="175"/>
      <c r="AM51" s="178"/>
      <c r="AN51" s="181"/>
      <c r="AO51" s="732"/>
      <c r="AP51" s="734"/>
      <c r="AQ51" s="734"/>
      <c r="AR51" s="734"/>
      <c r="AS51" s="734"/>
      <c r="AT51" s="734"/>
      <c r="AU51" s="736"/>
      <c r="AV51" s="715"/>
      <c r="AW51" s="718"/>
      <c r="AX51" s="719"/>
      <c r="AY51" s="721"/>
      <c r="AZ51" s="723"/>
      <c r="BA51" s="726"/>
      <c r="BB51" s="727"/>
    </row>
    <row r="52" spans="1:54" ht="15" customHeight="1" x14ac:dyDescent="0.25">
      <c r="A52" s="133"/>
      <c r="B52" s="133"/>
      <c r="C52" s="133"/>
      <c r="D52" s="133"/>
      <c r="E52" s="133"/>
      <c r="F52" s="133"/>
      <c r="G52" s="133"/>
      <c r="H52" s="133"/>
      <c r="I52" s="133"/>
      <c r="J52" s="133"/>
      <c r="K52" s="133"/>
      <c r="L52" s="133"/>
      <c r="M52" s="133"/>
      <c r="N52" s="133"/>
      <c r="O52" s="133"/>
      <c r="P52" s="133"/>
      <c r="Q52" s="133"/>
      <c r="R52" s="133"/>
      <c r="S52" s="133"/>
      <c r="T52" s="133"/>
      <c r="U52" s="133"/>
      <c r="V52" s="133"/>
      <c r="W52" s="133"/>
      <c r="X52" s="133"/>
      <c r="Y52" s="133"/>
      <c r="Z52" s="186"/>
      <c r="AA52" s="186"/>
      <c r="AC52" s="133"/>
      <c r="AD52" s="133"/>
      <c r="AE52" s="133"/>
      <c r="AF52" s="186"/>
      <c r="AG52" s="186"/>
      <c r="AH52" s="186"/>
      <c r="AI52" s="186"/>
      <c r="AJ52" s="186"/>
      <c r="AK52" s="186"/>
      <c r="AL52" s="186"/>
      <c r="AM52" s="186"/>
      <c r="AN52" s="186"/>
      <c r="AO52" s="186"/>
      <c r="AP52" s="186"/>
      <c r="AQ52" s="186"/>
      <c r="AR52" s="186"/>
      <c r="AS52" s="186"/>
      <c r="AT52" s="186"/>
      <c r="AU52" s="133"/>
      <c r="AV52" s="133"/>
      <c r="AW52" s="133"/>
      <c r="AX52" s="133"/>
      <c r="AY52" s="133"/>
      <c r="AZ52" s="133"/>
      <c r="BA52" s="133"/>
      <c r="BB52" s="186"/>
    </row>
    <row r="53" spans="1:54" ht="54" customHeight="1" x14ac:dyDescent="0.25">
      <c r="A53" s="781" t="str">
        <f>J4</f>
        <v>2次リーグ　Cパート</v>
      </c>
      <c r="B53" s="782"/>
      <c r="C53" s="783"/>
      <c r="D53" s="771" t="str">
        <f>A54</f>
        <v>ティエラフットボールクラブＵ－１２</v>
      </c>
      <c r="E53" s="772"/>
      <c r="F53" s="772"/>
      <c r="G53" s="772" t="str">
        <f>A56</f>
        <v>大分トリニータタートルズ</v>
      </c>
      <c r="H53" s="772"/>
      <c r="I53" s="772"/>
      <c r="J53" s="772" t="str">
        <f>A58</f>
        <v>リノスフットボールクラブ　Ｕ－１２</v>
      </c>
      <c r="K53" s="772"/>
      <c r="L53" s="772"/>
      <c r="M53" s="182" t="s">
        <v>159</v>
      </c>
      <c r="N53" s="184" t="s">
        <v>2302</v>
      </c>
      <c r="O53" s="185" t="s">
        <v>1200</v>
      </c>
      <c r="P53" s="184" t="s">
        <v>2303</v>
      </c>
      <c r="Q53" s="184" t="s">
        <v>2304</v>
      </c>
      <c r="R53" s="184" t="s">
        <v>1160</v>
      </c>
      <c r="S53" s="773" t="s">
        <v>577</v>
      </c>
      <c r="T53" s="774"/>
      <c r="U53" s="775" t="s">
        <v>2305</v>
      </c>
      <c r="V53" s="776"/>
      <c r="W53" s="775" t="s">
        <v>1485</v>
      </c>
      <c r="X53" s="776"/>
      <c r="Y53" s="777" t="s">
        <v>2306</v>
      </c>
      <c r="Z53" s="778"/>
      <c r="AA53" s="186"/>
      <c r="AC53" s="781" t="str">
        <f>AL4</f>
        <v>2次リーグ　Dパート</v>
      </c>
      <c r="AD53" s="782"/>
      <c r="AE53" s="783"/>
      <c r="AF53" s="771" t="str">
        <f>AC54</f>
        <v>滝尾下郡サッカースポーツ少年団</v>
      </c>
      <c r="AG53" s="772"/>
      <c r="AH53" s="772"/>
      <c r="AI53" s="772" t="str">
        <f>AC56</f>
        <v>戸次吉野ＳＳＳ</v>
      </c>
      <c r="AJ53" s="772"/>
      <c r="AK53" s="772"/>
      <c r="AL53" s="772" t="str">
        <f>AC58</f>
        <v>四日市南ＳＳＣ</v>
      </c>
      <c r="AM53" s="772"/>
      <c r="AN53" s="772"/>
      <c r="AO53" s="182" t="s">
        <v>159</v>
      </c>
      <c r="AP53" s="184" t="s">
        <v>2302</v>
      </c>
      <c r="AQ53" s="185" t="s">
        <v>1200</v>
      </c>
      <c r="AR53" s="184" t="s">
        <v>2303</v>
      </c>
      <c r="AS53" s="184" t="s">
        <v>2304</v>
      </c>
      <c r="AT53" s="184" t="s">
        <v>1160</v>
      </c>
      <c r="AU53" s="773" t="s">
        <v>577</v>
      </c>
      <c r="AV53" s="774"/>
      <c r="AW53" s="775" t="s">
        <v>2305</v>
      </c>
      <c r="AX53" s="776"/>
      <c r="AY53" s="775" t="s">
        <v>1485</v>
      </c>
      <c r="AZ53" s="776"/>
      <c r="BA53" s="777" t="s">
        <v>2306</v>
      </c>
      <c r="BB53" s="778"/>
    </row>
    <row r="54" spans="1:54" ht="26.25" customHeight="1" x14ac:dyDescent="0.25">
      <c r="A54" s="746" t="str">
        <f>J6</f>
        <v>ティエラフットボールクラブＵ－１２</v>
      </c>
      <c r="B54" s="779" t="s">
        <v>2307</v>
      </c>
      <c r="C54" s="780"/>
      <c r="D54" s="142"/>
      <c r="E54" s="142"/>
      <c r="F54" s="152"/>
      <c r="G54" s="159"/>
      <c r="H54" s="165" t="str">
        <f>IF(G55="","",IF(G55&gt;I55,"○",IF(G55&lt;I55,"●",IF(G55=I55,"△"))))</f>
        <v>○</v>
      </c>
      <c r="I54" s="169"/>
      <c r="J54" s="165"/>
      <c r="K54" s="165" t="str">
        <f>IF(J55="","",IF(J55&gt;L55,"○",IF(J55&lt;L55,"●",IF(J55=L55,"△"))))</f>
        <v>○</v>
      </c>
      <c r="L54" s="169"/>
      <c r="M54" s="747">
        <f>COUNTIF(D54:L54,"○")</f>
        <v>2</v>
      </c>
      <c r="N54" s="748">
        <f>COUNTIF(D54:L54,"△")+COUNTIF(D54:L54,"▲")</f>
        <v>0</v>
      </c>
      <c r="O54" s="748">
        <f>COUNTIF(D54:L54,"●")</f>
        <v>0</v>
      </c>
      <c r="P54" s="748">
        <f>SUM(D55,G55,J55)</f>
        <v>5</v>
      </c>
      <c r="Q54" s="748">
        <f>SUM(F55,I55,L55)</f>
        <v>3</v>
      </c>
      <c r="R54" s="748">
        <f>(M54*3)+(N54*1)</f>
        <v>6</v>
      </c>
      <c r="S54" s="749">
        <f>RANK(R54,$R$54:$R$59)</f>
        <v>1</v>
      </c>
      <c r="T54" s="750" t="s">
        <v>2308</v>
      </c>
      <c r="U54" s="751">
        <f>P54-Q54</f>
        <v>2</v>
      </c>
      <c r="V54" s="752"/>
      <c r="W54" s="753">
        <f>RANK(U54,$U$54:$V$59)</f>
        <v>1</v>
      </c>
      <c r="X54" s="754" t="s">
        <v>2308</v>
      </c>
      <c r="Y54" s="755">
        <v>1</v>
      </c>
      <c r="Z54" s="756"/>
      <c r="AA54" s="186"/>
      <c r="AC54" s="746" t="str">
        <f>AL6</f>
        <v>滝尾下郡サッカースポーツ少年団</v>
      </c>
      <c r="AD54" s="779" t="s">
        <v>2307</v>
      </c>
      <c r="AE54" s="780"/>
      <c r="AF54" s="142"/>
      <c r="AG54" s="142"/>
      <c r="AH54" s="152"/>
      <c r="AI54" s="159"/>
      <c r="AJ54" s="165" t="str">
        <f>IF(AI55="","",IF(AI55&gt;AK55,"○",IF(AI55&lt;AK55,"●",IF(AI55=AK55,"△"))))</f>
        <v>○</v>
      </c>
      <c r="AK54" s="169"/>
      <c r="AL54" s="165"/>
      <c r="AM54" s="165" t="str">
        <f>IF(AL55="","",IF(AL55&gt;AN55,"○",IF(AL55&lt;AN55,"●",IF(AL55=AN55,"△"))))</f>
        <v>●</v>
      </c>
      <c r="AN54" s="169"/>
      <c r="AO54" s="747">
        <f>COUNTIF(AF54:AN54,"○")</f>
        <v>1</v>
      </c>
      <c r="AP54" s="748">
        <f>COUNTIF(AF54:AN54,"△")+COUNTIF(AF54:AN54,"▲")</f>
        <v>0</v>
      </c>
      <c r="AQ54" s="748">
        <f>COUNTIF(AF54:AN54,"●")</f>
        <v>1</v>
      </c>
      <c r="AR54" s="748">
        <f>SUM(AF55,AI55,AL55)</f>
        <v>2</v>
      </c>
      <c r="AS54" s="748">
        <f>SUM(AH55,AK55,AN55)</f>
        <v>3</v>
      </c>
      <c r="AT54" s="748">
        <f>(AO54*3)+(AP54*1)</f>
        <v>3</v>
      </c>
      <c r="AU54" s="749">
        <f>RANK(AT54,$AT$54:$AT$59)</f>
        <v>2</v>
      </c>
      <c r="AV54" s="750" t="s">
        <v>2308</v>
      </c>
      <c r="AW54" s="751">
        <f>AR54-AS54</f>
        <v>-1</v>
      </c>
      <c r="AX54" s="752"/>
      <c r="AY54" s="753">
        <f>RANK(AW54,$AW$54:$AX$59)</f>
        <v>2</v>
      </c>
      <c r="AZ54" s="754" t="s">
        <v>2308</v>
      </c>
      <c r="BA54" s="755">
        <v>2</v>
      </c>
      <c r="BB54" s="756"/>
    </row>
    <row r="55" spans="1:54" ht="26.25" customHeight="1" x14ac:dyDescent="0.25">
      <c r="A55" s="741"/>
      <c r="B55" s="744" t="s">
        <v>1454</v>
      </c>
      <c r="C55" s="745"/>
      <c r="D55" s="141"/>
      <c r="E55" s="147"/>
      <c r="F55" s="153"/>
      <c r="G55" s="135">
        <f>F16</f>
        <v>4</v>
      </c>
      <c r="H55" s="148" t="s">
        <v>2136</v>
      </c>
      <c r="I55" s="155">
        <f>J16</f>
        <v>3</v>
      </c>
      <c r="J55" s="144">
        <f>J24</f>
        <v>1</v>
      </c>
      <c r="K55" s="176" t="s">
        <v>2136</v>
      </c>
      <c r="L55" s="155">
        <f>F24</f>
        <v>0</v>
      </c>
      <c r="M55" s="737"/>
      <c r="N55" s="738"/>
      <c r="O55" s="738"/>
      <c r="P55" s="738"/>
      <c r="Q55" s="738"/>
      <c r="R55" s="738"/>
      <c r="S55" s="735"/>
      <c r="T55" s="714"/>
      <c r="U55" s="739"/>
      <c r="V55" s="740"/>
      <c r="W55" s="720"/>
      <c r="X55" s="728"/>
      <c r="Y55" s="724"/>
      <c r="Z55" s="725"/>
      <c r="AA55" s="186"/>
      <c r="AC55" s="741"/>
      <c r="AD55" s="744" t="s">
        <v>1454</v>
      </c>
      <c r="AE55" s="745"/>
      <c r="AF55" s="141"/>
      <c r="AG55" s="147"/>
      <c r="AH55" s="153"/>
      <c r="AI55" s="135">
        <f>AH16</f>
        <v>2</v>
      </c>
      <c r="AJ55" s="148" t="s">
        <v>2136</v>
      </c>
      <c r="AK55" s="155">
        <f>AL16</f>
        <v>1</v>
      </c>
      <c r="AL55" s="144">
        <f>AL24</f>
        <v>0</v>
      </c>
      <c r="AM55" s="176" t="s">
        <v>2136</v>
      </c>
      <c r="AN55" s="155">
        <f>AH24</f>
        <v>2</v>
      </c>
      <c r="AO55" s="737"/>
      <c r="AP55" s="738"/>
      <c r="AQ55" s="738"/>
      <c r="AR55" s="738"/>
      <c r="AS55" s="738"/>
      <c r="AT55" s="738"/>
      <c r="AU55" s="735"/>
      <c r="AV55" s="714"/>
      <c r="AW55" s="739"/>
      <c r="AX55" s="740"/>
      <c r="AY55" s="720"/>
      <c r="AZ55" s="728"/>
      <c r="BA55" s="724"/>
      <c r="BB55" s="725"/>
    </row>
    <row r="56" spans="1:54" ht="26.25" customHeight="1" x14ac:dyDescent="0.25">
      <c r="A56" s="729" t="str">
        <f>J7</f>
        <v>大分トリニータタートルズ</v>
      </c>
      <c r="B56" s="742" t="s">
        <v>2307</v>
      </c>
      <c r="C56" s="743"/>
      <c r="D56" s="143"/>
      <c r="E56" s="143" t="str">
        <f>IF(D57="","",IF(D57&gt;F57,"○",IF(D57&lt;F57,"●",IF(D57=F57,"△"))))</f>
        <v>●</v>
      </c>
      <c r="F56" s="154"/>
      <c r="G56" s="160"/>
      <c r="H56" s="166"/>
      <c r="I56" s="170"/>
      <c r="J56" s="162"/>
      <c r="K56" s="177" t="str">
        <f>IF(J57="","",IF(J57&gt;L57,"○",IF(J57&lt;L57,"●",IF(J57=L57,"△"))))</f>
        <v>●</v>
      </c>
      <c r="L56" s="154"/>
      <c r="M56" s="731">
        <f>COUNTIF(D56:L56,"○")</f>
        <v>0</v>
      </c>
      <c r="N56" s="733">
        <f>COUNTIF(D56:L56,"△")+COUNTIF(D56:L56,"▲")</f>
        <v>0</v>
      </c>
      <c r="O56" s="733">
        <f>COUNTIF(D56:L56,"●")</f>
        <v>2</v>
      </c>
      <c r="P56" s="733">
        <f>SUM(D57,G57,J57)</f>
        <v>3</v>
      </c>
      <c r="Q56" s="733">
        <f>SUM(F57,I57,L57)</f>
        <v>5</v>
      </c>
      <c r="R56" s="733">
        <f>(M56*3)+(N56*1)</f>
        <v>0</v>
      </c>
      <c r="S56" s="735">
        <f>RANK(R56,$R$54:$R$59)</f>
        <v>3</v>
      </c>
      <c r="T56" s="714" t="s">
        <v>2308</v>
      </c>
      <c r="U56" s="716">
        <f>P56-Q56</f>
        <v>-2</v>
      </c>
      <c r="V56" s="717"/>
      <c r="W56" s="720">
        <f>RANK(U56,$U$54:$V$59)</f>
        <v>3</v>
      </c>
      <c r="X56" s="722" t="s">
        <v>2308</v>
      </c>
      <c r="Y56" s="724">
        <v>3</v>
      </c>
      <c r="Z56" s="725"/>
      <c r="AA56" s="186"/>
      <c r="AC56" s="729" t="str">
        <f>AL7</f>
        <v>戸次吉野ＳＳＳ</v>
      </c>
      <c r="AD56" s="742" t="s">
        <v>2307</v>
      </c>
      <c r="AE56" s="743"/>
      <c r="AF56" s="143"/>
      <c r="AG56" s="143" t="str">
        <f>IF(AF57="","",IF(AF57&gt;AH57,"○",IF(AF57&lt;AH57,"●",IF(AF57=AH57,"△"))))</f>
        <v>●</v>
      </c>
      <c r="AH56" s="154"/>
      <c r="AI56" s="160"/>
      <c r="AJ56" s="166"/>
      <c r="AK56" s="170"/>
      <c r="AL56" s="162"/>
      <c r="AM56" s="177" t="str">
        <f>IF(AL57="","",IF(AL57&gt;AN57,"○",IF(AL57&lt;AN57,"●",IF(AL57=AN57,"△"))))</f>
        <v>●</v>
      </c>
      <c r="AN56" s="154"/>
      <c r="AO56" s="731">
        <f>COUNTIF(AF56:AN56,"○")</f>
        <v>0</v>
      </c>
      <c r="AP56" s="733">
        <f>COUNTIF(AF56:AN56,"△")+COUNTIF(AF56:AN56,"▲")</f>
        <v>0</v>
      </c>
      <c r="AQ56" s="733">
        <f>COUNTIF(AF56:AN56,"●")</f>
        <v>2</v>
      </c>
      <c r="AR56" s="733">
        <f>SUM(AF57,AI57,AL57)</f>
        <v>1</v>
      </c>
      <c r="AS56" s="733">
        <f>SUM(AH57,AK57,AN57)</f>
        <v>5</v>
      </c>
      <c r="AT56" s="733">
        <f>(AO56*3)+(AP56*1)</f>
        <v>0</v>
      </c>
      <c r="AU56" s="735">
        <f>RANK(AT56,$AT$54:$AT$59)</f>
        <v>3</v>
      </c>
      <c r="AV56" s="714" t="s">
        <v>2308</v>
      </c>
      <c r="AW56" s="716">
        <f>AR56-AS56</f>
        <v>-4</v>
      </c>
      <c r="AX56" s="717"/>
      <c r="AY56" s="720">
        <f>RANK(AW56,$AW$54:$AX$59)</f>
        <v>3</v>
      </c>
      <c r="AZ56" s="722" t="s">
        <v>2308</v>
      </c>
      <c r="BA56" s="724">
        <v>3</v>
      </c>
      <c r="BB56" s="725"/>
    </row>
    <row r="57" spans="1:54" ht="26.25" customHeight="1" x14ac:dyDescent="0.25">
      <c r="A57" s="741"/>
      <c r="B57" s="744" t="s">
        <v>1454</v>
      </c>
      <c r="C57" s="745"/>
      <c r="D57" s="144">
        <f>I55</f>
        <v>3</v>
      </c>
      <c r="E57" s="148" t="s">
        <v>2136</v>
      </c>
      <c r="F57" s="155">
        <f>G55</f>
        <v>4</v>
      </c>
      <c r="G57" s="161"/>
      <c r="H57" s="147"/>
      <c r="I57" s="171"/>
      <c r="J57" s="174">
        <f>F20</f>
        <v>0</v>
      </c>
      <c r="K57" s="148" t="s">
        <v>2136</v>
      </c>
      <c r="L57" s="180">
        <f>J20</f>
        <v>1</v>
      </c>
      <c r="M57" s="737"/>
      <c r="N57" s="738"/>
      <c r="O57" s="738"/>
      <c r="P57" s="738"/>
      <c r="Q57" s="738"/>
      <c r="R57" s="738"/>
      <c r="S57" s="735"/>
      <c r="T57" s="714"/>
      <c r="U57" s="739"/>
      <c r="V57" s="740"/>
      <c r="W57" s="720"/>
      <c r="X57" s="728"/>
      <c r="Y57" s="724"/>
      <c r="Z57" s="725"/>
      <c r="AA57" s="186"/>
      <c r="AC57" s="741"/>
      <c r="AD57" s="744" t="s">
        <v>1454</v>
      </c>
      <c r="AE57" s="745"/>
      <c r="AF57" s="144">
        <f>AK55</f>
        <v>1</v>
      </c>
      <c r="AG57" s="148" t="s">
        <v>2136</v>
      </c>
      <c r="AH57" s="155">
        <f>AI55</f>
        <v>2</v>
      </c>
      <c r="AI57" s="161"/>
      <c r="AJ57" s="147"/>
      <c r="AK57" s="171"/>
      <c r="AL57" s="174">
        <f>AH20</f>
        <v>0</v>
      </c>
      <c r="AM57" s="148" t="s">
        <v>2136</v>
      </c>
      <c r="AN57" s="180">
        <f>AL20</f>
        <v>3</v>
      </c>
      <c r="AO57" s="737"/>
      <c r="AP57" s="738"/>
      <c r="AQ57" s="738"/>
      <c r="AR57" s="738"/>
      <c r="AS57" s="738"/>
      <c r="AT57" s="738"/>
      <c r="AU57" s="735"/>
      <c r="AV57" s="714"/>
      <c r="AW57" s="739"/>
      <c r="AX57" s="740"/>
      <c r="AY57" s="720"/>
      <c r="AZ57" s="728"/>
      <c r="BA57" s="724"/>
      <c r="BB57" s="725"/>
    </row>
    <row r="58" spans="1:54" ht="26.25" customHeight="1" x14ac:dyDescent="0.25">
      <c r="A58" s="729" t="str">
        <f>J8</f>
        <v>リノスフットボールクラブ　Ｕ－１２</v>
      </c>
      <c r="B58" s="742" t="s">
        <v>2307</v>
      </c>
      <c r="C58" s="743"/>
      <c r="D58" s="143"/>
      <c r="E58" s="143" t="str">
        <f>IF(D59="","",IF(D59&gt;F59,"○",IF(D59&lt;F59,"●",IF(D59=F59,"△"))))</f>
        <v>●</v>
      </c>
      <c r="F58" s="154"/>
      <c r="G58" s="162"/>
      <c r="H58" s="143" t="str">
        <f>IF(G59="","",IF(G59&gt;I59,"○",IF(G59&lt;I59,"●",IF(G59=I59,"△"))))</f>
        <v>○</v>
      </c>
      <c r="I58" s="154"/>
      <c r="J58" s="160"/>
      <c r="K58" s="166"/>
      <c r="L58" s="170"/>
      <c r="M58" s="731">
        <f>COUNTIF(D58:L58,"○")</f>
        <v>1</v>
      </c>
      <c r="N58" s="733">
        <f>COUNTIF(D58:L58,"△")+COUNTIF(D58:L58,"▲")</f>
        <v>0</v>
      </c>
      <c r="O58" s="733">
        <f>COUNTIF(D58:L58,"●")</f>
        <v>1</v>
      </c>
      <c r="P58" s="733">
        <f>SUM(D59,G59,J59)</f>
        <v>1</v>
      </c>
      <c r="Q58" s="733">
        <f>SUM(F59,I59,L59)</f>
        <v>1</v>
      </c>
      <c r="R58" s="733">
        <f>(M58*3)+(N58*1)</f>
        <v>3</v>
      </c>
      <c r="S58" s="735">
        <f>RANK(R58,$R$54:$R$59)</f>
        <v>2</v>
      </c>
      <c r="T58" s="714" t="s">
        <v>2308</v>
      </c>
      <c r="U58" s="716">
        <f>P58-Q58</f>
        <v>0</v>
      </c>
      <c r="V58" s="717"/>
      <c r="W58" s="720">
        <f>RANK(U58,$U$54:$V$59)</f>
        <v>2</v>
      </c>
      <c r="X58" s="722" t="s">
        <v>2308</v>
      </c>
      <c r="Y58" s="724">
        <v>2</v>
      </c>
      <c r="Z58" s="725"/>
      <c r="AA58" s="186"/>
      <c r="AC58" s="729" t="str">
        <f>AL8</f>
        <v>四日市南ＳＳＣ</v>
      </c>
      <c r="AD58" s="742" t="s">
        <v>2307</v>
      </c>
      <c r="AE58" s="743"/>
      <c r="AF58" s="143"/>
      <c r="AG58" s="143" t="str">
        <f>IF(AF59="","",IF(AF59&gt;AH59,"○",IF(AF59&lt;AH59,"●",IF(AF59=AH59,"△"))))</f>
        <v>○</v>
      </c>
      <c r="AH58" s="154"/>
      <c r="AI58" s="162"/>
      <c r="AJ58" s="143" t="str">
        <f>IF(AI59="","",IF(AI59&gt;AK59,"○",IF(AI59&lt;AK59,"●",IF(AI59=AK59,"△"))))</f>
        <v>○</v>
      </c>
      <c r="AK58" s="154"/>
      <c r="AL58" s="160"/>
      <c r="AM58" s="166"/>
      <c r="AN58" s="170"/>
      <c r="AO58" s="731">
        <f>COUNTIF(AF58:AN58,"○")</f>
        <v>2</v>
      </c>
      <c r="AP58" s="733">
        <f>COUNTIF(AF58:AN58,"△")+COUNTIF(AF58:AN58,"▲")</f>
        <v>0</v>
      </c>
      <c r="AQ58" s="733">
        <f>COUNTIF(AF58:AN58,"●")</f>
        <v>0</v>
      </c>
      <c r="AR58" s="733">
        <f>SUM(AF59,AI59,AL59)</f>
        <v>5</v>
      </c>
      <c r="AS58" s="733">
        <f>SUM(AH59,AK59,AN59)</f>
        <v>0</v>
      </c>
      <c r="AT58" s="733">
        <f>(AO58*3)+(AP58*1)</f>
        <v>6</v>
      </c>
      <c r="AU58" s="735">
        <f>RANK(AT58,$AT$54:$AT$59)</f>
        <v>1</v>
      </c>
      <c r="AV58" s="714" t="s">
        <v>2308</v>
      </c>
      <c r="AW58" s="716">
        <f>AR58-AS58</f>
        <v>5</v>
      </c>
      <c r="AX58" s="717"/>
      <c r="AY58" s="720">
        <f>RANK(AW58,$AW$54:$AX$59)</f>
        <v>1</v>
      </c>
      <c r="AZ58" s="722" t="s">
        <v>2308</v>
      </c>
      <c r="BA58" s="724">
        <v>1</v>
      </c>
      <c r="BB58" s="725"/>
    </row>
    <row r="59" spans="1:54" ht="26.25" customHeight="1" x14ac:dyDescent="0.25">
      <c r="A59" s="730"/>
      <c r="B59" s="769" t="s">
        <v>1454</v>
      </c>
      <c r="C59" s="770"/>
      <c r="D59" s="145">
        <f>L55</f>
        <v>0</v>
      </c>
      <c r="E59" s="149" t="s">
        <v>2136</v>
      </c>
      <c r="F59" s="156">
        <f>J55</f>
        <v>1</v>
      </c>
      <c r="G59" s="163">
        <f>L57</f>
        <v>1</v>
      </c>
      <c r="H59" s="149" t="s">
        <v>2136</v>
      </c>
      <c r="I59" s="172">
        <f>J57</f>
        <v>0</v>
      </c>
      <c r="J59" s="175"/>
      <c r="K59" s="178"/>
      <c r="L59" s="181"/>
      <c r="M59" s="732"/>
      <c r="N59" s="734"/>
      <c r="O59" s="734"/>
      <c r="P59" s="734"/>
      <c r="Q59" s="734"/>
      <c r="R59" s="734"/>
      <c r="S59" s="736"/>
      <c r="T59" s="715"/>
      <c r="U59" s="718"/>
      <c r="V59" s="719"/>
      <c r="W59" s="721"/>
      <c r="X59" s="723"/>
      <c r="Y59" s="726"/>
      <c r="Z59" s="727"/>
      <c r="AA59" s="186"/>
      <c r="AC59" s="730"/>
      <c r="AD59" s="769" t="s">
        <v>1454</v>
      </c>
      <c r="AE59" s="770"/>
      <c r="AF59" s="145">
        <f>AN55</f>
        <v>2</v>
      </c>
      <c r="AG59" s="149" t="s">
        <v>2136</v>
      </c>
      <c r="AH59" s="156">
        <f>AL55</f>
        <v>0</v>
      </c>
      <c r="AI59" s="163">
        <f>AN57</f>
        <v>3</v>
      </c>
      <c r="AJ59" s="149" t="s">
        <v>2136</v>
      </c>
      <c r="AK59" s="172">
        <f>AL57</f>
        <v>0</v>
      </c>
      <c r="AL59" s="175"/>
      <c r="AM59" s="178"/>
      <c r="AN59" s="181"/>
      <c r="AO59" s="732"/>
      <c r="AP59" s="734"/>
      <c r="AQ59" s="734"/>
      <c r="AR59" s="734"/>
      <c r="AS59" s="734"/>
      <c r="AT59" s="734"/>
      <c r="AU59" s="736"/>
      <c r="AV59" s="715"/>
      <c r="AW59" s="718"/>
      <c r="AX59" s="719"/>
      <c r="AY59" s="721"/>
      <c r="AZ59" s="723"/>
      <c r="BA59" s="726"/>
      <c r="BB59" s="727"/>
    </row>
    <row r="60" spans="1:54" x14ac:dyDescent="0.25">
      <c r="A60" s="133"/>
      <c r="B60" s="133"/>
      <c r="C60" s="133"/>
      <c r="D60" s="133"/>
      <c r="E60" s="133"/>
      <c r="F60" s="133"/>
      <c r="G60" s="133"/>
      <c r="H60" s="133"/>
      <c r="I60" s="133"/>
      <c r="J60" s="133"/>
      <c r="K60" s="133"/>
      <c r="L60" s="133"/>
      <c r="M60" s="133"/>
      <c r="N60" s="133"/>
      <c r="O60" s="133"/>
      <c r="P60" s="133"/>
      <c r="Q60" s="133"/>
      <c r="R60" s="133"/>
      <c r="S60" s="133"/>
      <c r="T60" s="133"/>
      <c r="U60" s="133"/>
      <c r="V60" s="133"/>
      <c r="W60" s="133"/>
      <c r="X60" s="133"/>
      <c r="Y60" s="186"/>
      <c r="Z60" s="186"/>
      <c r="AA60" s="187"/>
      <c r="AC60" s="133"/>
      <c r="AD60" s="133"/>
      <c r="AE60" s="133"/>
      <c r="AF60" s="187"/>
      <c r="AG60" s="187"/>
      <c r="AH60" s="187"/>
      <c r="AI60" s="187"/>
      <c r="AJ60" s="187"/>
      <c r="AK60" s="187"/>
      <c r="AL60" s="187"/>
      <c r="AM60" s="187"/>
      <c r="AN60" s="187"/>
      <c r="AO60" s="186"/>
      <c r="AP60" s="186"/>
      <c r="AQ60" s="186"/>
      <c r="AR60" s="186"/>
      <c r="AS60" s="186"/>
      <c r="AT60" s="186"/>
      <c r="AU60" s="133"/>
      <c r="AV60" s="133"/>
      <c r="AW60" s="133"/>
      <c r="AX60" s="133"/>
      <c r="AY60" s="133"/>
      <c r="AZ60" s="133"/>
      <c r="BA60" s="186"/>
      <c r="BB60" s="186"/>
    </row>
    <row r="61" spans="1:54" x14ac:dyDescent="0.25">
      <c r="AA61" s="128"/>
      <c r="AC61" s="97"/>
      <c r="AD61" s="97"/>
      <c r="AE61" s="97"/>
      <c r="AF61" s="97"/>
      <c r="AG61" s="97"/>
      <c r="AH61" s="97"/>
      <c r="AI61" s="97"/>
      <c r="AJ61" s="97"/>
      <c r="AK61" s="97"/>
      <c r="AL61" s="97"/>
      <c r="AM61" s="97"/>
      <c r="AN61" s="97"/>
      <c r="AO61" s="97"/>
      <c r="AP61" s="97"/>
    </row>
    <row r="62" spans="1:54" x14ac:dyDescent="0.25">
      <c r="AA62" s="128"/>
      <c r="AC62" s="97"/>
      <c r="AD62" s="97"/>
      <c r="AE62" s="97"/>
      <c r="AF62" s="97"/>
      <c r="AG62" s="97"/>
      <c r="AH62" s="97"/>
      <c r="AI62" s="97"/>
      <c r="AJ62" s="97"/>
      <c r="AK62" s="97"/>
      <c r="AL62" s="97"/>
      <c r="AM62" s="97"/>
      <c r="AN62" s="97"/>
      <c r="AO62" s="97"/>
      <c r="AP62" s="97"/>
    </row>
    <row r="63" spans="1:54" x14ac:dyDescent="0.25">
      <c r="AA63" s="128"/>
      <c r="AC63" s="97"/>
      <c r="AD63" s="97"/>
      <c r="AE63" s="97"/>
      <c r="AF63" s="97"/>
      <c r="AG63" s="97"/>
      <c r="AH63" s="97"/>
      <c r="AI63" s="97"/>
      <c r="AJ63" s="97"/>
      <c r="AK63" s="97"/>
      <c r="AL63" s="97"/>
      <c r="AM63" s="97"/>
      <c r="AN63" s="97"/>
      <c r="AO63" s="97"/>
      <c r="AP63" s="97"/>
    </row>
    <row r="64" spans="1:54" x14ac:dyDescent="0.25">
      <c r="AA64" s="128"/>
      <c r="AC64" s="97"/>
      <c r="AD64" s="97"/>
      <c r="AE64" s="97"/>
      <c r="AF64" s="97"/>
      <c r="AG64" s="97"/>
      <c r="AH64" s="97"/>
      <c r="AI64" s="97"/>
      <c r="AJ64" s="97"/>
      <c r="AK64" s="97"/>
      <c r="AL64" s="97"/>
      <c r="AM64" s="97"/>
      <c r="AN64" s="97"/>
      <c r="AO64" s="97"/>
      <c r="AP64" s="97"/>
    </row>
    <row r="65" spans="25:42" x14ac:dyDescent="0.25">
      <c r="AA65" s="128"/>
      <c r="AC65" s="97"/>
      <c r="AD65" s="97"/>
      <c r="AE65" s="97"/>
      <c r="AF65" s="97"/>
      <c r="AG65" s="97"/>
      <c r="AH65" s="97"/>
      <c r="AI65" s="97"/>
      <c r="AJ65" s="97"/>
      <c r="AK65" s="97"/>
      <c r="AL65" s="97"/>
      <c r="AM65" s="97"/>
      <c r="AN65" s="97"/>
      <c r="AO65" s="97"/>
      <c r="AP65" s="97"/>
    </row>
    <row r="66" spans="25:42" x14ac:dyDescent="0.25">
      <c r="AA66" s="128"/>
      <c r="AC66" s="97"/>
      <c r="AD66" s="97"/>
      <c r="AE66" s="97"/>
      <c r="AF66" s="97"/>
      <c r="AG66" s="97"/>
      <c r="AH66" s="97"/>
      <c r="AI66" s="97"/>
      <c r="AJ66" s="97"/>
      <c r="AK66" s="97"/>
      <c r="AL66" s="97"/>
      <c r="AM66" s="97"/>
      <c r="AN66" s="97"/>
      <c r="AO66" s="97"/>
      <c r="AP66" s="97"/>
    </row>
    <row r="67" spans="25:42" x14ac:dyDescent="0.25">
      <c r="AA67" s="128"/>
      <c r="AC67" s="97"/>
      <c r="AD67" s="97"/>
      <c r="AE67" s="97"/>
      <c r="AF67" s="97"/>
      <c r="AG67" s="97"/>
      <c r="AH67" s="97"/>
      <c r="AI67" s="97"/>
      <c r="AJ67" s="97"/>
      <c r="AK67" s="97"/>
      <c r="AL67" s="97"/>
      <c r="AM67" s="97"/>
      <c r="AN67" s="97"/>
      <c r="AO67" s="97"/>
      <c r="AP67" s="97"/>
    </row>
    <row r="68" spans="25:42" x14ac:dyDescent="0.25">
      <c r="Y68" s="97"/>
      <c r="Z68" s="97"/>
      <c r="AA68" s="128"/>
      <c r="AC68" s="97"/>
      <c r="AD68" s="97"/>
      <c r="AE68" s="97"/>
      <c r="AF68" s="97"/>
      <c r="AG68" s="97"/>
      <c r="AH68" s="97"/>
      <c r="AI68" s="97"/>
      <c r="AJ68" s="97"/>
      <c r="AK68" s="97"/>
      <c r="AL68" s="97"/>
      <c r="AM68" s="97"/>
      <c r="AN68" s="97"/>
      <c r="AO68" s="97"/>
      <c r="AP68" s="97"/>
    </row>
  </sheetData>
  <mergeCells count="370">
    <mergeCell ref="A1:AA1"/>
    <mergeCell ref="AC1:BC1"/>
    <mergeCell ref="A3:C3"/>
    <mergeCell ref="D3:O3"/>
    <mergeCell ref="AC3:AE3"/>
    <mergeCell ref="AF3:AQ3"/>
    <mergeCell ref="A4:C4"/>
    <mergeCell ref="D4:I4"/>
    <mergeCell ref="J4:O4"/>
    <mergeCell ref="AC4:AE4"/>
    <mergeCell ref="AF4:AK4"/>
    <mergeCell ref="AL4:AQ4"/>
    <mergeCell ref="A5:C5"/>
    <mergeCell ref="D5:I5"/>
    <mergeCell ref="J5:O5"/>
    <mergeCell ref="AC5:AE5"/>
    <mergeCell ref="AF5:AK5"/>
    <mergeCell ref="AL5:AQ5"/>
    <mergeCell ref="D6:I6"/>
    <mergeCell ref="J6:O6"/>
    <mergeCell ref="AF6:AK6"/>
    <mergeCell ref="AL6:AQ6"/>
    <mergeCell ref="D7:I7"/>
    <mergeCell ref="J7:O7"/>
    <mergeCell ref="AF7:AK7"/>
    <mergeCell ref="AL7:AQ7"/>
    <mergeCell ref="D8:I8"/>
    <mergeCell ref="J8:O8"/>
    <mergeCell ref="AF8:AK8"/>
    <mergeCell ref="AL8:AQ8"/>
    <mergeCell ref="A11:C11"/>
    <mergeCell ref="AC11:AE11"/>
    <mergeCell ref="A6:C8"/>
    <mergeCell ref="AC6:AE8"/>
    <mergeCell ref="A12:C12"/>
    <mergeCell ref="M12:O12"/>
    <mergeCell ref="AC12:AE12"/>
    <mergeCell ref="AO12:AQ12"/>
    <mergeCell ref="D13:E13"/>
    <mergeCell ref="F13:H13"/>
    <mergeCell ref="J13:L13"/>
    <mergeCell ref="M13:O13"/>
    <mergeCell ref="AF13:AG13"/>
    <mergeCell ref="AH13:AJ13"/>
    <mergeCell ref="AL13:AN13"/>
    <mergeCell ref="AO13:AQ13"/>
    <mergeCell ref="A13:A14"/>
    <mergeCell ref="B13:C14"/>
    <mergeCell ref="D14:E14"/>
    <mergeCell ref="F14:H14"/>
    <mergeCell ref="J14:L14"/>
    <mergeCell ref="M14:O14"/>
    <mergeCell ref="AF14:AG14"/>
    <mergeCell ref="AH14:AJ14"/>
    <mergeCell ref="AL14:AN14"/>
    <mergeCell ref="AO14:AQ14"/>
    <mergeCell ref="D15:E15"/>
    <mergeCell ref="F15:H15"/>
    <mergeCell ref="J15:L15"/>
    <mergeCell ref="M15:O15"/>
    <mergeCell ref="AF15:AG15"/>
    <mergeCell ref="AH15:AJ15"/>
    <mergeCell ref="AL15:AN15"/>
    <mergeCell ref="AO15:AQ15"/>
    <mergeCell ref="AC13:AC14"/>
    <mergeCell ref="AD13:AE14"/>
    <mergeCell ref="AF16:AG16"/>
    <mergeCell ref="AH16:AJ16"/>
    <mergeCell ref="AL16:AN16"/>
    <mergeCell ref="AO16:AQ16"/>
    <mergeCell ref="D17:E17"/>
    <mergeCell ref="F17:H17"/>
    <mergeCell ref="J17:L17"/>
    <mergeCell ref="M17:O17"/>
    <mergeCell ref="AF17:AG17"/>
    <mergeCell ref="AH17:AJ17"/>
    <mergeCell ref="AL17:AN17"/>
    <mergeCell ref="AO17:AQ17"/>
    <mergeCell ref="AF18:AG18"/>
    <mergeCell ref="AH18:AJ18"/>
    <mergeCell ref="AL18:AN18"/>
    <mergeCell ref="AO18:AQ18"/>
    <mergeCell ref="D19:E19"/>
    <mergeCell ref="F19:H19"/>
    <mergeCell ref="J19:L19"/>
    <mergeCell ref="M19:O19"/>
    <mergeCell ref="AF19:AG19"/>
    <mergeCell ref="AH19:AJ19"/>
    <mergeCell ref="AL19:AN19"/>
    <mergeCell ref="AO19:AQ19"/>
    <mergeCell ref="AF20:AG20"/>
    <mergeCell ref="AH20:AJ20"/>
    <mergeCell ref="AL20:AN20"/>
    <mergeCell ref="AO20:AQ20"/>
    <mergeCell ref="D21:E21"/>
    <mergeCell ref="F21:H21"/>
    <mergeCell ref="J21:L21"/>
    <mergeCell ref="M21:O21"/>
    <mergeCell ref="AF21:AG21"/>
    <mergeCell ref="AH21:AJ21"/>
    <mergeCell ref="AL21:AN21"/>
    <mergeCell ref="AO21:AQ21"/>
    <mergeCell ref="D22:E22"/>
    <mergeCell ref="F22:H22"/>
    <mergeCell ref="J22:L22"/>
    <mergeCell ref="M22:O22"/>
    <mergeCell ref="AF22:AG22"/>
    <mergeCell ref="AH22:AJ22"/>
    <mergeCell ref="AL22:AN22"/>
    <mergeCell ref="AO22:AQ22"/>
    <mergeCell ref="D23:E23"/>
    <mergeCell ref="F23:H23"/>
    <mergeCell ref="J23:L23"/>
    <mergeCell ref="M23:O23"/>
    <mergeCell ref="AF23:AG23"/>
    <mergeCell ref="AH23:AJ23"/>
    <mergeCell ref="AL23:AN23"/>
    <mergeCell ref="AO23:AQ23"/>
    <mergeCell ref="J24:L24"/>
    <mergeCell ref="M24:O24"/>
    <mergeCell ref="AF24:AG24"/>
    <mergeCell ref="AH24:AJ24"/>
    <mergeCell ref="AL24:AN24"/>
    <mergeCell ref="AO24:AQ24"/>
    <mergeCell ref="A45:C45"/>
    <mergeCell ref="D45:F45"/>
    <mergeCell ref="G45:I45"/>
    <mergeCell ref="J45:L45"/>
    <mergeCell ref="S45:T45"/>
    <mergeCell ref="U45:V45"/>
    <mergeCell ref="W45:X45"/>
    <mergeCell ref="Y45:Z45"/>
    <mergeCell ref="AC45:AE45"/>
    <mergeCell ref="AF45:AH45"/>
    <mergeCell ref="AI45:AK45"/>
    <mergeCell ref="AL45:AN45"/>
    <mergeCell ref="AU45:AV45"/>
    <mergeCell ref="AW45:AX45"/>
    <mergeCell ref="AY45:AZ45"/>
    <mergeCell ref="BA45:BB45"/>
    <mergeCell ref="B46:C46"/>
    <mergeCell ref="AD46:AE46"/>
    <mergeCell ref="B47:C47"/>
    <mergeCell ref="AD47:AE47"/>
    <mergeCell ref="B48:C48"/>
    <mergeCell ref="AD48:AE48"/>
    <mergeCell ref="AO46:AO47"/>
    <mergeCell ref="AP46:AP47"/>
    <mergeCell ref="AQ46:AQ47"/>
    <mergeCell ref="AR46:AR47"/>
    <mergeCell ref="AS46:AS47"/>
    <mergeCell ref="AT46:AT47"/>
    <mergeCell ref="AU46:AU47"/>
    <mergeCell ref="AV46:AV47"/>
    <mergeCell ref="AW46:AX47"/>
    <mergeCell ref="AY46:AY47"/>
    <mergeCell ref="AZ46:AZ47"/>
    <mergeCell ref="BA46:BB47"/>
    <mergeCell ref="U48:V49"/>
    <mergeCell ref="W48:W49"/>
    <mergeCell ref="B49:C49"/>
    <mergeCell ref="AD49:AE49"/>
    <mergeCell ref="B50:C50"/>
    <mergeCell ref="AD50:AE50"/>
    <mergeCell ref="B51:C51"/>
    <mergeCell ref="AD51:AE51"/>
    <mergeCell ref="A53:C53"/>
    <mergeCell ref="D53:F53"/>
    <mergeCell ref="G53:I53"/>
    <mergeCell ref="J53:L53"/>
    <mergeCell ref="S53:T53"/>
    <mergeCell ref="U53:V53"/>
    <mergeCell ref="W53:X53"/>
    <mergeCell ref="Y53:Z53"/>
    <mergeCell ref="AC53:AE53"/>
    <mergeCell ref="A48:A49"/>
    <mergeCell ref="M48:M49"/>
    <mergeCell ref="N48:N49"/>
    <mergeCell ref="O48:O49"/>
    <mergeCell ref="P48:P49"/>
    <mergeCell ref="Q48:Q49"/>
    <mergeCell ref="R48:R49"/>
    <mergeCell ref="S48:S49"/>
    <mergeCell ref="T48:T49"/>
    <mergeCell ref="AF53:AH53"/>
    <mergeCell ref="AI53:AK53"/>
    <mergeCell ref="AL53:AN53"/>
    <mergeCell ref="AU53:AV53"/>
    <mergeCell ref="AW53:AX53"/>
    <mergeCell ref="AY53:AZ53"/>
    <mergeCell ref="BA53:BB53"/>
    <mergeCell ref="B54:C54"/>
    <mergeCell ref="AD54:AE54"/>
    <mergeCell ref="AQ54:AQ55"/>
    <mergeCell ref="AR54:AR55"/>
    <mergeCell ref="AS54:AS55"/>
    <mergeCell ref="AT54:AT55"/>
    <mergeCell ref="AU54:AU55"/>
    <mergeCell ref="AV54:AV55"/>
    <mergeCell ref="AW54:AX55"/>
    <mergeCell ref="AY54:AY55"/>
    <mergeCell ref="AZ54:AZ55"/>
    <mergeCell ref="BA54:BB55"/>
    <mergeCell ref="B55:C55"/>
    <mergeCell ref="AD55:AE55"/>
    <mergeCell ref="B58:C58"/>
    <mergeCell ref="AD58:AE58"/>
    <mergeCell ref="B59:C59"/>
    <mergeCell ref="AD59:AE59"/>
    <mergeCell ref="U56:V57"/>
    <mergeCell ref="W56:W57"/>
    <mergeCell ref="X56:X57"/>
    <mergeCell ref="Y56:Z57"/>
    <mergeCell ref="AC56:AC57"/>
    <mergeCell ref="A15:A16"/>
    <mergeCell ref="B15:C16"/>
    <mergeCell ref="AC15:AC16"/>
    <mergeCell ref="AD15:AE16"/>
    <mergeCell ref="A17:A18"/>
    <mergeCell ref="B17:C18"/>
    <mergeCell ref="AC17:AC18"/>
    <mergeCell ref="AD17:AE18"/>
    <mergeCell ref="A19:A20"/>
    <mergeCell ref="B19:C20"/>
    <mergeCell ref="AC19:AC20"/>
    <mergeCell ref="AD19:AE20"/>
    <mergeCell ref="D20:E20"/>
    <mergeCell ref="F20:H20"/>
    <mergeCell ref="J20:L20"/>
    <mergeCell ref="M20:O20"/>
    <mergeCell ref="D18:E18"/>
    <mergeCell ref="F18:H18"/>
    <mergeCell ref="J18:L18"/>
    <mergeCell ref="M18:O18"/>
    <mergeCell ref="D16:E16"/>
    <mergeCell ref="F16:H16"/>
    <mergeCell ref="J16:L16"/>
    <mergeCell ref="M16:O16"/>
    <mergeCell ref="A21:A22"/>
    <mergeCell ref="B21:C22"/>
    <mergeCell ref="AC21:AC22"/>
    <mergeCell ref="AD21:AE22"/>
    <mergeCell ref="A23:A24"/>
    <mergeCell ref="B23:C24"/>
    <mergeCell ref="AC23:AC24"/>
    <mergeCell ref="AD23:AE24"/>
    <mergeCell ref="A46:A47"/>
    <mergeCell ref="M46:M47"/>
    <mergeCell ref="N46:N47"/>
    <mergeCell ref="O46:O47"/>
    <mergeCell ref="P46:P47"/>
    <mergeCell ref="Q46:Q47"/>
    <mergeCell ref="R46:R47"/>
    <mergeCell ref="S46:S47"/>
    <mergeCell ref="T46:T47"/>
    <mergeCell ref="U46:V47"/>
    <mergeCell ref="W46:W47"/>
    <mergeCell ref="X46:X47"/>
    <mergeCell ref="Y46:Z47"/>
    <mergeCell ref="AC46:AC47"/>
    <mergeCell ref="D24:E24"/>
    <mergeCell ref="F24:H24"/>
    <mergeCell ref="X48:X49"/>
    <mergeCell ref="Y48:Z49"/>
    <mergeCell ref="AC48:AC49"/>
    <mergeCell ref="AO48:AO49"/>
    <mergeCell ref="AP48:AP49"/>
    <mergeCell ref="AQ48:AQ49"/>
    <mergeCell ref="AR48:AR49"/>
    <mergeCell ref="AS48:AS49"/>
    <mergeCell ref="AT48:AT49"/>
    <mergeCell ref="AU48:AU49"/>
    <mergeCell ref="AV48:AV49"/>
    <mergeCell ref="AW48:AX49"/>
    <mergeCell ref="AY48:AY49"/>
    <mergeCell ref="AZ48:AZ49"/>
    <mergeCell ref="BA48:BB49"/>
    <mergeCell ref="A50:A51"/>
    <mergeCell ref="M50:M51"/>
    <mergeCell ref="N50:N51"/>
    <mergeCell ref="O50:O51"/>
    <mergeCell ref="P50:P51"/>
    <mergeCell ref="Q50:Q51"/>
    <mergeCell ref="R50:R51"/>
    <mergeCell ref="S50:S51"/>
    <mergeCell ref="T50:T51"/>
    <mergeCell ref="U50:V51"/>
    <mergeCell ref="W50:W51"/>
    <mergeCell ref="X50:X51"/>
    <mergeCell ref="Y50:Z51"/>
    <mergeCell ref="AC50:AC51"/>
    <mergeCell ref="AO50:AO51"/>
    <mergeCell ref="AP50:AP51"/>
    <mergeCell ref="AQ50:AQ51"/>
    <mergeCell ref="AR50:AR51"/>
    <mergeCell ref="AS50:AS51"/>
    <mergeCell ref="AT50:AT51"/>
    <mergeCell ref="AU50:AU51"/>
    <mergeCell ref="AV50:AV51"/>
    <mergeCell ref="AW50:AX51"/>
    <mergeCell ref="AY50:AY51"/>
    <mergeCell ref="AZ50:AZ51"/>
    <mergeCell ref="BA50:BB51"/>
    <mergeCell ref="A54:A55"/>
    <mergeCell ref="M54:M55"/>
    <mergeCell ref="N54:N55"/>
    <mergeCell ref="O54:O55"/>
    <mergeCell ref="P54:P55"/>
    <mergeCell ref="Q54:Q55"/>
    <mergeCell ref="R54:R55"/>
    <mergeCell ref="S54:S55"/>
    <mergeCell ref="T54:T55"/>
    <mergeCell ref="U54:V55"/>
    <mergeCell ref="W54:W55"/>
    <mergeCell ref="X54:X55"/>
    <mergeCell ref="Y54:Z55"/>
    <mergeCell ref="AC54:AC55"/>
    <mergeCell ref="AO54:AO55"/>
    <mergeCell ref="AP54:AP55"/>
    <mergeCell ref="AV56:AV57"/>
    <mergeCell ref="AW56:AX57"/>
    <mergeCell ref="A56:A57"/>
    <mergeCell ref="M56:M57"/>
    <mergeCell ref="N56:N57"/>
    <mergeCell ref="O56:O57"/>
    <mergeCell ref="P56:P57"/>
    <mergeCell ref="Q56:Q57"/>
    <mergeCell ref="R56:R57"/>
    <mergeCell ref="S56:S57"/>
    <mergeCell ref="T56:T57"/>
    <mergeCell ref="B56:C56"/>
    <mergeCell ref="AD56:AE56"/>
    <mergeCell ref="B57:C57"/>
    <mergeCell ref="AD57:AE57"/>
    <mergeCell ref="AQ58:AQ59"/>
    <mergeCell ref="AR58:AR59"/>
    <mergeCell ref="AS58:AS59"/>
    <mergeCell ref="AT58:AT59"/>
    <mergeCell ref="AU58:AU59"/>
    <mergeCell ref="AO56:AO57"/>
    <mergeCell ref="AP56:AP57"/>
    <mergeCell ref="AQ56:AQ57"/>
    <mergeCell ref="AR56:AR57"/>
    <mergeCell ref="AS56:AS57"/>
    <mergeCell ref="AT56:AT57"/>
    <mergeCell ref="AU56:AU57"/>
    <mergeCell ref="AV58:AV59"/>
    <mergeCell ref="AW58:AX59"/>
    <mergeCell ref="AY58:AY59"/>
    <mergeCell ref="AZ58:AZ59"/>
    <mergeCell ref="BA58:BB59"/>
    <mergeCell ref="AY56:AY57"/>
    <mergeCell ref="AZ56:AZ57"/>
    <mergeCell ref="BA56:BB57"/>
    <mergeCell ref="A58:A59"/>
    <mergeCell ref="M58:M59"/>
    <mergeCell ref="N58:N59"/>
    <mergeCell ref="O58:O59"/>
    <mergeCell ref="P58:P59"/>
    <mergeCell ref="Q58:Q59"/>
    <mergeCell ref="R58:R59"/>
    <mergeCell ref="S58:S59"/>
    <mergeCell ref="T58:T59"/>
    <mergeCell ref="U58:V59"/>
    <mergeCell ref="W58:W59"/>
    <mergeCell ref="X58:X59"/>
    <mergeCell ref="Y58:Z59"/>
    <mergeCell ref="AC58:AC59"/>
    <mergeCell ref="AO58:AO59"/>
    <mergeCell ref="AP58:AP59"/>
  </mergeCells>
  <phoneticPr fontId="29"/>
  <printOptions horizontalCentered="1" verticalCentered="1"/>
  <pageMargins left="0.39370078740157483" right="0.39370078740157483" top="0.39370078740157483" bottom="0.39370078740157483" header="0.51181102362204722" footer="0.51181102362204722"/>
  <pageSetup paperSize="9" scale="52" orientation="portrait" copies="2"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5">
    <pageSetUpPr fitToPage="1"/>
  </sheetPr>
  <dimension ref="A1:CE76"/>
  <sheetViews>
    <sheetView showGridLines="0" zoomScale="35" zoomScaleNormal="35" workbookViewId="0">
      <selection activeCell="A2" sqref="A2:B2"/>
    </sheetView>
  </sheetViews>
  <sheetFormatPr defaultColWidth="4.1328125" defaultRowHeight="14.25" x14ac:dyDescent="0.25"/>
  <cols>
    <col min="1" max="1" width="18.46484375" style="127" customWidth="1"/>
    <col min="2" max="27" width="6.46484375" style="127" customWidth="1"/>
    <col min="28" max="28" width="4.1328125" style="97"/>
    <col min="29" max="29" width="18.46484375" style="128" customWidth="1"/>
    <col min="30" max="42" width="6.46484375" style="128" customWidth="1"/>
    <col min="43" max="55" width="6.46484375" style="97" customWidth="1"/>
    <col min="56" max="56" width="4.1328125" style="97"/>
    <col min="57" max="57" width="18.46484375" style="128" customWidth="1"/>
    <col min="58" max="70" width="6.46484375" style="128" customWidth="1"/>
    <col min="71" max="83" width="6.46484375" style="97" customWidth="1"/>
    <col min="84" max="16384" width="4.1328125" style="97"/>
  </cols>
  <sheetData>
    <row r="1" spans="1:83" ht="25.5" x14ac:dyDescent="0.25">
      <c r="A1" s="832" t="s">
        <v>1613</v>
      </c>
      <c r="B1" s="832"/>
      <c r="C1" s="832"/>
      <c r="D1" s="832"/>
      <c r="E1" s="832"/>
      <c r="F1" s="832"/>
      <c r="G1" s="832"/>
      <c r="H1" s="832"/>
      <c r="I1" s="832"/>
      <c r="J1" s="832"/>
      <c r="K1" s="832"/>
      <c r="L1" s="832"/>
      <c r="M1" s="832"/>
      <c r="N1" s="832"/>
      <c r="O1" s="832"/>
      <c r="P1" s="832"/>
      <c r="Q1" s="832"/>
      <c r="R1" s="832"/>
      <c r="S1" s="832"/>
      <c r="T1" s="832"/>
      <c r="U1" s="832"/>
      <c r="V1" s="832"/>
      <c r="W1" s="832"/>
      <c r="X1" s="832"/>
      <c r="Y1" s="832"/>
      <c r="Z1" s="832"/>
      <c r="AA1" s="832"/>
      <c r="AB1" s="188"/>
      <c r="AC1" s="832" t="s">
        <v>1613</v>
      </c>
      <c r="AD1" s="832"/>
      <c r="AE1" s="832"/>
      <c r="AF1" s="832"/>
      <c r="AG1" s="832"/>
      <c r="AH1" s="832"/>
      <c r="AI1" s="832"/>
      <c r="AJ1" s="832"/>
      <c r="AK1" s="832"/>
      <c r="AL1" s="832"/>
      <c r="AM1" s="832"/>
      <c r="AN1" s="832"/>
      <c r="AO1" s="832"/>
      <c r="AP1" s="832"/>
      <c r="AQ1" s="832"/>
      <c r="AR1" s="832"/>
      <c r="AS1" s="832"/>
      <c r="AT1" s="832"/>
      <c r="AU1" s="832"/>
      <c r="AV1" s="832"/>
      <c r="AW1" s="832"/>
      <c r="AX1" s="832"/>
      <c r="AY1" s="832"/>
      <c r="AZ1" s="832"/>
      <c r="BA1" s="832"/>
      <c r="BB1" s="832"/>
      <c r="BC1" s="832"/>
      <c r="BD1" s="188"/>
      <c r="BE1" s="832" t="s">
        <v>1613</v>
      </c>
      <c r="BF1" s="832"/>
      <c r="BG1" s="832"/>
      <c r="BH1" s="832"/>
      <c r="BI1" s="832"/>
      <c r="BJ1" s="832"/>
      <c r="BK1" s="832"/>
      <c r="BL1" s="832"/>
      <c r="BM1" s="832"/>
      <c r="BN1" s="832"/>
      <c r="BO1" s="832"/>
      <c r="BP1" s="832"/>
      <c r="BQ1" s="832"/>
      <c r="BR1" s="832"/>
      <c r="BS1" s="832"/>
      <c r="BT1" s="832"/>
      <c r="BU1" s="832"/>
      <c r="BV1" s="832"/>
      <c r="BW1" s="832"/>
      <c r="BX1" s="832"/>
      <c r="BY1" s="832"/>
      <c r="BZ1" s="832"/>
      <c r="CA1" s="832"/>
      <c r="CB1" s="832"/>
      <c r="CC1" s="832"/>
      <c r="CD1" s="832"/>
      <c r="CE1" s="832"/>
    </row>
    <row r="2" spans="1:83" ht="16.149999999999999" x14ac:dyDescent="0.25">
      <c r="A2" s="130"/>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C2" s="97"/>
      <c r="AD2" s="97"/>
      <c r="AE2" s="97"/>
      <c r="AF2" s="97"/>
      <c r="AG2" s="97"/>
      <c r="AH2" s="97"/>
      <c r="AI2" s="97"/>
      <c r="AJ2" s="97"/>
      <c r="AK2" s="97"/>
      <c r="AL2" s="97"/>
      <c r="AM2" s="97"/>
      <c r="AN2" s="97"/>
      <c r="AO2" s="97"/>
      <c r="AP2" s="97"/>
      <c r="BE2" s="97"/>
      <c r="BF2" s="97"/>
      <c r="BG2" s="97"/>
      <c r="BH2" s="97"/>
      <c r="BI2" s="97"/>
      <c r="BJ2" s="97"/>
      <c r="BK2" s="97"/>
      <c r="BL2" s="97"/>
      <c r="BM2" s="97"/>
      <c r="BN2" s="97"/>
      <c r="BO2" s="97"/>
      <c r="BP2" s="97"/>
      <c r="BQ2" s="97"/>
      <c r="BR2" s="97"/>
    </row>
    <row r="3" spans="1:83" ht="27.75" customHeight="1" x14ac:dyDescent="0.25">
      <c r="A3" s="833" t="s">
        <v>487</v>
      </c>
      <c r="B3" s="834"/>
      <c r="C3" s="835"/>
      <c r="D3" s="836" t="str">
        <f>'１次リーグ（中津）'!B4</f>
        <v>中津</v>
      </c>
      <c r="E3" s="837"/>
      <c r="F3" s="837"/>
      <c r="G3" s="837"/>
      <c r="H3" s="837"/>
      <c r="I3" s="837"/>
      <c r="J3" s="837"/>
      <c r="K3" s="837"/>
      <c r="L3" s="837"/>
      <c r="M3" s="837"/>
      <c r="N3" s="837"/>
      <c r="O3" s="889"/>
      <c r="P3" s="837" t="str">
        <f>'１次リーグ（別府）'!B4</f>
        <v>別府</v>
      </c>
      <c r="Q3" s="837"/>
      <c r="R3" s="837"/>
      <c r="S3" s="837"/>
      <c r="T3" s="837"/>
      <c r="U3" s="837"/>
      <c r="V3" s="837"/>
      <c r="W3" s="837"/>
      <c r="X3" s="837"/>
      <c r="Y3" s="837"/>
      <c r="Z3" s="837"/>
      <c r="AA3" s="838"/>
      <c r="AC3" s="833" t="s">
        <v>487</v>
      </c>
      <c r="AD3" s="834"/>
      <c r="AE3" s="835"/>
      <c r="AF3" s="836" t="str">
        <f>'１次リーグ（日田・玖珠）'!B4</f>
        <v>日田・玖珠</v>
      </c>
      <c r="AG3" s="837"/>
      <c r="AH3" s="837"/>
      <c r="AI3" s="837"/>
      <c r="AJ3" s="837"/>
      <c r="AK3" s="837"/>
      <c r="AL3" s="837"/>
      <c r="AM3" s="837"/>
      <c r="AN3" s="837"/>
      <c r="AO3" s="837"/>
      <c r="AP3" s="837"/>
      <c r="AQ3" s="889"/>
      <c r="AR3" s="837" t="str">
        <f>'１次リーグ（速杵国東）'!B4</f>
        <v>速杵国東</v>
      </c>
      <c r="AS3" s="837"/>
      <c r="AT3" s="837"/>
      <c r="AU3" s="837"/>
      <c r="AV3" s="837"/>
      <c r="AW3" s="837"/>
      <c r="AX3" s="837"/>
      <c r="AY3" s="837"/>
      <c r="AZ3" s="837"/>
      <c r="BA3" s="837"/>
      <c r="BB3" s="837"/>
      <c r="BC3" s="838"/>
      <c r="BE3" s="833" t="s">
        <v>487</v>
      </c>
      <c r="BF3" s="834"/>
      <c r="BG3" s="835"/>
      <c r="BH3" s="836" t="str">
        <f>'１次リーグ（宇佐高田）'!B4</f>
        <v>宇佐高田</v>
      </c>
      <c r="BI3" s="837"/>
      <c r="BJ3" s="837"/>
      <c r="BK3" s="837"/>
      <c r="BL3" s="837"/>
      <c r="BM3" s="837"/>
      <c r="BN3" s="837"/>
      <c r="BO3" s="837"/>
      <c r="BP3" s="837"/>
      <c r="BQ3" s="837"/>
      <c r="BR3" s="837"/>
      <c r="BS3" s="889"/>
      <c r="BT3" s="837" t="str">
        <f>'１次リーグ（臼杵・津久見）'!B4</f>
        <v>臼杵・津久見</v>
      </c>
      <c r="BU3" s="837"/>
      <c r="BV3" s="837"/>
      <c r="BW3" s="837"/>
      <c r="BX3" s="837"/>
      <c r="BY3" s="837"/>
      <c r="BZ3" s="837"/>
      <c r="CA3" s="837"/>
      <c r="CB3" s="837"/>
      <c r="CC3" s="837"/>
      <c r="CD3" s="837"/>
      <c r="CE3" s="838"/>
    </row>
    <row r="4" spans="1:83" ht="27.75" customHeight="1" x14ac:dyDescent="0.25">
      <c r="A4" s="820" t="s">
        <v>281</v>
      </c>
      <c r="B4" s="821"/>
      <c r="C4" s="822"/>
      <c r="D4" s="839" t="str">
        <f>'１次リーグ（中津）'!B6</f>
        <v>A</v>
      </c>
      <c r="E4" s="840"/>
      <c r="F4" s="840"/>
      <c r="G4" s="840"/>
      <c r="H4" s="840"/>
      <c r="I4" s="840"/>
      <c r="J4" s="840" t="str">
        <f>'１次リーグ（中津）'!N6</f>
        <v>G</v>
      </c>
      <c r="K4" s="840"/>
      <c r="L4" s="840"/>
      <c r="M4" s="840"/>
      <c r="N4" s="840"/>
      <c r="O4" s="890"/>
      <c r="P4" s="842" t="str">
        <f>'１次リーグ（別府）'!B6</f>
        <v>C</v>
      </c>
      <c r="Q4" s="840"/>
      <c r="R4" s="840"/>
      <c r="S4" s="840"/>
      <c r="T4" s="840"/>
      <c r="U4" s="840"/>
      <c r="V4" s="840" t="str">
        <f>'１次リーグ（別府）'!N6</f>
        <v>H</v>
      </c>
      <c r="W4" s="840"/>
      <c r="X4" s="840"/>
      <c r="Y4" s="840"/>
      <c r="Z4" s="840"/>
      <c r="AA4" s="841"/>
      <c r="AC4" s="820" t="s">
        <v>281</v>
      </c>
      <c r="AD4" s="821"/>
      <c r="AE4" s="822"/>
      <c r="AF4" s="839" t="str">
        <f>'１次リーグ（日田・玖珠）'!B6</f>
        <v>F</v>
      </c>
      <c r="AG4" s="840"/>
      <c r="AH4" s="840"/>
      <c r="AI4" s="840"/>
      <c r="AJ4" s="840"/>
      <c r="AK4" s="840"/>
      <c r="AL4" s="840" t="str">
        <f>'１次リーグ（日田・玖珠）'!N6</f>
        <v>K</v>
      </c>
      <c r="AM4" s="840"/>
      <c r="AN4" s="840"/>
      <c r="AO4" s="840"/>
      <c r="AP4" s="840"/>
      <c r="AQ4" s="890"/>
      <c r="AR4" s="842" t="str">
        <f>'１次リーグ（速杵国東）'!B6</f>
        <v>D</v>
      </c>
      <c r="AS4" s="840"/>
      <c r="AT4" s="840"/>
      <c r="AU4" s="840"/>
      <c r="AV4" s="840"/>
      <c r="AW4" s="840"/>
      <c r="AX4" s="840" t="str">
        <f>'１次リーグ（速杵国東）'!N6</f>
        <v>J</v>
      </c>
      <c r="AY4" s="840"/>
      <c r="AZ4" s="840"/>
      <c r="BA4" s="840"/>
      <c r="BB4" s="840"/>
      <c r="BC4" s="841"/>
      <c r="BE4" s="820" t="s">
        <v>281</v>
      </c>
      <c r="BF4" s="821"/>
      <c r="BG4" s="822"/>
      <c r="BH4" s="839" t="str">
        <f>'１次リーグ（宇佐高田）'!B6</f>
        <v>E</v>
      </c>
      <c r="BI4" s="840"/>
      <c r="BJ4" s="840"/>
      <c r="BK4" s="840"/>
      <c r="BL4" s="840"/>
      <c r="BM4" s="840"/>
      <c r="BN4" s="840" t="str">
        <f>'１次リーグ（宇佐高田）'!N6</f>
        <v>L</v>
      </c>
      <c r="BO4" s="840"/>
      <c r="BP4" s="840"/>
      <c r="BQ4" s="840"/>
      <c r="BR4" s="840"/>
      <c r="BS4" s="890"/>
      <c r="BT4" s="842" t="str">
        <f>'１次リーグ（臼杵・津久見）'!B6</f>
        <v>B</v>
      </c>
      <c r="BU4" s="840"/>
      <c r="BV4" s="840"/>
      <c r="BW4" s="840"/>
      <c r="BX4" s="840"/>
      <c r="BY4" s="840"/>
      <c r="BZ4" s="840" t="str">
        <f>'１次リーグ（臼杵・津久見）'!N6</f>
        <v>I</v>
      </c>
      <c r="CA4" s="840"/>
      <c r="CB4" s="840"/>
      <c r="CC4" s="840"/>
      <c r="CD4" s="840"/>
      <c r="CE4" s="841"/>
    </row>
    <row r="5" spans="1:83" ht="27.75" customHeight="1" x14ac:dyDescent="0.25">
      <c r="A5" s="820" t="s">
        <v>723</v>
      </c>
      <c r="B5" s="821"/>
      <c r="C5" s="822"/>
      <c r="D5" s="823">
        <v>0.36805555555555558</v>
      </c>
      <c r="E5" s="824"/>
      <c r="F5" s="824"/>
      <c r="G5" s="824"/>
      <c r="H5" s="824"/>
      <c r="I5" s="825"/>
      <c r="J5" s="826">
        <v>0.40972222222222227</v>
      </c>
      <c r="K5" s="824"/>
      <c r="L5" s="824"/>
      <c r="M5" s="824"/>
      <c r="N5" s="824"/>
      <c r="O5" s="880"/>
      <c r="P5" s="823">
        <v>0.36805555555555558</v>
      </c>
      <c r="Q5" s="824"/>
      <c r="R5" s="824"/>
      <c r="S5" s="824"/>
      <c r="T5" s="824"/>
      <c r="U5" s="825"/>
      <c r="V5" s="826">
        <v>0.40972222222222227</v>
      </c>
      <c r="W5" s="824"/>
      <c r="X5" s="824"/>
      <c r="Y5" s="824"/>
      <c r="Z5" s="824"/>
      <c r="AA5" s="827"/>
      <c r="AC5" s="820" t="s">
        <v>723</v>
      </c>
      <c r="AD5" s="821"/>
      <c r="AE5" s="822"/>
      <c r="AF5" s="823">
        <v>0.36805555555555558</v>
      </c>
      <c r="AG5" s="824"/>
      <c r="AH5" s="824"/>
      <c r="AI5" s="824"/>
      <c r="AJ5" s="824"/>
      <c r="AK5" s="825"/>
      <c r="AL5" s="826">
        <v>0.40972222222222227</v>
      </c>
      <c r="AM5" s="824"/>
      <c r="AN5" s="824"/>
      <c r="AO5" s="824"/>
      <c r="AP5" s="824"/>
      <c r="AQ5" s="880"/>
      <c r="AR5" s="823">
        <v>0.36805555555555558</v>
      </c>
      <c r="AS5" s="824"/>
      <c r="AT5" s="824"/>
      <c r="AU5" s="824"/>
      <c r="AV5" s="824"/>
      <c r="AW5" s="825"/>
      <c r="AX5" s="826">
        <v>0.40972222222222227</v>
      </c>
      <c r="AY5" s="824"/>
      <c r="AZ5" s="824"/>
      <c r="BA5" s="824"/>
      <c r="BB5" s="824"/>
      <c r="BC5" s="827"/>
      <c r="BE5" s="820" t="s">
        <v>723</v>
      </c>
      <c r="BF5" s="821"/>
      <c r="BG5" s="822"/>
      <c r="BH5" s="823">
        <v>0.36805555555555558</v>
      </c>
      <c r="BI5" s="826"/>
      <c r="BJ5" s="826"/>
      <c r="BK5" s="826"/>
      <c r="BL5" s="826"/>
      <c r="BM5" s="881"/>
      <c r="BN5" s="882">
        <v>0.40972222222222227</v>
      </c>
      <c r="BO5" s="826"/>
      <c r="BP5" s="826"/>
      <c r="BQ5" s="826"/>
      <c r="BR5" s="826"/>
      <c r="BS5" s="883"/>
      <c r="BT5" s="884">
        <v>0.36805555555555558</v>
      </c>
      <c r="BU5" s="826"/>
      <c r="BV5" s="826"/>
      <c r="BW5" s="826"/>
      <c r="BX5" s="826"/>
      <c r="BY5" s="881"/>
      <c r="BZ5" s="882">
        <v>0.40972222222222227</v>
      </c>
      <c r="CA5" s="826"/>
      <c r="CB5" s="826"/>
      <c r="CC5" s="826"/>
      <c r="CD5" s="826"/>
      <c r="CE5" s="885"/>
    </row>
    <row r="6" spans="1:83" ht="27.75" customHeight="1" x14ac:dyDescent="0.25">
      <c r="A6" s="812" t="s">
        <v>641</v>
      </c>
      <c r="B6" s="813"/>
      <c r="C6" s="814"/>
      <c r="D6" s="741" t="str">
        <f>'１次リーグ（中津）'!C7</f>
        <v>鶴居ＳＳＳ</v>
      </c>
      <c r="E6" s="828"/>
      <c r="F6" s="828"/>
      <c r="G6" s="828"/>
      <c r="H6" s="828"/>
      <c r="I6" s="828"/>
      <c r="J6" s="828" t="str">
        <f>'１次リーグ（中津）'!O7</f>
        <v>ティエラフットボールクラブＵ－１２</v>
      </c>
      <c r="K6" s="828"/>
      <c r="L6" s="828"/>
      <c r="M6" s="828"/>
      <c r="N6" s="828"/>
      <c r="O6" s="886"/>
      <c r="P6" s="830" t="str">
        <f>'１次リーグ（別府）'!C7</f>
        <v>別府フットボールクラブ．ミネルバＵ－１２</v>
      </c>
      <c r="Q6" s="830"/>
      <c r="R6" s="830"/>
      <c r="S6" s="830"/>
      <c r="T6" s="830"/>
      <c r="U6" s="831"/>
      <c r="V6" s="828" t="str">
        <f>'１次リーグ（別府）'!O7</f>
        <v>スマイス・セレソン</v>
      </c>
      <c r="W6" s="828"/>
      <c r="X6" s="828"/>
      <c r="Y6" s="828"/>
      <c r="Z6" s="828"/>
      <c r="AA6" s="829"/>
      <c r="AC6" s="812" t="s">
        <v>641</v>
      </c>
      <c r="AD6" s="813"/>
      <c r="AE6" s="814"/>
      <c r="AF6" s="741" t="str">
        <f>'１次リーグ（日田・玖珠）'!C7</f>
        <v>ＦＣアリアーレ</v>
      </c>
      <c r="AG6" s="828"/>
      <c r="AH6" s="828"/>
      <c r="AI6" s="828"/>
      <c r="AJ6" s="828"/>
      <c r="AK6" s="828"/>
      <c r="AL6" s="887" t="str">
        <f>'１次リーグ（日田・玖珠）'!O7</f>
        <v>玖珠サッカースポーツ少年団</v>
      </c>
      <c r="AM6" s="830"/>
      <c r="AN6" s="830"/>
      <c r="AO6" s="830"/>
      <c r="AP6" s="830"/>
      <c r="AQ6" s="888"/>
      <c r="AR6" s="831" t="str">
        <f>'１次リーグ（速杵国東）'!C7</f>
        <v>日出サッカースポーツ少年団</v>
      </c>
      <c r="AS6" s="828"/>
      <c r="AT6" s="828"/>
      <c r="AU6" s="828"/>
      <c r="AV6" s="828"/>
      <c r="AW6" s="828"/>
      <c r="AX6" s="828" t="str">
        <f>'１次リーグ（速杵国東）'!O7</f>
        <v>ＯＫＹ山香サッカークラブ</v>
      </c>
      <c r="AY6" s="828"/>
      <c r="AZ6" s="828"/>
      <c r="BA6" s="828"/>
      <c r="BB6" s="828"/>
      <c r="BC6" s="829"/>
      <c r="BE6" s="812" t="s">
        <v>641</v>
      </c>
      <c r="BF6" s="813"/>
      <c r="BG6" s="814"/>
      <c r="BH6" s="741" t="str">
        <f>'１次リーグ（宇佐高田）'!C7</f>
        <v>ＦＣ　ＷＡＹＳ</v>
      </c>
      <c r="BI6" s="828"/>
      <c r="BJ6" s="828"/>
      <c r="BK6" s="828"/>
      <c r="BL6" s="828"/>
      <c r="BM6" s="828"/>
      <c r="BN6" s="887" t="str">
        <f>'１次リーグ（宇佐高田）'!O7</f>
        <v>四日市南ＳＳＣ</v>
      </c>
      <c r="BO6" s="830"/>
      <c r="BP6" s="830"/>
      <c r="BQ6" s="830"/>
      <c r="BR6" s="830"/>
      <c r="BS6" s="888"/>
      <c r="BT6" s="831" t="str">
        <f>'１次リーグ（臼杵・津久見）'!C7</f>
        <v>臼杵ＳＳＳ</v>
      </c>
      <c r="BU6" s="828"/>
      <c r="BV6" s="828"/>
      <c r="BW6" s="828"/>
      <c r="BX6" s="828"/>
      <c r="BY6" s="828"/>
      <c r="BZ6" s="828" t="str">
        <f>'１次リーグ（臼杵・津久見）'!O7</f>
        <v>ＭＦＣ三花少年サッカー教室</v>
      </c>
      <c r="CA6" s="828"/>
      <c r="CB6" s="828"/>
      <c r="CC6" s="828"/>
      <c r="CD6" s="828"/>
      <c r="CE6" s="829"/>
    </row>
    <row r="7" spans="1:83" ht="27.75" customHeight="1" x14ac:dyDescent="0.25">
      <c r="A7" s="815"/>
      <c r="B7" s="811"/>
      <c r="C7" s="816"/>
      <c r="D7" s="801" t="str">
        <f>'１次リーグ（中津）'!C8</f>
        <v>ドリームキッズフットボールクラブ</v>
      </c>
      <c r="E7" s="802"/>
      <c r="F7" s="802"/>
      <c r="G7" s="802"/>
      <c r="H7" s="802"/>
      <c r="I7" s="802"/>
      <c r="J7" s="802" t="str">
        <f>'１次リーグ（中津）'!O8</f>
        <v>南大分サッカー少年団</v>
      </c>
      <c r="K7" s="802"/>
      <c r="L7" s="802"/>
      <c r="M7" s="802"/>
      <c r="N7" s="802"/>
      <c r="O7" s="874"/>
      <c r="P7" s="804" t="str">
        <f>'１次リーグ（別府）'!C8</f>
        <v>カティオーラフットボールクラブＵ－１２　Ｎｅｘｔ</v>
      </c>
      <c r="Q7" s="804"/>
      <c r="R7" s="804"/>
      <c r="S7" s="804"/>
      <c r="T7" s="804"/>
      <c r="U7" s="805"/>
      <c r="V7" s="802" t="str">
        <f>'１次リーグ（別府）'!O8</f>
        <v>明治北ＳＳＣ</v>
      </c>
      <c r="W7" s="802"/>
      <c r="X7" s="802"/>
      <c r="Y7" s="802"/>
      <c r="Z7" s="802"/>
      <c r="AA7" s="803"/>
      <c r="AC7" s="815"/>
      <c r="AD7" s="811"/>
      <c r="AE7" s="816"/>
      <c r="AF7" s="801" t="str">
        <f>'１次リーグ（日田・玖珠）'!C8</f>
        <v>カティオーラフットボールクラブＵ－１２</v>
      </c>
      <c r="AG7" s="802"/>
      <c r="AH7" s="802"/>
      <c r="AI7" s="802"/>
      <c r="AJ7" s="802"/>
      <c r="AK7" s="802"/>
      <c r="AL7" s="875" t="str">
        <f>'１次リーグ（日田・玖珠）'!O8</f>
        <v>鶴崎ＳＳＳ</v>
      </c>
      <c r="AM7" s="804"/>
      <c r="AN7" s="804"/>
      <c r="AO7" s="804"/>
      <c r="AP7" s="804"/>
      <c r="AQ7" s="876"/>
      <c r="AR7" s="805" t="str">
        <f>'１次リーグ（速杵国東）'!C8</f>
        <v>大分トリニータＵ－１２</v>
      </c>
      <c r="AS7" s="802"/>
      <c r="AT7" s="802"/>
      <c r="AU7" s="802"/>
      <c r="AV7" s="802"/>
      <c r="AW7" s="802"/>
      <c r="AX7" s="802" t="str">
        <f>'１次リーグ（速杵国東）'!O8</f>
        <v>滝尾下郡サッカースポーツ少年団</v>
      </c>
      <c r="AY7" s="802"/>
      <c r="AZ7" s="802"/>
      <c r="BA7" s="802"/>
      <c r="BB7" s="802"/>
      <c r="BC7" s="803"/>
      <c r="BE7" s="815"/>
      <c r="BF7" s="811"/>
      <c r="BG7" s="816"/>
      <c r="BH7" s="801" t="str">
        <f>'１次リーグ（宇佐高田）'!C8</f>
        <v>アトレチコエラン横瀬</v>
      </c>
      <c r="BI7" s="802"/>
      <c r="BJ7" s="802"/>
      <c r="BK7" s="802"/>
      <c r="BL7" s="802"/>
      <c r="BM7" s="802"/>
      <c r="BN7" s="875" t="str">
        <f>'１次リーグ（宇佐高田）'!O8</f>
        <v>明野東サッカースポーツ少年団</v>
      </c>
      <c r="BO7" s="804"/>
      <c r="BP7" s="804"/>
      <c r="BQ7" s="804"/>
      <c r="BR7" s="804"/>
      <c r="BS7" s="876"/>
      <c r="BT7" s="805" t="str">
        <f>'１次リーグ（臼杵・津久見）'!C8</f>
        <v>ＦＣ　ＲＥＧＡＴＥ</v>
      </c>
      <c r="BU7" s="802"/>
      <c r="BV7" s="802"/>
      <c r="BW7" s="802"/>
      <c r="BX7" s="802"/>
      <c r="BY7" s="802"/>
      <c r="BZ7" s="802" t="str">
        <f>'１次リーグ（臼杵・津久見）'!O8</f>
        <v>リノスフットボールクラブ　Ｕ－１２</v>
      </c>
      <c r="CA7" s="802"/>
      <c r="CB7" s="802"/>
      <c r="CC7" s="802"/>
      <c r="CD7" s="802"/>
      <c r="CE7" s="803"/>
    </row>
    <row r="8" spans="1:83" ht="27.75" customHeight="1" x14ac:dyDescent="0.25">
      <c r="A8" s="817"/>
      <c r="B8" s="818"/>
      <c r="C8" s="819"/>
      <c r="D8" s="806" t="str">
        <f>'１次リーグ（中津）'!C9</f>
        <v>スマイス　セレソン　スポーツクラブ</v>
      </c>
      <c r="E8" s="807"/>
      <c r="F8" s="807"/>
      <c r="G8" s="807"/>
      <c r="H8" s="807"/>
      <c r="I8" s="807"/>
      <c r="J8" s="807" t="str">
        <f>'１次リーグ（中津）'!O9</f>
        <v>ＦＣ　ＵＮＩＴＥ</v>
      </c>
      <c r="K8" s="807"/>
      <c r="L8" s="807"/>
      <c r="M8" s="807"/>
      <c r="N8" s="807"/>
      <c r="O8" s="877"/>
      <c r="P8" s="809" t="str">
        <f>'１次リーグ（別府）'!C9</f>
        <v>西の台ＪＦＣ</v>
      </c>
      <c r="Q8" s="809"/>
      <c r="R8" s="809"/>
      <c r="S8" s="809"/>
      <c r="T8" s="809"/>
      <c r="U8" s="810"/>
      <c r="V8" s="807" t="str">
        <f>'１次リーグ（別府）'!O9</f>
        <v>大分トリニータタートルズ</v>
      </c>
      <c r="W8" s="807"/>
      <c r="X8" s="807"/>
      <c r="Y8" s="807"/>
      <c r="Z8" s="807"/>
      <c r="AA8" s="808"/>
      <c r="AC8" s="817"/>
      <c r="AD8" s="818"/>
      <c r="AE8" s="819"/>
      <c r="AF8" s="806" t="str">
        <f>'１次リーグ（日田・玖珠）'!C9</f>
        <v>大平山アソシエーション式フットボールクラブ</v>
      </c>
      <c r="AG8" s="807"/>
      <c r="AH8" s="807"/>
      <c r="AI8" s="807"/>
      <c r="AJ8" s="807"/>
      <c r="AK8" s="807"/>
      <c r="AL8" s="878" t="str">
        <f>'１次リーグ（日田・玖珠）'!O9</f>
        <v>戸次吉野ＳＳＳ</v>
      </c>
      <c r="AM8" s="809"/>
      <c r="AN8" s="809"/>
      <c r="AO8" s="809"/>
      <c r="AP8" s="809"/>
      <c r="AQ8" s="879"/>
      <c r="AR8" s="810" t="str">
        <f>'１次リーグ（速杵国東）'!C9</f>
        <v>弥生少年サッカークラブ</v>
      </c>
      <c r="AS8" s="807"/>
      <c r="AT8" s="807"/>
      <c r="AU8" s="807"/>
      <c r="AV8" s="807"/>
      <c r="AW8" s="807"/>
      <c r="AX8" s="807" t="str">
        <f>'１次リーグ（速杵国東）'!O9</f>
        <v>はやぶさフットボールクラブ</v>
      </c>
      <c r="AY8" s="807"/>
      <c r="AZ8" s="807"/>
      <c r="BA8" s="807"/>
      <c r="BB8" s="807"/>
      <c r="BC8" s="808"/>
      <c r="BE8" s="817"/>
      <c r="BF8" s="818"/>
      <c r="BG8" s="819"/>
      <c r="BH8" s="806" t="str">
        <f>'１次リーグ（宇佐高田）'!C9</f>
        <v>ＦＣ　ＪＵＮＩＯＲＳ</v>
      </c>
      <c r="BI8" s="807"/>
      <c r="BJ8" s="807"/>
      <c r="BK8" s="807"/>
      <c r="BL8" s="807"/>
      <c r="BM8" s="807"/>
      <c r="BN8" s="878" t="str">
        <f>'１次リーグ（宇佐高田）'!O9</f>
        <v>佐伯リベロフットボールクラブ</v>
      </c>
      <c r="BO8" s="809"/>
      <c r="BP8" s="809"/>
      <c r="BQ8" s="809"/>
      <c r="BR8" s="809"/>
      <c r="BS8" s="879"/>
      <c r="BT8" s="810" t="str">
        <f>'１次リーグ（臼杵・津久見）'!C9</f>
        <v>竹田直入ＦＣ</v>
      </c>
      <c r="BU8" s="807"/>
      <c r="BV8" s="807"/>
      <c r="BW8" s="807"/>
      <c r="BX8" s="807"/>
      <c r="BY8" s="807"/>
      <c r="BZ8" s="807" t="str">
        <f>'１次リーグ（臼杵・津久見）'!O9</f>
        <v>ＮＦＣ・ＯＩＴＡ　Ｕ１２</v>
      </c>
      <c r="CA8" s="807"/>
      <c r="CB8" s="807"/>
      <c r="CC8" s="807"/>
      <c r="CD8" s="807"/>
      <c r="CE8" s="808"/>
    </row>
    <row r="9" spans="1:83" ht="16.149999999999999" x14ac:dyDescent="0.25">
      <c r="A9" s="131"/>
      <c r="B9" s="131"/>
      <c r="C9" s="131"/>
      <c r="D9" s="137"/>
      <c r="E9" s="137"/>
      <c r="F9" s="137"/>
      <c r="G9" s="137"/>
      <c r="H9" s="137"/>
      <c r="I9" s="137"/>
      <c r="J9" s="137"/>
      <c r="K9" s="137"/>
      <c r="L9" s="137"/>
      <c r="M9" s="137"/>
      <c r="N9" s="137"/>
      <c r="O9" s="137"/>
      <c r="P9" s="137"/>
      <c r="Q9" s="137"/>
      <c r="R9" s="137"/>
      <c r="S9" s="137"/>
      <c r="T9" s="137"/>
      <c r="U9" s="137"/>
      <c r="V9" s="137"/>
      <c r="W9" s="137"/>
      <c r="X9" s="137"/>
      <c r="Y9" s="137"/>
      <c r="Z9" s="137"/>
      <c r="AA9" s="137"/>
      <c r="AC9" s="131"/>
      <c r="AD9" s="131"/>
      <c r="AE9" s="131"/>
      <c r="AF9" s="137"/>
      <c r="AG9" s="137"/>
      <c r="AH9" s="137"/>
      <c r="AI9" s="137"/>
      <c r="AJ9" s="137"/>
      <c r="AK9" s="137"/>
      <c r="AL9" s="137"/>
      <c r="AM9" s="137"/>
      <c r="AN9" s="137"/>
      <c r="AO9" s="137"/>
      <c r="AP9" s="137"/>
      <c r="AQ9" s="137"/>
      <c r="AR9" s="137"/>
      <c r="AS9" s="137"/>
      <c r="AT9" s="137"/>
      <c r="AU9" s="137"/>
      <c r="AV9" s="137"/>
      <c r="AW9" s="137"/>
      <c r="AX9" s="137"/>
      <c r="AY9" s="137"/>
      <c r="AZ9" s="137"/>
      <c r="BA9" s="137"/>
      <c r="BB9" s="137"/>
      <c r="BC9" s="137"/>
      <c r="BE9" s="131"/>
      <c r="BF9" s="131"/>
      <c r="BG9" s="131"/>
      <c r="BH9" s="137"/>
      <c r="BI9" s="137"/>
      <c r="BJ9" s="137"/>
      <c r="BK9" s="137"/>
      <c r="BL9" s="137"/>
      <c r="BM9" s="137"/>
      <c r="BN9" s="137"/>
      <c r="BO9" s="137"/>
      <c r="BP9" s="137"/>
      <c r="BQ9" s="137"/>
      <c r="BR9" s="137"/>
      <c r="BS9" s="137"/>
      <c r="BT9" s="137"/>
      <c r="BU9" s="137"/>
      <c r="BV9" s="137"/>
      <c r="BW9" s="137"/>
      <c r="BX9" s="137"/>
      <c r="BY9" s="137"/>
      <c r="BZ9" s="137"/>
      <c r="CA9" s="137"/>
      <c r="CB9" s="137"/>
      <c r="CC9" s="137"/>
      <c r="CD9" s="137"/>
      <c r="CE9" s="137"/>
    </row>
    <row r="10" spans="1:83" ht="21" x14ac:dyDescent="0.25">
      <c r="C10" s="136"/>
      <c r="AQ10" s="127"/>
      <c r="BS10" s="127"/>
    </row>
    <row r="11" spans="1:83" ht="21.75" customHeight="1" x14ac:dyDescent="0.25">
      <c r="A11" s="811" t="s">
        <v>1595</v>
      </c>
      <c r="B11" s="811"/>
      <c r="C11" s="811"/>
      <c r="AC11" s="811" t="s">
        <v>1595</v>
      </c>
      <c r="AD11" s="811"/>
      <c r="AE11" s="811"/>
      <c r="AF11" s="127"/>
      <c r="AG11" s="127"/>
      <c r="AH11" s="127"/>
      <c r="AI11" s="127"/>
      <c r="AJ11" s="127"/>
      <c r="AK11" s="127"/>
      <c r="AL11" s="127"/>
      <c r="AM11" s="127"/>
      <c r="AN11" s="127"/>
      <c r="AO11" s="127"/>
      <c r="AP11" s="127"/>
      <c r="AQ11" s="127"/>
      <c r="AR11" s="127"/>
      <c r="AS11" s="127"/>
      <c r="AT11" s="127"/>
      <c r="AU11" s="127"/>
      <c r="AV11" s="127"/>
      <c r="AW11" s="127"/>
      <c r="AX11" s="127"/>
      <c r="AY11" s="127"/>
      <c r="AZ11" s="127"/>
      <c r="BA11" s="127"/>
      <c r="BB11" s="127"/>
      <c r="BC11" s="127"/>
      <c r="BE11" s="811" t="s">
        <v>1595</v>
      </c>
      <c r="BF11" s="811"/>
      <c r="BG11" s="811"/>
      <c r="BH11" s="127"/>
      <c r="BI11" s="127"/>
      <c r="BJ11" s="127"/>
      <c r="BK11" s="127"/>
      <c r="BL11" s="127"/>
      <c r="BM11" s="127"/>
      <c r="BN11" s="127"/>
      <c r="BO11" s="127"/>
      <c r="BP11" s="127"/>
      <c r="BQ11" s="127"/>
      <c r="BR11" s="127"/>
      <c r="BS11" s="127"/>
      <c r="BT11" s="127"/>
      <c r="BU11" s="127"/>
      <c r="BV11" s="127"/>
      <c r="BW11" s="127"/>
      <c r="BX11" s="127"/>
      <c r="BY11" s="127"/>
      <c r="BZ11" s="127"/>
      <c r="CA11" s="127"/>
      <c r="CB11" s="127"/>
      <c r="CC11" s="127"/>
      <c r="CD11" s="127"/>
      <c r="CE11" s="127"/>
    </row>
    <row r="12" spans="1:83" ht="27.75" customHeight="1" x14ac:dyDescent="0.25">
      <c r="A12" s="796" t="s">
        <v>399</v>
      </c>
      <c r="B12" s="797"/>
      <c r="C12" s="798"/>
      <c r="D12" s="138"/>
      <c r="E12" s="146"/>
      <c r="F12" s="146"/>
      <c r="G12" s="146"/>
      <c r="H12" s="146"/>
      <c r="I12" s="167" t="s">
        <v>2300</v>
      </c>
      <c r="J12" s="146"/>
      <c r="K12" s="146"/>
      <c r="L12" s="179"/>
      <c r="M12" s="798" t="s">
        <v>1018</v>
      </c>
      <c r="N12" s="799"/>
      <c r="O12" s="872"/>
      <c r="P12" s="167"/>
      <c r="Q12" s="146"/>
      <c r="R12" s="146"/>
      <c r="S12" s="146"/>
      <c r="T12" s="146"/>
      <c r="U12" s="167" t="s">
        <v>2300</v>
      </c>
      <c r="V12" s="146"/>
      <c r="W12" s="146"/>
      <c r="X12" s="179"/>
      <c r="Y12" s="798" t="s">
        <v>1018</v>
      </c>
      <c r="Z12" s="799"/>
      <c r="AA12" s="800"/>
      <c r="AC12" s="873" t="s">
        <v>399</v>
      </c>
      <c r="AD12" s="799"/>
      <c r="AE12" s="800"/>
      <c r="AF12" s="138"/>
      <c r="AG12" s="146"/>
      <c r="AH12" s="146"/>
      <c r="AI12" s="146"/>
      <c r="AJ12" s="146"/>
      <c r="AK12" s="167" t="s">
        <v>2300</v>
      </c>
      <c r="AL12" s="146"/>
      <c r="AM12" s="146"/>
      <c r="AN12" s="179"/>
      <c r="AO12" s="798" t="s">
        <v>1018</v>
      </c>
      <c r="AP12" s="799"/>
      <c r="AQ12" s="872"/>
      <c r="AR12" s="167"/>
      <c r="AS12" s="146"/>
      <c r="AT12" s="146"/>
      <c r="AU12" s="146"/>
      <c r="AV12" s="146"/>
      <c r="AW12" s="167" t="s">
        <v>2300</v>
      </c>
      <c r="AX12" s="146"/>
      <c r="AY12" s="146"/>
      <c r="AZ12" s="179"/>
      <c r="BA12" s="798" t="s">
        <v>1018</v>
      </c>
      <c r="BB12" s="799"/>
      <c r="BC12" s="800"/>
      <c r="BE12" s="873" t="s">
        <v>399</v>
      </c>
      <c r="BF12" s="799"/>
      <c r="BG12" s="800"/>
      <c r="BH12" s="138"/>
      <c r="BI12" s="146"/>
      <c r="BJ12" s="146"/>
      <c r="BK12" s="146"/>
      <c r="BL12" s="146"/>
      <c r="BM12" s="167" t="s">
        <v>2300</v>
      </c>
      <c r="BN12" s="146"/>
      <c r="BO12" s="146"/>
      <c r="BP12" s="179"/>
      <c r="BQ12" s="798" t="s">
        <v>1018</v>
      </c>
      <c r="BR12" s="799"/>
      <c r="BS12" s="872"/>
      <c r="BT12" s="167"/>
      <c r="BU12" s="146"/>
      <c r="BV12" s="146"/>
      <c r="BW12" s="146"/>
      <c r="BX12" s="146"/>
      <c r="BY12" s="167" t="s">
        <v>2300</v>
      </c>
      <c r="BZ12" s="146"/>
      <c r="CA12" s="146"/>
      <c r="CB12" s="179"/>
      <c r="CC12" s="798" t="s">
        <v>1018</v>
      </c>
      <c r="CD12" s="799"/>
      <c r="CE12" s="800"/>
    </row>
    <row r="13" spans="1:83" ht="54.75" customHeight="1" x14ac:dyDescent="0.25">
      <c r="A13" s="757" t="s">
        <v>357</v>
      </c>
      <c r="B13" s="759">
        <v>0.41666666666666669</v>
      </c>
      <c r="C13" s="759"/>
      <c r="D13" s="786" t="s">
        <v>437</v>
      </c>
      <c r="E13" s="795"/>
      <c r="F13" s="789" t="str">
        <f>D6</f>
        <v>鶴居ＳＳＳ</v>
      </c>
      <c r="G13" s="789"/>
      <c r="H13" s="790"/>
      <c r="I13" s="165" t="s">
        <v>2136</v>
      </c>
      <c r="J13" s="791" t="str">
        <f>D7</f>
        <v>ドリームキッズフットボールクラブ</v>
      </c>
      <c r="K13" s="789"/>
      <c r="L13" s="789"/>
      <c r="M13" s="792" t="str">
        <f>J6</f>
        <v>ティエラフットボールクラブＵ－１２</v>
      </c>
      <c r="N13" s="793"/>
      <c r="O13" s="867"/>
      <c r="P13" s="786" t="s">
        <v>437</v>
      </c>
      <c r="Q13" s="795"/>
      <c r="R13" s="789" t="str">
        <f>P6</f>
        <v>別府フットボールクラブ．ミネルバＵ－１２</v>
      </c>
      <c r="S13" s="789"/>
      <c r="T13" s="790"/>
      <c r="U13" s="165" t="s">
        <v>2136</v>
      </c>
      <c r="V13" s="791" t="str">
        <f>P7</f>
        <v>カティオーラフットボールクラブＵ－１２　Ｎｅｘｔ</v>
      </c>
      <c r="W13" s="789"/>
      <c r="X13" s="789"/>
      <c r="Y13" s="792" t="str">
        <f>V6</f>
        <v>スマイス・セレソン</v>
      </c>
      <c r="Z13" s="793"/>
      <c r="AA13" s="794"/>
      <c r="AC13" s="757" t="s">
        <v>357</v>
      </c>
      <c r="AD13" s="759">
        <v>0.41666666666666669</v>
      </c>
      <c r="AE13" s="759"/>
      <c r="AF13" s="786" t="s">
        <v>437</v>
      </c>
      <c r="AG13" s="795"/>
      <c r="AH13" s="789" t="str">
        <f>AF6</f>
        <v>ＦＣアリアーレ</v>
      </c>
      <c r="AI13" s="789"/>
      <c r="AJ13" s="790"/>
      <c r="AK13" s="165" t="s">
        <v>2136</v>
      </c>
      <c r="AL13" s="791" t="str">
        <f>AF7</f>
        <v>カティオーラフットボールクラブＵ－１２</v>
      </c>
      <c r="AM13" s="789"/>
      <c r="AN13" s="789"/>
      <c r="AO13" s="792" t="str">
        <f>AL6</f>
        <v>玖珠サッカースポーツ少年団</v>
      </c>
      <c r="AP13" s="793"/>
      <c r="AQ13" s="867"/>
      <c r="AR13" s="786" t="s">
        <v>437</v>
      </c>
      <c r="AS13" s="795"/>
      <c r="AT13" s="789" t="str">
        <f>AR6</f>
        <v>日出サッカースポーツ少年団</v>
      </c>
      <c r="AU13" s="789"/>
      <c r="AV13" s="790"/>
      <c r="AW13" s="165" t="s">
        <v>2136</v>
      </c>
      <c r="AX13" s="791" t="str">
        <f>AR7</f>
        <v>大分トリニータＵ－１２</v>
      </c>
      <c r="AY13" s="789"/>
      <c r="AZ13" s="789"/>
      <c r="BA13" s="792" t="str">
        <f>AX6</f>
        <v>ＯＫＹ山香サッカークラブ</v>
      </c>
      <c r="BB13" s="793"/>
      <c r="BC13" s="794"/>
      <c r="BE13" s="757" t="s">
        <v>357</v>
      </c>
      <c r="BF13" s="759">
        <v>0.41666666666666669</v>
      </c>
      <c r="BG13" s="759"/>
      <c r="BH13" s="786" t="s">
        <v>437</v>
      </c>
      <c r="BI13" s="795"/>
      <c r="BJ13" s="789" t="str">
        <f>BH6</f>
        <v>ＦＣ　ＷＡＹＳ</v>
      </c>
      <c r="BK13" s="789"/>
      <c r="BL13" s="790"/>
      <c r="BM13" s="165" t="s">
        <v>2136</v>
      </c>
      <c r="BN13" s="791" t="str">
        <f>BH7</f>
        <v>アトレチコエラン横瀬</v>
      </c>
      <c r="BO13" s="789"/>
      <c r="BP13" s="789"/>
      <c r="BQ13" s="792" t="str">
        <f>BN6</f>
        <v>四日市南ＳＳＣ</v>
      </c>
      <c r="BR13" s="793"/>
      <c r="BS13" s="867"/>
      <c r="BT13" s="786" t="s">
        <v>437</v>
      </c>
      <c r="BU13" s="795"/>
      <c r="BV13" s="789" t="str">
        <f>BT6</f>
        <v>臼杵ＳＳＳ</v>
      </c>
      <c r="BW13" s="789"/>
      <c r="BX13" s="790"/>
      <c r="BY13" s="165" t="s">
        <v>2136</v>
      </c>
      <c r="BZ13" s="791" t="str">
        <f>BT7</f>
        <v>ＦＣ　ＲＥＧＡＴＥ</v>
      </c>
      <c r="CA13" s="789"/>
      <c r="CB13" s="789"/>
      <c r="CC13" s="792" t="str">
        <f>BZ6</f>
        <v>ＭＦＣ三花少年サッカー教室</v>
      </c>
      <c r="CD13" s="793"/>
      <c r="CE13" s="794"/>
    </row>
    <row r="14" spans="1:83" s="129" customFormat="1" ht="54.75" customHeight="1" x14ac:dyDescent="0.25">
      <c r="A14" s="758"/>
      <c r="B14" s="760"/>
      <c r="C14" s="760"/>
      <c r="D14" s="761" t="s">
        <v>2010</v>
      </c>
      <c r="E14" s="784"/>
      <c r="F14" s="868">
        <v>0</v>
      </c>
      <c r="G14" s="869"/>
      <c r="H14" s="869"/>
      <c r="I14" s="157" t="s">
        <v>2136</v>
      </c>
      <c r="J14" s="869">
        <v>2</v>
      </c>
      <c r="K14" s="869"/>
      <c r="L14" s="870"/>
      <c r="M14" s="766" t="str">
        <f>J7</f>
        <v>南大分サッカー少年団</v>
      </c>
      <c r="N14" s="767"/>
      <c r="O14" s="871"/>
      <c r="P14" s="761" t="s">
        <v>2010</v>
      </c>
      <c r="Q14" s="784"/>
      <c r="R14" s="868">
        <v>3</v>
      </c>
      <c r="S14" s="869"/>
      <c r="T14" s="869"/>
      <c r="U14" s="157" t="s">
        <v>2136</v>
      </c>
      <c r="V14" s="869">
        <v>0</v>
      </c>
      <c r="W14" s="869"/>
      <c r="X14" s="870"/>
      <c r="Y14" s="766" t="str">
        <f>V7</f>
        <v>明治北ＳＳＣ</v>
      </c>
      <c r="Z14" s="767"/>
      <c r="AA14" s="768"/>
      <c r="AC14" s="758"/>
      <c r="AD14" s="760"/>
      <c r="AE14" s="760"/>
      <c r="AF14" s="761" t="s">
        <v>2010</v>
      </c>
      <c r="AG14" s="784"/>
      <c r="AH14" s="868">
        <v>0</v>
      </c>
      <c r="AI14" s="869"/>
      <c r="AJ14" s="869"/>
      <c r="AK14" s="157" t="s">
        <v>2136</v>
      </c>
      <c r="AL14" s="869">
        <v>0</v>
      </c>
      <c r="AM14" s="869"/>
      <c r="AN14" s="870"/>
      <c r="AO14" s="766" t="str">
        <f>AL7</f>
        <v>鶴崎ＳＳＳ</v>
      </c>
      <c r="AP14" s="767"/>
      <c r="AQ14" s="871"/>
      <c r="AR14" s="761" t="s">
        <v>2010</v>
      </c>
      <c r="AS14" s="784"/>
      <c r="AT14" s="868">
        <v>1</v>
      </c>
      <c r="AU14" s="869"/>
      <c r="AV14" s="869"/>
      <c r="AW14" s="157" t="s">
        <v>2136</v>
      </c>
      <c r="AX14" s="869">
        <v>11</v>
      </c>
      <c r="AY14" s="869"/>
      <c r="AZ14" s="870"/>
      <c r="BA14" s="766" t="str">
        <f>AX7</f>
        <v>滝尾下郡サッカースポーツ少年団</v>
      </c>
      <c r="BB14" s="767"/>
      <c r="BC14" s="768"/>
      <c r="BE14" s="758"/>
      <c r="BF14" s="760"/>
      <c r="BG14" s="760"/>
      <c r="BH14" s="761" t="s">
        <v>2010</v>
      </c>
      <c r="BI14" s="784"/>
      <c r="BJ14" s="868">
        <v>0</v>
      </c>
      <c r="BK14" s="869"/>
      <c r="BL14" s="869"/>
      <c r="BM14" s="157" t="s">
        <v>2136</v>
      </c>
      <c r="BN14" s="869">
        <v>5</v>
      </c>
      <c r="BO14" s="869"/>
      <c r="BP14" s="870"/>
      <c r="BQ14" s="766" t="str">
        <f>BN7</f>
        <v>明野東サッカースポーツ少年団</v>
      </c>
      <c r="BR14" s="767"/>
      <c r="BS14" s="871"/>
      <c r="BT14" s="761" t="s">
        <v>2010</v>
      </c>
      <c r="BU14" s="784"/>
      <c r="BV14" s="868">
        <v>4</v>
      </c>
      <c r="BW14" s="869"/>
      <c r="BX14" s="869"/>
      <c r="BY14" s="157" t="s">
        <v>2136</v>
      </c>
      <c r="BZ14" s="869">
        <v>0</v>
      </c>
      <c r="CA14" s="869"/>
      <c r="CB14" s="870"/>
      <c r="CC14" s="766" t="str">
        <f>BZ7</f>
        <v>リノスフットボールクラブ　Ｕ－１２</v>
      </c>
      <c r="CD14" s="767"/>
      <c r="CE14" s="768"/>
    </row>
    <row r="15" spans="1:83" ht="54.75" customHeight="1" x14ac:dyDescent="0.25">
      <c r="A15" s="757" t="s">
        <v>360</v>
      </c>
      <c r="B15" s="759">
        <v>0.45833333333333331</v>
      </c>
      <c r="C15" s="759"/>
      <c r="D15" s="786" t="s">
        <v>437</v>
      </c>
      <c r="E15" s="795"/>
      <c r="F15" s="789" t="str">
        <f>J6</f>
        <v>ティエラフットボールクラブＵ－１２</v>
      </c>
      <c r="G15" s="789"/>
      <c r="H15" s="790"/>
      <c r="I15" s="165" t="s">
        <v>2136</v>
      </c>
      <c r="J15" s="791" t="str">
        <f>J7</f>
        <v>南大分サッカー少年団</v>
      </c>
      <c r="K15" s="789"/>
      <c r="L15" s="789"/>
      <c r="M15" s="792" t="str">
        <f>D6</f>
        <v>鶴居ＳＳＳ</v>
      </c>
      <c r="N15" s="793"/>
      <c r="O15" s="867"/>
      <c r="P15" s="786" t="s">
        <v>437</v>
      </c>
      <c r="Q15" s="795"/>
      <c r="R15" s="789" t="str">
        <f>V6</f>
        <v>スマイス・セレソン</v>
      </c>
      <c r="S15" s="789"/>
      <c r="T15" s="790"/>
      <c r="U15" s="165" t="s">
        <v>2136</v>
      </c>
      <c r="V15" s="791" t="str">
        <f>V7</f>
        <v>明治北ＳＳＣ</v>
      </c>
      <c r="W15" s="789"/>
      <c r="X15" s="789"/>
      <c r="Y15" s="792" t="str">
        <f>P6</f>
        <v>別府フットボールクラブ．ミネルバＵ－１２</v>
      </c>
      <c r="Z15" s="793"/>
      <c r="AA15" s="794"/>
      <c r="AC15" s="757" t="s">
        <v>360</v>
      </c>
      <c r="AD15" s="759">
        <v>0.45833333333333331</v>
      </c>
      <c r="AE15" s="759"/>
      <c r="AF15" s="786" t="s">
        <v>437</v>
      </c>
      <c r="AG15" s="795"/>
      <c r="AH15" s="789" t="str">
        <f>AL6</f>
        <v>玖珠サッカースポーツ少年団</v>
      </c>
      <c r="AI15" s="789"/>
      <c r="AJ15" s="790"/>
      <c r="AK15" s="165" t="s">
        <v>2136</v>
      </c>
      <c r="AL15" s="791" t="str">
        <f>AL7</f>
        <v>鶴崎ＳＳＳ</v>
      </c>
      <c r="AM15" s="789"/>
      <c r="AN15" s="789"/>
      <c r="AO15" s="792" t="str">
        <f>AF6</f>
        <v>ＦＣアリアーレ</v>
      </c>
      <c r="AP15" s="793"/>
      <c r="AQ15" s="867"/>
      <c r="AR15" s="786" t="s">
        <v>437</v>
      </c>
      <c r="AS15" s="795"/>
      <c r="AT15" s="789" t="str">
        <f>AX6</f>
        <v>ＯＫＹ山香サッカークラブ</v>
      </c>
      <c r="AU15" s="789"/>
      <c r="AV15" s="790"/>
      <c r="AW15" s="165" t="s">
        <v>2136</v>
      </c>
      <c r="AX15" s="791" t="str">
        <f>AX7</f>
        <v>滝尾下郡サッカースポーツ少年団</v>
      </c>
      <c r="AY15" s="789"/>
      <c r="AZ15" s="789"/>
      <c r="BA15" s="792" t="str">
        <f>AR6</f>
        <v>日出サッカースポーツ少年団</v>
      </c>
      <c r="BB15" s="793"/>
      <c r="BC15" s="794"/>
      <c r="BE15" s="757" t="s">
        <v>360</v>
      </c>
      <c r="BF15" s="759">
        <v>0.45833333333333331</v>
      </c>
      <c r="BG15" s="759"/>
      <c r="BH15" s="786" t="s">
        <v>437</v>
      </c>
      <c r="BI15" s="795"/>
      <c r="BJ15" s="789" t="str">
        <f>BN6</f>
        <v>四日市南ＳＳＣ</v>
      </c>
      <c r="BK15" s="789"/>
      <c r="BL15" s="790"/>
      <c r="BM15" s="165" t="s">
        <v>2136</v>
      </c>
      <c r="BN15" s="791" t="str">
        <f>BN7</f>
        <v>明野東サッカースポーツ少年団</v>
      </c>
      <c r="BO15" s="789"/>
      <c r="BP15" s="789"/>
      <c r="BQ15" s="792" t="str">
        <f>BH6</f>
        <v>ＦＣ　ＷＡＹＳ</v>
      </c>
      <c r="BR15" s="793"/>
      <c r="BS15" s="867"/>
      <c r="BT15" s="786" t="s">
        <v>437</v>
      </c>
      <c r="BU15" s="795"/>
      <c r="BV15" s="789" t="str">
        <f>BZ6</f>
        <v>ＭＦＣ三花少年サッカー教室</v>
      </c>
      <c r="BW15" s="789"/>
      <c r="BX15" s="790"/>
      <c r="BY15" s="165" t="s">
        <v>2136</v>
      </c>
      <c r="BZ15" s="791" t="str">
        <f>BZ7</f>
        <v>リノスフットボールクラブ　Ｕ－１２</v>
      </c>
      <c r="CA15" s="789"/>
      <c r="CB15" s="789"/>
      <c r="CC15" s="792" t="str">
        <f>BT6</f>
        <v>臼杵ＳＳＳ</v>
      </c>
      <c r="CD15" s="793"/>
      <c r="CE15" s="794"/>
    </row>
    <row r="16" spans="1:83" s="129" customFormat="1" ht="54.75" customHeight="1" x14ac:dyDescent="0.25">
      <c r="A16" s="758"/>
      <c r="B16" s="760"/>
      <c r="C16" s="760"/>
      <c r="D16" s="761" t="s">
        <v>2010</v>
      </c>
      <c r="E16" s="784"/>
      <c r="F16" s="868">
        <v>2</v>
      </c>
      <c r="G16" s="869"/>
      <c r="H16" s="869"/>
      <c r="I16" s="157" t="s">
        <v>2136</v>
      </c>
      <c r="J16" s="869">
        <v>0</v>
      </c>
      <c r="K16" s="869"/>
      <c r="L16" s="870"/>
      <c r="M16" s="766" t="str">
        <f>D7</f>
        <v>ドリームキッズフットボールクラブ</v>
      </c>
      <c r="N16" s="767"/>
      <c r="O16" s="871"/>
      <c r="P16" s="761" t="s">
        <v>2010</v>
      </c>
      <c r="Q16" s="784"/>
      <c r="R16" s="868">
        <v>0</v>
      </c>
      <c r="S16" s="869"/>
      <c r="T16" s="869"/>
      <c r="U16" s="157" t="s">
        <v>2136</v>
      </c>
      <c r="V16" s="869">
        <v>1</v>
      </c>
      <c r="W16" s="869"/>
      <c r="X16" s="870"/>
      <c r="Y16" s="766" t="str">
        <f>P7</f>
        <v>カティオーラフットボールクラブＵ－１２　Ｎｅｘｔ</v>
      </c>
      <c r="Z16" s="767"/>
      <c r="AA16" s="768"/>
      <c r="AC16" s="758"/>
      <c r="AD16" s="760"/>
      <c r="AE16" s="760"/>
      <c r="AF16" s="761" t="s">
        <v>2010</v>
      </c>
      <c r="AG16" s="784"/>
      <c r="AH16" s="868">
        <v>0</v>
      </c>
      <c r="AI16" s="869"/>
      <c r="AJ16" s="869"/>
      <c r="AK16" s="157" t="s">
        <v>2136</v>
      </c>
      <c r="AL16" s="869">
        <v>4</v>
      </c>
      <c r="AM16" s="869"/>
      <c r="AN16" s="870"/>
      <c r="AO16" s="766" t="str">
        <f>AF7</f>
        <v>カティオーラフットボールクラブＵ－１２</v>
      </c>
      <c r="AP16" s="767"/>
      <c r="AQ16" s="871"/>
      <c r="AR16" s="761" t="s">
        <v>2010</v>
      </c>
      <c r="AS16" s="784"/>
      <c r="AT16" s="868">
        <v>3</v>
      </c>
      <c r="AU16" s="869"/>
      <c r="AV16" s="869"/>
      <c r="AW16" s="157" t="s">
        <v>2136</v>
      </c>
      <c r="AX16" s="869">
        <v>4</v>
      </c>
      <c r="AY16" s="869"/>
      <c r="AZ16" s="870"/>
      <c r="BA16" s="766" t="str">
        <f>AR7</f>
        <v>大分トリニータＵ－１２</v>
      </c>
      <c r="BB16" s="767"/>
      <c r="BC16" s="768"/>
      <c r="BE16" s="758"/>
      <c r="BF16" s="760"/>
      <c r="BG16" s="760"/>
      <c r="BH16" s="761" t="s">
        <v>2010</v>
      </c>
      <c r="BI16" s="784"/>
      <c r="BJ16" s="868">
        <v>1</v>
      </c>
      <c r="BK16" s="869"/>
      <c r="BL16" s="869"/>
      <c r="BM16" s="157" t="s">
        <v>2136</v>
      </c>
      <c r="BN16" s="869">
        <v>1</v>
      </c>
      <c r="BO16" s="869"/>
      <c r="BP16" s="870"/>
      <c r="BQ16" s="766" t="str">
        <f>BH7</f>
        <v>アトレチコエラン横瀬</v>
      </c>
      <c r="BR16" s="767"/>
      <c r="BS16" s="871"/>
      <c r="BT16" s="761" t="s">
        <v>2010</v>
      </c>
      <c r="BU16" s="784"/>
      <c r="BV16" s="868">
        <v>0</v>
      </c>
      <c r="BW16" s="869"/>
      <c r="BX16" s="869"/>
      <c r="BY16" s="157" t="s">
        <v>2136</v>
      </c>
      <c r="BZ16" s="869">
        <v>0</v>
      </c>
      <c r="CA16" s="869"/>
      <c r="CB16" s="870"/>
      <c r="CC16" s="766" t="str">
        <f>BT7</f>
        <v>ＦＣ　ＲＥＧＡＴＥ</v>
      </c>
      <c r="CD16" s="767"/>
      <c r="CE16" s="768"/>
    </row>
    <row r="17" spans="1:83" ht="54.75" customHeight="1" x14ac:dyDescent="0.25">
      <c r="A17" s="757" t="s">
        <v>388</v>
      </c>
      <c r="B17" s="759">
        <v>0.5</v>
      </c>
      <c r="C17" s="759"/>
      <c r="D17" s="786" t="s">
        <v>437</v>
      </c>
      <c r="E17" s="795"/>
      <c r="F17" s="789" t="str">
        <f>D7</f>
        <v>ドリームキッズフットボールクラブ</v>
      </c>
      <c r="G17" s="789"/>
      <c r="H17" s="790"/>
      <c r="I17" s="165" t="s">
        <v>2136</v>
      </c>
      <c r="J17" s="791" t="str">
        <f>D8</f>
        <v>スマイス　セレソン　スポーツクラブ</v>
      </c>
      <c r="K17" s="789"/>
      <c r="L17" s="789"/>
      <c r="M17" s="792" t="str">
        <f>J7</f>
        <v>南大分サッカー少年団</v>
      </c>
      <c r="N17" s="793"/>
      <c r="O17" s="867"/>
      <c r="P17" s="786" t="s">
        <v>437</v>
      </c>
      <c r="Q17" s="795"/>
      <c r="R17" s="789" t="str">
        <f>P7</f>
        <v>カティオーラフットボールクラブＵ－１２　Ｎｅｘｔ</v>
      </c>
      <c r="S17" s="789"/>
      <c r="T17" s="790"/>
      <c r="U17" s="165" t="s">
        <v>2136</v>
      </c>
      <c r="V17" s="791" t="str">
        <f>P8</f>
        <v>西の台ＪＦＣ</v>
      </c>
      <c r="W17" s="789"/>
      <c r="X17" s="789"/>
      <c r="Y17" s="792" t="str">
        <f>V7</f>
        <v>明治北ＳＳＣ</v>
      </c>
      <c r="Z17" s="793"/>
      <c r="AA17" s="794"/>
      <c r="AC17" s="757" t="s">
        <v>388</v>
      </c>
      <c r="AD17" s="759">
        <v>0.5</v>
      </c>
      <c r="AE17" s="759"/>
      <c r="AF17" s="786" t="s">
        <v>437</v>
      </c>
      <c r="AG17" s="795"/>
      <c r="AH17" s="789" t="str">
        <f>AF7</f>
        <v>カティオーラフットボールクラブＵ－１２</v>
      </c>
      <c r="AI17" s="789"/>
      <c r="AJ17" s="790"/>
      <c r="AK17" s="165" t="s">
        <v>2136</v>
      </c>
      <c r="AL17" s="791" t="str">
        <f>AF8</f>
        <v>大平山アソシエーション式フットボールクラブ</v>
      </c>
      <c r="AM17" s="789"/>
      <c r="AN17" s="789"/>
      <c r="AO17" s="792" t="str">
        <f>AL7</f>
        <v>鶴崎ＳＳＳ</v>
      </c>
      <c r="AP17" s="793"/>
      <c r="AQ17" s="867"/>
      <c r="AR17" s="786" t="s">
        <v>437</v>
      </c>
      <c r="AS17" s="795"/>
      <c r="AT17" s="789" t="str">
        <f>AR7</f>
        <v>大分トリニータＵ－１２</v>
      </c>
      <c r="AU17" s="789"/>
      <c r="AV17" s="790"/>
      <c r="AW17" s="165" t="s">
        <v>2136</v>
      </c>
      <c r="AX17" s="791" t="str">
        <f>AR8</f>
        <v>弥生少年サッカークラブ</v>
      </c>
      <c r="AY17" s="789"/>
      <c r="AZ17" s="789"/>
      <c r="BA17" s="792" t="str">
        <f>AX7</f>
        <v>滝尾下郡サッカースポーツ少年団</v>
      </c>
      <c r="BB17" s="793"/>
      <c r="BC17" s="794"/>
      <c r="BE17" s="757" t="s">
        <v>388</v>
      </c>
      <c r="BF17" s="759">
        <v>0.5</v>
      </c>
      <c r="BG17" s="759"/>
      <c r="BH17" s="786" t="s">
        <v>437</v>
      </c>
      <c r="BI17" s="795"/>
      <c r="BJ17" s="789" t="str">
        <f>BH7</f>
        <v>アトレチコエラン横瀬</v>
      </c>
      <c r="BK17" s="789"/>
      <c r="BL17" s="790"/>
      <c r="BM17" s="165" t="s">
        <v>2136</v>
      </c>
      <c r="BN17" s="791" t="str">
        <f>BH8</f>
        <v>ＦＣ　ＪＵＮＩＯＲＳ</v>
      </c>
      <c r="BO17" s="789"/>
      <c r="BP17" s="789"/>
      <c r="BQ17" s="792" t="str">
        <f>BN7</f>
        <v>明野東サッカースポーツ少年団</v>
      </c>
      <c r="BR17" s="793"/>
      <c r="BS17" s="867"/>
      <c r="BT17" s="786" t="s">
        <v>437</v>
      </c>
      <c r="BU17" s="795"/>
      <c r="BV17" s="789" t="str">
        <f>BT7</f>
        <v>ＦＣ　ＲＥＧＡＴＥ</v>
      </c>
      <c r="BW17" s="789"/>
      <c r="BX17" s="790"/>
      <c r="BY17" s="165" t="s">
        <v>2136</v>
      </c>
      <c r="BZ17" s="791" t="str">
        <f>BT8</f>
        <v>竹田直入ＦＣ</v>
      </c>
      <c r="CA17" s="789"/>
      <c r="CB17" s="789"/>
      <c r="CC17" s="792" t="str">
        <f>BZ7</f>
        <v>リノスフットボールクラブ　Ｕ－１２</v>
      </c>
      <c r="CD17" s="793"/>
      <c r="CE17" s="794"/>
    </row>
    <row r="18" spans="1:83" s="129" customFormat="1" ht="54.75" customHeight="1" x14ac:dyDescent="0.25">
      <c r="A18" s="758"/>
      <c r="B18" s="760"/>
      <c r="C18" s="760"/>
      <c r="D18" s="761" t="s">
        <v>2010</v>
      </c>
      <c r="E18" s="784"/>
      <c r="F18" s="868">
        <v>1</v>
      </c>
      <c r="G18" s="869"/>
      <c r="H18" s="869"/>
      <c r="I18" s="157" t="s">
        <v>2136</v>
      </c>
      <c r="J18" s="869">
        <v>0</v>
      </c>
      <c r="K18" s="869"/>
      <c r="L18" s="870"/>
      <c r="M18" s="766" t="str">
        <f>J8</f>
        <v>ＦＣ　ＵＮＩＴＥ</v>
      </c>
      <c r="N18" s="767"/>
      <c r="O18" s="871"/>
      <c r="P18" s="761" t="s">
        <v>2010</v>
      </c>
      <c r="Q18" s="784"/>
      <c r="R18" s="868">
        <v>1</v>
      </c>
      <c r="S18" s="869"/>
      <c r="T18" s="869"/>
      <c r="U18" s="157" t="s">
        <v>2136</v>
      </c>
      <c r="V18" s="869">
        <v>2</v>
      </c>
      <c r="W18" s="869"/>
      <c r="X18" s="870"/>
      <c r="Y18" s="766" t="str">
        <f>V8</f>
        <v>大分トリニータタートルズ</v>
      </c>
      <c r="Z18" s="767"/>
      <c r="AA18" s="768"/>
      <c r="AC18" s="758"/>
      <c r="AD18" s="760"/>
      <c r="AE18" s="760"/>
      <c r="AF18" s="761" t="s">
        <v>2010</v>
      </c>
      <c r="AG18" s="784"/>
      <c r="AH18" s="868">
        <v>5</v>
      </c>
      <c r="AI18" s="869"/>
      <c r="AJ18" s="869"/>
      <c r="AK18" s="157" t="s">
        <v>2136</v>
      </c>
      <c r="AL18" s="869">
        <v>0</v>
      </c>
      <c r="AM18" s="869"/>
      <c r="AN18" s="870"/>
      <c r="AO18" s="766" t="str">
        <f>AL8</f>
        <v>戸次吉野ＳＳＳ</v>
      </c>
      <c r="AP18" s="767"/>
      <c r="AQ18" s="871"/>
      <c r="AR18" s="761" t="s">
        <v>2010</v>
      </c>
      <c r="AS18" s="784"/>
      <c r="AT18" s="868">
        <v>0</v>
      </c>
      <c r="AU18" s="869"/>
      <c r="AV18" s="869"/>
      <c r="AW18" s="157" t="s">
        <v>2136</v>
      </c>
      <c r="AX18" s="869">
        <v>0</v>
      </c>
      <c r="AY18" s="869"/>
      <c r="AZ18" s="870"/>
      <c r="BA18" s="766" t="str">
        <f>AX8</f>
        <v>はやぶさフットボールクラブ</v>
      </c>
      <c r="BB18" s="767"/>
      <c r="BC18" s="768"/>
      <c r="BE18" s="758"/>
      <c r="BF18" s="760"/>
      <c r="BG18" s="760"/>
      <c r="BH18" s="761" t="s">
        <v>2010</v>
      </c>
      <c r="BI18" s="784"/>
      <c r="BJ18" s="868">
        <v>2</v>
      </c>
      <c r="BK18" s="869"/>
      <c r="BL18" s="869"/>
      <c r="BM18" s="157" t="s">
        <v>2136</v>
      </c>
      <c r="BN18" s="869">
        <v>0</v>
      </c>
      <c r="BO18" s="869"/>
      <c r="BP18" s="870"/>
      <c r="BQ18" s="766" t="str">
        <f>BN8</f>
        <v>佐伯リベロフットボールクラブ</v>
      </c>
      <c r="BR18" s="767"/>
      <c r="BS18" s="871"/>
      <c r="BT18" s="761" t="s">
        <v>2010</v>
      </c>
      <c r="BU18" s="784"/>
      <c r="BV18" s="868">
        <v>0</v>
      </c>
      <c r="BW18" s="869"/>
      <c r="BX18" s="869"/>
      <c r="BY18" s="157" t="s">
        <v>2136</v>
      </c>
      <c r="BZ18" s="869">
        <v>2</v>
      </c>
      <c r="CA18" s="869"/>
      <c r="CB18" s="870"/>
      <c r="CC18" s="766" t="str">
        <f>BZ8</f>
        <v>ＮＦＣ・ＯＩＴＡ　Ｕ１２</v>
      </c>
      <c r="CD18" s="767"/>
      <c r="CE18" s="768"/>
    </row>
    <row r="19" spans="1:83" ht="54.75" customHeight="1" x14ac:dyDescent="0.25">
      <c r="A19" s="757" t="s">
        <v>396</v>
      </c>
      <c r="B19" s="759">
        <v>0.54166666666666663</v>
      </c>
      <c r="C19" s="759"/>
      <c r="D19" s="786" t="s">
        <v>437</v>
      </c>
      <c r="E19" s="795"/>
      <c r="F19" s="789" t="str">
        <f>J7</f>
        <v>南大分サッカー少年団</v>
      </c>
      <c r="G19" s="789"/>
      <c r="H19" s="790"/>
      <c r="I19" s="165" t="s">
        <v>2136</v>
      </c>
      <c r="J19" s="791" t="str">
        <f>J8</f>
        <v>ＦＣ　ＵＮＩＴＥ</v>
      </c>
      <c r="K19" s="789"/>
      <c r="L19" s="789"/>
      <c r="M19" s="792" t="str">
        <f>D7</f>
        <v>ドリームキッズフットボールクラブ</v>
      </c>
      <c r="N19" s="793"/>
      <c r="O19" s="867"/>
      <c r="P19" s="786" t="s">
        <v>437</v>
      </c>
      <c r="Q19" s="795"/>
      <c r="R19" s="789" t="str">
        <f>V7</f>
        <v>明治北ＳＳＣ</v>
      </c>
      <c r="S19" s="789"/>
      <c r="T19" s="790"/>
      <c r="U19" s="165" t="s">
        <v>2136</v>
      </c>
      <c r="V19" s="791" t="str">
        <f>V8</f>
        <v>大分トリニータタートルズ</v>
      </c>
      <c r="W19" s="789"/>
      <c r="X19" s="789"/>
      <c r="Y19" s="792" t="str">
        <f>P7</f>
        <v>カティオーラフットボールクラブＵ－１２　Ｎｅｘｔ</v>
      </c>
      <c r="Z19" s="793"/>
      <c r="AA19" s="794"/>
      <c r="AC19" s="757" t="s">
        <v>396</v>
      </c>
      <c r="AD19" s="759">
        <v>0.54166666666666663</v>
      </c>
      <c r="AE19" s="759"/>
      <c r="AF19" s="786" t="s">
        <v>437</v>
      </c>
      <c r="AG19" s="795"/>
      <c r="AH19" s="789" t="str">
        <f>AL7</f>
        <v>鶴崎ＳＳＳ</v>
      </c>
      <c r="AI19" s="789"/>
      <c r="AJ19" s="790"/>
      <c r="AK19" s="165" t="s">
        <v>2136</v>
      </c>
      <c r="AL19" s="791" t="str">
        <f>AL8</f>
        <v>戸次吉野ＳＳＳ</v>
      </c>
      <c r="AM19" s="789"/>
      <c r="AN19" s="789"/>
      <c r="AO19" s="792" t="str">
        <f>AF7</f>
        <v>カティオーラフットボールクラブＵ－１２</v>
      </c>
      <c r="AP19" s="793"/>
      <c r="AQ19" s="867"/>
      <c r="AR19" s="786" t="s">
        <v>437</v>
      </c>
      <c r="AS19" s="795"/>
      <c r="AT19" s="789" t="str">
        <f>AX7</f>
        <v>滝尾下郡サッカースポーツ少年団</v>
      </c>
      <c r="AU19" s="789"/>
      <c r="AV19" s="790"/>
      <c r="AW19" s="165" t="s">
        <v>2136</v>
      </c>
      <c r="AX19" s="791" t="str">
        <f>AX8</f>
        <v>はやぶさフットボールクラブ</v>
      </c>
      <c r="AY19" s="789"/>
      <c r="AZ19" s="789"/>
      <c r="BA19" s="792" t="str">
        <f>AR7</f>
        <v>大分トリニータＵ－１２</v>
      </c>
      <c r="BB19" s="793"/>
      <c r="BC19" s="794"/>
      <c r="BE19" s="757" t="s">
        <v>396</v>
      </c>
      <c r="BF19" s="759">
        <v>0.54166666666666663</v>
      </c>
      <c r="BG19" s="759"/>
      <c r="BH19" s="786" t="s">
        <v>437</v>
      </c>
      <c r="BI19" s="795"/>
      <c r="BJ19" s="789" t="str">
        <f>BN7</f>
        <v>明野東サッカースポーツ少年団</v>
      </c>
      <c r="BK19" s="789"/>
      <c r="BL19" s="790"/>
      <c r="BM19" s="165" t="s">
        <v>2136</v>
      </c>
      <c r="BN19" s="791" t="str">
        <f>BN8</f>
        <v>佐伯リベロフットボールクラブ</v>
      </c>
      <c r="BO19" s="789"/>
      <c r="BP19" s="789"/>
      <c r="BQ19" s="792" t="str">
        <f>BH7</f>
        <v>アトレチコエラン横瀬</v>
      </c>
      <c r="BR19" s="793"/>
      <c r="BS19" s="867"/>
      <c r="BT19" s="786" t="s">
        <v>437</v>
      </c>
      <c r="BU19" s="795"/>
      <c r="BV19" s="789" t="str">
        <f>BZ7</f>
        <v>リノスフットボールクラブ　Ｕ－１２</v>
      </c>
      <c r="BW19" s="789"/>
      <c r="BX19" s="790"/>
      <c r="BY19" s="165" t="s">
        <v>2136</v>
      </c>
      <c r="BZ19" s="791" t="str">
        <f>BZ8</f>
        <v>ＮＦＣ・ＯＩＴＡ　Ｕ１２</v>
      </c>
      <c r="CA19" s="789"/>
      <c r="CB19" s="789"/>
      <c r="CC19" s="792" t="str">
        <f>BT7</f>
        <v>ＦＣ　ＲＥＧＡＴＥ</v>
      </c>
      <c r="CD19" s="793"/>
      <c r="CE19" s="794"/>
    </row>
    <row r="20" spans="1:83" s="129" customFormat="1" ht="54.75" customHeight="1" x14ac:dyDescent="0.25">
      <c r="A20" s="758"/>
      <c r="B20" s="760"/>
      <c r="C20" s="760"/>
      <c r="D20" s="761" t="s">
        <v>2010</v>
      </c>
      <c r="E20" s="784"/>
      <c r="F20" s="868">
        <v>5</v>
      </c>
      <c r="G20" s="869"/>
      <c r="H20" s="869"/>
      <c r="I20" s="157" t="s">
        <v>2136</v>
      </c>
      <c r="J20" s="869">
        <v>0</v>
      </c>
      <c r="K20" s="869"/>
      <c r="L20" s="870"/>
      <c r="M20" s="766" t="str">
        <f>D8</f>
        <v>スマイス　セレソン　スポーツクラブ</v>
      </c>
      <c r="N20" s="767"/>
      <c r="O20" s="871"/>
      <c r="P20" s="761" t="s">
        <v>2010</v>
      </c>
      <c r="Q20" s="784"/>
      <c r="R20" s="868">
        <v>2</v>
      </c>
      <c r="S20" s="869"/>
      <c r="T20" s="869"/>
      <c r="U20" s="157" t="s">
        <v>2136</v>
      </c>
      <c r="V20" s="869">
        <v>4</v>
      </c>
      <c r="W20" s="869"/>
      <c r="X20" s="870"/>
      <c r="Y20" s="766" t="str">
        <f>P8</f>
        <v>西の台ＪＦＣ</v>
      </c>
      <c r="Z20" s="767"/>
      <c r="AA20" s="768"/>
      <c r="AC20" s="758"/>
      <c r="AD20" s="760"/>
      <c r="AE20" s="760"/>
      <c r="AF20" s="761" t="s">
        <v>2010</v>
      </c>
      <c r="AG20" s="784"/>
      <c r="AH20" s="868">
        <v>2</v>
      </c>
      <c r="AI20" s="869"/>
      <c r="AJ20" s="869"/>
      <c r="AK20" s="157" t="s">
        <v>2136</v>
      </c>
      <c r="AL20" s="869">
        <v>3</v>
      </c>
      <c r="AM20" s="869"/>
      <c r="AN20" s="870"/>
      <c r="AO20" s="766" t="str">
        <f>AF8</f>
        <v>大平山アソシエーション式フットボールクラブ</v>
      </c>
      <c r="AP20" s="767"/>
      <c r="AQ20" s="871"/>
      <c r="AR20" s="761" t="s">
        <v>2010</v>
      </c>
      <c r="AS20" s="784"/>
      <c r="AT20" s="868">
        <v>5</v>
      </c>
      <c r="AU20" s="869"/>
      <c r="AV20" s="869"/>
      <c r="AW20" s="157" t="s">
        <v>2136</v>
      </c>
      <c r="AX20" s="869">
        <v>0</v>
      </c>
      <c r="AY20" s="869"/>
      <c r="AZ20" s="870"/>
      <c r="BA20" s="766" t="str">
        <f>AR8</f>
        <v>弥生少年サッカークラブ</v>
      </c>
      <c r="BB20" s="767"/>
      <c r="BC20" s="768"/>
      <c r="BE20" s="758"/>
      <c r="BF20" s="760"/>
      <c r="BG20" s="760"/>
      <c r="BH20" s="761" t="s">
        <v>2010</v>
      </c>
      <c r="BI20" s="784"/>
      <c r="BJ20" s="868">
        <v>0</v>
      </c>
      <c r="BK20" s="869"/>
      <c r="BL20" s="869"/>
      <c r="BM20" s="157" t="s">
        <v>2136</v>
      </c>
      <c r="BN20" s="869">
        <v>1</v>
      </c>
      <c r="BO20" s="869"/>
      <c r="BP20" s="870"/>
      <c r="BQ20" s="766" t="str">
        <f>BH8</f>
        <v>ＦＣ　ＪＵＮＩＯＲＳ</v>
      </c>
      <c r="BR20" s="767"/>
      <c r="BS20" s="871"/>
      <c r="BT20" s="761" t="s">
        <v>2010</v>
      </c>
      <c r="BU20" s="784"/>
      <c r="BV20" s="868">
        <v>5</v>
      </c>
      <c r="BW20" s="869"/>
      <c r="BX20" s="869"/>
      <c r="BY20" s="157" t="s">
        <v>2136</v>
      </c>
      <c r="BZ20" s="869">
        <v>0</v>
      </c>
      <c r="CA20" s="869"/>
      <c r="CB20" s="870"/>
      <c r="CC20" s="766" t="str">
        <f>BT8</f>
        <v>竹田直入ＦＣ</v>
      </c>
      <c r="CD20" s="767"/>
      <c r="CE20" s="768"/>
    </row>
    <row r="21" spans="1:83" ht="54.75" customHeight="1" x14ac:dyDescent="0.25">
      <c r="A21" s="757" t="s">
        <v>400</v>
      </c>
      <c r="B21" s="759">
        <v>0.58333333333333337</v>
      </c>
      <c r="C21" s="759"/>
      <c r="D21" s="786" t="s">
        <v>437</v>
      </c>
      <c r="E21" s="795"/>
      <c r="F21" s="789" t="str">
        <f>D8</f>
        <v>スマイス　セレソン　スポーツクラブ</v>
      </c>
      <c r="G21" s="789"/>
      <c r="H21" s="790"/>
      <c r="I21" s="165" t="s">
        <v>2136</v>
      </c>
      <c r="J21" s="791" t="str">
        <f>D6</f>
        <v>鶴居ＳＳＳ</v>
      </c>
      <c r="K21" s="789"/>
      <c r="L21" s="789"/>
      <c r="M21" s="792" t="str">
        <f>J8</f>
        <v>ＦＣ　ＵＮＩＴＥ</v>
      </c>
      <c r="N21" s="793"/>
      <c r="O21" s="867"/>
      <c r="P21" s="786" t="s">
        <v>437</v>
      </c>
      <c r="Q21" s="795"/>
      <c r="R21" s="789" t="str">
        <f>P8</f>
        <v>西の台ＪＦＣ</v>
      </c>
      <c r="S21" s="789"/>
      <c r="T21" s="790"/>
      <c r="U21" s="165" t="s">
        <v>2136</v>
      </c>
      <c r="V21" s="791" t="str">
        <f>P6</f>
        <v>別府フットボールクラブ．ミネルバＵ－１２</v>
      </c>
      <c r="W21" s="789"/>
      <c r="X21" s="789"/>
      <c r="Y21" s="792" t="str">
        <f>V8</f>
        <v>大分トリニータタートルズ</v>
      </c>
      <c r="Z21" s="793"/>
      <c r="AA21" s="794"/>
      <c r="AC21" s="757" t="s">
        <v>400</v>
      </c>
      <c r="AD21" s="759">
        <v>0.58333333333333337</v>
      </c>
      <c r="AE21" s="759"/>
      <c r="AF21" s="786" t="s">
        <v>437</v>
      </c>
      <c r="AG21" s="795"/>
      <c r="AH21" s="789" t="str">
        <f>AF8</f>
        <v>大平山アソシエーション式フットボールクラブ</v>
      </c>
      <c r="AI21" s="789"/>
      <c r="AJ21" s="790"/>
      <c r="AK21" s="165" t="s">
        <v>2136</v>
      </c>
      <c r="AL21" s="791" t="str">
        <f>AF6</f>
        <v>ＦＣアリアーレ</v>
      </c>
      <c r="AM21" s="789"/>
      <c r="AN21" s="789"/>
      <c r="AO21" s="792" t="str">
        <f>AL8</f>
        <v>戸次吉野ＳＳＳ</v>
      </c>
      <c r="AP21" s="793"/>
      <c r="AQ21" s="867"/>
      <c r="AR21" s="786" t="s">
        <v>437</v>
      </c>
      <c r="AS21" s="795"/>
      <c r="AT21" s="789" t="str">
        <f>AR8</f>
        <v>弥生少年サッカークラブ</v>
      </c>
      <c r="AU21" s="789"/>
      <c r="AV21" s="790"/>
      <c r="AW21" s="165" t="s">
        <v>2136</v>
      </c>
      <c r="AX21" s="791" t="str">
        <f>AR6</f>
        <v>日出サッカースポーツ少年団</v>
      </c>
      <c r="AY21" s="789"/>
      <c r="AZ21" s="789"/>
      <c r="BA21" s="792" t="str">
        <f>AX8</f>
        <v>はやぶさフットボールクラブ</v>
      </c>
      <c r="BB21" s="793"/>
      <c r="BC21" s="794"/>
      <c r="BE21" s="757" t="s">
        <v>400</v>
      </c>
      <c r="BF21" s="759">
        <v>0.58333333333333337</v>
      </c>
      <c r="BG21" s="759"/>
      <c r="BH21" s="786" t="s">
        <v>437</v>
      </c>
      <c r="BI21" s="795"/>
      <c r="BJ21" s="789" t="str">
        <f>BH8</f>
        <v>ＦＣ　ＪＵＮＩＯＲＳ</v>
      </c>
      <c r="BK21" s="789"/>
      <c r="BL21" s="790"/>
      <c r="BM21" s="165" t="s">
        <v>2136</v>
      </c>
      <c r="BN21" s="791" t="str">
        <f>BH6</f>
        <v>ＦＣ　ＷＡＹＳ</v>
      </c>
      <c r="BO21" s="789"/>
      <c r="BP21" s="789"/>
      <c r="BQ21" s="792" t="str">
        <f>BN8</f>
        <v>佐伯リベロフットボールクラブ</v>
      </c>
      <c r="BR21" s="793"/>
      <c r="BS21" s="867"/>
      <c r="BT21" s="786" t="s">
        <v>437</v>
      </c>
      <c r="BU21" s="795"/>
      <c r="BV21" s="789" t="str">
        <f>BT8</f>
        <v>竹田直入ＦＣ</v>
      </c>
      <c r="BW21" s="789"/>
      <c r="BX21" s="790"/>
      <c r="BY21" s="165" t="s">
        <v>2136</v>
      </c>
      <c r="BZ21" s="791" t="str">
        <f>BT6</f>
        <v>臼杵ＳＳＳ</v>
      </c>
      <c r="CA21" s="789"/>
      <c r="CB21" s="789"/>
      <c r="CC21" s="792" t="str">
        <f>BZ8</f>
        <v>ＮＦＣ・ＯＩＴＡ　Ｕ１２</v>
      </c>
      <c r="CD21" s="793"/>
      <c r="CE21" s="794"/>
    </row>
    <row r="22" spans="1:83" s="129" customFormat="1" ht="54.75" customHeight="1" x14ac:dyDescent="0.25">
      <c r="A22" s="758"/>
      <c r="B22" s="760"/>
      <c r="C22" s="760"/>
      <c r="D22" s="761" t="s">
        <v>2010</v>
      </c>
      <c r="E22" s="784"/>
      <c r="F22" s="868">
        <v>2</v>
      </c>
      <c r="G22" s="869"/>
      <c r="H22" s="869"/>
      <c r="I22" s="157" t="s">
        <v>2136</v>
      </c>
      <c r="J22" s="869">
        <v>0</v>
      </c>
      <c r="K22" s="869"/>
      <c r="L22" s="870"/>
      <c r="M22" s="766" t="str">
        <f>J6</f>
        <v>ティエラフットボールクラブＵ－１２</v>
      </c>
      <c r="N22" s="767"/>
      <c r="O22" s="871"/>
      <c r="P22" s="761" t="s">
        <v>2010</v>
      </c>
      <c r="Q22" s="784"/>
      <c r="R22" s="868">
        <v>0</v>
      </c>
      <c r="S22" s="869"/>
      <c r="T22" s="869"/>
      <c r="U22" s="157" t="s">
        <v>2136</v>
      </c>
      <c r="V22" s="869">
        <v>3</v>
      </c>
      <c r="W22" s="869"/>
      <c r="X22" s="870"/>
      <c r="Y22" s="766" t="str">
        <f>V6</f>
        <v>スマイス・セレソン</v>
      </c>
      <c r="Z22" s="767"/>
      <c r="AA22" s="768"/>
      <c r="AC22" s="758"/>
      <c r="AD22" s="760"/>
      <c r="AE22" s="760"/>
      <c r="AF22" s="761" t="s">
        <v>2010</v>
      </c>
      <c r="AG22" s="784"/>
      <c r="AH22" s="868">
        <v>0</v>
      </c>
      <c r="AI22" s="869"/>
      <c r="AJ22" s="869"/>
      <c r="AK22" s="157" t="s">
        <v>2136</v>
      </c>
      <c r="AL22" s="869">
        <v>5</v>
      </c>
      <c r="AM22" s="869"/>
      <c r="AN22" s="870"/>
      <c r="AO22" s="766" t="str">
        <f>AL6</f>
        <v>玖珠サッカースポーツ少年団</v>
      </c>
      <c r="AP22" s="767"/>
      <c r="AQ22" s="871"/>
      <c r="AR22" s="761" t="s">
        <v>2010</v>
      </c>
      <c r="AS22" s="784"/>
      <c r="AT22" s="868">
        <v>2</v>
      </c>
      <c r="AU22" s="869"/>
      <c r="AV22" s="869"/>
      <c r="AW22" s="157" t="s">
        <v>2136</v>
      </c>
      <c r="AX22" s="869">
        <v>0</v>
      </c>
      <c r="AY22" s="869"/>
      <c r="AZ22" s="870"/>
      <c r="BA22" s="766" t="str">
        <f>AX6</f>
        <v>ＯＫＹ山香サッカークラブ</v>
      </c>
      <c r="BB22" s="767"/>
      <c r="BC22" s="768"/>
      <c r="BE22" s="758"/>
      <c r="BF22" s="760"/>
      <c r="BG22" s="760"/>
      <c r="BH22" s="761" t="s">
        <v>2010</v>
      </c>
      <c r="BI22" s="784"/>
      <c r="BJ22" s="868">
        <v>3</v>
      </c>
      <c r="BK22" s="869"/>
      <c r="BL22" s="869"/>
      <c r="BM22" s="157" t="s">
        <v>2136</v>
      </c>
      <c r="BN22" s="869">
        <v>0</v>
      </c>
      <c r="BO22" s="869"/>
      <c r="BP22" s="870"/>
      <c r="BQ22" s="766" t="str">
        <f>BN6</f>
        <v>四日市南ＳＳＣ</v>
      </c>
      <c r="BR22" s="767"/>
      <c r="BS22" s="871"/>
      <c r="BT22" s="761" t="s">
        <v>2010</v>
      </c>
      <c r="BU22" s="784"/>
      <c r="BV22" s="868">
        <v>0</v>
      </c>
      <c r="BW22" s="869"/>
      <c r="BX22" s="869"/>
      <c r="BY22" s="157" t="s">
        <v>2136</v>
      </c>
      <c r="BZ22" s="869">
        <v>3</v>
      </c>
      <c r="CA22" s="869"/>
      <c r="CB22" s="870"/>
      <c r="CC22" s="766" t="str">
        <f>BZ6</f>
        <v>ＭＦＣ三花少年サッカー教室</v>
      </c>
      <c r="CD22" s="767"/>
      <c r="CE22" s="768"/>
    </row>
    <row r="23" spans="1:83" ht="54.75" customHeight="1" x14ac:dyDescent="0.25">
      <c r="A23" s="757" t="s">
        <v>383</v>
      </c>
      <c r="B23" s="759">
        <v>0.625</v>
      </c>
      <c r="C23" s="759"/>
      <c r="D23" s="786" t="s">
        <v>437</v>
      </c>
      <c r="E23" s="795"/>
      <c r="F23" s="789" t="str">
        <f>J8</f>
        <v>ＦＣ　ＵＮＩＴＥ</v>
      </c>
      <c r="G23" s="789"/>
      <c r="H23" s="790"/>
      <c r="I23" s="165" t="s">
        <v>2136</v>
      </c>
      <c r="J23" s="791" t="str">
        <f>J6</f>
        <v>ティエラフットボールクラブＵ－１２</v>
      </c>
      <c r="K23" s="789"/>
      <c r="L23" s="789"/>
      <c r="M23" s="792" t="str">
        <f>D8</f>
        <v>スマイス　セレソン　スポーツクラブ</v>
      </c>
      <c r="N23" s="793"/>
      <c r="O23" s="867"/>
      <c r="P23" s="786" t="s">
        <v>437</v>
      </c>
      <c r="Q23" s="795"/>
      <c r="R23" s="789" t="str">
        <f>V8</f>
        <v>大分トリニータタートルズ</v>
      </c>
      <c r="S23" s="789"/>
      <c r="T23" s="790"/>
      <c r="U23" s="165" t="s">
        <v>2136</v>
      </c>
      <c r="V23" s="791" t="str">
        <f>V6</f>
        <v>スマイス・セレソン</v>
      </c>
      <c r="W23" s="789"/>
      <c r="X23" s="789"/>
      <c r="Y23" s="792" t="str">
        <f>P8</f>
        <v>西の台ＪＦＣ</v>
      </c>
      <c r="Z23" s="793"/>
      <c r="AA23" s="794"/>
      <c r="AC23" s="757" t="s">
        <v>383</v>
      </c>
      <c r="AD23" s="759">
        <v>0.625</v>
      </c>
      <c r="AE23" s="759"/>
      <c r="AF23" s="786" t="s">
        <v>437</v>
      </c>
      <c r="AG23" s="795"/>
      <c r="AH23" s="789" t="str">
        <f>AL8</f>
        <v>戸次吉野ＳＳＳ</v>
      </c>
      <c r="AI23" s="789"/>
      <c r="AJ23" s="790"/>
      <c r="AK23" s="165" t="s">
        <v>2136</v>
      </c>
      <c r="AL23" s="791" t="str">
        <f>AL6</f>
        <v>玖珠サッカースポーツ少年団</v>
      </c>
      <c r="AM23" s="789"/>
      <c r="AN23" s="789"/>
      <c r="AO23" s="792" t="str">
        <f>AF8</f>
        <v>大平山アソシエーション式フットボールクラブ</v>
      </c>
      <c r="AP23" s="793"/>
      <c r="AQ23" s="867"/>
      <c r="AR23" s="786" t="s">
        <v>437</v>
      </c>
      <c r="AS23" s="795"/>
      <c r="AT23" s="789" t="str">
        <f>AX8</f>
        <v>はやぶさフットボールクラブ</v>
      </c>
      <c r="AU23" s="789"/>
      <c r="AV23" s="790"/>
      <c r="AW23" s="165" t="s">
        <v>2136</v>
      </c>
      <c r="AX23" s="791" t="str">
        <f>AX6</f>
        <v>ＯＫＹ山香サッカークラブ</v>
      </c>
      <c r="AY23" s="789"/>
      <c r="AZ23" s="789"/>
      <c r="BA23" s="792" t="str">
        <f>AR8</f>
        <v>弥生少年サッカークラブ</v>
      </c>
      <c r="BB23" s="793"/>
      <c r="BC23" s="794"/>
      <c r="BE23" s="757" t="s">
        <v>383</v>
      </c>
      <c r="BF23" s="759">
        <v>0.625</v>
      </c>
      <c r="BG23" s="759"/>
      <c r="BH23" s="786" t="s">
        <v>437</v>
      </c>
      <c r="BI23" s="795"/>
      <c r="BJ23" s="789" t="str">
        <f>BN8</f>
        <v>佐伯リベロフットボールクラブ</v>
      </c>
      <c r="BK23" s="789"/>
      <c r="BL23" s="790"/>
      <c r="BM23" s="165" t="s">
        <v>2136</v>
      </c>
      <c r="BN23" s="791" t="str">
        <f>BN6</f>
        <v>四日市南ＳＳＣ</v>
      </c>
      <c r="BO23" s="789"/>
      <c r="BP23" s="789"/>
      <c r="BQ23" s="792" t="str">
        <f>BH8</f>
        <v>ＦＣ　ＪＵＮＩＯＲＳ</v>
      </c>
      <c r="BR23" s="793"/>
      <c r="BS23" s="867"/>
      <c r="BT23" s="786" t="s">
        <v>437</v>
      </c>
      <c r="BU23" s="795"/>
      <c r="BV23" s="789" t="str">
        <f>BZ8</f>
        <v>ＮＦＣ・ＯＩＴＡ　Ｕ１２</v>
      </c>
      <c r="BW23" s="789"/>
      <c r="BX23" s="790"/>
      <c r="BY23" s="165" t="s">
        <v>2136</v>
      </c>
      <c r="BZ23" s="791" t="str">
        <f>BZ6</f>
        <v>ＭＦＣ三花少年サッカー教室</v>
      </c>
      <c r="CA23" s="789"/>
      <c r="CB23" s="789"/>
      <c r="CC23" s="792" t="str">
        <f>BT8</f>
        <v>竹田直入ＦＣ</v>
      </c>
      <c r="CD23" s="793"/>
      <c r="CE23" s="794"/>
    </row>
    <row r="24" spans="1:83" ht="54.75" customHeight="1" x14ac:dyDescent="0.25">
      <c r="A24" s="758"/>
      <c r="B24" s="760"/>
      <c r="C24" s="760"/>
      <c r="D24" s="761" t="s">
        <v>2010</v>
      </c>
      <c r="E24" s="784"/>
      <c r="F24" s="868">
        <v>0</v>
      </c>
      <c r="G24" s="869"/>
      <c r="H24" s="869"/>
      <c r="I24" s="157" t="s">
        <v>2136</v>
      </c>
      <c r="J24" s="869">
        <v>9</v>
      </c>
      <c r="K24" s="869"/>
      <c r="L24" s="870"/>
      <c r="M24" s="766" t="str">
        <f>D6</f>
        <v>鶴居ＳＳＳ</v>
      </c>
      <c r="N24" s="767"/>
      <c r="O24" s="871"/>
      <c r="P24" s="761" t="s">
        <v>2010</v>
      </c>
      <c r="Q24" s="784"/>
      <c r="R24" s="868">
        <v>1</v>
      </c>
      <c r="S24" s="869"/>
      <c r="T24" s="869"/>
      <c r="U24" s="157" t="s">
        <v>2136</v>
      </c>
      <c r="V24" s="869">
        <v>1</v>
      </c>
      <c r="W24" s="869"/>
      <c r="X24" s="870"/>
      <c r="Y24" s="766" t="str">
        <f>P6</f>
        <v>別府フットボールクラブ．ミネルバＵ－１２</v>
      </c>
      <c r="Z24" s="767"/>
      <c r="AA24" s="768"/>
      <c r="AB24" s="129"/>
      <c r="AC24" s="758"/>
      <c r="AD24" s="760"/>
      <c r="AE24" s="760"/>
      <c r="AF24" s="761" t="s">
        <v>2010</v>
      </c>
      <c r="AG24" s="784"/>
      <c r="AH24" s="868">
        <v>1</v>
      </c>
      <c r="AI24" s="869"/>
      <c r="AJ24" s="869"/>
      <c r="AK24" s="157" t="s">
        <v>2136</v>
      </c>
      <c r="AL24" s="869">
        <v>1</v>
      </c>
      <c r="AM24" s="869"/>
      <c r="AN24" s="870"/>
      <c r="AO24" s="766" t="str">
        <f>AF6</f>
        <v>ＦＣアリアーレ</v>
      </c>
      <c r="AP24" s="767"/>
      <c r="AQ24" s="871"/>
      <c r="AR24" s="761" t="s">
        <v>2010</v>
      </c>
      <c r="AS24" s="784"/>
      <c r="AT24" s="868">
        <v>0</v>
      </c>
      <c r="AU24" s="869"/>
      <c r="AV24" s="869"/>
      <c r="AW24" s="157" t="s">
        <v>2136</v>
      </c>
      <c r="AX24" s="869">
        <v>5</v>
      </c>
      <c r="AY24" s="869"/>
      <c r="AZ24" s="870"/>
      <c r="BA24" s="766" t="str">
        <f>AR6</f>
        <v>日出サッカースポーツ少年団</v>
      </c>
      <c r="BB24" s="767"/>
      <c r="BC24" s="768"/>
      <c r="BD24" s="129"/>
      <c r="BE24" s="758"/>
      <c r="BF24" s="760"/>
      <c r="BG24" s="760"/>
      <c r="BH24" s="761" t="s">
        <v>2010</v>
      </c>
      <c r="BI24" s="784"/>
      <c r="BJ24" s="868">
        <v>1</v>
      </c>
      <c r="BK24" s="869"/>
      <c r="BL24" s="869"/>
      <c r="BM24" s="157" t="s">
        <v>2136</v>
      </c>
      <c r="BN24" s="869">
        <v>2</v>
      </c>
      <c r="BO24" s="869"/>
      <c r="BP24" s="870"/>
      <c r="BQ24" s="766" t="str">
        <f>BH6</f>
        <v>ＦＣ　ＷＡＹＳ</v>
      </c>
      <c r="BR24" s="767"/>
      <c r="BS24" s="871"/>
      <c r="BT24" s="761" t="s">
        <v>2010</v>
      </c>
      <c r="BU24" s="784"/>
      <c r="BV24" s="868">
        <v>0</v>
      </c>
      <c r="BW24" s="869"/>
      <c r="BX24" s="869"/>
      <c r="BY24" s="157" t="s">
        <v>2136</v>
      </c>
      <c r="BZ24" s="869">
        <v>5</v>
      </c>
      <c r="CA24" s="869"/>
      <c r="CB24" s="870"/>
      <c r="CC24" s="766" t="str">
        <f>BT6</f>
        <v>臼杵ＳＳＳ</v>
      </c>
      <c r="CD24" s="767"/>
      <c r="CE24" s="768"/>
    </row>
    <row r="25" spans="1:83" ht="14.25" customHeight="1" x14ac:dyDescent="0.25"/>
    <row r="29" spans="1:83" ht="27.75" hidden="1" customHeight="1" x14ac:dyDescent="0.25">
      <c r="A29" s="132"/>
      <c r="B29" s="134"/>
      <c r="C29" s="134"/>
      <c r="D29" s="139"/>
      <c r="E29" s="139"/>
      <c r="F29" s="137"/>
      <c r="G29" s="137"/>
      <c r="H29" s="137"/>
      <c r="I29" s="133"/>
      <c r="J29" s="137"/>
      <c r="K29" s="137"/>
      <c r="L29" s="137"/>
      <c r="M29" s="137"/>
      <c r="N29" s="137"/>
      <c r="O29" s="137"/>
      <c r="P29" s="139"/>
      <c r="Q29" s="139"/>
      <c r="R29" s="137"/>
      <c r="S29" s="137"/>
      <c r="T29" s="137"/>
      <c r="U29" s="133"/>
      <c r="V29" s="137"/>
      <c r="W29" s="137"/>
      <c r="X29" s="137"/>
      <c r="Y29" s="137"/>
      <c r="Z29" s="137"/>
      <c r="AA29" s="137"/>
      <c r="AC29" s="132"/>
      <c r="AD29" s="134"/>
      <c r="AE29" s="134"/>
      <c r="AF29" s="139"/>
      <c r="AG29" s="139"/>
      <c r="AH29" s="137"/>
      <c r="AI29" s="137"/>
      <c r="AJ29" s="137"/>
      <c r="AK29" s="133"/>
      <c r="AL29" s="137"/>
      <c r="AM29" s="137"/>
      <c r="AN29" s="137"/>
      <c r="AO29" s="137"/>
      <c r="AP29" s="137"/>
      <c r="AQ29" s="137"/>
      <c r="AR29" s="139"/>
      <c r="AS29" s="139"/>
      <c r="AT29" s="137"/>
      <c r="AU29" s="137"/>
      <c r="AV29" s="137"/>
      <c r="AW29" s="133"/>
      <c r="AX29" s="137"/>
      <c r="AY29" s="137"/>
      <c r="AZ29" s="137"/>
      <c r="BA29" s="137"/>
      <c r="BB29" s="137"/>
      <c r="BC29" s="137"/>
      <c r="BE29" s="132"/>
      <c r="BF29" s="134"/>
      <c r="BG29" s="134"/>
      <c r="BH29" s="139"/>
      <c r="BI29" s="139"/>
      <c r="BJ29" s="137"/>
      <c r="BK29" s="137"/>
      <c r="BL29" s="137"/>
      <c r="BM29" s="133"/>
      <c r="BN29" s="137"/>
      <c r="BO29" s="137"/>
      <c r="BP29" s="137"/>
      <c r="BQ29" s="137"/>
      <c r="BR29" s="137"/>
      <c r="BS29" s="137"/>
      <c r="BT29" s="139"/>
      <c r="BU29" s="139"/>
      <c r="BV29" s="137"/>
      <c r="BW29" s="137"/>
      <c r="BX29" s="137"/>
      <c r="BY29" s="133"/>
      <c r="BZ29" s="137"/>
      <c r="CA29" s="137"/>
      <c r="CB29" s="137"/>
      <c r="CC29" s="137"/>
      <c r="CD29" s="137"/>
      <c r="CE29" s="137"/>
    </row>
    <row r="30" spans="1:83" ht="27.75" hidden="1" customHeight="1" x14ac:dyDescent="0.25">
      <c r="A30" s="132"/>
      <c r="B30" s="134"/>
      <c r="C30" s="134"/>
      <c r="D30" s="140"/>
      <c r="E30" s="140"/>
      <c r="F30" s="140"/>
      <c r="G30" s="140"/>
      <c r="H30" s="140"/>
      <c r="I30" s="168"/>
      <c r="J30" s="140"/>
      <c r="K30" s="140"/>
      <c r="L30" s="140"/>
      <c r="M30" s="137"/>
      <c r="N30" s="137"/>
      <c r="O30" s="137"/>
      <c r="P30" s="140"/>
      <c r="Q30" s="140"/>
      <c r="R30" s="140"/>
      <c r="S30" s="140"/>
      <c r="T30" s="140"/>
      <c r="U30" s="168"/>
      <c r="V30" s="140"/>
      <c r="W30" s="140"/>
      <c r="X30" s="140"/>
      <c r="Y30" s="137"/>
      <c r="Z30" s="137"/>
      <c r="AA30" s="137"/>
      <c r="AC30" s="132"/>
      <c r="AD30" s="134"/>
      <c r="AE30" s="134"/>
      <c r="AF30" s="140"/>
      <c r="AG30" s="140"/>
      <c r="AH30" s="140"/>
      <c r="AI30" s="140"/>
      <c r="AJ30" s="140"/>
      <c r="AK30" s="168"/>
      <c r="AL30" s="140"/>
      <c r="AM30" s="140"/>
      <c r="AN30" s="140"/>
      <c r="AO30" s="137"/>
      <c r="AP30" s="137"/>
      <c r="AQ30" s="137"/>
      <c r="AR30" s="140"/>
      <c r="AS30" s="140"/>
      <c r="AT30" s="140"/>
      <c r="AU30" s="140"/>
      <c r="AV30" s="140"/>
      <c r="AW30" s="168"/>
      <c r="AX30" s="140"/>
      <c r="AY30" s="140"/>
      <c r="AZ30" s="140"/>
      <c r="BA30" s="137"/>
      <c r="BB30" s="137"/>
      <c r="BC30" s="137"/>
      <c r="BE30" s="132"/>
      <c r="BF30" s="134"/>
      <c r="BG30" s="134"/>
      <c r="BH30" s="140"/>
      <c r="BI30" s="140"/>
      <c r="BJ30" s="140"/>
      <c r="BK30" s="140"/>
      <c r="BL30" s="140"/>
      <c r="BM30" s="168"/>
      <c r="BN30" s="140"/>
      <c r="BO30" s="140"/>
      <c r="BP30" s="140"/>
      <c r="BQ30" s="137"/>
      <c r="BR30" s="137"/>
      <c r="BS30" s="137"/>
      <c r="BT30" s="140"/>
      <c r="BU30" s="140"/>
      <c r="BV30" s="140"/>
      <c r="BW30" s="140"/>
      <c r="BX30" s="140"/>
      <c r="BY30" s="168"/>
      <c r="BZ30" s="140"/>
      <c r="CA30" s="140"/>
      <c r="CB30" s="140"/>
      <c r="CC30" s="137"/>
      <c r="CD30" s="137"/>
      <c r="CE30" s="137"/>
    </row>
    <row r="31" spans="1:83" ht="27.75" hidden="1" customHeight="1" x14ac:dyDescent="0.25">
      <c r="A31" s="132"/>
      <c r="B31" s="134"/>
      <c r="C31" s="134"/>
      <c r="D31" s="139"/>
      <c r="E31" s="139"/>
      <c r="F31" s="137"/>
      <c r="G31" s="137"/>
      <c r="H31" s="137"/>
      <c r="I31" s="133"/>
      <c r="J31" s="137"/>
      <c r="K31" s="137"/>
      <c r="L31" s="137"/>
      <c r="M31" s="137"/>
      <c r="N31" s="137"/>
      <c r="O31" s="137"/>
      <c r="P31" s="139"/>
      <c r="Q31" s="139"/>
      <c r="R31" s="137"/>
      <c r="S31" s="137"/>
      <c r="T31" s="137"/>
      <c r="U31" s="133"/>
      <c r="V31" s="137"/>
      <c r="W31" s="137"/>
      <c r="X31" s="137"/>
      <c r="Y31" s="137"/>
      <c r="Z31" s="137"/>
      <c r="AA31" s="137"/>
      <c r="AC31" s="132"/>
      <c r="AD31" s="134"/>
      <c r="AE31" s="134"/>
      <c r="AF31" s="139"/>
      <c r="AG31" s="139"/>
      <c r="AH31" s="137"/>
      <c r="AI31" s="137"/>
      <c r="AJ31" s="137"/>
      <c r="AK31" s="133"/>
      <c r="AL31" s="137"/>
      <c r="AM31" s="137"/>
      <c r="AN31" s="137"/>
      <c r="AO31" s="137"/>
      <c r="AP31" s="137"/>
      <c r="AQ31" s="137"/>
      <c r="AR31" s="139"/>
      <c r="AS31" s="139"/>
      <c r="AT31" s="137"/>
      <c r="AU31" s="137"/>
      <c r="AV31" s="137"/>
      <c r="AW31" s="133"/>
      <c r="AX31" s="137"/>
      <c r="AY31" s="137"/>
      <c r="AZ31" s="137"/>
      <c r="BA31" s="137"/>
      <c r="BB31" s="137"/>
      <c r="BC31" s="137"/>
      <c r="BE31" s="132"/>
      <c r="BF31" s="134"/>
      <c r="BG31" s="134"/>
      <c r="BH31" s="139"/>
      <c r="BI31" s="139"/>
      <c r="BJ31" s="137"/>
      <c r="BK31" s="137"/>
      <c r="BL31" s="137"/>
      <c r="BM31" s="133"/>
      <c r="BN31" s="137"/>
      <c r="BO31" s="137"/>
      <c r="BP31" s="137"/>
      <c r="BQ31" s="137"/>
      <c r="BR31" s="137"/>
      <c r="BS31" s="137"/>
      <c r="BT31" s="139"/>
      <c r="BU31" s="139"/>
      <c r="BV31" s="137"/>
      <c r="BW31" s="137"/>
      <c r="BX31" s="137"/>
      <c r="BY31" s="133"/>
      <c r="BZ31" s="137"/>
      <c r="CA31" s="137"/>
      <c r="CB31" s="137"/>
      <c r="CC31" s="137"/>
      <c r="CD31" s="137"/>
      <c r="CE31" s="137"/>
    </row>
    <row r="32" spans="1:83" ht="27.75" hidden="1" customHeight="1" x14ac:dyDescent="0.25">
      <c r="A32" s="132"/>
      <c r="B32" s="134"/>
      <c r="C32" s="134"/>
      <c r="D32" s="140"/>
      <c r="E32" s="140"/>
      <c r="F32" s="140"/>
      <c r="G32" s="140"/>
      <c r="H32" s="140"/>
      <c r="I32" s="168"/>
      <c r="J32" s="140"/>
      <c r="K32" s="140"/>
      <c r="L32" s="140"/>
      <c r="M32" s="137"/>
      <c r="N32" s="137"/>
      <c r="O32" s="137"/>
      <c r="P32" s="140"/>
      <c r="Q32" s="140"/>
      <c r="R32" s="140"/>
      <c r="S32" s="140"/>
      <c r="T32" s="140"/>
      <c r="U32" s="168"/>
      <c r="V32" s="140"/>
      <c r="W32" s="140"/>
      <c r="X32" s="140"/>
      <c r="Y32" s="137"/>
      <c r="Z32" s="137"/>
      <c r="AA32" s="137"/>
      <c r="AC32" s="132"/>
      <c r="AD32" s="134"/>
      <c r="AE32" s="134"/>
      <c r="AF32" s="140"/>
      <c r="AG32" s="140"/>
      <c r="AH32" s="140"/>
      <c r="AI32" s="140"/>
      <c r="AJ32" s="140"/>
      <c r="AK32" s="168"/>
      <c r="AL32" s="140"/>
      <c r="AM32" s="140"/>
      <c r="AN32" s="140"/>
      <c r="AO32" s="137"/>
      <c r="AP32" s="137"/>
      <c r="AQ32" s="137"/>
      <c r="AR32" s="140"/>
      <c r="AS32" s="140"/>
      <c r="AT32" s="140"/>
      <c r="AU32" s="140"/>
      <c r="AV32" s="140"/>
      <c r="AW32" s="168"/>
      <c r="AX32" s="140"/>
      <c r="AY32" s="140"/>
      <c r="AZ32" s="140"/>
      <c r="BA32" s="137"/>
      <c r="BB32" s="137"/>
      <c r="BC32" s="137"/>
      <c r="BE32" s="132"/>
      <c r="BF32" s="134"/>
      <c r="BG32" s="134"/>
      <c r="BH32" s="140"/>
      <c r="BI32" s="140"/>
      <c r="BJ32" s="140"/>
      <c r="BK32" s="140"/>
      <c r="BL32" s="140"/>
      <c r="BM32" s="168"/>
      <c r="BN32" s="140"/>
      <c r="BO32" s="140"/>
      <c r="BP32" s="140"/>
      <c r="BQ32" s="137"/>
      <c r="BR32" s="137"/>
      <c r="BS32" s="137"/>
      <c r="BT32" s="140"/>
      <c r="BU32" s="140"/>
      <c r="BV32" s="140"/>
      <c r="BW32" s="140"/>
      <c r="BX32" s="140"/>
      <c r="BY32" s="168"/>
      <c r="BZ32" s="140"/>
      <c r="CA32" s="140"/>
      <c r="CB32" s="140"/>
      <c r="CC32" s="137"/>
      <c r="CD32" s="137"/>
      <c r="CE32" s="137"/>
    </row>
    <row r="33" spans="1:83" ht="27.75" hidden="1" customHeight="1" x14ac:dyDescent="0.25">
      <c r="A33" s="132"/>
      <c r="B33" s="134"/>
      <c r="C33" s="134"/>
      <c r="D33" s="139"/>
      <c r="E33" s="139"/>
      <c r="F33" s="137"/>
      <c r="G33" s="137"/>
      <c r="H33" s="137"/>
      <c r="I33" s="133"/>
      <c r="J33" s="137"/>
      <c r="K33" s="137"/>
      <c r="L33" s="137"/>
      <c r="M33" s="137"/>
      <c r="N33" s="137"/>
      <c r="O33" s="137"/>
      <c r="P33" s="139"/>
      <c r="Q33" s="139"/>
      <c r="R33" s="137"/>
      <c r="S33" s="137"/>
      <c r="T33" s="137"/>
      <c r="U33" s="133"/>
      <c r="V33" s="137"/>
      <c r="W33" s="137"/>
      <c r="X33" s="137"/>
      <c r="Y33" s="137"/>
      <c r="Z33" s="137"/>
      <c r="AA33" s="137"/>
      <c r="AC33" s="132"/>
      <c r="AD33" s="134"/>
      <c r="AE33" s="134"/>
      <c r="AF33" s="139"/>
      <c r="AG33" s="139"/>
      <c r="AH33" s="137"/>
      <c r="AI33" s="137"/>
      <c r="AJ33" s="137"/>
      <c r="AK33" s="133"/>
      <c r="AL33" s="137"/>
      <c r="AM33" s="137"/>
      <c r="AN33" s="137"/>
      <c r="AO33" s="137"/>
      <c r="AP33" s="137"/>
      <c r="AQ33" s="137"/>
      <c r="AR33" s="139"/>
      <c r="AS33" s="139"/>
      <c r="AT33" s="137"/>
      <c r="AU33" s="137"/>
      <c r="AV33" s="137"/>
      <c r="AW33" s="133"/>
      <c r="AX33" s="137"/>
      <c r="AY33" s="137"/>
      <c r="AZ33" s="137"/>
      <c r="BA33" s="137"/>
      <c r="BB33" s="137"/>
      <c r="BC33" s="137"/>
      <c r="BE33" s="132"/>
      <c r="BF33" s="134"/>
      <c r="BG33" s="134"/>
      <c r="BH33" s="139"/>
      <c r="BI33" s="139"/>
      <c r="BJ33" s="137"/>
      <c r="BK33" s="137"/>
      <c r="BL33" s="137"/>
      <c r="BM33" s="133"/>
      <c r="BN33" s="137"/>
      <c r="BO33" s="137"/>
      <c r="BP33" s="137"/>
      <c r="BQ33" s="137"/>
      <c r="BR33" s="137"/>
      <c r="BS33" s="137"/>
      <c r="BT33" s="139"/>
      <c r="BU33" s="139"/>
      <c r="BV33" s="137"/>
      <c r="BW33" s="137"/>
      <c r="BX33" s="137"/>
      <c r="BY33" s="133"/>
      <c r="BZ33" s="137"/>
      <c r="CA33" s="137"/>
      <c r="CB33" s="137"/>
      <c r="CC33" s="137"/>
      <c r="CD33" s="137"/>
      <c r="CE33" s="137"/>
    </row>
    <row r="34" spans="1:83" ht="27.75" hidden="1" customHeight="1" x14ac:dyDescent="0.25">
      <c r="A34" s="132"/>
      <c r="B34" s="134"/>
      <c r="C34" s="134"/>
      <c r="D34" s="140"/>
      <c r="E34" s="140"/>
      <c r="F34" s="140"/>
      <c r="G34" s="140"/>
      <c r="H34" s="140"/>
      <c r="I34" s="168"/>
      <c r="J34" s="140"/>
      <c r="K34" s="140"/>
      <c r="L34" s="140"/>
      <c r="M34" s="137"/>
      <c r="N34" s="137"/>
      <c r="O34" s="137"/>
      <c r="P34" s="140"/>
      <c r="Q34" s="140"/>
      <c r="R34" s="140"/>
      <c r="S34" s="140"/>
      <c r="T34" s="140"/>
      <c r="U34" s="168"/>
      <c r="V34" s="140"/>
      <c r="W34" s="140"/>
      <c r="X34" s="140"/>
      <c r="Y34" s="137"/>
      <c r="Z34" s="137"/>
      <c r="AA34" s="137"/>
      <c r="AC34" s="132"/>
      <c r="AD34" s="134"/>
      <c r="AE34" s="134"/>
      <c r="AF34" s="140"/>
      <c r="AG34" s="140"/>
      <c r="AH34" s="140"/>
      <c r="AI34" s="140"/>
      <c r="AJ34" s="140"/>
      <c r="AK34" s="168"/>
      <c r="AL34" s="140"/>
      <c r="AM34" s="140"/>
      <c r="AN34" s="140"/>
      <c r="AO34" s="137"/>
      <c r="AP34" s="137"/>
      <c r="AQ34" s="137"/>
      <c r="AR34" s="140"/>
      <c r="AS34" s="140"/>
      <c r="AT34" s="140"/>
      <c r="AU34" s="140"/>
      <c r="AV34" s="140"/>
      <c r="AW34" s="168"/>
      <c r="AX34" s="140"/>
      <c r="AY34" s="140"/>
      <c r="AZ34" s="140"/>
      <c r="BA34" s="137"/>
      <c r="BB34" s="137"/>
      <c r="BC34" s="137"/>
      <c r="BE34" s="132"/>
      <c r="BF34" s="134"/>
      <c r="BG34" s="134"/>
      <c r="BH34" s="140"/>
      <c r="BI34" s="140"/>
      <c r="BJ34" s="140"/>
      <c r="BK34" s="140"/>
      <c r="BL34" s="140"/>
      <c r="BM34" s="168"/>
      <c r="BN34" s="140"/>
      <c r="BO34" s="140"/>
      <c r="BP34" s="140"/>
      <c r="BQ34" s="137"/>
      <c r="BR34" s="137"/>
      <c r="BS34" s="137"/>
      <c r="BT34" s="140"/>
      <c r="BU34" s="140"/>
      <c r="BV34" s="140"/>
      <c r="BW34" s="140"/>
      <c r="BX34" s="140"/>
      <c r="BY34" s="168"/>
      <c r="BZ34" s="140"/>
      <c r="CA34" s="140"/>
      <c r="CB34" s="140"/>
      <c r="CC34" s="137"/>
      <c r="CD34" s="137"/>
      <c r="CE34" s="137"/>
    </row>
    <row r="35" spans="1:83" ht="27.75" hidden="1" customHeight="1" x14ac:dyDescent="0.25">
      <c r="A35" s="132"/>
      <c r="B35" s="134"/>
      <c r="C35" s="134"/>
      <c r="D35" s="139"/>
      <c r="E35" s="139"/>
      <c r="F35" s="137"/>
      <c r="G35" s="137"/>
      <c r="H35" s="137"/>
      <c r="I35" s="133"/>
      <c r="J35" s="137"/>
      <c r="K35" s="137"/>
      <c r="L35" s="137"/>
      <c r="M35" s="137"/>
      <c r="N35" s="137"/>
      <c r="O35" s="137"/>
      <c r="P35" s="139"/>
      <c r="Q35" s="139"/>
      <c r="R35" s="137"/>
      <c r="S35" s="137"/>
      <c r="T35" s="137"/>
      <c r="U35" s="133"/>
      <c r="V35" s="137"/>
      <c r="W35" s="137"/>
      <c r="X35" s="137"/>
      <c r="Y35" s="137"/>
      <c r="Z35" s="137"/>
      <c r="AA35" s="137"/>
      <c r="AC35" s="132"/>
      <c r="AD35" s="134"/>
      <c r="AE35" s="134"/>
      <c r="AF35" s="139"/>
      <c r="AG35" s="139"/>
      <c r="AH35" s="137"/>
      <c r="AI35" s="137"/>
      <c r="AJ35" s="137"/>
      <c r="AK35" s="133"/>
      <c r="AL35" s="137"/>
      <c r="AM35" s="137"/>
      <c r="AN35" s="137"/>
      <c r="AO35" s="137"/>
      <c r="AP35" s="137"/>
      <c r="AQ35" s="137"/>
      <c r="AR35" s="139"/>
      <c r="AS35" s="139"/>
      <c r="AT35" s="137"/>
      <c r="AU35" s="137"/>
      <c r="AV35" s="137"/>
      <c r="AW35" s="133"/>
      <c r="AX35" s="137"/>
      <c r="AY35" s="137"/>
      <c r="AZ35" s="137"/>
      <c r="BA35" s="137"/>
      <c r="BB35" s="137"/>
      <c r="BC35" s="137"/>
      <c r="BE35" s="132"/>
      <c r="BF35" s="134"/>
      <c r="BG35" s="134"/>
      <c r="BH35" s="139"/>
      <c r="BI35" s="139"/>
      <c r="BJ35" s="137"/>
      <c r="BK35" s="137"/>
      <c r="BL35" s="137"/>
      <c r="BM35" s="133"/>
      <c r="BN35" s="137"/>
      <c r="BO35" s="137"/>
      <c r="BP35" s="137"/>
      <c r="BQ35" s="137"/>
      <c r="BR35" s="137"/>
      <c r="BS35" s="137"/>
      <c r="BT35" s="139"/>
      <c r="BU35" s="139"/>
      <c r="BV35" s="137"/>
      <c r="BW35" s="137"/>
      <c r="BX35" s="137"/>
      <c r="BY35" s="133"/>
      <c r="BZ35" s="137"/>
      <c r="CA35" s="137"/>
      <c r="CB35" s="137"/>
      <c r="CC35" s="137"/>
      <c r="CD35" s="137"/>
      <c r="CE35" s="137"/>
    </row>
    <row r="36" spans="1:83" ht="27.75" hidden="1" customHeight="1" x14ac:dyDescent="0.25">
      <c r="A36" s="132"/>
      <c r="B36" s="134"/>
      <c r="C36" s="134"/>
      <c r="D36" s="140"/>
      <c r="E36" s="140"/>
      <c r="F36" s="140"/>
      <c r="G36" s="140"/>
      <c r="H36" s="140"/>
      <c r="I36" s="168"/>
      <c r="J36" s="140"/>
      <c r="K36" s="140"/>
      <c r="L36" s="140"/>
      <c r="M36" s="137"/>
      <c r="N36" s="137"/>
      <c r="O36" s="137"/>
      <c r="P36" s="140"/>
      <c r="Q36" s="140"/>
      <c r="R36" s="140"/>
      <c r="S36" s="140"/>
      <c r="T36" s="140"/>
      <c r="U36" s="168"/>
      <c r="V36" s="140"/>
      <c r="W36" s="140"/>
      <c r="X36" s="140"/>
      <c r="Y36" s="137"/>
      <c r="Z36" s="137"/>
      <c r="AA36" s="137"/>
      <c r="AC36" s="132"/>
      <c r="AD36" s="134"/>
      <c r="AE36" s="134"/>
      <c r="AF36" s="140"/>
      <c r="AG36" s="140"/>
      <c r="AH36" s="140"/>
      <c r="AI36" s="140"/>
      <c r="AJ36" s="140"/>
      <c r="AK36" s="168"/>
      <c r="AL36" s="140"/>
      <c r="AM36" s="140"/>
      <c r="AN36" s="140"/>
      <c r="AO36" s="137"/>
      <c r="AP36" s="137"/>
      <c r="AQ36" s="137"/>
      <c r="AR36" s="140"/>
      <c r="AS36" s="140"/>
      <c r="AT36" s="140"/>
      <c r="AU36" s="140"/>
      <c r="AV36" s="140"/>
      <c r="AW36" s="168"/>
      <c r="AX36" s="140"/>
      <c r="AY36" s="140"/>
      <c r="AZ36" s="140"/>
      <c r="BA36" s="137"/>
      <c r="BB36" s="137"/>
      <c r="BC36" s="137"/>
      <c r="BE36" s="132"/>
      <c r="BF36" s="134"/>
      <c r="BG36" s="134"/>
      <c r="BH36" s="140"/>
      <c r="BI36" s="140"/>
      <c r="BJ36" s="140"/>
      <c r="BK36" s="140"/>
      <c r="BL36" s="140"/>
      <c r="BM36" s="168"/>
      <c r="BN36" s="140"/>
      <c r="BO36" s="140"/>
      <c r="BP36" s="140"/>
      <c r="BQ36" s="137"/>
      <c r="BR36" s="137"/>
      <c r="BS36" s="137"/>
      <c r="BT36" s="140"/>
      <c r="BU36" s="140"/>
      <c r="BV36" s="140"/>
      <c r="BW36" s="140"/>
      <c r="BX36" s="140"/>
      <c r="BY36" s="168"/>
      <c r="BZ36" s="140"/>
      <c r="CA36" s="140"/>
      <c r="CB36" s="140"/>
      <c r="CC36" s="137"/>
      <c r="CD36" s="137"/>
      <c r="CE36" s="137"/>
    </row>
    <row r="37" spans="1:83" ht="27.75" hidden="1" customHeight="1" x14ac:dyDescent="0.25">
      <c r="A37" s="132"/>
      <c r="B37" s="134"/>
      <c r="C37" s="134"/>
      <c r="D37" s="139"/>
      <c r="E37" s="139"/>
      <c r="F37" s="137"/>
      <c r="G37" s="137"/>
      <c r="H37" s="137"/>
      <c r="I37" s="133"/>
      <c r="J37" s="137"/>
      <c r="K37" s="137"/>
      <c r="L37" s="137"/>
      <c r="M37" s="137"/>
      <c r="N37" s="137"/>
      <c r="O37" s="137"/>
      <c r="P37" s="139"/>
      <c r="Q37" s="139"/>
      <c r="R37" s="137"/>
      <c r="S37" s="137"/>
      <c r="T37" s="137"/>
      <c r="U37" s="133"/>
      <c r="V37" s="137"/>
      <c r="W37" s="137"/>
      <c r="X37" s="137"/>
      <c r="Y37" s="137"/>
      <c r="Z37" s="137"/>
      <c r="AA37" s="137"/>
      <c r="AC37" s="132"/>
      <c r="AD37" s="134"/>
      <c r="AE37" s="134"/>
      <c r="AF37" s="139"/>
      <c r="AG37" s="139"/>
      <c r="AH37" s="137"/>
      <c r="AI37" s="137"/>
      <c r="AJ37" s="137"/>
      <c r="AK37" s="133"/>
      <c r="AL37" s="137"/>
      <c r="AM37" s="137"/>
      <c r="AN37" s="137"/>
      <c r="AO37" s="137"/>
      <c r="AP37" s="137"/>
      <c r="AQ37" s="137"/>
      <c r="AR37" s="139"/>
      <c r="AS37" s="139"/>
      <c r="AT37" s="137"/>
      <c r="AU37" s="137"/>
      <c r="AV37" s="137"/>
      <c r="AW37" s="133"/>
      <c r="AX37" s="137"/>
      <c r="AY37" s="137"/>
      <c r="AZ37" s="137"/>
      <c r="BA37" s="137"/>
      <c r="BB37" s="137"/>
      <c r="BC37" s="137"/>
      <c r="BE37" s="132"/>
      <c r="BF37" s="134"/>
      <c r="BG37" s="134"/>
      <c r="BH37" s="139"/>
      <c r="BI37" s="139"/>
      <c r="BJ37" s="137"/>
      <c r="BK37" s="137"/>
      <c r="BL37" s="137"/>
      <c r="BM37" s="133"/>
      <c r="BN37" s="137"/>
      <c r="BO37" s="137"/>
      <c r="BP37" s="137"/>
      <c r="BQ37" s="137"/>
      <c r="BR37" s="137"/>
      <c r="BS37" s="137"/>
      <c r="BT37" s="139"/>
      <c r="BU37" s="139"/>
      <c r="BV37" s="137"/>
      <c r="BW37" s="137"/>
      <c r="BX37" s="137"/>
      <c r="BY37" s="133"/>
      <c r="BZ37" s="137"/>
      <c r="CA37" s="137"/>
      <c r="CB37" s="137"/>
      <c r="CC37" s="137"/>
      <c r="CD37" s="137"/>
      <c r="CE37" s="137"/>
    </row>
    <row r="38" spans="1:83" ht="27.75" hidden="1" customHeight="1" x14ac:dyDescent="0.25">
      <c r="A38" s="132"/>
      <c r="B38" s="134"/>
      <c r="C38" s="134"/>
      <c r="D38" s="140"/>
      <c r="E38" s="140"/>
      <c r="F38" s="140"/>
      <c r="G38" s="140"/>
      <c r="H38" s="140"/>
      <c r="I38" s="168"/>
      <c r="J38" s="140"/>
      <c r="K38" s="140"/>
      <c r="L38" s="140"/>
      <c r="M38" s="137"/>
      <c r="N38" s="137"/>
      <c r="O38" s="137"/>
      <c r="P38" s="140"/>
      <c r="Q38" s="140"/>
      <c r="R38" s="140"/>
      <c r="S38" s="140"/>
      <c r="T38" s="140"/>
      <c r="U38" s="168"/>
      <c r="V38" s="140"/>
      <c r="W38" s="140"/>
      <c r="X38" s="140"/>
      <c r="Y38" s="137"/>
      <c r="Z38" s="137"/>
      <c r="AA38" s="137"/>
      <c r="AC38" s="132"/>
      <c r="AD38" s="134"/>
      <c r="AE38" s="134"/>
      <c r="AF38" s="140"/>
      <c r="AG38" s="140"/>
      <c r="AH38" s="140"/>
      <c r="AI38" s="140"/>
      <c r="AJ38" s="140"/>
      <c r="AK38" s="168"/>
      <c r="AL38" s="140"/>
      <c r="AM38" s="140"/>
      <c r="AN38" s="140"/>
      <c r="AO38" s="137"/>
      <c r="AP38" s="137"/>
      <c r="AQ38" s="137"/>
      <c r="AR38" s="140"/>
      <c r="AS38" s="140"/>
      <c r="AT38" s="140"/>
      <c r="AU38" s="140"/>
      <c r="AV38" s="140"/>
      <c r="AW38" s="168"/>
      <c r="AX38" s="140"/>
      <c r="AY38" s="140"/>
      <c r="AZ38" s="140"/>
      <c r="BA38" s="137"/>
      <c r="BB38" s="137"/>
      <c r="BC38" s="137"/>
      <c r="BE38" s="132"/>
      <c r="BF38" s="134"/>
      <c r="BG38" s="134"/>
      <c r="BH38" s="140"/>
      <c r="BI38" s="140"/>
      <c r="BJ38" s="140"/>
      <c r="BK38" s="140"/>
      <c r="BL38" s="140"/>
      <c r="BM38" s="168"/>
      <c r="BN38" s="140"/>
      <c r="BO38" s="140"/>
      <c r="BP38" s="140"/>
      <c r="BQ38" s="137"/>
      <c r="BR38" s="137"/>
      <c r="BS38" s="137"/>
      <c r="BT38" s="140"/>
      <c r="BU38" s="140"/>
      <c r="BV38" s="140"/>
      <c r="BW38" s="140"/>
      <c r="BX38" s="140"/>
      <c r="BY38" s="168"/>
      <c r="BZ38" s="140"/>
      <c r="CA38" s="140"/>
      <c r="CB38" s="140"/>
      <c r="CC38" s="137"/>
      <c r="CD38" s="137"/>
      <c r="CE38" s="137"/>
    </row>
    <row r="39" spans="1:83" ht="27.75" hidden="1" customHeight="1" x14ac:dyDescent="0.25">
      <c r="A39" s="132"/>
      <c r="B39" s="134"/>
      <c r="C39" s="134"/>
      <c r="D39" s="139"/>
      <c r="E39" s="139"/>
      <c r="F39" s="137"/>
      <c r="G39" s="137"/>
      <c r="H39" s="137"/>
      <c r="I39" s="133"/>
      <c r="J39" s="137"/>
      <c r="K39" s="137"/>
      <c r="L39" s="137"/>
      <c r="M39" s="137"/>
      <c r="N39" s="137"/>
      <c r="O39" s="137"/>
      <c r="P39" s="139"/>
      <c r="Q39" s="139"/>
      <c r="R39" s="137"/>
      <c r="S39" s="137"/>
      <c r="T39" s="137"/>
      <c r="U39" s="133"/>
      <c r="V39" s="137"/>
      <c r="W39" s="137"/>
      <c r="X39" s="137"/>
      <c r="Y39" s="137"/>
      <c r="Z39" s="137"/>
      <c r="AA39" s="137"/>
      <c r="AC39" s="132"/>
      <c r="AD39" s="134"/>
      <c r="AE39" s="134"/>
      <c r="AF39" s="139"/>
      <c r="AG39" s="139"/>
      <c r="AH39" s="137"/>
      <c r="AI39" s="137"/>
      <c r="AJ39" s="137"/>
      <c r="AK39" s="133"/>
      <c r="AL39" s="137"/>
      <c r="AM39" s="137"/>
      <c r="AN39" s="137"/>
      <c r="AO39" s="137"/>
      <c r="AP39" s="137"/>
      <c r="AQ39" s="137"/>
      <c r="AR39" s="139"/>
      <c r="AS39" s="139"/>
      <c r="AT39" s="137"/>
      <c r="AU39" s="137"/>
      <c r="AV39" s="137"/>
      <c r="AW39" s="133"/>
      <c r="AX39" s="137"/>
      <c r="AY39" s="137"/>
      <c r="AZ39" s="137"/>
      <c r="BA39" s="137"/>
      <c r="BB39" s="137"/>
      <c r="BC39" s="137"/>
      <c r="BE39" s="132"/>
      <c r="BF39" s="134"/>
      <c r="BG39" s="134"/>
      <c r="BH39" s="139"/>
      <c r="BI39" s="139"/>
      <c r="BJ39" s="137"/>
      <c r="BK39" s="137"/>
      <c r="BL39" s="137"/>
      <c r="BM39" s="133"/>
      <c r="BN39" s="137"/>
      <c r="BO39" s="137"/>
      <c r="BP39" s="137"/>
      <c r="BQ39" s="137"/>
      <c r="BR39" s="137"/>
      <c r="BS39" s="137"/>
      <c r="BT39" s="139"/>
      <c r="BU39" s="139"/>
      <c r="BV39" s="137"/>
      <c r="BW39" s="137"/>
      <c r="BX39" s="137"/>
      <c r="BY39" s="133"/>
      <c r="BZ39" s="137"/>
      <c r="CA39" s="137"/>
      <c r="CB39" s="137"/>
      <c r="CC39" s="137"/>
      <c r="CD39" s="137"/>
      <c r="CE39" s="137"/>
    </row>
    <row r="40" spans="1:83" ht="27.75" hidden="1" customHeight="1" x14ac:dyDescent="0.25">
      <c r="A40" s="132"/>
      <c r="B40" s="134"/>
      <c r="C40" s="134"/>
      <c r="D40" s="140"/>
      <c r="E40" s="140"/>
      <c r="F40" s="140"/>
      <c r="G40" s="140"/>
      <c r="H40" s="140"/>
      <c r="I40" s="168"/>
      <c r="J40" s="140"/>
      <c r="K40" s="140"/>
      <c r="L40" s="140"/>
      <c r="M40" s="137"/>
      <c r="N40" s="137"/>
      <c r="O40" s="137"/>
      <c r="P40" s="140"/>
      <c r="Q40" s="140"/>
      <c r="R40" s="140"/>
      <c r="S40" s="140"/>
      <c r="T40" s="140"/>
      <c r="U40" s="168"/>
      <c r="V40" s="140"/>
      <c r="W40" s="140"/>
      <c r="X40" s="140"/>
      <c r="Y40" s="137"/>
      <c r="Z40" s="137"/>
      <c r="AA40" s="137"/>
      <c r="AC40" s="132"/>
      <c r="AD40" s="134"/>
      <c r="AE40" s="134"/>
      <c r="AF40" s="140"/>
      <c r="AG40" s="140"/>
      <c r="AH40" s="140"/>
      <c r="AI40" s="140"/>
      <c r="AJ40" s="140"/>
      <c r="AK40" s="168"/>
      <c r="AL40" s="140"/>
      <c r="AM40" s="140"/>
      <c r="AN40" s="140"/>
      <c r="AO40" s="137"/>
      <c r="AP40" s="137"/>
      <c r="AQ40" s="137"/>
      <c r="AR40" s="140"/>
      <c r="AS40" s="140"/>
      <c r="AT40" s="140"/>
      <c r="AU40" s="140"/>
      <c r="AV40" s="140"/>
      <c r="AW40" s="168"/>
      <c r="AX40" s="140"/>
      <c r="AY40" s="140"/>
      <c r="AZ40" s="140"/>
      <c r="BA40" s="137"/>
      <c r="BB40" s="137"/>
      <c r="BC40" s="137"/>
      <c r="BE40" s="132"/>
      <c r="BF40" s="134"/>
      <c r="BG40" s="134"/>
      <c r="BH40" s="140"/>
      <c r="BI40" s="140"/>
      <c r="BJ40" s="140"/>
      <c r="BK40" s="140"/>
      <c r="BL40" s="140"/>
      <c r="BM40" s="168"/>
      <c r="BN40" s="140"/>
      <c r="BO40" s="140"/>
      <c r="BP40" s="140"/>
      <c r="BQ40" s="137"/>
      <c r="BR40" s="137"/>
      <c r="BS40" s="137"/>
      <c r="BT40" s="140"/>
      <c r="BU40" s="140"/>
      <c r="BV40" s="140"/>
      <c r="BW40" s="140"/>
      <c r="BX40" s="140"/>
      <c r="BY40" s="168"/>
      <c r="BZ40" s="140"/>
      <c r="CA40" s="140"/>
      <c r="CB40" s="140"/>
      <c r="CC40" s="137"/>
      <c r="CD40" s="137"/>
      <c r="CE40" s="137"/>
    </row>
    <row r="42" spans="1:83" x14ac:dyDescent="0.25">
      <c r="N42" s="183"/>
      <c r="O42" s="183"/>
      <c r="P42" s="183"/>
      <c r="Q42" s="183"/>
      <c r="R42" s="183"/>
      <c r="S42" s="183"/>
      <c r="T42" s="183"/>
      <c r="U42" s="183"/>
      <c r="V42" s="183"/>
      <c r="W42" s="183"/>
      <c r="X42" s="183"/>
      <c r="Y42" s="183"/>
      <c r="Z42" s="183"/>
    </row>
    <row r="43" spans="1:83" x14ac:dyDescent="0.25">
      <c r="F43" s="151" t="s">
        <v>2013</v>
      </c>
      <c r="G43" s="158" t="s">
        <v>159</v>
      </c>
      <c r="H43" s="164">
        <v>3</v>
      </c>
      <c r="J43" s="173" t="s">
        <v>2301</v>
      </c>
      <c r="K43" s="164">
        <v>1</v>
      </c>
      <c r="M43" s="173" t="s">
        <v>1727</v>
      </c>
      <c r="N43" s="164">
        <v>0</v>
      </c>
      <c r="O43" s="183"/>
      <c r="P43" s="97"/>
      <c r="Q43" s="97"/>
      <c r="R43" s="183"/>
      <c r="S43" s="183"/>
      <c r="T43" s="183"/>
      <c r="U43" s="183"/>
      <c r="V43" s="183"/>
      <c r="W43" s="183"/>
      <c r="X43" s="183"/>
      <c r="Y43" s="183"/>
      <c r="Z43" s="183"/>
      <c r="AA43" s="183"/>
      <c r="AB43" s="127"/>
      <c r="AC43" s="127"/>
      <c r="AD43" s="127"/>
      <c r="AE43" s="127"/>
      <c r="AF43" s="127"/>
      <c r="AG43" s="127"/>
      <c r="AH43" s="151" t="s">
        <v>2013</v>
      </c>
      <c r="AI43" s="158" t="s">
        <v>159</v>
      </c>
      <c r="AJ43" s="164">
        <v>3</v>
      </c>
      <c r="AK43" s="127"/>
      <c r="AL43" s="173" t="s">
        <v>2301</v>
      </c>
      <c r="AM43" s="164">
        <v>1</v>
      </c>
      <c r="AN43" s="127"/>
      <c r="AO43" s="173" t="s">
        <v>1727</v>
      </c>
      <c r="AP43" s="164">
        <v>0</v>
      </c>
      <c r="AQ43" s="183"/>
      <c r="AT43" s="183"/>
      <c r="AU43" s="183"/>
      <c r="AV43" s="183"/>
      <c r="AW43" s="183"/>
      <c r="AX43" s="183"/>
      <c r="AY43" s="183"/>
      <c r="AZ43" s="183"/>
      <c r="BA43" s="183"/>
      <c r="BB43" s="382"/>
      <c r="BC43" s="183"/>
      <c r="BD43" s="127"/>
      <c r="BE43" s="127"/>
      <c r="BF43" s="127"/>
      <c r="BG43" s="127"/>
      <c r="BH43" s="127"/>
      <c r="BI43" s="127"/>
      <c r="BJ43" s="151" t="s">
        <v>2013</v>
      </c>
      <c r="BK43" s="158" t="s">
        <v>159</v>
      </c>
      <c r="BL43" s="164">
        <v>3</v>
      </c>
      <c r="BM43" s="127"/>
      <c r="BN43" s="173" t="s">
        <v>2301</v>
      </c>
      <c r="BO43" s="164">
        <v>1</v>
      </c>
      <c r="BP43" s="127"/>
      <c r="BQ43" s="173" t="s">
        <v>1727</v>
      </c>
      <c r="BR43" s="164">
        <v>0</v>
      </c>
      <c r="BS43" s="183"/>
      <c r="BV43" s="183"/>
      <c r="BW43" s="183"/>
      <c r="BX43" s="183"/>
      <c r="BY43" s="183"/>
      <c r="BZ43" s="183"/>
      <c r="CA43" s="183"/>
      <c r="CB43" s="183"/>
      <c r="CC43" s="183"/>
      <c r="CD43" s="382"/>
      <c r="CE43" s="183"/>
    </row>
    <row r="44" spans="1:83" x14ac:dyDescent="0.25">
      <c r="AB44" s="127"/>
      <c r="AC44" s="127"/>
      <c r="AD44" s="127"/>
      <c r="AE44" s="127"/>
      <c r="AF44" s="127"/>
      <c r="AG44" s="127"/>
      <c r="AH44" s="127"/>
      <c r="AI44" s="127"/>
      <c r="AJ44" s="127"/>
      <c r="AK44" s="127"/>
      <c r="AL44" s="127"/>
      <c r="AM44" s="127"/>
      <c r="AN44" s="127"/>
      <c r="AO44" s="127"/>
      <c r="AP44" s="127"/>
      <c r="AQ44" s="127"/>
      <c r="AR44" s="127"/>
      <c r="AS44" s="127"/>
      <c r="AT44" s="127"/>
      <c r="AU44" s="127"/>
      <c r="AV44" s="127"/>
      <c r="AW44" s="127"/>
      <c r="AX44" s="127"/>
      <c r="AY44" s="127"/>
      <c r="AZ44" s="127"/>
      <c r="BA44" s="127"/>
      <c r="BB44" s="381" t="s">
        <v>15286</v>
      </c>
      <c r="BC44" s="127"/>
      <c r="BD44" s="127"/>
      <c r="BE44" s="127"/>
      <c r="BF44" s="127"/>
      <c r="BG44" s="127"/>
      <c r="BH44" s="127"/>
      <c r="BI44" s="127"/>
      <c r="BJ44" s="127"/>
      <c r="BK44" s="127"/>
      <c r="BL44" s="127"/>
      <c r="BM44" s="127"/>
      <c r="BN44" s="127"/>
      <c r="BO44" s="127"/>
      <c r="BP44" s="127"/>
      <c r="BQ44" s="127"/>
      <c r="BR44" s="127"/>
      <c r="BS44" s="127"/>
      <c r="BT44" s="127"/>
      <c r="BU44" s="127"/>
      <c r="BV44" s="127"/>
      <c r="BW44" s="127"/>
      <c r="BX44" s="127"/>
      <c r="BY44" s="127"/>
      <c r="BZ44" s="127"/>
      <c r="CA44" s="127"/>
      <c r="CB44" s="127"/>
      <c r="CC44" s="127"/>
      <c r="CD44" s="381" t="s">
        <v>15286</v>
      </c>
      <c r="CE44" s="127"/>
    </row>
    <row r="45" spans="1:83" ht="53.25" customHeight="1" x14ac:dyDescent="0.25">
      <c r="A45" s="781" t="str">
        <f>D4</f>
        <v>A</v>
      </c>
      <c r="B45" s="782"/>
      <c r="C45" s="783"/>
      <c r="D45" s="771" t="str">
        <f>A46</f>
        <v>鶴居ＳＳＳ</v>
      </c>
      <c r="E45" s="772"/>
      <c r="F45" s="772"/>
      <c r="G45" s="772" t="str">
        <f>A48</f>
        <v>ドリームキッズフットボールクラブ</v>
      </c>
      <c r="H45" s="772"/>
      <c r="I45" s="772"/>
      <c r="J45" s="772" t="str">
        <f>A50</f>
        <v>スマイス　セレソン　スポーツクラブ</v>
      </c>
      <c r="K45" s="772"/>
      <c r="L45" s="772"/>
      <c r="M45" s="182" t="s">
        <v>159</v>
      </c>
      <c r="N45" s="184" t="s">
        <v>2302</v>
      </c>
      <c r="O45" s="185" t="s">
        <v>1200</v>
      </c>
      <c r="P45" s="184" t="s">
        <v>2303</v>
      </c>
      <c r="Q45" s="184" t="s">
        <v>2304</v>
      </c>
      <c r="R45" s="184" t="s">
        <v>1160</v>
      </c>
      <c r="S45" s="773" t="s">
        <v>577</v>
      </c>
      <c r="T45" s="774"/>
      <c r="U45" s="775" t="s">
        <v>2305</v>
      </c>
      <c r="V45" s="776"/>
      <c r="W45" s="775" t="s">
        <v>1485</v>
      </c>
      <c r="X45" s="776"/>
      <c r="Y45" s="777" t="s">
        <v>2306</v>
      </c>
      <c r="Z45" s="778"/>
      <c r="AA45" s="186"/>
      <c r="AB45" s="128"/>
      <c r="AC45" s="781" t="str">
        <f>AF4</f>
        <v>F</v>
      </c>
      <c r="AD45" s="782"/>
      <c r="AE45" s="783"/>
      <c r="AF45" s="771" t="str">
        <f>AC46</f>
        <v>ＦＣアリアーレ</v>
      </c>
      <c r="AG45" s="772"/>
      <c r="AH45" s="772"/>
      <c r="AI45" s="772" t="str">
        <f>AC48</f>
        <v>カティオーラフットボールクラブＵ－１２</v>
      </c>
      <c r="AJ45" s="772"/>
      <c r="AK45" s="772"/>
      <c r="AL45" s="772" t="str">
        <f>AC50</f>
        <v>大平山アソシエーション式フットボールクラブ</v>
      </c>
      <c r="AM45" s="772"/>
      <c r="AN45" s="772"/>
      <c r="AO45" s="182" t="s">
        <v>159</v>
      </c>
      <c r="AP45" s="184" t="s">
        <v>2302</v>
      </c>
      <c r="AQ45" s="185" t="s">
        <v>1200</v>
      </c>
      <c r="AR45" s="184" t="s">
        <v>2303</v>
      </c>
      <c r="AS45" s="184" t="s">
        <v>2304</v>
      </c>
      <c r="AT45" s="184" t="s">
        <v>1160</v>
      </c>
      <c r="AU45" s="773" t="s">
        <v>577</v>
      </c>
      <c r="AV45" s="774"/>
      <c r="AW45" s="775" t="s">
        <v>2305</v>
      </c>
      <c r="AX45" s="776"/>
      <c r="AY45" s="775" t="s">
        <v>1485</v>
      </c>
      <c r="AZ45" s="776"/>
      <c r="BA45" s="777" t="s">
        <v>2306</v>
      </c>
      <c r="BB45" s="778"/>
      <c r="BD45" s="128"/>
      <c r="BE45" s="781" t="str">
        <f>BH4</f>
        <v>E</v>
      </c>
      <c r="BF45" s="782"/>
      <c r="BG45" s="783"/>
      <c r="BH45" s="771" t="str">
        <f>BE46</f>
        <v>ＦＣ　ＷＡＹＳ</v>
      </c>
      <c r="BI45" s="772"/>
      <c r="BJ45" s="772"/>
      <c r="BK45" s="772" t="str">
        <f>BE48</f>
        <v>アトレチコエラン横瀬</v>
      </c>
      <c r="BL45" s="772"/>
      <c r="BM45" s="772"/>
      <c r="BN45" s="772" t="str">
        <f>BE50</f>
        <v>ＦＣ　ＪＵＮＩＯＲＳ</v>
      </c>
      <c r="BO45" s="772"/>
      <c r="BP45" s="772"/>
      <c r="BQ45" s="182" t="s">
        <v>159</v>
      </c>
      <c r="BR45" s="184" t="s">
        <v>2302</v>
      </c>
      <c r="BS45" s="185" t="s">
        <v>1200</v>
      </c>
      <c r="BT45" s="184" t="s">
        <v>2303</v>
      </c>
      <c r="BU45" s="184" t="s">
        <v>2304</v>
      </c>
      <c r="BV45" s="184" t="s">
        <v>1160</v>
      </c>
      <c r="BW45" s="773" t="s">
        <v>577</v>
      </c>
      <c r="BX45" s="774"/>
      <c r="BY45" s="775" t="s">
        <v>2305</v>
      </c>
      <c r="BZ45" s="776"/>
      <c r="CA45" s="775" t="s">
        <v>1485</v>
      </c>
      <c r="CB45" s="776"/>
      <c r="CC45" s="777" t="s">
        <v>2306</v>
      </c>
      <c r="CD45" s="778"/>
    </row>
    <row r="46" spans="1:83" ht="26.25" customHeight="1" x14ac:dyDescent="0.25">
      <c r="A46" s="746" t="str">
        <f>D6</f>
        <v>鶴居ＳＳＳ</v>
      </c>
      <c r="B46" s="779" t="s">
        <v>2307</v>
      </c>
      <c r="C46" s="780"/>
      <c r="D46" s="142"/>
      <c r="E46" s="142"/>
      <c r="F46" s="152"/>
      <c r="G46" s="159"/>
      <c r="H46" s="165" t="str">
        <f>IF(G47="","",IF(G47&gt;I47,"○",IF(G47&lt;I47,"●",IF(G47=I47,"△"))))</f>
        <v>●</v>
      </c>
      <c r="I46" s="169"/>
      <c r="J46" s="165"/>
      <c r="K46" s="165" t="str">
        <f>IF(J47="","",IF(J47&gt;L47,"○",IF(J47&lt;L47,"●",IF(J47=L47,"△"))))</f>
        <v>●</v>
      </c>
      <c r="L46" s="169"/>
      <c r="M46" s="747">
        <f>COUNTIF(D46:L46,"○")</f>
        <v>0</v>
      </c>
      <c r="N46" s="748">
        <f>COUNTIF(D46:L46,"△")+COUNTIF(D46:L46,"▲")</f>
        <v>0</v>
      </c>
      <c r="O46" s="748">
        <f>COUNTIF(D46:L46,"●")</f>
        <v>2</v>
      </c>
      <c r="P46" s="748">
        <f>SUM(D47,G47,J47)</f>
        <v>0</v>
      </c>
      <c r="Q46" s="748">
        <f>SUM(F47,I47,L47)</f>
        <v>4</v>
      </c>
      <c r="R46" s="748">
        <f>(M46*3)+(N46*1)</f>
        <v>0</v>
      </c>
      <c r="S46" s="749">
        <f>RANK(R46,R$46:R$51)</f>
        <v>3</v>
      </c>
      <c r="T46" s="750" t="s">
        <v>2308</v>
      </c>
      <c r="U46" s="751">
        <f>P46-Q46</f>
        <v>-4</v>
      </c>
      <c r="V46" s="752"/>
      <c r="W46" s="753">
        <f>RANK(U46,U$46:U$51)</f>
        <v>3</v>
      </c>
      <c r="X46" s="754" t="s">
        <v>2308</v>
      </c>
      <c r="Y46" s="755">
        <v>3</v>
      </c>
      <c r="Z46" s="756"/>
      <c r="AA46" s="186"/>
      <c r="AC46" s="746" t="str">
        <f>AF6</f>
        <v>ＦＣアリアーレ</v>
      </c>
      <c r="AD46" s="779" t="s">
        <v>2307</v>
      </c>
      <c r="AE46" s="780"/>
      <c r="AF46" s="142"/>
      <c r="AG46" s="142"/>
      <c r="AH46" s="152"/>
      <c r="AI46" s="159"/>
      <c r="AJ46" s="165" t="str">
        <f>IF(AI47="","",IF(AI47&gt;AK47,"○",IF(AI47&lt;AK47,"●",IF(AI47=AK47,"△"))))</f>
        <v>△</v>
      </c>
      <c r="AK46" s="169"/>
      <c r="AL46" s="165"/>
      <c r="AM46" s="165" t="str">
        <f>IF(AL47="","",IF(AL47&gt;AN47,"○",IF(AL47&lt;AN47,"●",IF(AL47=AN47,"△"))))</f>
        <v>○</v>
      </c>
      <c r="AN46" s="169"/>
      <c r="AO46" s="747">
        <f>COUNTIF(AF46:AN46,"○")</f>
        <v>1</v>
      </c>
      <c r="AP46" s="748">
        <f>COUNTIF(AF46:AN46,"△")+COUNTIF(AF46:AN46,"▲")</f>
        <v>1</v>
      </c>
      <c r="AQ46" s="748">
        <f>COUNTIF(AF46:AN46,"●")</f>
        <v>0</v>
      </c>
      <c r="AR46" s="748">
        <f>SUM(AF47,AI47,AL47)</f>
        <v>5</v>
      </c>
      <c r="AS46" s="748">
        <f>SUM(AH47,AK47,AN47)</f>
        <v>0</v>
      </c>
      <c r="AT46" s="748">
        <f>(AO46*3)+(AP46*1)</f>
        <v>4</v>
      </c>
      <c r="AU46" s="749">
        <f>RANK(AT46,AT$46:AT$51)</f>
        <v>1</v>
      </c>
      <c r="AV46" s="750" t="s">
        <v>2308</v>
      </c>
      <c r="AW46" s="751">
        <f>AR46-AS46</f>
        <v>5</v>
      </c>
      <c r="AX46" s="752"/>
      <c r="AY46" s="753">
        <f>RANK(AW46,AW$46:AW$51)</f>
        <v>1</v>
      </c>
      <c r="AZ46" s="754" t="s">
        <v>2308</v>
      </c>
      <c r="BA46" s="861" t="s">
        <v>15205</v>
      </c>
      <c r="BB46" s="862"/>
      <c r="BE46" s="746" t="str">
        <f>BH6</f>
        <v>ＦＣ　ＷＡＹＳ</v>
      </c>
      <c r="BF46" s="779" t="s">
        <v>2307</v>
      </c>
      <c r="BG46" s="780"/>
      <c r="BH46" s="142"/>
      <c r="BI46" s="142"/>
      <c r="BJ46" s="152"/>
      <c r="BK46" s="159"/>
      <c r="BL46" s="165" t="str">
        <f>IF(BK47="","",IF(BK47&gt;BM47,"○",IF(BK47&lt;BM47,"●",IF(BK47=BM47,"△"))))</f>
        <v>●</v>
      </c>
      <c r="BM46" s="169"/>
      <c r="BN46" s="165"/>
      <c r="BO46" s="165" t="str">
        <f>IF(BN47="","",IF(BN47&gt;BP47,"○",IF(BN47&lt;BP47,"●",IF(BN47=BP47,"△"))))</f>
        <v>●</v>
      </c>
      <c r="BP46" s="169"/>
      <c r="BQ46" s="747">
        <f>COUNTIF(BH46:BP46,"○")</f>
        <v>0</v>
      </c>
      <c r="BR46" s="748">
        <f>COUNTIF(BH46:BP46,"△")+COUNTIF(BH46:BP46,"▲")</f>
        <v>0</v>
      </c>
      <c r="BS46" s="748">
        <f>COUNTIF(BH46:BP46,"●")</f>
        <v>2</v>
      </c>
      <c r="BT46" s="748">
        <f>SUM(BH47,BK47,BN47)</f>
        <v>0</v>
      </c>
      <c r="BU46" s="748">
        <f>SUM(BJ47,BM47,BP47)</f>
        <v>8</v>
      </c>
      <c r="BV46" s="748">
        <f>(BQ46*3)+(BR46*1)</f>
        <v>0</v>
      </c>
      <c r="BW46" s="749">
        <f>RANK(BV46,BV$46:BV$51)</f>
        <v>3</v>
      </c>
      <c r="BX46" s="750" t="s">
        <v>2308</v>
      </c>
      <c r="BY46" s="751">
        <f>BT46-BU46</f>
        <v>-8</v>
      </c>
      <c r="BZ46" s="752"/>
      <c r="CA46" s="753">
        <f>RANK(BY46,BY$46:BY$51)</f>
        <v>3</v>
      </c>
      <c r="CB46" s="754" t="s">
        <v>2308</v>
      </c>
      <c r="CC46" s="755">
        <v>3</v>
      </c>
      <c r="CD46" s="756"/>
    </row>
    <row r="47" spans="1:83" ht="26.25" customHeight="1" x14ac:dyDescent="0.25">
      <c r="A47" s="741"/>
      <c r="B47" s="744" t="s">
        <v>1454</v>
      </c>
      <c r="C47" s="745"/>
      <c r="D47" s="141"/>
      <c r="E47" s="147"/>
      <c r="F47" s="153"/>
      <c r="G47" s="135">
        <f>F14</f>
        <v>0</v>
      </c>
      <c r="H47" s="148" t="s">
        <v>2136</v>
      </c>
      <c r="I47" s="155">
        <f>J14</f>
        <v>2</v>
      </c>
      <c r="J47" s="144">
        <f>J22</f>
        <v>0</v>
      </c>
      <c r="K47" s="176" t="s">
        <v>2136</v>
      </c>
      <c r="L47" s="155">
        <f>F22</f>
        <v>2</v>
      </c>
      <c r="M47" s="737"/>
      <c r="N47" s="738"/>
      <c r="O47" s="738"/>
      <c r="P47" s="738"/>
      <c r="Q47" s="738"/>
      <c r="R47" s="738"/>
      <c r="S47" s="735"/>
      <c r="T47" s="714"/>
      <c r="U47" s="739"/>
      <c r="V47" s="740"/>
      <c r="W47" s="720"/>
      <c r="X47" s="728"/>
      <c r="Y47" s="724"/>
      <c r="Z47" s="725"/>
      <c r="AA47" s="186"/>
      <c r="AC47" s="741"/>
      <c r="AD47" s="744" t="s">
        <v>1454</v>
      </c>
      <c r="AE47" s="745"/>
      <c r="AF47" s="141"/>
      <c r="AG47" s="147"/>
      <c r="AH47" s="153"/>
      <c r="AI47" s="135">
        <f>AH14</f>
        <v>0</v>
      </c>
      <c r="AJ47" s="148" t="s">
        <v>2136</v>
      </c>
      <c r="AK47" s="155">
        <f>AL14</f>
        <v>0</v>
      </c>
      <c r="AL47" s="144">
        <f>AL22</f>
        <v>5</v>
      </c>
      <c r="AM47" s="176" t="s">
        <v>2136</v>
      </c>
      <c r="AN47" s="155">
        <f>AH22</f>
        <v>0</v>
      </c>
      <c r="AO47" s="737"/>
      <c r="AP47" s="738"/>
      <c r="AQ47" s="738"/>
      <c r="AR47" s="738"/>
      <c r="AS47" s="738"/>
      <c r="AT47" s="738"/>
      <c r="AU47" s="735"/>
      <c r="AV47" s="714"/>
      <c r="AW47" s="739"/>
      <c r="AX47" s="740"/>
      <c r="AY47" s="720"/>
      <c r="AZ47" s="728"/>
      <c r="BA47" s="859"/>
      <c r="BB47" s="860"/>
      <c r="BE47" s="741"/>
      <c r="BF47" s="744" t="s">
        <v>1454</v>
      </c>
      <c r="BG47" s="745"/>
      <c r="BH47" s="141"/>
      <c r="BI47" s="147"/>
      <c r="BJ47" s="153"/>
      <c r="BK47" s="135">
        <f>BJ14</f>
        <v>0</v>
      </c>
      <c r="BL47" s="148" t="s">
        <v>2136</v>
      </c>
      <c r="BM47" s="155">
        <f>BN14</f>
        <v>5</v>
      </c>
      <c r="BN47" s="144">
        <f>BN22</f>
        <v>0</v>
      </c>
      <c r="BO47" s="176" t="s">
        <v>2136</v>
      </c>
      <c r="BP47" s="155">
        <f>BJ22</f>
        <v>3</v>
      </c>
      <c r="BQ47" s="737"/>
      <c r="BR47" s="738"/>
      <c r="BS47" s="738"/>
      <c r="BT47" s="738"/>
      <c r="BU47" s="738"/>
      <c r="BV47" s="738"/>
      <c r="BW47" s="735"/>
      <c r="BX47" s="714"/>
      <c r="BY47" s="739"/>
      <c r="BZ47" s="740"/>
      <c r="CA47" s="720"/>
      <c r="CB47" s="728"/>
      <c r="CC47" s="724"/>
      <c r="CD47" s="725"/>
    </row>
    <row r="48" spans="1:83" ht="26.25" customHeight="1" x14ac:dyDescent="0.25">
      <c r="A48" s="729" t="str">
        <f>D7</f>
        <v>ドリームキッズフットボールクラブ</v>
      </c>
      <c r="B48" s="742" t="s">
        <v>2307</v>
      </c>
      <c r="C48" s="743"/>
      <c r="D48" s="143"/>
      <c r="E48" s="143" t="str">
        <f>IF(D49="","",IF(D49&gt;F49,"○",IF(D49&lt;F49,"●",IF(D49=F49,"△"))))</f>
        <v>○</v>
      </c>
      <c r="F48" s="154"/>
      <c r="G48" s="160"/>
      <c r="H48" s="166"/>
      <c r="I48" s="170"/>
      <c r="J48" s="162"/>
      <c r="K48" s="177" t="str">
        <f>IF(J49="","",IF(J49&gt;L49,"○",IF(J49&lt;L49,"●",IF(J49=L49,"△"))))</f>
        <v>○</v>
      </c>
      <c r="L48" s="154"/>
      <c r="M48" s="731">
        <f>COUNTIF(D48:L48,"○")</f>
        <v>2</v>
      </c>
      <c r="N48" s="733">
        <f>COUNTIF(D48:L48,"△")+COUNTIF(D48:L48,"▲")</f>
        <v>0</v>
      </c>
      <c r="O48" s="733">
        <f>COUNTIF(D48:L48,"●")</f>
        <v>0</v>
      </c>
      <c r="P48" s="733">
        <f>SUM(D49,G49,J49)</f>
        <v>3</v>
      </c>
      <c r="Q48" s="733">
        <f>SUM(F49,I49,L49)</f>
        <v>0</v>
      </c>
      <c r="R48" s="733">
        <f>(M48*3)+(N48*1)</f>
        <v>6</v>
      </c>
      <c r="S48" s="735">
        <f>RANK(R48,R$46:R$51)</f>
        <v>1</v>
      </c>
      <c r="T48" s="714" t="s">
        <v>2308</v>
      </c>
      <c r="U48" s="716">
        <f>P48-Q48</f>
        <v>3</v>
      </c>
      <c r="V48" s="717"/>
      <c r="W48" s="720">
        <f>RANK(U48,U$46:U$51)</f>
        <v>1</v>
      </c>
      <c r="X48" s="722" t="s">
        <v>2308</v>
      </c>
      <c r="Y48" s="724">
        <v>1</v>
      </c>
      <c r="Z48" s="725"/>
      <c r="AA48" s="186"/>
      <c r="AC48" s="729" t="str">
        <f>AF7</f>
        <v>カティオーラフットボールクラブＵ－１２</v>
      </c>
      <c r="AD48" s="742" t="s">
        <v>2307</v>
      </c>
      <c r="AE48" s="743"/>
      <c r="AF48" s="143"/>
      <c r="AG48" s="143" t="str">
        <f>IF(AF49="","",IF(AF49&gt;AH49,"○",IF(AF49&lt;AH49,"●",IF(AF49=AH49,"△"))))</f>
        <v>△</v>
      </c>
      <c r="AH48" s="154"/>
      <c r="AI48" s="160"/>
      <c r="AJ48" s="166"/>
      <c r="AK48" s="170"/>
      <c r="AL48" s="162"/>
      <c r="AM48" s="177" t="str">
        <f>IF(AL49="","",IF(AL49&gt;AN49,"○",IF(AL49&lt;AN49,"●",IF(AL49=AN49,"△"))))</f>
        <v>○</v>
      </c>
      <c r="AN48" s="154"/>
      <c r="AO48" s="731">
        <f>COUNTIF(AF48:AN48,"○")</f>
        <v>1</v>
      </c>
      <c r="AP48" s="733">
        <f>COUNTIF(AF48:AN48,"△")+COUNTIF(AF48:AN48,"▲")</f>
        <v>1</v>
      </c>
      <c r="AQ48" s="733">
        <f>COUNTIF(AF48:AN48,"●")</f>
        <v>0</v>
      </c>
      <c r="AR48" s="733">
        <f>SUM(AF49,AI49,AL49)</f>
        <v>5</v>
      </c>
      <c r="AS48" s="733">
        <f>SUM(AH49,AK49,AN49)</f>
        <v>0</v>
      </c>
      <c r="AT48" s="733">
        <f>(AO48*3)+(AP48*1)</f>
        <v>4</v>
      </c>
      <c r="AU48" s="735">
        <f>RANK(AT48,AT$46:AT$51)</f>
        <v>1</v>
      </c>
      <c r="AV48" s="714" t="s">
        <v>2308</v>
      </c>
      <c r="AW48" s="716">
        <f>AR48-AS48</f>
        <v>5</v>
      </c>
      <c r="AX48" s="717"/>
      <c r="AY48" s="720">
        <f>RANK(AW48,AW$46:AW$51)</f>
        <v>1</v>
      </c>
      <c r="AZ48" s="722" t="s">
        <v>2308</v>
      </c>
      <c r="BA48" s="859" t="s">
        <v>15206</v>
      </c>
      <c r="BB48" s="860"/>
      <c r="BE48" s="729" t="str">
        <f>BH7</f>
        <v>アトレチコエラン横瀬</v>
      </c>
      <c r="BF48" s="742" t="s">
        <v>2307</v>
      </c>
      <c r="BG48" s="743"/>
      <c r="BH48" s="143"/>
      <c r="BI48" s="143" t="str">
        <f>IF(BH49="","",IF(BH49&gt;BJ49,"○",IF(BH49&lt;BJ49,"●",IF(BH49=BJ49,"△"))))</f>
        <v>○</v>
      </c>
      <c r="BJ48" s="154"/>
      <c r="BK48" s="160"/>
      <c r="BL48" s="166"/>
      <c r="BM48" s="170"/>
      <c r="BN48" s="162"/>
      <c r="BO48" s="177" t="str">
        <f>IF(BN49="","",IF(BN49&gt;BP49,"○",IF(BN49&lt;BP49,"●",IF(BN49=BP49,"△"))))</f>
        <v>○</v>
      </c>
      <c r="BP48" s="154"/>
      <c r="BQ48" s="731">
        <f>COUNTIF(BH48:BP48,"○")</f>
        <v>2</v>
      </c>
      <c r="BR48" s="733">
        <f>COUNTIF(BH48:BP48,"△")+COUNTIF(BH48:BP48,"▲")</f>
        <v>0</v>
      </c>
      <c r="BS48" s="733">
        <f>COUNTIF(BH48:BP48,"●")</f>
        <v>0</v>
      </c>
      <c r="BT48" s="733">
        <f>SUM(BH49,BK49,BN49)</f>
        <v>7</v>
      </c>
      <c r="BU48" s="733">
        <f>SUM(BJ49,BM49,BP49)</f>
        <v>0</v>
      </c>
      <c r="BV48" s="733">
        <f>(BQ48*3)+(BR48*1)</f>
        <v>6</v>
      </c>
      <c r="BW48" s="735">
        <f>RANK(BV48,BV$46:BV$51)</f>
        <v>1</v>
      </c>
      <c r="BX48" s="714" t="s">
        <v>2308</v>
      </c>
      <c r="BY48" s="716">
        <f>BT48-BU48</f>
        <v>7</v>
      </c>
      <c r="BZ48" s="717"/>
      <c r="CA48" s="720">
        <f>RANK(BY48,BY$46:BY$51)</f>
        <v>1</v>
      </c>
      <c r="CB48" s="722" t="s">
        <v>2308</v>
      </c>
      <c r="CC48" s="724">
        <v>1</v>
      </c>
      <c r="CD48" s="725"/>
    </row>
    <row r="49" spans="1:82" ht="26.25" customHeight="1" x14ac:dyDescent="0.25">
      <c r="A49" s="741"/>
      <c r="B49" s="744" t="s">
        <v>1454</v>
      </c>
      <c r="C49" s="745"/>
      <c r="D49" s="144">
        <f>I47</f>
        <v>2</v>
      </c>
      <c r="E49" s="148" t="s">
        <v>2136</v>
      </c>
      <c r="F49" s="155">
        <f>G47</f>
        <v>0</v>
      </c>
      <c r="G49" s="161"/>
      <c r="H49" s="147"/>
      <c r="I49" s="171"/>
      <c r="J49" s="174">
        <f>F18</f>
        <v>1</v>
      </c>
      <c r="K49" s="148" t="s">
        <v>2136</v>
      </c>
      <c r="L49" s="180">
        <f>J18</f>
        <v>0</v>
      </c>
      <c r="M49" s="737"/>
      <c r="N49" s="738"/>
      <c r="O49" s="738"/>
      <c r="P49" s="738"/>
      <c r="Q49" s="738"/>
      <c r="R49" s="738"/>
      <c r="S49" s="735"/>
      <c r="T49" s="714"/>
      <c r="U49" s="739"/>
      <c r="V49" s="740"/>
      <c r="W49" s="720"/>
      <c r="X49" s="728"/>
      <c r="Y49" s="724"/>
      <c r="Z49" s="725"/>
      <c r="AA49" s="186"/>
      <c r="AC49" s="741"/>
      <c r="AD49" s="744" t="s">
        <v>1454</v>
      </c>
      <c r="AE49" s="745"/>
      <c r="AF49" s="144">
        <f>AK47</f>
        <v>0</v>
      </c>
      <c r="AG49" s="148" t="s">
        <v>2136</v>
      </c>
      <c r="AH49" s="155">
        <f>AI47</f>
        <v>0</v>
      </c>
      <c r="AI49" s="161"/>
      <c r="AJ49" s="147"/>
      <c r="AK49" s="171"/>
      <c r="AL49" s="174">
        <f>AH18</f>
        <v>5</v>
      </c>
      <c r="AM49" s="148" t="s">
        <v>2136</v>
      </c>
      <c r="AN49" s="180">
        <f>AL18</f>
        <v>0</v>
      </c>
      <c r="AO49" s="737"/>
      <c r="AP49" s="738"/>
      <c r="AQ49" s="738"/>
      <c r="AR49" s="738"/>
      <c r="AS49" s="738"/>
      <c r="AT49" s="738"/>
      <c r="AU49" s="735"/>
      <c r="AV49" s="714"/>
      <c r="AW49" s="739"/>
      <c r="AX49" s="740"/>
      <c r="AY49" s="720"/>
      <c r="AZ49" s="728"/>
      <c r="BA49" s="859"/>
      <c r="BB49" s="860"/>
      <c r="BE49" s="741"/>
      <c r="BF49" s="744" t="s">
        <v>1454</v>
      </c>
      <c r="BG49" s="745"/>
      <c r="BH49" s="144">
        <f>BM47</f>
        <v>5</v>
      </c>
      <c r="BI49" s="148" t="s">
        <v>2136</v>
      </c>
      <c r="BJ49" s="155">
        <f>BK47</f>
        <v>0</v>
      </c>
      <c r="BK49" s="161"/>
      <c r="BL49" s="147"/>
      <c r="BM49" s="171"/>
      <c r="BN49" s="174">
        <f>BJ18</f>
        <v>2</v>
      </c>
      <c r="BO49" s="148" t="s">
        <v>2136</v>
      </c>
      <c r="BP49" s="180">
        <f>BN18</f>
        <v>0</v>
      </c>
      <c r="BQ49" s="737"/>
      <c r="BR49" s="738"/>
      <c r="BS49" s="738"/>
      <c r="BT49" s="738"/>
      <c r="BU49" s="738"/>
      <c r="BV49" s="738"/>
      <c r="BW49" s="735"/>
      <c r="BX49" s="714"/>
      <c r="BY49" s="739"/>
      <c r="BZ49" s="740"/>
      <c r="CA49" s="720"/>
      <c r="CB49" s="728"/>
      <c r="CC49" s="724"/>
      <c r="CD49" s="725"/>
    </row>
    <row r="50" spans="1:82" ht="26.25" customHeight="1" x14ac:dyDescent="0.25">
      <c r="A50" s="729" t="str">
        <f>D8</f>
        <v>スマイス　セレソン　スポーツクラブ</v>
      </c>
      <c r="B50" s="742" t="s">
        <v>2307</v>
      </c>
      <c r="C50" s="743"/>
      <c r="D50" s="143"/>
      <c r="E50" s="143" t="str">
        <f>IF(D51="","",IF(D51&gt;F51,"○",IF(D51&lt;F51,"●",IF(D51=F51,"△"))))</f>
        <v>○</v>
      </c>
      <c r="F50" s="154"/>
      <c r="G50" s="162"/>
      <c r="H50" s="143" t="str">
        <f>IF(G51="","",IF(G51&gt;I51,"○",IF(G51&lt;I51,"●",IF(G51=I51,"△"))))</f>
        <v>●</v>
      </c>
      <c r="I50" s="154"/>
      <c r="J50" s="160"/>
      <c r="K50" s="166"/>
      <c r="L50" s="170"/>
      <c r="M50" s="731">
        <f>COUNTIF(D50:L50,"○")</f>
        <v>1</v>
      </c>
      <c r="N50" s="733">
        <f>COUNTIF(D50:L50,"△")+COUNTIF(D50:L50,"▲")</f>
        <v>0</v>
      </c>
      <c r="O50" s="733">
        <f>COUNTIF(D50:L50,"●")</f>
        <v>1</v>
      </c>
      <c r="P50" s="733">
        <f>SUM(D51,G51,J51)</f>
        <v>2</v>
      </c>
      <c r="Q50" s="733">
        <f>SUM(F51,I51,L51)</f>
        <v>1</v>
      </c>
      <c r="R50" s="733">
        <f>(M50*3)+(N50*1)</f>
        <v>3</v>
      </c>
      <c r="S50" s="735">
        <f>RANK(R50,R$46:R$51)</f>
        <v>2</v>
      </c>
      <c r="T50" s="714" t="s">
        <v>2308</v>
      </c>
      <c r="U50" s="716">
        <f>P50-Q50</f>
        <v>1</v>
      </c>
      <c r="V50" s="717"/>
      <c r="W50" s="720">
        <f>RANK(U50,U$46:U$51)</f>
        <v>2</v>
      </c>
      <c r="X50" s="722" t="s">
        <v>2308</v>
      </c>
      <c r="Y50" s="724">
        <v>2</v>
      </c>
      <c r="Z50" s="725"/>
      <c r="AA50" s="186"/>
      <c r="AC50" s="729" t="str">
        <f>AF8</f>
        <v>大平山アソシエーション式フットボールクラブ</v>
      </c>
      <c r="AD50" s="742" t="s">
        <v>2307</v>
      </c>
      <c r="AE50" s="743"/>
      <c r="AF50" s="143"/>
      <c r="AG50" s="143" t="str">
        <f>IF(AF51="","",IF(AF51&gt;AH51,"○",IF(AF51&lt;AH51,"●",IF(AF51=AH51,"△"))))</f>
        <v>●</v>
      </c>
      <c r="AH50" s="154"/>
      <c r="AI50" s="162"/>
      <c r="AJ50" s="143" t="str">
        <f>IF(AI51="","",IF(AI51&gt;AK51,"○",IF(AI51&lt;AK51,"●",IF(AI51=AK51,"△"))))</f>
        <v>●</v>
      </c>
      <c r="AK50" s="154"/>
      <c r="AL50" s="160"/>
      <c r="AM50" s="166"/>
      <c r="AN50" s="170"/>
      <c r="AO50" s="731">
        <f>COUNTIF(AF50:AN50,"○")</f>
        <v>0</v>
      </c>
      <c r="AP50" s="733">
        <f>COUNTIF(AF50:AN50,"△")+COUNTIF(AF50:AN50,"▲")</f>
        <v>0</v>
      </c>
      <c r="AQ50" s="733">
        <f>COUNTIF(AF50:AN50,"●")</f>
        <v>2</v>
      </c>
      <c r="AR50" s="733">
        <f>SUM(AF51,AI51,AL51)</f>
        <v>0</v>
      </c>
      <c r="AS50" s="733">
        <f>SUM(AH51,AK51,AN51)</f>
        <v>10</v>
      </c>
      <c r="AT50" s="733">
        <f>(AO50*3)+(AP50*1)</f>
        <v>0</v>
      </c>
      <c r="AU50" s="735">
        <f>RANK(AT50,AT$46:AT$51)</f>
        <v>3</v>
      </c>
      <c r="AV50" s="714" t="s">
        <v>2308</v>
      </c>
      <c r="AW50" s="716">
        <f>AR50-AS50</f>
        <v>-10</v>
      </c>
      <c r="AX50" s="717"/>
      <c r="AY50" s="720">
        <f>RANK(AW50,AW$46:AW$51)</f>
        <v>3</v>
      </c>
      <c r="AZ50" s="722" t="s">
        <v>2308</v>
      </c>
      <c r="BA50" s="724">
        <v>3</v>
      </c>
      <c r="BB50" s="725"/>
      <c r="BE50" s="729" t="str">
        <f>BH8</f>
        <v>ＦＣ　ＪＵＮＩＯＲＳ</v>
      </c>
      <c r="BF50" s="742" t="s">
        <v>2307</v>
      </c>
      <c r="BG50" s="743"/>
      <c r="BH50" s="143"/>
      <c r="BI50" s="143" t="str">
        <f>IF(BH51="","",IF(BH51&gt;BJ51,"○",IF(BH51&lt;BJ51,"●",IF(BH51=BJ51,"△"))))</f>
        <v>○</v>
      </c>
      <c r="BJ50" s="154"/>
      <c r="BK50" s="162"/>
      <c r="BL50" s="143" t="str">
        <f>IF(BK51="","",IF(BK51&gt;BM51,"○",IF(BK51&lt;BM51,"●",IF(BK51=BM51,"△"))))</f>
        <v>●</v>
      </c>
      <c r="BM50" s="154"/>
      <c r="BN50" s="160"/>
      <c r="BO50" s="166"/>
      <c r="BP50" s="170"/>
      <c r="BQ50" s="731">
        <f>COUNTIF(BH50:BP50,"○")</f>
        <v>1</v>
      </c>
      <c r="BR50" s="733">
        <f>COUNTIF(BH50:BP50,"△")+COUNTIF(BH50:BP50,"▲")</f>
        <v>0</v>
      </c>
      <c r="BS50" s="733">
        <f>COUNTIF(BH50:BP50,"●")</f>
        <v>1</v>
      </c>
      <c r="BT50" s="733">
        <f>SUM(BH51,BK51,BN51)</f>
        <v>3</v>
      </c>
      <c r="BU50" s="733">
        <f>SUM(BJ51,BM51,BP51)</f>
        <v>2</v>
      </c>
      <c r="BV50" s="733">
        <f>(BQ50*3)+(BR50*1)</f>
        <v>3</v>
      </c>
      <c r="BW50" s="735">
        <f>RANK(BV50,BV$46:BV$51)</f>
        <v>2</v>
      </c>
      <c r="BX50" s="714" t="s">
        <v>2308</v>
      </c>
      <c r="BY50" s="716">
        <f>BT50-BU50</f>
        <v>1</v>
      </c>
      <c r="BZ50" s="717"/>
      <c r="CA50" s="720">
        <f>RANK(BY50,BY$46:BY$51)</f>
        <v>2</v>
      </c>
      <c r="CB50" s="722" t="s">
        <v>2308</v>
      </c>
      <c r="CC50" s="724">
        <v>2</v>
      </c>
      <c r="CD50" s="725"/>
    </row>
    <row r="51" spans="1:82" ht="26.25" customHeight="1" x14ac:dyDescent="0.25">
      <c r="A51" s="730"/>
      <c r="B51" s="769" t="s">
        <v>1454</v>
      </c>
      <c r="C51" s="770"/>
      <c r="D51" s="145">
        <f>L47</f>
        <v>2</v>
      </c>
      <c r="E51" s="149" t="s">
        <v>2136</v>
      </c>
      <c r="F51" s="156">
        <f>J47</f>
        <v>0</v>
      </c>
      <c r="G51" s="163">
        <f>L49</f>
        <v>0</v>
      </c>
      <c r="H51" s="149" t="s">
        <v>2136</v>
      </c>
      <c r="I51" s="172">
        <f>J49</f>
        <v>1</v>
      </c>
      <c r="J51" s="175"/>
      <c r="K51" s="178"/>
      <c r="L51" s="181"/>
      <c r="M51" s="732"/>
      <c r="N51" s="734"/>
      <c r="O51" s="734"/>
      <c r="P51" s="734"/>
      <c r="Q51" s="734"/>
      <c r="R51" s="734"/>
      <c r="S51" s="736"/>
      <c r="T51" s="715"/>
      <c r="U51" s="718"/>
      <c r="V51" s="719"/>
      <c r="W51" s="721"/>
      <c r="X51" s="723"/>
      <c r="Y51" s="726"/>
      <c r="Z51" s="727"/>
      <c r="AA51" s="186"/>
      <c r="AC51" s="730"/>
      <c r="AD51" s="769" t="s">
        <v>1454</v>
      </c>
      <c r="AE51" s="770"/>
      <c r="AF51" s="145">
        <f>AN47</f>
        <v>0</v>
      </c>
      <c r="AG51" s="149" t="s">
        <v>2136</v>
      </c>
      <c r="AH51" s="156">
        <f>AL47</f>
        <v>5</v>
      </c>
      <c r="AI51" s="163">
        <f>AN49</f>
        <v>0</v>
      </c>
      <c r="AJ51" s="149" t="s">
        <v>2136</v>
      </c>
      <c r="AK51" s="172">
        <f>AL49</f>
        <v>5</v>
      </c>
      <c r="AL51" s="175"/>
      <c r="AM51" s="178"/>
      <c r="AN51" s="181"/>
      <c r="AO51" s="732"/>
      <c r="AP51" s="734"/>
      <c r="AQ51" s="734"/>
      <c r="AR51" s="734"/>
      <c r="AS51" s="734"/>
      <c r="AT51" s="734"/>
      <c r="AU51" s="736"/>
      <c r="AV51" s="715"/>
      <c r="AW51" s="718"/>
      <c r="AX51" s="719"/>
      <c r="AY51" s="721"/>
      <c r="AZ51" s="723"/>
      <c r="BA51" s="726"/>
      <c r="BB51" s="727"/>
      <c r="BE51" s="730"/>
      <c r="BF51" s="769" t="s">
        <v>1454</v>
      </c>
      <c r="BG51" s="770"/>
      <c r="BH51" s="145">
        <f>BP47</f>
        <v>3</v>
      </c>
      <c r="BI51" s="149" t="s">
        <v>2136</v>
      </c>
      <c r="BJ51" s="156">
        <f>BN47</f>
        <v>0</v>
      </c>
      <c r="BK51" s="163">
        <f>BP49</f>
        <v>0</v>
      </c>
      <c r="BL51" s="149" t="s">
        <v>2136</v>
      </c>
      <c r="BM51" s="172">
        <f>BN49</f>
        <v>2</v>
      </c>
      <c r="BN51" s="175"/>
      <c r="BO51" s="178"/>
      <c r="BP51" s="181"/>
      <c r="BQ51" s="732"/>
      <c r="BR51" s="734"/>
      <c r="BS51" s="734"/>
      <c r="BT51" s="734"/>
      <c r="BU51" s="734"/>
      <c r="BV51" s="734"/>
      <c r="BW51" s="736"/>
      <c r="BX51" s="715"/>
      <c r="BY51" s="718"/>
      <c r="BZ51" s="719"/>
      <c r="CA51" s="721"/>
      <c r="CB51" s="723"/>
      <c r="CC51" s="726"/>
      <c r="CD51" s="727"/>
    </row>
    <row r="52" spans="1:82" ht="15" customHeight="1" x14ac:dyDescent="0.25">
      <c r="A52" s="133"/>
      <c r="B52" s="133"/>
      <c r="C52" s="133"/>
      <c r="D52" s="133"/>
      <c r="E52" s="133"/>
      <c r="F52" s="133"/>
      <c r="G52" s="133"/>
      <c r="H52" s="133"/>
      <c r="I52" s="133"/>
      <c r="J52" s="133"/>
      <c r="K52" s="133"/>
      <c r="L52" s="133"/>
      <c r="M52" s="133"/>
      <c r="N52" s="133"/>
      <c r="O52" s="133"/>
      <c r="P52" s="133"/>
      <c r="Q52" s="133"/>
      <c r="R52" s="133"/>
      <c r="S52" s="133"/>
      <c r="T52" s="133"/>
      <c r="U52" s="133"/>
      <c r="V52" s="133"/>
      <c r="W52" s="133"/>
      <c r="X52" s="133"/>
      <c r="Y52" s="133"/>
      <c r="Z52" s="186"/>
      <c r="AA52" s="186"/>
      <c r="AC52" s="133"/>
      <c r="AD52" s="133"/>
      <c r="AE52" s="133"/>
      <c r="AF52" s="186"/>
      <c r="AG52" s="186"/>
      <c r="AH52" s="186"/>
      <c r="AI52" s="186"/>
      <c r="AJ52" s="186"/>
      <c r="AK52" s="186"/>
      <c r="AL52" s="186"/>
      <c r="AM52" s="186"/>
      <c r="AN52" s="186"/>
      <c r="AO52" s="186"/>
      <c r="AP52" s="186"/>
      <c r="AQ52" s="186"/>
      <c r="AR52" s="186"/>
      <c r="AS52" s="186"/>
      <c r="AT52" s="186"/>
      <c r="AU52" s="133"/>
      <c r="AV52" s="133"/>
      <c r="AW52" s="133"/>
      <c r="AX52" s="133"/>
      <c r="AY52" s="133"/>
      <c r="AZ52" s="133"/>
      <c r="BA52" s="133"/>
      <c r="BB52" s="186"/>
      <c r="BE52" s="133"/>
      <c r="BF52" s="133"/>
      <c r="BG52" s="133"/>
      <c r="BH52" s="186"/>
      <c r="BI52" s="186"/>
      <c r="BJ52" s="186"/>
      <c r="BK52" s="186"/>
      <c r="BL52" s="186"/>
      <c r="BM52" s="186"/>
      <c r="BN52" s="186"/>
      <c r="BO52" s="186"/>
      <c r="BP52" s="186"/>
      <c r="BQ52" s="186"/>
      <c r="BR52" s="186"/>
      <c r="BS52" s="186"/>
      <c r="BT52" s="186"/>
      <c r="BU52" s="186"/>
      <c r="BV52" s="186"/>
      <c r="BW52" s="133"/>
      <c r="BX52" s="133"/>
      <c r="BY52" s="133"/>
      <c r="BZ52" s="133"/>
      <c r="CA52" s="133"/>
      <c r="CB52" s="133"/>
      <c r="CC52" s="133"/>
      <c r="CD52" s="186"/>
    </row>
    <row r="53" spans="1:82" ht="54" customHeight="1" x14ac:dyDescent="0.25">
      <c r="A53" s="781" t="str">
        <f>J4</f>
        <v>G</v>
      </c>
      <c r="B53" s="782"/>
      <c r="C53" s="783"/>
      <c r="D53" s="771" t="str">
        <f>A54</f>
        <v>ティエラフットボールクラブＵ－１２</v>
      </c>
      <c r="E53" s="772"/>
      <c r="F53" s="772"/>
      <c r="G53" s="772" t="str">
        <f>A56</f>
        <v>南大分サッカー少年団</v>
      </c>
      <c r="H53" s="772"/>
      <c r="I53" s="772"/>
      <c r="J53" s="772" t="str">
        <f>A58</f>
        <v>ＦＣ　ＵＮＩＴＥ</v>
      </c>
      <c r="K53" s="772"/>
      <c r="L53" s="772"/>
      <c r="M53" s="182" t="s">
        <v>159</v>
      </c>
      <c r="N53" s="184" t="s">
        <v>2302</v>
      </c>
      <c r="O53" s="185" t="s">
        <v>1200</v>
      </c>
      <c r="P53" s="184" t="s">
        <v>2303</v>
      </c>
      <c r="Q53" s="184" t="s">
        <v>2304</v>
      </c>
      <c r="R53" s="184" t="s">
        <v>1160</v>
      </c>
      <c r="S53" s="773" t="s">
        <v>577</v>
      </c>
      <c r="T53" s="774"/>
      <c r="U53" s="775" t="s">
        <v>2305</v>
      </c>
      <c r="V53" s="776"/>
      <c r="W53" s="775" t="s">
        <v>1485</v>
      </c>
      <c r="X53" s="776"/>
      <c r="Y53" s="777" t="s">
        <v>2306</v>
      </c>
      <c r="Z53" s="778"/>
      <c r="AA53" s="186"/>
      <c r="AC53" s="781" t="str">
        <f>AL4</f>
        <v>K</v>
      </c>
      <c r="AD53" s="782"/>
      <c r="AE53" s="783"/>
      <c r="AF53" s="771" t="str">
        <f>AC54</f>
        <v>玖珠サッカースポーツ少年団</v>
      </c>
      <c r="AG53" s="772"/>
      <c r="AH53" s="772"/>
      <c r="AI53" s="772" t="str">
        <f>AC56</f>
        <v>鶴崎ＳＳＳ</v>
      </c>
      <c r="AJ53" s="772"/>
      <c r="AK53" s="772"/>
      <c r="AL53" s="772" t="str">
        <f>AC58</f>
        <v>戸次吉野ＳＳＳ</v>
      </c>
      <c r="AM53" s="772"/>
      <c r="AN53" s="772"/>
      <c r="AO53" s="182" t="s">
        <v>159</v>
      </c>
      <c r="AP53" s="184" t="s">
        <v>2302</v>
      </c>
      <c r="AQ53" s="185" t="s">
        <v>1200</v>
      </c>
      <c r="AR53" s="184" t="s">
        <v>2303</v>
      </c>
      <c r="AS53" s="184" t="s">
        <v>2304</v>
      </c>
      <c r="AT53" s="184" t="s">
        <v>1160</v>
      </c>
      <c r="AU53" s="773" t="s">
        <v>577</v>
      </c>
      <c r="AV53" s="774"/>
      <c r="AW53" s="775" t="s">
        <v>2305</v>
      </c>
      <c r="AX53" s="776"/>
      <c r="AY53" s="775" t="s">
        <v>1485</v>
      </c>
      <c r="AZ53" s="776"/>
      <c r="BA53" s="777" t="s">
        <v>2306</v>
      </c>
      <c r="BB53" s="778"/>
      <c r="BE53" s="781" t="str">
        <f>BN4</f>
        <v>L</v>
      </c>
      <c r="BF53" s="782"/>
      <c r="BG53" s="783"/>
      <c r="BH53" s="771" t="str">
        <f>BE54</f>
        <v>四日市南ＳＳＣ</v>
      </c>
      <c r="BI53" s="772"/>
      <c r="BJ53" s="772"/>
      <c r="BK53" s="772" t="str">
        <f>BE56</f>
        <v>明野東サッカースポーツ少年団</v>
      </c>
      <c r="BL53" s="772"/>
      <c r="BM53" s="772"/>
      <c r="BN53" s="772" t="str">
        <f>BE58</f>
        <v>佐伯リベロフットボールクラブ</v>
      </c>
      <c r="BO53" s="772"/>
      <c r="BP53" s="772"/>
      <c r="BQ53" s="182" t="s">
        <v>159</v>
      </c>
      <c r="BR53" s="184" t="s">
        <v>2302</v>
      </c>
      <c r="BS53" s="185" t="s">
        <v>1200</v>
      </c>
      <c r="BT53" s="184" t="s">
        <v>2303</v>
      </c>
      <c r="BU53" s="184" t="s">
        <v>2304</v>
      </c>
      <c r="BV53" s="184" t="s">
        <v>1160</v>
      </c>
      <c r="BW53" s="773" t="s">
        <v>577</v>
      </c>
      <c r="BX53" s="774"/>
      <c r="BY53" s="775" t="s">
        <v>2305</v>
      </c>
      <c r="BZ53" s="776"/>
      <c r="CA53" s="775" t="s">
        <v>1485</v>
      </c>
      <c r="CB53" s="776"/>
      <c r="CC53" s="777" t="s">
        <v>2306</v>
      </c>
      <c r="CD53" s="778"/>
    </row>
    <row r="54" spans="1:82" ht="26.25" customHeight="1" x14ac:dyDescent="0.25">
      <c r="A54" s="746" t="str">
        <f>J6</f>
        <v>ティエラフットボールクラブＵ－１２</v>
      </c>
      <c r="B54" s="779" t="s">
        <v>2307</v>
      </c>
      <c r="C54" s="780"/>
      <c r="D54" s="142"/>
      <c r="E54" s="142"/>
      <c r="F54" s="152"/>
      <c r="G54" s="159"/>
      <c r="H54" s="165" t="str">
        <f>IF(G55="","",IF(G55&gt;I55,"○",IF(G55&lt;I55,"●",IF(G55=I55,"△"))))</f>
        <v>○</v>
      </c>
      <c r="I54" s="169"/>
      <c r="J54" s="165"/>
      <c r="K54" s="165" t="str">
        <f>IF(J55="","",IF(J55&gt;L55,"○",IF(J55&lt;L55,"●",IF(J55=L55,"△"))))</f>
        <v>○</v>
      </c>
      <c r="L54" s="169"/>
      <c r="M54" s="747">
        <f>COUNTIF(D54:L54,"○")</f>
        <v>2</v>
      </c>
      <c r="N54" s="748">
        <f>COUNTIF(D54:L54,"△")+COUNTIF(D54:L54,"▲")</f>
        <v>0</v>
      </c>
      <c r="O54" s="748">
        <f>COUNTIF(D54:L54,"●")</f>
        <v>0</v>
      </c>
      <c r="P54" s="748">
        <f>SUM(D55,G55,J55)</f>
        <v>11</v>
      </c>
      <c r="Q54" s="748">
        <f>SUM(F55,I55,L55)</f>
        <v>0</v>
      </c>
      <c r="R54" s="748">
        <f>(M54*3)+(N54*1)</f>
        <v>6</v>
      </c>
      <c r="S54" s="749">
        <f>RANK(R54,$R$54:$R$59)</f>
        <v>1</v>
      </c>
      <c r="T54" s="750" t="s">
        <v>2308</v>
      </c>
      <c r="U54" s="751">
        <f>P54-Q54</f>
        <v>11</v>
      </c>
      <c r="V54" s="752"/>
      <c r="W54" s="753">
        <f>RANK(U54,$U$54:$V$59)</f>
        <v>1</v>
      </c>
      <c r="X54" s="754" t="s">
        <v>2308</v>
      </c>
      <c r="Y54" s="755">
        <v>1</v>
      </c>
      <c r="Z54" s="756"/>
      <c r="AA54" s="186"/>
      <c r="AC54" s="746" t="str">
        <f>AL6</f>
        <v>玖珠サッカースポーツ少年団</v>
      </c>
      <c r="AD54" s="779" t="s">
        <v>2307</v>
      </c>
      <c r="AE54" s="780"/>
      <c r="AF54" s="142"/>
      <c r="AG54" s="142"/>
      <c r="AH54" s="152"/>
      <c r="AI54" s="159"/>
      <c r="AJ54" s="165" t="str">
        <f>IF(AI55="","",IF(AI55&gt;AK55,"○",IF(AI55&lt;AK55,"●",IF(AI55=AK55,"△"))))</f>
        <v>●</v>
      </c>
      <c r="AK54" s="169"/>
      <c r="AL54" s="165"/>
      <c r="AM54" s="165" t="str">
        <f>IF(AL55="","",IF(AL55&gt;AN55,"○",IF(AL55&lt;AN55,"●",IF(AL55=AN55,"△"))))</f>
        <v>△</v>
      </c>
      <c r="AN54" s="169"/>
      <c r="AO54" s="747">
        <f>COUNTIF(AF54:AN54,"○")</f>
        <v>0</v>
      </c>
      <c r="AP54" s="748">
        <f>COUNTIF(AF54:AN54,"△")+COUNTIF(AF54:AN54,"▲")</f>
        <v>1</v>
      </c>
      <c r="AQ54" s="748">
        <f>COUNTIF(AF54:AN54,"●")</f>
        <v>1</v>
      </c>
      <c r="AR54" s="748">
        <f>SUM(AF55,AI55,AL55)</f>
        <v>1</v>
      </c>
      <c r="AS54" s="748">
        <f>SUM(AH55,AK55,AN55)</f>
        <v>5</v>
      </c>
      <c r="AT54" s="748">
        <f>(AO54*3)+(AP54*1)</f>
        <v>1</v>
      </c>
      <c r="AU54" s="749">
        <f>RANK(AT54,$AT$54:$AT$59)</f>
        <v>3</v>
      </c>
      <c r="AV54" s="750" t="s">
        <v>2308</v>
      </c>
      <c r="AW54" s="751">
        <f>AR54-AS54</f>
        <v>-4</v>
      </c>
      <c r="AX54" s="752"/>
      <c r="AY54" s="753">
        <f>RANK(AW54,$AW$54:$AW$59)</f>
        <v>3</v>
      </c>
      <c r="AZ54" s="754" t="s">
        <v>2308</v>
      </c>
      <c r="BA54" s="755">
        <v>3</v>
      </c>
      <c r="BB54" s="756"/>
      <c r="BE54" s="746" t="str">
        <f>BN6</f>
        <v>四日市南ＳＳＣ</v>
      </c>
      <c r="BF54" s="779" t="s">
        <v>2307</v>
      </c>
      <c r="BG54" s="780"/>
      <c r="BH54" s="142"/>
      <c r="BI54" s="142"/>
      <c r="BJ54" s="152"/>
      <c r="BK54" s="159"/>
      <c r="BL54" s="165" t="str">
        <f>IF(BK55="","",IF(BK55&gt;BM55,"○",IF(BK55&lt;BM55,"●",IF(BK55=BM55,"△"))))</f>
        <v>△</v>
      </c>
      <c r="BM54" s="169"/>
      <c r="BN54" s="165"/>
      <c r="BO54" s="165" t="str">
        <f>IF(BN55="","",IF(BN55&gt;BP55,"○",IF(BN55&lt;BP55,"●",IF(BN55=BP55,"△"))))</f>
        <v>○</v>
      </c>
      <c r="BP54" s="169"/>
      <c r="BQ54" s="747">
        <f>COUNTIF(BH54:BP54,"○")</f>
        <v>1</v>
      </c>
      <c r="BR54" s="748">
        <f>COUNTIF(BH54:BP54,"△")+COUNTIF(BH54:BP54,"▲")</f>
        <v>1</v>
      </c>
      <c r="BS54" s="748">
        <f>COUNTIF(BH54:BP54,"●")</f>
        <v>0</v>
      </c>
      <c r="BT54" s="748">
        <f>SUM(BH55,BK55,BN55)</f>
        <v>3</v>
      </c>
      <c r="BU54" s="748">
        <f>SUM(BJ55,BM55,BP55)</f>
        <v>2</v>
      </c>
      <c r="BV54" s="748">
        <f>(BQ54*3)+(BR54*1)</f>
        <v>4</v>
      </c>
      <c r="BW54" s="749">
        <f>RANK(BV54,$BV$54:$BV$59)</f>
        <v>1</v>
      </c>
      <c r="BX54" s="750" t="s">
        <v>2308</v>
      </c>
      <c r="BY54" s="751">
        <f>BT54-BU54</f>
        <v>1</v>
      </c>
      <c r="BZ54" s="752"/>
      <c r="CA54" s="753">
        <f>RANK(BY54,$BY$54:$BY$59)</f>
        <v>1</v>
      </c>
      <c r="CB54" s="754" t="s">
        <v>2308</v>
      </c>
      <c r="CC54" s="755">
        <v>1</v>
      </c>
      <c r="CD54" s="756"/>
    </row>
    <row r="55" spans="1:82" ht="26.25" customHeight="1" x14ac:dyDescent="0.25">
      <c r="A55" s="741"/>
      <c r="B55" s="744" t="s">
        <v>1454</v>
      </c>
      <c r="C55" s="745"/>
      <c r="D55" s="141"/>
      <c r="E55" s="147"/>
      <c r="F55" s="153"/>
      <c r="G55" s="135">
        <f>F16</f>
        <v>2</v>
      </c>
      <c r="H55" s="148" t="s">
        <v>2136</v>
      </c>
      <c r="I55" s="155">
        <f>J16</f>
        <v>0</v>
      </c>
      <c r="J55" s="144">
        <f>J24</f>
        <v>9</v>
      </c>
      <c r="K55" s="176" t="s">
        <v>2136</v>
      </c>
      <c r="L55" s="155">
        <f>F24</f>
        <v>0</v>
      </c>
      <c r="M55" s="737"/>
      <c r="N55" s="738"/>
      <c r="O55" s="738"/>
      <c r="P55" s="738"/>
      <c r="Q55" s="738"/>
      <c r="R55" s="738"/>
      <c r="S55" s="735"/>
      <c r="T55" s="714"/>
      <c r="U55" s="739"/>
      <c r="V55" s="740"/>
      <c r="W55" s="720"/>
      <c r="X55" s="728"/>
      <c r="Y55" s="724"/>
      <c r="Z55" s="725"/>
      <c r="AA55" s="186"/>
      <c r="AC55" s="741"/>
      <c r="AD55" s="744" t="s">
        <v>1454</v>
      </c>
      <c r="AE55" s="745"/>
      <c r="AF55" s="141"/>
      <c r="AG55" s="147"/>
      <c r="AH55" s="153"/>
      <c r="AI55" s="135">
        <f>AH16</f>
        <v>0</v>
      </c>
      <c r="AJ55" s="148" t="s">
        <v>2136</v>
      </c>
      <c r="AK55" s="155">
        <f>AL16</f>
        <v>4</v>
      </c>
      <c r="AL55" s="144">
        <f>AL24</f>
        <v>1</v>
      </c>
      <c r="AM55" s="176" t="s">
        <v>2136</v>
      </c>
      <c r="AN55" s="155">
        <f>AH24</f>
        <v>1</v>
      </c>
      <c r="AO55" s="737"/>
      <c r="AP55" s="738"/>
      <c r="AQ55" s="738"/>
      <c r="AR55" s="738"/>
      <c r="AS55" s="738"/>
      <c r="AT55" s="738"/>
      <c r="AU55" s="735"/>
      <c r="AV55" s="714"/>
      <c r="AW55" s="739"/>
      <c r="AX55" s="740"/>
      <c r="AY55" s="720"/>
      <c r="AZ55" s="728"/>
      <c r="BA55" s="724"/>
      <c r="BB55" s="725"/>
      <c r="BE55" s="741"/>
      <c r="BF55" s="744" t="s">
        <v>1454</v>
      </c>
      <c r="BG55" s="745"/>
      <c r="BH55" s="141"/>
      <c r="BI55" s="147"/>
      <c r="BJ55" s="153"/>
      <c r="BK55" s="135">
        <f>BJ16</f>
        <v>1</v>
      </c>
      <c r="BL55" s="148" t="s">
        <v>2136</v>
      </c>
      <c r="BM55" s="155">
        <f>BN16</f>
        <v>1</v>
      </c>
      <c r="BN55" s="144">
        <f>BN24</f>
        <v>2</v>
      </c>
      <c r="BO55" s="176" t="s">
        <v>2136</v>
      </c>
      <c r="BP55" s="155">
        <f>BJ24</f>
        <v>1</v>
      </c>
      <c r="BQ55" s="737"/>
      <c r="BR55" s="738"/>
      <c r="BS55" s="738"/>
      <c r="BT55" s="738"/>
      <c r="BU55" s="738"/>
      <c r="BV55" s="738"/>
      <c r="BW55" s="735"/>
      <c r="BX55" s="714"/>
      <c r="BY55" s="739"/>
      <c r="BZ55" s="740"/>
      <c r="CA55" s="720"/>
      <c r="CB55" s="728"/>
      <c r="CC55" s="724"/>
      <c r="CD55" s="725"/>
    </row>
    <row r="56" spans="1:82" ht="26.25" customHeight="1" x14ac:dyDescent="0.25">
      <c r="A56" s="729" t="str">
        <f>J7</f>
        <v>南大分サッカー少年団</v>
      </c>
      <c r="B56" s="742" t="s">
        <v>2307</v>
      </c>
      <c r="C56" s="743"/>
      <c r="D56" s="143"/>
      <c r="E56" s="143" t="str">
        <f>IF(D57="","",IF(D57&gt;F57,"○",IF(D57&lt;F57,"●",IF(D57=F57,"△"))))</f>
        <v>●</v>
      </c>
      <c r="F56" s="154"/>
      <c r="G56" s="160"/>
      <c r="H56" s="166"/>
      <c r="I56" s="170"/>
      <c r="J56" s="162"/>
      <c r="K56" s="177" t="str">
        <f>IF(J57="","",IF(J57&gt;L57,"○",IF(J57&lt;L57,"●",IF(J57=L57,"△"))))</f>
        <v>○</v>
      </c>
      <c r="L56" s="154"/>
      <c r="M56" s="731">
        <f>COUNTIF(D56:L56,"○")</f>
        <v>1</v>
      </c>
      <c r="N56" s="733">
        <f>COUNTIF(D56:L56,"△")+COUNTIF(D56:L56,"▲")</f>
        <v>0</v>
      </c>
      <c r="O56" s="733">
        <f>COUNTIF(D56:L56,"●")</f>
        <v>1</v>
      </c>
      <c r="P56" s="733">
        <f>SUM(D57,G57,J57)</f>
        <v>5</v>
      </c>
      <c r="Q56" s="733">
        <f>SUM(F57,I57,L57)</f>
        <v>2</v>
      </c>
      <c r="R56" s="733">
        <f>(M56*3)+(N56*1)</f>
        <v>3</v>
      </c>
      <c r="S56" s="735">
        <f>RANK(R56,$R$54:$R$59)</f>
        <v>2</v>
      </c>
      <c r="T56" s="714" t="s">
        <v>2308</v>
      </c>
      <c r="U56" s="716">
        <f>P56-Q56</f>
        <v>3</v>
      </c>
      <c r="V56" s="717"/>
      <c r="W56" s="720">
        <f>RANK(U56,$U$54:$V$59)</f>
        <v>2</v>
      </c>
      <c r="X56" s="722" t="s">
        <v>2308</v>
      </c>
      <c r="Y56" s="724">
        <v>2</v>
      </c>
      <c r="Z56" s="725"/>
      <c r="AA56" s="186"/>
      <c r="AC56" s="729" t="str">
        <f>AL7</f>
        <v>鶴崎ＳＳＳ</v>
      </c>
      <c r="AD56" s="742" t="s">
        <v>2307</v>
      </c>
      <c r="AE56" s="743"/>
      <c r="AF56" s="143"/>
      <c r="AG56" s="143" t="str">
        <f>IF(AF57="","",IF(AF57&gt;AH57,"○",IF(AF57&lt;AH57,"●",IF(AF57=AH57,"△"))))</f>
        <v>○</v>
      </c>
      <c r="AH56" s="154"/>
      <c r="AI56" s="160"/>
      <c r="AJ56" s="166"/>
      <c r="AK56" s="170"/>
      <c r="AL56" s="162"/>
      <c r="AM56" s="177" t="str">
        <f>IF(AL57="","",IF(AL57&gt;AN57,"○",IF(AL57&lt;AN57,"●",IF(AL57=AN57,"△"))))</f>
        <v>●</v>
      </c>
      <c r="AN56" s="154"/>
      <c r="AO56" s="731">
        <f>COUNTIF(AF56:AN56,"○")</f>
        <v>1</v>
      </c>
      <c r="AP56" s="733">
        <f>COUNTIF(AF56:AN56,"△")+COUNTIF(AF56:AN56,"▲")</f>
        <v>0</v>
      </c>
      <c r="AQ56" s="733">
        <f>COUNTIF(AF56:AN56,"●")</f>
        <v>1</v>
      </c>
      <c r="AR56" s="733">
        <f>SUM(AF57,AI57,AL57)</f>
        <v>6</v>
      </c>
      <c r="AS56" s="733">
        <f>SUM(AH57,AK57,AN57)</f>
        <v>3</v>
      </c>
      <c r="AT56" s="733">
        <f>(AO56*3)+(AP56*1)</f>
        <v>3</v>
      </c>
      <c r="AU56" s="735">
        <f>RANK(AT56,$AT$54:$AT$59)</f>
        <v>2</v>
      </c>
      <c r="AV56" s="714" t="s">
        <v>2308</v>
      </c>
      <c r="AW56" s="716">
        <f>AR56-AS56</f>
        <v>3</v>
      </c>
      <c r="AX56" s="717"/>
      <c r="AY56" s="720">
        <f>RANK(AW56,$AW$54:$AW$59)</f>
        <v>1</v>
      </c>
      <c r="AZ56" s="722" t="s">
        <v>2308</v>
      </c>
      <c r="BA56" s="724">
        <v>2</v>
      </c>
      <c r="BB56" s="725"/>
      <c r="BE56" s="729" t="str">
        <f>BN7</f>
        <v>明野東サッカースポーツ少年団</v>
      </c>
      <c r="BF56" s="742" t="s">
        <v>2307</v>
      </c>
      <c r="BG56" s="743"/>
      <c r="BH56" s="143"/>
      <c r="BI56" s="143" t="str">
        <f>IF(BH57="","",IF(BH57&gt;BJ57,"○",IF(BH57&lt;BJ57,"●",IF(BH57=BJ57,"△"))))</f>
        <v>△</v>
      </c>
      <c r="BJ56" s="154"/>
      <c r="BK56" s="160"/>
      <c r="BL56" s="166"/>
      <c r="BM56" s="170"/>
      <c r="BN56" s="162"/>
      <c r="BO56" s="177" t="str">
        <f>IF(BN57="","",IF(BN57&gt;BP57,"○",IF(BN57&lt;BP57,"●",IF(BN57=BP57,"△"))))</f>
        <v>●</v>
      </c>
      <c r="BP56" s="154"/>
      <c r="BQ56" s="731">
        <f>COUNTIF(BH56:BP56,"○")</f>
        <v>0</v>
      </c>
      <c r="BR56" s="733">
        <f>COUNTIF(BH56:BP56,"△")+COUNTIF(BH56:BP56,"▲")</f>
        <v>1</v>
      </c>
      <c r="BS56" s="733">
        <f>COUNTIF(BH56:BP56,"●")</f>
        <v>1</v>
      </c>
      <c r="BT56" s="733">
        <f>SUM(BH57,BK57,BN57)</f>
        <v>1</v>
      </c>
      <c r="BU56" s="733">
        <f>SUM(BJ57,BM57,BP57)</f>
        <v>2</v>
      </c>
      <c r="BV56" s="733">
        <f>(BQ56*3)+(BR56*1)</f>
        <v>1</v>
      </c>
      <c r="BW56" s="735">
        <f>RANK(BV56,$BV$54:$BV$59)</f>
        <v>3</v>
      </c>
      <c r="BX56" s="714" t="s">
        <v>2308</v>
      </c>
      <c r="BY56" s="716">
        <f>BT56-BU56</f>
        <v>-1</v>
      </c>
      <c r="BZ56" s="717"/>
      <c r="CA56" s="720">
        <f>RANK(BY56,$BY$54:$BY$59)</f>
        <v>3</v>
      </c>
      <c r="CB56" s="722" t="s">
        <v>2308</v>
      </c>
      <c r="CC56" s="724">
        <v>3</v>
      </c>
      <c r="CD56" s="725"/>
    </row>
    <row r="57" spans="1:82" ht="26.25" customHeight="1" x14ac:dyDescent="0.25">
      <c r="A57" s="741"/>
      <c r="B57" s="744" t="s">
        <v>1454</v>
      </c>
      <c r="C57" s="745"/>
      <c r="D57" s="144">
        <f>I55</f>
        <v>0</v>
      </c>
      <c r="E57" s="148" t="s">
        <v>2136</v>
      </c>
      <c r="F57" s="155">
        <f>G55</f>
        <v>2</v>
      </c>
      <c r="G57" s="161"/>
      <c r="H57" s="147"/>
      <c r="I57" s="171"/>
      <c r="J57" s="174">
        <f>F20</f>
        <v>5</v>
      </c>
      <c r="K57" s="148" t="s">
        <v>2136</v>
      </c>
      <c r="L57" s="180">
        <f>J20</f>
        <v>0</v>
      </c>
      <c r="M57" s="737"/>
      <c r="N57" s="738"/>
      <c r="O57" s="738"/>
      <c r="P57" s="738"/>
      <c r="Q57" s="738"/>
      <c r="R57" s="738"/>
      <c r="S57" s="735"/>
      <c r="T57" s="714"/>
      <c r="U57" s="739"/>
      <c r="V57" s="740"/>
      <c r="W57" s="720"/>
      <c r="X57" s="728"/>
      <c r="Y57" s="724"/>
      <c r="Z57" s="725"/>
      <c r="AA57" s="186"/>
      <c r="AC57" s="741"/>
      <c r="AD57" s="744" t="s">
        <v>1454</v>
      </c>
      <c r="AE57" s="745"/>
      <c r="AF57" s="144">
        <f>AK55</f>
        <v>4</v>
      </c>
      <c r="AG57" s="148" t="s">
        <v>2136</v>
      </c>
      <c r="AH57" s="155">
        <f>AI55</f>
        <v>0</v>
      </c>
      <c r="AI57" s="161"/>
      <c r="AJ57" s="147"/>
      <c r="AK57" s="171"/>
      <c r="AL57" s="174">
        <f>AH20</f>
        <v>2</v>
      </c>
      <c r="AM57" s="148" t="s">
        <v>2136</v>
      </c>
      <c r="AN57" s="180">
        <f>AL20</f>
        <v>3</v>
      </c>
      <c r="AO57" s="737"/>
      <c r="AP57" s="738"/>
      <c r="AQ57" s="738"/>
      <c r="AR57" s="738"/>
      <c r="AS57" s="738"/>
      <c r="AT57" s="738"/>
      <c r="AU57" s="735"/>
      <c r="AV57" s="714"/>
      <c r="AW57" s="739"/>
      <c r="AX57" s="740"/>
      <c r="AY57" s="720"/>
      <c r="AZ57" s="728"/>
      <c r="BA57" s="724"/>
      <c r="BB57" s="725"/>
      <c r="BE57" s="741"/>
      <c r="BF57" s="744" t="s">
        <v>1454</v>
      </c>
      <c r="BG57" s="745"/>
      <c r="BH57" s="144">
        <f>BM55</f>
        <v>1</v>
      </c>
      <c r="BI57" s="148" t="s">
        <v>2136</v>
      </c>
      <c r="BJ57" s="155">
        <f>BK55</f>
        <v>1</v>
      </c>
      <c r="BK57" s="161"/>
      <c r="BL57" s="147"/>
      <c r="BM57" s="171"/>
      <c r="BN57" s="174">
        <f>BJ20</f>
        <v>0</v>
      </c>
      <c r="BO57" s="148" t="s">
        <v>2136</v>
      </c>
      <c r="BP57" s="180">
        <f>BN20</f>
        <v>1</v>
      </c>
      <c r="BQ57" s="737"/>
      <c r="BR57" s="738"/>
      <c r="BS57" s="738"/>
      <c r="BT57" s="738"/>
      <c r="BU57" s="738"/>
      <c r="BV57" s="738"/>
      <c r="BW57" s="735"/>
      <c r="BX57" s="714"/>
      <c r="BY57" s="739"/>
      <c r="BZ57" s="740"/>
      <c r="CA57" s="720"/>
      <c r="CB57" s="728"/>
      <c r="CC57" s="724"/>
      <c r="CD57" s="725"/>
    </row>
    <row r="58" spans="1:82" ht="26.25" customHeight="1" x14ac:dyDescent="0.25">
      <c r="A58" s="729" t="str">
        <f>J8</f>
        <v>ＦＣ　ＵＮＩＴＥ</v>
      </c>
      <c r="B58" s="742" t="s">
        <v>2307</v>
      </c>
      <c r="C58" s="743"/>
      <c r="D58" s="143"/>
      <c r="E58" s="143" t="str">
        <f>IF(D59="","",IF(D59&gt;F59,"○",IF(D59&lt;F59,"●",IF(D59=F59,"△"))))</f>
        <v>●</v>
      </c>
      <c r="F58" s="154"/>
      <c r="G58" s="162"/>
      <c r="H58" s="143" t="str">
        <f>IF(G59="","",IF(G59&gt;I59,"○",IF(G59&lt;I59,"●",IF(G59=I59,"△"))))</f>
        <v>●</v>
      </c>
      <c r="I58" s="154"/>
      <c r="J58" s="160"/>
      <c r="K58" s="166"/>
      <c r="L58" s="170"/>
      <c r="M58" s="731">
        <f>COUNTIF(D58:L58,"○")</f>
        <v>0</v>
      </c>
      <c r="N58" s="733">
        <f>COUNTIF(D58:L58,"△")+COUNTIF(D58:L58,"▲")</f>
        <v>0</v>
      </c>
      <c r="O58" s="733">
        <f>COUNTIF(D58:L58,"●")</f>
        <v>2</v>
      </c>
      <c r="P58" s="733">
        <f>SUM(D59,G59,J59)</f>
        <v>0</v>
      </c>
      <c r="Q58" s="733">
        <f>SUM(F59,I59,L59)</f>
        <v>14</v>
      </c>
      <c r="R58" s="733">
        <f>(M58*3)+(N58*1)</f>
        <v>0</v>
      </c>
      <c r="S58" s="735">
        <f>RANK(R58,$R$54:$R$59)</f>
        <v>3</v>
      </c>
      <c r="T58" s="714" t="s">
        <v>2308</v>
      </c>
      <c r="U58" s="716">
        <f>P58-Q58</f>
        <v>-14</v>
      </c>
      <c r="V58" s="717"/>
      <c r="W58" s="720">
        <f>RANK(U58,$U$54:$V$59)</f>
        <v>3</v>
      </c>
      <c r="X58" s="722" t="s">
        <v>2308</v>
      </c>
      <c r="Y58" s="724">
        <v>3</v>
      </c>
      <c r="Z58" s="725"/>
      <c r="AA58" s="186"/>
      <c r="AC58" s="729" t="str">
        <f>AL8</f>
        <v>戸次吉野ＳＳＳ</v>
      </c>
      <c r="AD58" s="742" t="s">
        <v>2307</v>
      </c>
      <c r="AE58" s="743"/>
      <c r="AF58" s="143"/>
      <c r="AG58" s="143" t="str">
        <f>IF(AF59="","",IF(AF59&gt;AH59,"○",IF(AF59&lt;AH59,"●",IF(AF59=AH59,"△"))))</f>
        <v>△</v>
      </c>
      <c r="AH58" s="154"/>
      <c r="AI58" s="162"/>
      <c r="AJ58" s="143" t="str">
        <f>IF(AI59="","",IF(AI59&gt;AK59,"○",IF(AI59&lt;AK59,"●",IF(AI59=AK59,"△"))))</f>
        <v>○</v>
      </c>
      <c r="AK58" s="154"/>
      <c r="AL58" s="160"/>
      <c r="AM58" s="166"/>
      <c r="AN58" s="170"/>
      <c r="AO58" s="731">
        <f>COUNTIF(AF58:AN58,"○")</f>
        <v>1</v>
      </c>
      <c r="AP58" s="733">
        <f>COUNTIF(AF58:AN58,"△")+COUNTIF(AF58:AN58,"▲")</f>
        <v>1</v>
      </c>
      <c r="AQ58" s="733">
        <f>COUNTIF(AF58:AN58,"●")</f>
        <v>0</v>
      </c>
      <c r="AR58" s="733">
        <f>SUM(AF59,AI59,AL59)</f>
        <v>4</v>
      </c>
      <c r="AS58" s="733">
        <f>SUM(AH59,AK59,AN59)</f>
        <v>3</v>
      </c>
      <c r="AT58" s="733">
        <f>(AO58*3)+(AP58*1)</f>
        <v>4</v>
      </c>
      <c r="AU58" s="735">
        <f>RANK(AT58,$AT$54:$AT$59)</f>
        <v>1</v>
      </c>
      <c r="AV58" s="714" t="s">
        <v>2308</v>
      </c>
      <c r="AW58" s="716">
        <f>AR58-AS58</f>
        <v>1</v>
      </c>
      <c r="AX58" s="717"/>
      <c r="AY58" s="720">
        <f>RANK(AW58,$AW$54:$AW$59)</f>
        <v>2</v>
      </c>
      <c r="AZ58" s="722" t="s">
        <v>2308</v>
      </c>
      <c r="BA58" s="724">
        <v>1</v>
      </c>
      <c r="BB58" s="725"/>
      <c r="BE58" s="729" t="str">
        <f>BN8</f>
        <v>佐伯リベロフットボールクラブ</v>
      </c>
      <c r="BF58" s="742" t="s">
        <v>2307</v>
      </c>
      <c r="BG58" s="743"/>
      <c r="BH58" s="143"/>
      <c r="BI58" s="143" t="str">
        <f>IF(BH59="","",IF(BH59&gt;BJ59,"○",IF(BH59&lt;BJ59,"●",IF(BH59=BJ59,"△"))))</f>
        <v>●</v>
      </c>
      <c r="BJ58" s="154"/>
      <c r="BK58" s="162"/>
      <c r="BL58" s="143" t="str">
        <f>IF(BK59="","",IF(BK59&gt;BM59,"○",IF(BK59&lt;BM59,"●",IF(BK59=BM59,"△"))))</f>
        <v>○</v>
      </c>
      <c r="BM58" s="154"/>
      <c r="BN58" s="160"/>
      <c r="BO58" s="166"/>
      <c r="BP58" s="170"/>
      <c r="BQ58" s="731">
        <f>COUNTIF(BH58:BP58,"○")</f>
        <v>1</v>
      </c>
      <c r="BR58" s="733">
        <f>COUNTIF(BH58:BP58,"△")+COUNTIF(BH58:BP58,"▲")</f>
        <v>0</v>
      </c>
      <c r="BS58" s="733">
        <f>COUNTIF(BH58:BP58,"●")</f>
        <v>1</v>
      </c>
      <c r="BT58" s="733">
        <f>SUM(BH59,BK59,BN59)</f>
        <v>2</v>
      </c>
      <c r="BU58" s="733">
        <f>SUM(BJ59,BM59,BP59)</f>
        <v>2</v>
      </c>
      <c r="BV58" s="733">
        <f>(BQ58*3)+(BR58*1)</f>
        <v>3</v>
      </c>
      <c r="BW58" s="735">
        <f>RANK(BV58,$BV$54:$BV$59)</f>
        <v>2</v>
      </c>
      <c r="BX58" s="714" t="s">
        <v>2308</v>
      </c>
      <c r="BY58" s="716">
        <f>BT58-BU58</f>
        <v>0</v>
      </c>
      <c r="BZ58" s="717"/>
      <c r="CA58" s="720">
        <f>RANK(BY58,$BY$54:$BY$59)</f>
        <v>2</v>
      </c>
      <c r="CB58" s="722" t="s">
        <v>2308</v>
      </c>
      <c r="CC58" s="724">
        <v>2</v>
      </c>
      <c r="CD58" s="725"/>
    </row>
    <row r="59" spans="1:82" ht="26.25" customHeight="1" x14ac:dyDescent="0.25">
      <c r="A59" s="730"/>
      <c r="B59" s="769" t="s">
        <v>1454</v>
      </c>
      <c r="C59" s="770"/>
      <c r="D59" s="145">
        <f>L55</f>
        <v>0</v>
      </c>
      <c r="E59" s="149" t="s">
        <v>2136</v>
      </c>
      <c r="F59" s="156">
        <f>J55</f>
        <v>9</v>
      </c>
      <c r="G59" s="163">
        <f>L57</f>
        <v>0</v>
      </c>
      <c r="H59" s="149" t="s">
        <v>2136</v>
      </c>
      <c r="I59" s="172">
        <f>J57</f>
        <v>5</v>
      </c>
      <c r="J59" s="175"/>
      <c r="K59" s="178"/>
      <c r="L59" s="181"/>
      <c r="M59" s="732"/>
      <c r="N59" s="734"/>
      <c r="O59" s="734"/>
      <c r="P59" s="734"/>
      <c r="Q59" s="734"/>
      <c r="R59" s="734"/>
      <c r="S59" s="736"/>
      <c r="T59" s="715"/>
      <c r="U59" s="718"/>
      <c r="V59" s="719"/>
      <c r="W59" s="721"/>
      <c r="X59" s="723"/>
      <c r="Y59" s="726"/>
      <c r="Z59" s="727"/>
      <c r="AA59" s="186"/>
      <c r="AC59" s="730"/>
      <c r="AD59" s="769" t="s">
        <v>1454</v>
      </c>
      <c r="AE59" s="770"/>
      <c r="AF59" s="145">
        <f>AN55</f>
        <v>1</v>
      </c>
      <c r="AG59" s="149" t="s">
        <v>2136</v>
      </c>
      <c r="AH59" s="156">
        <f>AL55</f>
        <v>1</v>
      </c>
      <c r="AI59" s="163">
        <f>AN57</f>
        <v>3</v>
      </c>
      <c r="AJ59" s="149" t="s">
        <v>2136</v>
      </c>
      <c r="AK59" s="172">
        <f>AL57</f>
        <v>2</v>
      </c>
      <c r="AL59" s="175"/>
      <c r="AM59" s="178"/>
      <c r="AN59" s="181"/>
      <c r="AO59" s="732"/>
      <c r="AP59" s="734"/>
      <c r="AQ59" s="734"/>
      <c r="AR59" s="734"/>
      <c r="AS59" s="734"/>
      <c r="AT59" s="734"/>
      <c r="AU59" s="736"/>
      <c r="AV59" s="715"/>
      <c r="AW59" s="718"/>
      <c r="AX59" s="719"/>
      <c r="AY59" s="721"/>
      <c r="AZ59" s="723"/>
      <c r="BA59" s="726"/>
      <c r="BB59" s="727"/>
      <c r="BE59" s="730"/>
      <c r="BF59" s="769" t="s">
        <v>1454</v>
      </c>
      <c r="BG59" s="770"/>
      <c r="BH59" s="145">
        <f>BP55</f>
        <v>1</v>
      </c>
      <c r="BI59" s="149" t="s">
        <v>2136</v>
      </c>
      <c r="BJ59" s="156">
        <f>BN55</f>
        <v>2</v>
      </c>
      <c r="BK59" s="163">
        <f>BP57</f>
        <v>1</v>
      </c>
      <c r="BL59" s="149" t="s">
        <v>2136</v>
      </c>
      <c r="BM59" s="172">
        <f>BN57</f>
        <v>0</v>
      </c>
      <c r="BN59" s="175"/>
      <c r="BO59" s="178"/>
      <c r="BP59" s="181"/>
      <c r="BQ59" s="732"/>
      <c r="BR59" s="734"/>
      <c r="BS59" s="734"/>
      <c r="BT59" s="734"/>
      <c r="BU59" s="734"/>
      <c r="BV59" s="734"/>
      <c r="BW59" s="736"/>
      <c r="BX59" s="715"/>
      <c r="BY59" s="718"/>
      <c r="BZ59" s="719"/>
      <c r="CA59" s="721"/>
      <c r="CB59" s="723"/>
      <c r="CC59" s="726"/>
      <c r="CD59" s="727"/>
    </row>
    <row r="60" spans="1:82" x14ac:dyDescent="0.25">
      <c r="A60" s="133"/>
      <c r="B60" s="133"/>
      <c r="C60" s="133"/>
      <c r="D60" s="133"/>
      <c r="E60" s="133"/>
      <c r="F60" s="133"/>
      <c r="G60" s="133"/>
      <c r="H60" s="133"/>
      <c r="I60" s="133"/>
      <c r="J60" s="133"/>
      <c r="K60" s="133"/>
      <c r="L60" s="133"/>
      <c r="M60" s="133"/>
      <c r="N60" s="133"/>
      <c r="O60" s="133"/>
      <c r="P60" s="133"/>
      <c r="Q60" s="133"/>
      <c r="R60" s="133"/>
      <c r="S60" s="133"/>
      <c r="T60" s="133"/>
      <c r="U60" s="133"/>
      <c r="V60" s="133"/>
      <c r="W60" s="133"/>
      <c r="X60" s="133"/>
      <c r="Y60" s="186"/>
      <c r="Z60" s="186"/>
      <c r="AA60" s="187"/>
      <c r="AC60" s="133"/>
      <c r="AD60" s="133"/>
      <c r="AE60" s="133"/>
      <c r="AF60" s="187"/>
      <c r="AG60" s="187"/>
      <c r="AH60" s="187"/>
      <c r="AI60" s="187"/>
      <c r="AJ60" s="187"/>
      <c r="AK60" s="187"/>
      <c r="AL60" s="187"/>
      <c r="AM60" s="187"/>
      <c r="AN60" s="187"/>
      <c r="AO60" s="186"/>
      <c r="AP60" s="186"/>
      <c r="AQ60" s="186"/>
      <c r="AR60" s="186"/>
      <c r="AS60" s="186"/>
      <c r="AT60" s="186"/>
      <c r="AU60" s="133"/>
      <c r="AV60" s="133"/>
      <c r="AW60" s="133"/>
      <c r="AX60" s="133"/>
      <c r="AY60" s="133"/>
      <c r="AZ60" s="133"/>
      <c r="BA60" s="186"/>
      <c r="BB60" s="186"/>
      <c r="BE60" s="133"/>
      <c r="BF60" s="133"/>
      <c r="BG60" s="133"/>
      <c r="BH60" s="187"/>
      <c r="BI60" s="187"/>
      <c r="BJ60" s="187"/>
      <c r="BK60" s="187"/>
      <c r="BL60" s="187"/>
      <c r="BM60" s="187"/>
      <c r="BN60" s="187"/>
      <c r="BO60" s="187"/>
      <c r="BP60" s="187"/>
      <c r="BQ60" s="186"/>
      <c r="BR60" s="186"/>
      <c r="BS60" s="186"/>
      <c r="BT60" s="186"/>
      <c r="BU60" s="186"/>
      <c r="BV60" s="186"/>
      <c r="BW60" s="133"/>
      <c r="BX60" s="133"/>
      <c r="BY60" s="133"/>
      <c r="BZ60" s="133"/>
      <c r="CA60" s="133"/>
      <c r="CB60" s="133"/>
      <c r="CC60" s="186"/>
      <c r="CD60" s="186"/>
    </row>
    <row r="61" spans="1:82" ht="54" customHeight="1" x14ac:dyDescent="0.25">
      <c r="A61" s="781" t="str">
        <f>P4</f>
        <v>C</v>
      </c>
      <c r="B61" s="782"/>
      <c r="C61" s="783"/>
      <c r="D61" s="771" t="str">
        <f>A62</f>
        <v>別府フットボールクラブ．ミネルバＵ－１２</v>
      </c>
      <c r="E61" s="772"/>
      <c r="F61" s="772"/>
      <c r="G61" s="772" t="str">
        <f>A64</f>
        <v>カティオーラフットボールクラブＵ－１２　Ｎｅｘｔ</v>
      </c>
      <c r="H61" s="772"/>
      <c r="I61" s="772"/>
      <c r="J61" s="772" t="str">
        <f>A66</f>
        <v>西の台ＪＦＣ</v>
      </c>
      <c r="K61" s="772"/>
      <c r="L61" s="772"/>
      <c r="M61" s="182" t="s">
        <v>159</v>
      </c>
      <c r="N61" s="184" t="s">
        <v>2302</v>
      </c>
      <c r="O61" s="185" t="s">
        <v>1200</v>
      </c>
      <c r="P61" s="184" t="s">
        <v>2303</v>
      </c>
      <c r="Q61" s="184" t="s">
        <v>2304</v>
      </c>
      <c r="R61" s="184" t="s">
        <v>1160</v>
      </c>
      <c r="S61" s="773" t="s">
        <v>577</v>
      </c>
      <c r="T61" s="774"/>
      <c r="U61" s="775" t="s">
        <v>2305</v>
      </c>
      <c r="V61" s="776"/>
      <c r="W61" s="775" t="s">
        <v>1485</v>
      </c>
      <c r="X61" s="776"/>
      <c r="Y61" s="777" t="s">
        <v>2306</v>
      </c>
      <c r="Z61" s="778"/>
      <c r="AA61" s="186"/>
      <c r="AC61" s="781" t="str">
        <f>AR4</f>
        <v>D</v>
      </c>
      <c r="AD61" s="782"/>
      <c r="AE61" s="783"/>
      <c r="AF61" s="771" t="str">
        <f>AC62</f>
        <v>日出サッカースポーツ少年団</v>
      </c>
      <c r="AG61" s="772"/>
      <c r="AH61" s="772"/>
      <c r="AI61" s="772" t="str">
        <f>AC64</f>
        <v>大分トリニータＵ－１２</v>
      </c>
      <c r="AJ61" s="772"/>
      <c r="AK61" s="772"/>
      <c r="AL61" s="772" t="str">
        <f>AC66</f>
        <v>弥生少年サッカークラブ</v>
      </c>
      <c r="AM61" s="772"/>
      <c r="AN61" s="772"/>
      <c r="AO61" s="182" t="s">
        <v>159</v>
      </c>
      <c r="AP61" s="184" t="s">
        <v>2302</v>
      </c>
      <c r="AQ61" s="185" t="s">
        <v>1200</v>
      </c>
      <c r="AR61" s="184" t="s">
        <v>2303</v>
      </c>
      <c r="AS61" s="184" t="s">
        <v>2304</v>
      </c>
      <c r="AT61" s="184" t="s">
        <v>1160</v>
      </c>
      <c r="AU61" s="773" t="s">
        <v>577</v>
      </c>
      <c r="AV61" s="774"/>
      <c r="AW61" s="775" t="s">
        <v>2305</v>
      </c>
      <c r="AX61" s="776"/>
      <c r="AY61" s="775" t="s">
        <v>1485</v>
      </c>
      <c r="AZ61" s="776"/>
      <c r="BA61" s="777" t="s">
        <v>2306</v>
      </c>
      <c r="BB61" s="778"/>
      <c r="BE61" s="781" t="str">
        <f>BT4</f>
        <v>B</v>
      </c>
      <c r="BF61" s="782"/>
      <c r="BG61" s="783"/>
      <c r="BH61" s="771" t="str">
        <f>BE62</f>
        <v>臼杵ＳＳＳ</v>
      </c>
      <c r="BI61" s="772"/>
      <c r="BJ61" s="772"/>
      <c r="BK61" s="772" t="str">
        <f>BE64</f>
        <v>ＦＣ　ＲＥＧＡＴＥ</v>
      </c>
      <c r="BL61" s="772"/>
      <c r="BM61" s="772"/>
      <c r="BN61" s="772" t="str">
        <f>BE66</f>
        <v>竹田直入ＦＣ</v>
      </c>
      <c r="BO61" s="772"/>
      <c r="BP61" s="772"/>
      <c r="BQ61" s="182" t="s">
        <v>159</v>
      </c>
      <c r="BR61" s="184" t="s">
        <v>2302</v>
      </c>
      <c r="BS61" s="185" t="s">
        <v>1200</v>
      </c>
      <c r="BT61" s="184" t="s">
        <v>2303</v>
      </c>
      <c r="BU61" s="184" t="s">
        <v>2304</v>
      </c>
      <c r="BV61" s="184" t="s">
        <v>1160</v>
      </c>
      <c r="BW61" s="773" t="s">
        <v>577</v>
      </c>
      <c r="BX61" s="774"/>
      <c r="BY61" s="775" t="s">
        <v>2305</v>
      </c>
      <c r="BZ61" s="776"/>
      <c r="CA61" s="775" t="s">
        <v>1485</v>
      </c>
      <c r="CB61" s="776"/>
      <c r="CC61" s="777" t="s">
        <v>2306</v>
      </c>
      <c r="CD61" s="778"/>
    </row>
    <row r="62" spans="1:82" ht="26.25" customHeight="1" x14ac:dyDescent="0.25">
      <c r="A62" s="746" t="str">
        <f>P6</f>
        <v>別府フットボールクラブ．ミネルバＵ－１２</v>
      </c>
      <c r="B62" s="779" t="s">
        <v>2307</v>
      </c>
      <c r="C62" s="780"/>
      <c r="D62" s="142"/>
      <c r="E62" s="142"/>
      <c r="F62" s="152"/>
      <c r="G62" s="159"/>
      <c r="H62" s="165" t="str">
        <f>IF(G63="","",IF(G63&gt;I63,"○",IF(G63&lt;I63,"●",IF(G63=I63,"△"))))</f>
        <v>○</v>
      </c>
      <c r="I62" s="169"/>
      <c r="J62" s="165"/>
      <c r="K62" s="165" t="str">
        <f>IF(J63="","",IF(J63&gt;L63,"○",IF(J63&lt;L63,"●",IF(J63=L63,"△"))))</f>
        <v>○</v>
      </c>
      <c r="L62" s="169"/>
      <c r="M62" s="747">
        <f>COUNTIF(D62:L62,"○")</f>
        <v>2</v>
      </c>
      <c r="N62" s="748">
        <f>COUNTIF(D62:L62,"△")+COUNTIF(D62:L62,"▲")</f>
        <v>0</v>
      </c>
      <c r="O62" s="748">
        <f>COUNTIF(D62:L62,"●")</f>
        <v>0</v>
      </c>
      <c r="P62" s="748">
        <f>SUM(D63,G63,J63)</f>
        <v>6</v>
      </c>
      <c r="Q62" s="748">
        <f>SUM(F63,I63,L63)</f>
        <v>0</v>
      </c>
      <c r="R62" s="748">
        <f>(M62*3)+(N62*1)</f>
        <v>6</v>
      </c>
      <c r="S62" s="749">
        <f>RANK(R62,$R$62:$R$67)</f>
        <v>1</v>
      </c>
      <c r="T62" s="750" t="s">
        <v>2308</v>
      </c>
      <c r="U62" s="751">
        <f>P62-Q62</f>
        <v>6</v>
      </c>
      <c r="V62" s="752"/>
      <c r="W62" s="753">
        <f>RANK(U62,$U$62:$V$67)</f>
        <v>1</v>
      </c>
      <c r="X62" s="754" t="s">
        <v>2308</v>
      </c>
      <c r="Y62" s="755">
        <v>1</v>
      </c>
      <c r="Z62" s="756"/>
      <c r="AA62" s="186"/>
      <c r="AC62" s="746" t="str">
        <f>AR6</f>
        <v>日出サッカースポーツ少年団</v>
      </c>
      <c r="AD62" s="779" t="s">
        <v>2307</v>
      </c>
      <c r="AE62" s="780"/>
      <c r="AF62" s="142"/>
      <c r="AG62" s="142"/>
      <c r="AH62" s="152"/>
      <c r="AI62" s="159"/>
      <c r="AJ62" s="165" t="str">
        <f>IF(AI63="","",IF(AI63&gt;AK63,"○",IF(AI63&lt;AK63,"●",IF(AI63=AK63,"△"))))</f>
        <v>●</v>
      </c>
      <c r="AK62" s="169"/>
      <c r="AL62" s="165"/>
      <c r="AM62" s="165" t="str">
        <f>IF(AL63="","",IF(AL63&gt;AN63,"○",IF(AL63&lt;AN63,"●",IF(AL63=AN63,"△"))))</f>
        <v>●</v>
      </c>
      <c r="AN62" s="169"/>
      <c r="AO62" s="747">
        <f>COUNTIF(AF62:AN62,"○")</f>
        <v>0</v>
      </c>
      <c r="AP62" s="748">
        <f>COUNTIF(AF62:AN62,"△")+COUNTIF(AF62:AN62,"▲")</f>
        <v>0</v>
      </c>
      <c r="AQ62" s="748">
        <f>COUNTIF(AF62:AN62,"●")</f>
        <v>2</v>
      </c>
      <c r="AR62" s="748">
        <f>SUM(AF63,AI63,AL63)</f>
        <v>1</v>
      </c>
      <c r="AS62" s="748">
        <f>SUM(AH63,AK63,AN63)</f>
        <v>13</v>
      </c>
      <c r="AT62" s="748">
        <f>(AO62*3)+(AP62*1)</f>
        <v>0</v>
      </c>
      <c r="AU62" s="749">
        <f>RANK(AT62,$AT$62:$AT$67)</f>
        <v>3</v>
      </c>
      <c r="AV62" s="750" t="s">
        <v>2308</v>
      </c>
      <c r="AW62" s="751">
        <f>AR62-AS62</f>
        <v>-12</v>
      </c>
      <c r="AX62" s="752"/>
      <c r="AY62" s="753">
        <f>RANK(AW62,$AW$62:$AW$67)</f>
        <v>3</v>
      </c>
      <c r="AZ62" s="754" t="s">
        <v>2308</v>
      </c>
      <c r="BA62" s="755">
        <v>3</v>
      </c>
      <c r="BB62" s="756"/>
      <c r="BE62" s="746" t="str">
        <f>BT6</f>
        <v>臼杵ＳＳＳ</v>
      </c>
      <c r="BF62" s="779" t="s">
        <v>2307</v>
      </c>
      <c r="BG62" s="780"/>
      <c r="BH62" s="142"/>
      <c r="BI62" s="142"/>
      <c r="BJ62" s="152"/>
      <c r="BK62" s="159"/>
      <c r="BL62" s="165" t="str">
        <f>IF(BK63="","",IF(BK63&gt;BM63,"○",IF(BK63&lt;BM63,"●",IF(BK63=BM63,"△"))))</f>
        <v>○</v>
      </c>
      <c r="BM62" s="169"/>
      <c r="BN62" s="165"/>
      <c r="BO62" s="165" t="str">
        <f>IF(BN63="","",IF(BN63&gt;BP63,"○",IF(BN63&lt;BP63,"●",IF(BN63=BP63,"△"))))</f>
        <v>○</v>
      </c>
      <c r="BP62" s="169"/>
      <c r="BQ62" s="747">
        <f>COUNTIF(BH62:BP62,"○")</f>
        <v>2</v>
      </c>
      <c r="BR62" s="748">
        <f>COUNTIF(BH62:BP62,"△")+COUNTIF(BH62:BP62,"▲")</f>
        <v>0</v>
      </c>
      <c r="BS62" s="748">
        <f>COUNTIF(BH62:BP62,"●")</f>
        <v>0</v>
      </c>
      <c r="BT62" s="748">
        <f>SUM(BH63,BK63,BN63)</f>
        <v>7</v>
      </c>
      <c r="BU62" s="748">
        <f>SUM(BJ63,BM63,BP63)</f>
        <v>0</v>
      </c>
      <c r="BV62" s="748">
        <f>(BQ62*3)+(BR62*1)</f>
        <v>6</v>
      </c>
      <c r="BW62" s="749">
        <f>RANK(BV62,$BV$62:$BV$67)</f>
        <v>1</v>
      </c>
      <c r="BX62" s="750" t="s">
        <v>2308</v>
      </c>
      <c r="BY62" s="751">
        <f>BT62-BU62</f>
        <v>7</v>
      </c>
      <c r="BZ62" s="752"/>
      <c r="CA62" s="753">
        <f>RANK(BY62,$BY$62:$BY$67)</f>
        <v>1</v>
      </c>
      <c r="CB62" s="754" t="s">
        <v>2308</v>
      </c>
      <c r="CC62" s="755">
        <v>1</v>
      </c>
      <c r="CD62" s="756"/>
    </row>
    <row r="63" spans="1:82" ht="26.25" customHeight="1" x14ac:dyDescent="0.25">
      <c r="A63" s="741"/>
      <c r="B63" s="744" t="s">
        <v>1454</v>
      </c>
      <c r="C63" s="745"/>
      <c r="D63" s="141"/>
      <c r="E63" s="147"/>
      <c r="F63" s="153"/>
      <c r="G63" s="135">
        <f>R14</f>
        <v>3</v>
      </c>
      <c r="H63" s="148" t="s">
        <v>2136</v>
      </c>
      <c r="I63" s="155">
        <f>V14</f>
        <v>0</v>
      </c>
      <c r="J63" s="144">
        <f>V22</f>
        <v>3</v>
      </c>
      <c r="K63" s="176" t="s">
        <v>2136</v>
      </c>
      <c r="L63" s="155">
        <f>R22</f>
        <v>0</v>
      </c>
      <c r="M63" s="737"/>
      <c r="N63" s="738"/>
      <c r="O63" s="738"/>
      <c r="P63" s="738"/>
      <c r="Q63" s="738"/>
      <c r="R63" s="738"/>
      <c r="S63" s="735"/>
      <c r="T63" s="714"/>
      <c r="U63" s="739"/>
      <c r="V63" s="740"/>
      <c r="W63" s="720"/>
      <c r="X63" s="728"/>
      <c r="Y63" s="724"/>
      <c r="Z63" s="725"/>
      <c r="AA63" s="186"/>
      <c r="AC63" s="741"/>
      <c r="AD63" s="744" t="s">
        <v>1454</v>
      </c>
      <c r="AE63" s="745"/>
      <c r="AF63" s="141"/>
      <c r="AG63" s="147"/>
      <c r="AH63" s="153"/>
      <c r="AI63" s="135">
        <f>AT14</f>
        <v>1</v>
      </c>
      <c r="AJ63" s="148" t="s">
        <v>2136</v>
      </c>
      <c r="AK63" s="155">
        <f>AX14</f>
        <v>11</v>
      </c>
      <c r="AL63" s="144">
        <f>AX22</f>
        <v>0</v>
      </c>
      <c r="AM63" s="176" t="s">
        <v>2136</v>
      </c>
      <c r="AN63" s="155">
        <f>AT22</f>
        <v>2</v>
      </c>
      <c r="AO63" s="737"/>
      <c r="AP63" s="738"/>
      <c r="AQ63" s="738"/>
      <c r="AR63" s="738"/>
      <c r="AS63" s="738"/>
      <c r="AT63" s="738"/>
      <c r="AU63" s="735"/>
      <c r="AV63" s="714"/>
      <c r="AW63" s="739"/>
      <c r="AX63" s="740"/>
      <c r="AY63" s="720"/>
      <c r="AZ63" s="728"/>
      <c r="BA63" s="724"/>
      <c r="BB63" s="725"/>
      <c r="BE63" s="741"/>
      <c r="BF63" s="744" t="s">
        <v>1454</v>
      </c>
      <c r="BG63" s="745"/>
      <c r="BH63" s="141"/>
      <c r="BI63" s="147"/>
      <c r="BJ63" s="153"/>
      <c r="BK63" s="135">
        <f>BV14</f>
        <v>4</v>
      </c>
      <c r="BL63" s="148" t="s">
        <v>2136</v>
      </c>
      <c r="BM63" s="155">
        <f>BZ14</f>
        <v>0</v>
      </c>
      <c r="BN63" s="144">
        <f>BZ22</f>
        <v>3</v>
      </c>
      <c r="BO63" s="176" t="s">
        <v>2136</v>
      </c>
      <c r="BP63" s="155">
        <f>BV22</f>
        <v>0</v>
      </c>
      <c r="BQ63" s="737"/>
      <c r="BR63" s="738"/>
      <c r="BS63" s="738"/>
      <c r="BT63" s="738"/>
      <c r="BU63" s="738"/>
      <c r="BV63" s="738"/>
      <c r="BW63" s="735"/>
      <c r="BX63" s="714"/>
      <c r="BY63" s="739"/>
      <c r="BZ63" s="740"/>
      <c r="CA63" s="720"/>
      <c r="CB63" s="728"/>
      <c r="CC63" s="724"/>
      <c r="CD63" s="725"/>
    </row>
    <row r="64" spans="1:82" ht="26.25" customHeight="1" x14ac:dyDescent="0.25">
      <c r="A64" s="729" t="str">
        <f>P7</f>
        <v>カティオーラフットボールクラブＵ－１２　Ｎｅｘｔ</v>
      </c>
      <c r="B64" s="742" t="s">
        <v>2307</v>
      </c>
      <c r="C64" s="743"/>
      <c r="D64" s="143"/>
      <c r="E64" s="143" t="str">
        <f>IF(D65="","",IF(D65&gt;F65,"○",IF(D65&lt;F65,"●",IF(D65=F65,"△"))))</f>
        <v>●</v>
      </c>
      <c r="F64" s="154"/>
      <c r="G64" s="160"/>
      <c r="H64" s="166"/>
      <c r="I64" s="170"/>
      <c r="J64" s="162"/>
      <c r="K64" s="177" t="str">
        <f>IF(J65="","",IF(J65&gt;L65,"○",IF(J65&lt;L65,"●",IF(J65=L65,"△"))))</f>
        <v>●</v>
      </c>
      <c r="L64" s="154"/>
      <c r="M64" s="731">
        <f>COUNTIF(D64:L64,"○")</f>
        <v>0</v>
      </c>
      <c r="N64" s="733">
        <f>COUNTIF(D64:L64,"△")+COUNTIF(D64:L64,"▲")</f>
        <v>0</v>
      </c>
      <c r="O64" s="733">
        <f>COUNTIF(D64:L64,"●")</f>
        <v>2</v>
      </c>
      <c r="P64" s="733">
        <f>SUM(D65,G65,J65)</f>
        <v>1</v>
      </c>
      <c r="Q64" s="733">
        <f>SUM(F65,I65,L65)</f>
        <v>5</v>
      </c>
      <c r="R64" s="733">
        <f>(M64*3)+(N64*1)</f>
        <v>0</v>
      </c>
      <c r="S64" s="735">
        <f>RANK(R64,$R$62:$R$67)</f>
        <v>3</v>
      </c>
      <c r="T64" s="714" t="s">
        <v>2308</v>
      </c>
      <c r="U64" s="716">
        <f>P64-Q64</f>
        <v>-4</v>
      </c>
      <c r="V64" s="717"/>
      <c r="W64" s="720">
        <f>RANK(U64,$U$62:$V$67)</f>
        <v>3</v>
      </c>
      <c r="X64" s="722" t="s">
        <v>2308</v>
      </c>
      <c r="Y64" s="724">
        <v>3</v>
      </c>
      <c r="Z64" s="725"/>
      <c r="AA64" s="186"/>
      <c r="AC64" s="729" t="str">
        <f>AR7</f>
        <v>大分トリニータＵ－１２</v>
      </c>
      <c r="AD64" s="742" t="s">
        <v>2307</v>
      </c>
      <c r="AE64" s="743"/>
      <c r="AF64" s="143"/>
      <c r="AG64" s="143" t="str">
        <f>IF(AF65="","",IF(AF65&gt;AH65,"○",IF(AF65&lt;AH65,"●",IF(AF65=AH65,"△"))))</f>
        <v>○</v>
      </c>
      <c r="AH64" s="154"/>
      <c r="AI64" s="160"/>
      <c r="AJ64" s="166"/>
      <c r="AK64" s="170"/>
      <c r="AL64" s="162"/>
      <c r="AM64" s="177" t="str">
        <f>IF(AL65="","",IF(AL65&gt;AN65,"○",IF(AL65&lt;AN65,"●",IF(AL65=AN65,"△"))))</f>
        <v>△</v>
      </c>
      <c r="AN64" s="154"/>
      <c r="AO64" s="731">
        <f>COUNTIF(AF64:AN64,"○")</f>
        <v>1</v>
      </c>
      <c r="AP64" s="733">
        <f>COUNTIF(AF64:AN64,"△")+COUNTIF(AF64:AN64,"▲")</f>
        <v>1</v>
      </c>
      <c r="AQ64" s="733">
        <f>COUNTIF(AF64:AN64,"●")</f>
        <v>0</v>
      </c>
      <c r="AR64" s="733">
        <f>SUM(AF65,AI65,AL65)</f>
        <v>11</v>
      </c>
      <c r="AS64" s="733">
        <f>SUM(AH65,AK65,AN65)</f>
        <v>1</v>
      </c>
      <c r="AT64" s="733">
        <f>(AO64*3)+(AP64*1)</f>
        <v>4</v>
      </c>
      <c r="AU64" s="735">
        <f>RANK(AT64,$AT$62:$AT$67)</f>
        <v>1</v>
      </c>
      <c r="AV64" s="714" t="s">
        <v>2308</v>
      </c>
      <c r="AW64" s="716">
        <f>AR64-AS64</f>
        <v>10</v>
      </c>
      <c r="AX64" s="717"/>
      <c r="AY64" s="720">
        <f>RANK(AW64,$AW$62:$AW$67)</f>
        <v>1</v>
      </c>
      <c r="AZ64" s="722" t="s">
        <v>2308</v>
      </c>
      <c r="BA64" s="864" t="s">
        <v>15205</v>
      </c>
      <c r="BB64" s="860"/>
      <c r="BE64" s="729" t="str">
        <f>BT7</f>
        <v>ＦＣ　ＲＥＧＡＴＥ</v>
      </c>
      <c r="BF64" s="742" t="s">
        <v>2307</v>
      </c>
      <c r="BG64" s="743"/>
      <c r="BH64" s="143"/>
      <c r="BI64" s="143" t="str">
        <f>IF(BH65="","",IF(BH65&gt;BJ65,"○",IF(BH65&lt;BJ65,"●",IF(BH65=BJ65,"△"))))</f>
        <v>●</v>
      </c>
      <c r="BJ64" s="154"/>
      <c r="BK64" s="160"/>
      <c r="BL64" s="166"/>
      <c r="BM64" s="170"/>
      <c r="BN64" s="162"/>
      <c r="BO64" s="177" t="str">
        <f>IF(BN65="","",IF(BN65&gt;BP65,"○",IF(BN65&lt;BP65,"●",IF(BN65=BP65,"△"))))</f>
        <v>●</v>
      </c>
      <c r="BP64" s="154"/>
      <c r="BQ64" s="731">
        <f>COUNTIF(BH64:BP64,"○")</f>
        <v>0</v>
      </c>
      <c r="BR64" s="733">
        <f>COUNTIF(BH64:BP64,"△")+COUNTIF(BH64:BP64,"▲")</f>
        <v>0</v>
      </c>
      <c r="BS64" s="733">
        <f>COUNTIF(BH64:BP64,"●")</f>
        <v>2</v>
      </c>
      <c r="BT64" s="733">
        <f>SUM(BH65,BK65,BN65)</f>
        <v>0</v>
      </c>
      <c r="BU64" s="733">
        <f>SUM(BJ65,BM65,BP65)</f>
        <v>6</v>
      </c>
      <c r="BV64" s="733">
        <f>(BQ64*3)+(BR64*1)</f>
        <v>0</v>
      </c>
      <c r="BW64" s="735">
        <f>RANK(BV64,$BV$62:$BV$67)</f>
        <v>3</v>
      </c>
      <c r="BX64" s="714" t="s">
        <v>2308</v>
      </c>
      <c r="BY64" s="716">
        <f>BT64-BU64</f>
        <v>-6</v>
      </c>
      <c r="BZ64" s="717"/>
      <c r="CA64" s="720">
        <f>RANK(BY64,$BY$62:$BY$67)</f>
        <v>3</v>
      </c>
      <c r="CB64" s="722" t="s">
        <v>2308</v>
      </c>
      <c r="CC64" s="724">
        <v>3</v>
      </c>
      <c r="CD64" s="725"/>
    </row>
    <row r="65" spans="1:82" ht="26.25" customHeight="1" x14ac:dyDescent="0.25">
      <c r="A65" s="741"/>
      <c r="B65" s="744" t="s">
        <v>1454</v>
      </c>
      <c r="C65" s="745"/>
      <c r="D65" s="144">
        <f>I63</f>
        <v>0</v>
      </c>
      <c r="E65" s="148" t="s">
        <v>2136</v>
      </c>
      <c r="F65" s="155">
        <f>G63</f>
        <v>3</v>
      </c>
      <c r="G65" s="161"/>
      <c r="H65" s="147"/>
      <c r="I65" s="171"/>
      <c r="J65" s="174">
        <f>R18</f>
        <v>1</v>
      </c>
      <c r="K65" s="148" t="s">
        <v>2136</v>
      </c>
      <c r="L65" s="180">
        <f>V18</f>
        <v>2</v>
      </c>
      <c r="M65" s="737"/>
      <c r="N65" s="738"/>
      <c r="O65" s="738"/>
      <c r="P65" s="738"/>
      <c r="Q65" s="738"/>
      <c r="R65" s="738"/>
      <c r="S65" s="735"/>
      <c r="T65" s="714"/>
      <c r="U65" s="739"/>
      <c r="V65" s="740"/>
      <c r="W65" s="720"/>
      <c r="X65" s="728"/>
      <c r="Y65" s="724"/>
      <c r="Z65" s="725"/>
      <c r="AA65" s="186"/>
      <c r="AC65" s="741"/>
      <c r="AD65" s="744" t="s">
        <v>1454</v>
      </c>
      <c r="AE65" s="745"/>
      <c r="AF65" s="144">
        <f>AK63</f>
        <v>11</v>
      </c>
      <c r="AG65" s="148" t="s">
        <v>2136</v>
      </c>
      <c r="AH65" s="155">
        <f>AI63</f>
        <v>1</v>
      </c>
      <c r="AI65" s="161"/>
      <c r="AJ65" s="147"/>
      <c r="AK65" s="171"/>
      <c r="AL65" s="174">
        <f>AT18</f>
        <v>0</v>
      </c>
      <c r="AM65" s="148" t="s">
        <v>2136</v>
      </c>
      <c r="AN65" s="180">
        <f>AX18</f>
        <v>0</v>
      </c>
      <c r="AO65" s="737"/>
      <c r="AP65" s="738"/>
      <c r="AQ65" s="738"/>
      <c r="AR65" s="738"/>
      <c r="AS65" s="738"/>
      <c r="AT65" s="738"/>
      <c r="AU65" s="735"/>
      <c r="AV65" s="714"/>
      <c r="AW65" s="739"/>
      <c r="AX65" s="740"/>
      <c r="AY65" s="720"/>
      <c r="AZ65" s="728"/>
      <c r="BA65" s="859"/>
      <c r="BB65" s="860"/>
      <c r="BE65" s="741"/>
      <c r="BF65" s="744" t="s">
        <v>1454</v>
      </c>
      <c r="BG65" s="745"/>
      <c r="BH65" s="144">
        <f>BM63</f>
        <v>0</v>
      </c>
      <c r="BI65" s="148" t="s">
        <v>2136</v>
      </c>
      <c r="BJ65" s="155">
        <f>BK63</f>
        <v>4</v>
      </c>
      <c r="BK65" s="161"/>
      <c r="BL65" s="147"/>
      <c r="BM65" s="171"/>
      <c r="BN65" s="174">
        <f>BV18</f>
        <v>0</v>
      </c>
      <c r="BO65" s="148" t="s">
        <v>2136</v>
      </c>
      <c r="BP65" s="180">
        <f>BZ18</f>
        <v>2</v>
      </c>
      <c r="BQ65" s="737"/>
      <c r="BR65" s="738"/>
      <c r="BS65" s="738"/>
      <c r="BT65" s="738"/>
      <c r="BU65" s="738"/>
      <c r="BV65" s="738"/>
      <c r="BW65" s="735"/>
      <c r="BX65" s="714"/>
      <c r="BY65" s="739"/>
      <c r="BZ65" s="740"/>
      <c r="CA65" s="720"/>
      <c r="CB65" s="728"/>
      <c r="CC65" s="724"/>
      <c r="CD65" s="725"/>
    </row>
    <row r="66" spans="1:82" ht="26.25" customHeight="1" x14ac:dyDescent="0.25">
      <c r="A66" s="729" t="str">
        <f>P8</f>
        <v>西の台ＪＦＣ</v>
      </c>
      <c r="B66" s="742" t="s">
        <v>2307</v>
      </c>
      <c r="C66" s="743"/>
      <c r="D66" s="143"/>
      <c r="E66" s="143" t="str">
        <f>IF(D67="","",IF(D67&gt;F67,"○",IF(D67&lt;F67,"●",IF(D67=F67,"△"))))</f>
        <v>●</v>
      </c>
      <c r="F66" s="154"/>
      <c r="G66" s="162"/>
      <c r="H66" s="143" t="str">
        <f>IF(G67="","",IF(G67&gt;I67,"○",IF(G67&lt;I67,"●",IF(G67=I67,"△"))))</f>
        <v>○</v>
      </c>
      <c r="I66" s="154"/>
      <c r="J66" s="160"/>
      <c r="K66" s="166"/>
      <c r="L66" s="170"/>
      <c r="M66" s="731">
        <f>COUNTIF(D66:L66,"○")</f>
        <v>1</v>
      </c>
      <c r="N66" s="733">
        <f>COUNTIF(D66:L66,"△")+COUNTIF(D66:L66,"▲")</f>
        <v>0</v>
      </c>
      <c r="O66" s="733">
        <f>COUNTIF(D66:L66,"●")</f>
        <v>1</v>
      </c>
      <c r="P66" s="733">
        <f>SUM(D67,G67,J67)</f>
        <v>2</v>
      </c>
      <c r="Q66" s="733">
        <f>SUM(F67,I67,L67)</f>
        <v>4</v>
      </c>
      <c r="R66" s="733">
        <f>(M66*3)+(N66*1)</f>
        <v>3</v>
      </c>
      <c r="S66" s="735">
        <f>RANK(R66,$R$62:$R$67)</f>
        <v>2</v>
      </c>
      <c r="T66" s="714" t="s">
        <v>2308</v>
      </c>
      <c r="U66" s="716">
        <f>P66-Q66</f>
        <v>-2</v>
      </c>
      <c r="V66" s="717"/>
      <c r="W66" s="720">
        <f>RANK(U66,$U$62:$V$67)</f>
        <v>2</v>
      </c>
      <c r="X66" s="722" t="s">
        <v>2308</v>
      </c>
      <c r="Y66" s="724">
        <v>2</v>
      </c>
      <c r="Z66" s="725"/>
      <c r="AA66" s="186"/>
      <c r="AC66" s="729" t="str">
        <f>AR8</f>
        <v>弥生少年サッカークラブ</v>
      </c>
      <c r="AD66" s="742" t="s">
        <v>2307</v>
      </c>
      <c r="AE66" s="743"/>
      <c r="AF66" s="143"/>
      <c r="AG66" s="143" t="str">
        <f>IF(AF67="","",IF(AF67&gt;AH67,"○",IF(AF67&lt;AH67,"●",IF(AF67=AH67,"△"))))</f>
        <v>○</v>
      </c>
      <c r="AH66" s="154"/>
      <c r="AI66" s="162"/>
      <c r="AJ66" s="143" t="str">
        <f>IF(AI67="","",IF(AI67&gt;AK67,"○",IF(AI67&lt;AK67,"●",IF(AI67=AK67,"△"))))</f>
        <v>△</v>
      </c>
      <c r="AK66" s="154"/>
      <c r="AL66" s="160"/>
      <c r="AM66" s="166"/>
      <c r="AN66" s="170"/>
      <c r="AO66" s="731">
        <f>COUNTIF(AF66:AN66,"○")</f>
        <v>1</v>
      </c>
      <c r="AP66" s="733">
        <f>COUNTIF(AF66:AN66,"△")+COUNTIF(AF66:AN66,"▲")</f>
        <v>1</v>
      </c>
      <c r="AQ66" s="733">
        <f>COUNTIF(AF66:AN66,"●")</f>
        <v>0</v>
      </c>
      <c r="AR66" s="733">
        <f>SUM(AF67,AI67,AL67)</f>
        <v>2</v>
      </c>
      <c r="AS66" s="733">
        <f>SUM(AH67,AK67,AN67)</f>
        <v>0</v>
      </c>
      <c r="AT66" s="733">
        <f>(AO66*3)+(AP66*1)</f>
        <v>4</v>
      </c>
      <c r="AU66" s="735">
        <f>RANK(AT66,$AT$62:$AT$67)</f>
        <v>1</v>
      </c>
      <c r="AV66" s="714" t="s">
        <v>2308</v>
      </c>
      <c r="AW66" s="716">
        <f>AR66-AS66</f>
        <v>2</v>
      </c>
      <c r="AX66" s="717"/>
      <c r="AY66" s="720">
        <f>RANK(AW66,$AW$62:$AW$67)</f>
        <v>2</v>
      </c>
      <c r="AZ66" s="722" t="s">
        <v>2308</v>
      </c>
      <c r="BA66" s="859" t="s">
        <v>15206</v>
      </c>
      <c r="BB66" s="860"/>
      <c r="BE66" s="729" t="str">
        <f>BT8</f>
        <v>竹田直入ＦＣ</v>
      </c>
      <c r="BF66" s="742" t="s">
        <v>2307</v>
      </c>
      <c r="BG66" s="743"/>
      <c r="BH66" s="143"/>
      <c r="BI66" s="143" t="str">
        <f>IF(BH67="","",IF(BH67&gt;BJ67,"○",IF(BH67&lt;BJ67,"●",IF(BH67=BJ67,"△"))))</f>
        <v>●</v>
      </c>
      <c r="BJ66" s="154"/>
      <c r="BK66" s="162"/>
      <c r="BL66" s="143" t="str">
        <f>IF(BK67="","",IF(BK67&gt;BM67,"○",IF(BK67&lt;BM67,"●",IF(BK67=BM67,"△"))))</f>
        <v>○</v>
      </c>
      <c r="BM66" s="154"/>
      <c r="BN66" s="160"/>
      <c r="BO66" s="166"/>
      <c r="BP66" s="170"/>
      <c r="BQ66" s="731">
        <f>COUNTIF(BH66:BP66,"○")</f>
        <v>1</v>
      </c>
      <c r="BR66" s="733">
        <f>COUNTIF(BH66:BP66,"△")+COUNTIF(BH66:BP66,"▲")</f>
        <v>0</v>
      </c>
      <c r="BS66" s="733">
        <f>COUNTIF(BH66:BP66,"●")</f>
        <v>1</v>
      </c>
      <c r="BT66" s="733">
        <f>SUM(BH67,BK67,BN67)</f>
        <v>2</v>
      </c>
      <c r="BU66" s="733">
        <f>SUM(BJ67,BM67,BP67)</f>
        <v>3</v>
      </c>
      <c r="BV66" s="733">
        <f>(BQ66*3)+(BR66*1)</f>
        <v>3</v>
      </c>
      <c r="BW66" s="735">
        <f>RANK(BV66,$BV$62:$BV$67)</f>
        <v>2</v>
      </c>
      <c r="BX66" s="714" t="s">
        <v>2308</v>
      </c>
      <c r="BY66" s="716">
        <f>BT66-BU66</f>
        <v>-1</v>
      </c>
      <c r="BZ66" s="717"/>
      <c r="CA66" s="720">
        <f>RANK(BY66,$BY$62:$BY$67)</f>
        <v>2</v>
      </c>
      <c r="CB66" s="722" t="s">
        <v>2308</v>
      </c>
      <c r="CC66" s="724">
        <v>2</v>
      </c>
      <c r="CD66" s="725"/>
    </row>
    <row r="67" spans="1:82" ht="26.25" customHeight="1" x14ac:dyDescent="0.25">
      <c r="A67" s="730"/>
      <c r="B67" s="769" t="s">
        <v>1454</v>
      </c>
      <c r="C67" s="770"/>
      <c r="D67" s="145">
        <f>L63</f>
        <v>0</v>
      </c>
      <c r="E67" s="149" t="s">
        <v>2136</v>
      </c>
      <c r="F67" s="156">
        <f>J63</f>
        <v>3</v>
      </c>
      <c r="G67" s="163">
        <f>L65</f>
        <v>2</v>
      </c>
      <c r="H67" s="149" t="s">
        <v>2136</v>
      </c>
      <c r="I67" s="172">
        <f>J65</f>
        <v>1</v>
      </c>
      <c r="J67" s="175"/>
      <c r="K67" s="178"/>
      <c r="L67" s="181"/>
      <c r="M67" s="732"/>
      <c r="N67" s="734"/>
      <c r="O67" s="734"/>
      <c r="P67" s="734"/>
      <c r="Q67" s="734"/>
      <c r="R67" s="734"/>
      <c r="S67" s="736"/>
      <c r="T67" s="715"/>
      <c r="U67" s="718"/>
      <c r="V67" s="719"/>
      <c r="W67" s="721"/>
      <c r="X67" s="723"/>
      <c r="Y67" s="726"/>
      <c r="Z67" s="727"/>
      <c r="AA67" s="186"/>
      <c r="AC67" s="730"/>
      <c r="AD67" s="769" t="s">
        <v>1454</v>
      </c>
      <c r="AE67" s="770"/>
      <c r="AF67" s="145">
        <f>AN63</f>
        <v>2</v>
      </c>
      <c r="AG67" s="149" t="s">
        <v>2136</v>
      </c>
      <c r="AH67" s="156">
        <f>AL63</f>
        <v>0</v>
      </c>
      <c r="AI67" s="163">
        <f>AN65</f>
        <v>0</v>
      </c>
      <c r="AJ67" s="149" t="s">
        <v>2136</v>
      </c>
      <c r="AK67" s="172">
        <f>AL65</f>
        <v>0</v>
      </c>
      <c r="AL67" s="175"/>
      <c r="AM67" s="178"/>
      <c r="AN67" s="181"/>
      <c r="AO67" s="732"/>
      <c r="AP67" s="734"/>
      <c r="AQ67" s="734"/>
      <c r="AR67" s="734"/>
      <c r="AS67" s="734"/>
      <c r="AT67" s="734"/>
      <c r="AU67" s="736"/>
      <c r="AV67" s="715"/>
      <c r="AW67" s="718"/>
      <c r="AX67" s="719"/>
      <c r="AY67" s="721"/>
      <c r="AZ67" s="723"/>
      <c r="BA67" s="865"/>
      <c r="BB67" s="866"/>
      <c r="BE67" s="730"/>
      <c r="BF67" s="769" t="s">
        <v>1454</v>
      </c>
      <c r="BG67" s="770"/>
      <c r="BH67" s="145">
        <f>BP63</f>
        <v>0</v>
      </c>
      <c r="BI67" s="149" t="s">
        <v>2136</v>
      </c>
      <c r="BJ67" s="156">
        <f>BN63</f>
        <v>3</v>
      </c>
      <c r="BK67" s="163">
        <f>BP65</f>
        <v>2</v>
      </c>
      <c r="BL67" s="149" t="s">
        <v>2136</v>
      </c>
      <c r="BM67" s="172">
        <f>BN65</f>
        <v>0</v>
      </c>
      <c r="BN67" s="175"/>
      <c r="BO67" s="178"/>
      <c r="BP67" s="181"/>
      <c r="BQ67" s="732"/>
      <c r="BR67" s="734"/>
      <c r="BS67" s="734"/>
      <c r="BT67" s="734"/>
      <c r="BU67" s="734"/>
      <c r="BV67" s="734"/>
      <c r="BW67" s="736"/>
      <c r="BX67" s="715"/>
      <c r="BY67" s="718"/>
      <c r="BZ67" s="719"/>
      <c r="CA67" s="721"/>
      <c r="CB67" s="723"/>
      <c r="CC67" s="726"/>
      <c r="CD67" s="727"/>
    </row>
    <row r="68" spans="1:82" x14ac:dyDescent="0.25">
      <c r="A68" s="133"/>
      <c r="B68" s="133"/>
      <c r="C68" s="133"/>
      <c r="D68" s="133"/>
      <c r="E68" s="133"/>
      <c r="F68" s="133"/>
      <c r="G68" s="133"/>
      <c r="H68" s="133"/>
      <c r="I68" s="133"/>
      <c r="J68" s="133"/>
      <c r="K68" s="133"/>
      <c r="L68" s="133"/>
      <c r="M68" s="133"/>
      <c r="N68" s="133"/>
      <c r="O68" s="133"/>
      <c r="P68" s="133"/>
      <c r="Q68" s="133"/>
      <c r="R68" s="133"/>
      <c r="S68" s="133"/>
      <c r="T68" s="133"/>
      <c r="U68" s="133"/>
      <c r="V68" s="133"/>
      <c r="W68" s="133"/>
      <c r="X68" s="133"/>
      <c r="Y68" s="186"/>
      <c r="Z68" s="186"/>
      <c r="AA68" s="187"/>
      <c r="AC68" s="133"/>
      <c r="AD68" s="133"/>
      <c r="AE68" s="133"/>
      <c r="AF68" s="187"/>
      <c r="AG68" s="187"/>
      <c r="AH68" s="187"/>
      <c r="AI68" s="187"/>
      <c r="AJ68" s="187"/>
      <c r="AK68" s="187"/>
      <c r="AL68" s="187"/>
      <c r="AM68" s="187"/>
      <c r="AN68" s="187"/>
      <c r="AO68" s="186"/>
      <c r="AP68" s="186"/>
      <c r="AQ68" s="186"/>
      <c r="AR68" s="186"/>
      <c r="AS68" s="186"/>
      <c r="AT68" s="186"/>
      <c r="AU68" s="133"/>
      <c r="AV68" s="133"/>
      <c r="AW68" s="133"/>
      <c r="AX68" s="133"/>
      <c r="AY68" s="133"/>
      <c r="AZ68" s="133"/>
      <c r="BA68" s="186"/>
      <c r="BB68" s="186"/>
      <c r="BE68" s="133"/>
      <c r="BF68" s="133"/>
      <c r="BG68" s="133"/>
      <c r="BH68" s="187"/>
      <c r="BI68" s="187"/>
      <c r="BJ68" s="187"/>
      <c r="BK68" s="187"/>
      <c r="BL68" s="187"/>
      <c r="BM68" s="187"/>
      <c r="BN68" s="187"/>
      <c r="BO68" s="187"/>
      <c r="BP68" s="187"/>
      <c r="BQ68" s="186"/>
      <c r="BR68" s="186"/>
      <c r="BS68" s="186"/>
      <c r="BT68" s="186"/>
      <c r="BU68" s="186"/>
      <c r="BV68" s="186"/>
      <c r="BW68" s="133"/>
      <c r="BX68" s="133"/>
      <c r="BY68" s="133"/>
      <c r="BZ68" s="133"/>
      <c r="CA68" s="133"/>
      <c r="CB68" s="133"/>
      <c r="CC68" s="186"/>
      <c r="CD68" s="186"/>
    </row>
    <row r="69" spans="1:82" ht="54" customHeight="1" x14ac:dyDescent="0.25">
      <c r="A69" s="781" t="str">
        <f>V4</f>
        <v>H</v>
      </c>
      <c r="B69" s="782"/>
      <c r="C69" s="783"/>
      <c r="D69" s="771" t="str">
        <f>A70</f>
        <v>スマイス・セレソン</v>
      </c>
      <c r="E69" s="772"/>
      <c r="F69" s="772"/>
      <c r="G69" s="772" t="str">
        <f>A72</f>
        <v>明治北ＳＳＣ</v>
      </c>
      <c r="H69" s="772"/>
      <c r="I69" s="772"/>
      <c r="J69" s="772" t="str">
        <f>A74</f>
        <v>大分トリニータタートルズ</v>
      </c>
      <c r="K69" s="772"/>
      <c r="L69" s="772"/>
      <c r="M69" s="182" t="s">
        <v>159</v>
      </c>
      <c r="N69" s="184" t="s">
        <v>2302</v>
      </c>
      <c r="O69" s="185" t="s">
        <v>1200</v>
      </c>
      <c r="P69" s="184" t="s">
        <v>2303</v>
      </c>
      <c r="Q69" s="184" t="s">
        <v>2304</v>
      </c>
      <c r="R69" s="184" t="s">
        <v>1160</v>
      </c>
      <c r="S69" s="773" t="s">
        <v>577</v>
      </c>
      <c r="T69" s="774"/>
      <c r="U69" s="775" t="s">
        <v>2305</v>
      </c>
      <c r="V69" s="776"/>
      <c r="W69" s="775" t="s">
        <v>1485</v>
      </c>
      <c r="X69" s="776"/>
      <c r="Y69" s="777" t="s">
        <v>2306</v>
      </c>
      <c r="Z69" s="778"/>
      <c r="AA69" s="186"/>
      <c r="AC69" s="781" t="str">
        <f>AX4</f>
        <v>J</v>
      </c>
      <c r="AD69" s="782"/>
      <c r="AE69" s="783"/>
      <c r="AF69" s="771" t="str">
        <f>AC70</f>
        <v>ＯＫＹ山香サッカークラブ</v>
      </c>
      <c r="AG69" s="772"/>
      <c r="AH69" s="772"/>
      <c r="AI69" s="772" t="str">
        <f>AC72</f>
        <v>滝尾下郡サッカースポーツ少年団</v>
      </c>
      <c r="AJ69" s="772"/>
      <c r="AK69" s="772"/>
      <c r="AL69" s="772" t="str">
        <f>AC74</f>
        <v>はやぶさフットボールクラブ</v>
      </c>
      <c r="AM69" s="772"/>
      <c r="AN69" s="772"/>
      <c r="AO69" s="182" t="s">
        <v>159</v>
      </c>
      <c r="AP69" s="184" t="s">
        <v>2302</v>
      </c>
      <c r="AQ69" s="185" t="s">
        <v>1200</v>
      </c>
      <c r="AR69" s="184" t="s">
        <v>2303</v>
      </c>
      <c r="AS69" s="184" t="s">
        <v>2304</v>
      </c>
      <c r="AT69" s="184" t="s">
        <v>1160</v>
      </c>
      <c r="AU69" s="773" t="s">
        <v>577</v>
      </c>
      <c r="AV69" s="774"/>
      <c r="AW69" s="775" t="s">
        <v>2305</v>
      </c>
      <c r="AX69" s="776"/>
      <c r="AY69" s="775" t="s">
        <v>1485</v>
      </c>
      <c r="AZ69" s="776"/>
      <c r="BA69" s="777" t="s">
        <v>2306</v>
      </c>
      <c r="BB69" s="778"/>
      <c r="BE69" s="781" t="str">
        <f>BZ4</f>
        <v>I</v>
      </c>
      <c r="BF69" s="782"/>
      <c r="BG69" s="783"/>
      <c r="BH69" s="771" t="str">
        <f>BE70</f>
        <v>ＭＦＣ三花少年サッカー教室</v>
      </c>
      <c r="BI69" s="772"/>
      <c r="BJ69" s="772"/>
      <c r="BK69" s="772" t="str">
        <f>BE72</f>
        <v>リノスフットボールクラブ　Ｕ－１２</v>
      </c>
      <c r="BL69" s="772"/>
      <c r="BM69" s="772"/>
      <c r="BN69" s="772" t="str">
        <f>BE74</f>
        <v>ＮＦＣ・ＯＩＴＡ　Ｕ１２</v>
      </c>
      <c r="BO69" s="772"/>
      <c r="BP69" s="772"/>
      <c r="BQ69" s="182" t="s">
        <v>159</v>
      </c>
      <c r="BR69" s="184" t="s">
        <v>2302</v>
      </c>
      <c r="BS69" s="185" t="s">
        <v>1200</v>
      </c>
      <c r="BT69" s="184" t="s">
        <v>2303</v>
      </c>
      <c r="BU69" s="184" t="s">
        <v>2304</v>
      </c>
      <c r="BV69" s="184" t="s">
        <v>1160</v>
      </c>
      <c r="BW69" s="773" t="s">
        <v>577</v>
      </c>
      <c r="BX69" s="774"/>
      <c r="BY69" s="775" t="s">
        <v>2305</v>
      </c>
      <c r="BZ69" s="776"/>
      <c r="CA69" s="775" t="s">
        <v>1485</v>
      </c>
      <c r="CB69" s="776"/>
      <c r="CC69" s="777" t="s">
        <v>2306</v>
      </c>
      <c r="CD69" s="778"/>
    </row>
    <row r="70" spans="1:82" ht="26.25" customHeight="1" x14ac:dyDescent="0.25">
      <c r="A70" s="746" t="str">
        <f>V6</f>
        <v>スマイス・セレソン</v>
      </c>
      <c r="B70" s="779" t="s">
        <v>2307</v>
      </c>
      <c r="C70" s="780"/>
      <c r="D70" s="142"/>
      <c r="E70" s="142"/>
      <c r="F70" s="152"/>
      <c r="G70" s="159"/>
      <c r="H70" s="165" t="str">
        <f>IF(G71="","",IF(G71&gt;I71,"○",IF(G71&lt;I71,"●",IF(G71=I71,"△"))))</f>
        <v>●</v>
      </c>
      <c r="I70" s="169"/>
      <c r="J70" s="165"/>
      <c r="K70" s="165" t="str">
        <f>IF(J71="","",IF(J71&gt;L71,"○",IF(J71&lt;L71,"●",IF(J71=L71,"△"))))</f>
        <v>△</v>
      </c>
      <c r="L70" s="169"/>
      <c r="M70" s="747">
        <f>COUNTIF(D70:L70,"○")</f>
        <v>0</v>
      </c>
      <c r="N70" s="748">
        <f>COUNTIF(D70:L70,"△")+COUNTIF(D70:L70,"▲")</f>
        <v>1</v>
      </c>
      <c r="O70" s="748">
        <f>COUNTIF(D70:L70,"●")</f>
        <v>1</v>
      </c>
      <c r="P70" s="748">
        <f>SUM(D71,G71,J71)</f>
        <v>1</v>
      </c>
      <c r="Q70" s="748">
        <f>SUM(F71,I71,L71)</f>
        <v>2</v>
      </c>
      <c r="R70" s="748">
        <f>(M70*3)+(N70*1)</f>
        <v>1</v>
      </c>
      <c r="S70" s="749">
        <f>RANK(R70,$R$70:$R$75)</f>
        <v>3</v>
      </c>
      <c r="T70" s="750" t="s">
        <v>2308</v>
      </c>
      <c r="U70" s="751">
        <f>P70-Q70</f>
        <v>-1</v>
      </c>
      <c r="V70" s="752"/>
      <c r="W70" s="753">
        <f>RANK(U70,$U$70:$V$75)</f>
        <v>2</v>
      </c>
      <c r="X70" s="754" t="s">
        <v>2308</v>
      </c>
      <c r="Y70" s="755">
        <v>3</v>
      </c>
      <c r="Z70" s="756"/>
      <c r="AA70" s="186"/>
      <c r="AC70" s="746" t="str">
        <f>AX6</f>
        <v>ＯＫＹ山香サッカークラブ</v>
      </c>
      <c r="AD70" s="779" t="s">
        <v>2307</v>
      </c>
      <c r="AE70" s="780"/>
      <c r="AF70" s="142"/>
      <c r="AG70" s="142"/>
      <c r="AH70" s="152"/>
      <c r="AI70" s="159"/>
      <c r="AJ70" s="165" t="str">
        <f>IF(AI71="","",IF(AI71&gt;AK71,"○",IF(AI71&lt;AK71,"●",IF(AI71=AK71,"△"))))</f>
        <v>●</v>
      </c>
      <c r="AK70" s="169"/>
      <c r="AL70" s="165"/>
      <c r="AM70" s="165" t="str">
        <f>IF(AL71="","",IF(AL71&gt;AN71,"○",IF(AL71&lt;AN71,"●",IF(AL71=AN71,"△"))))</f>
        <v>○</v>
      </c>
      <c r="AN70" s="169"/>
      <c r="AO70" s="747">
        <f>COUNTIF(AF70:AN70,"○")</f>
        <v>1</v>
      </c>
      <c r="AP70" s="748">
        <f>COUNTIF(AF70:AN70,"△")+COUNTIF(AF70:AN70,"▲")</f>
        <v>0</v>
      </c>
      <c r="AQ70" s="748">
        <f>COUNTIF(AF70:AN70,"●")</f>
        <v>1</v>
      </c>
      <c r="AR70" s="748">
        <f>SUM(AF71,AI71,AL71)</f>
        <v>8</v>
      </c>
      <c r="AS70" s="748">
        <f>SUM(AH71,AK71,AN71)</f>
        <v>4</v>
      </c>
      <c r="AT70" s="748">
        <f>(AO70*3)+(AP70*1)</f>
        <v>3</v>
      </c>
      <c r="AU70" s="749">
        <f>RANK(AT70,$AT$70:$AT$75)</f>
        <v>2</v>
      </c>
      <c r="AV70" s="750" t="s">
        <v>2308</v>
      </c>
      <c r="AW70" s="751">
        <f>AR70-AS70</f>
        <v>4</v>
      </c>
      <c r="AX70" s="752"/>
      <c r="AY70" s="753">
        <f>RANK(AW70,$AW$70:$AW$75)</f>
        <v>2</v>
      </c>
      <c r="AZ70" s="754" t="s">
        <v>2308</v>
      </c>
      <c r="BA70" s="755">
        <v>2</v>
      </c>
      <c r="BB70" s="756"/>
      <c r="BE70" s="746" t="str">
        <f>BZ6</f>
        <v>ＭＦＣ三花少年サッカー教室</v>
      </c>
      <c r="BF70" s="779" t="s">
        <v>2307</v>
      </c>
      <c r="BG70" s="780"/>
      <c r="BH70" s="142"/>
      <c r="BI70" s="142"/>
      <c r="BJ70" s="152"/>
      <c r="BK70" s="159"/>
      <c r="BL70" s="165" t="str">
        <f>IF(BK71="","",IF(BK71&gt;BM71,"○",IF(BK71&lt;BM71,"●",IF(BK71=BM71,"△"))))</f>
        <v>△</v>
      </c>
      <c r="BM70" s="169"/>
      <c r="BN70" s="165"/>
      <c r="BO70" s="165" t="str">
        <f>IF(BN71="","",IF(BN71&gt;BP71,"○",IF(BN71&lt;BP71,"●",IF(BN71=BP71,"△"))))</f>
        <v>○</v>
      </c>
      <c r="BP70" s="169"/>
      <c r="BQ70" s="747">
        <f>COUNTIF(BH70:BP70,"○")</f>
        <v>1</v>
      </c>
      <c r="BR70" s="748">
        <f>COUNTIF(BH70:BP70,"△")+COUNTIF(BH70:BP70,"▲")</f>
        <v>1</v>
      </c>
      <c r="BS70" s="748">
        <f>COUNTIF(BH70:BP70,"●")</f>
        <v>0</v>
      </c>
      <c r="BT70" s="748">
        <f>SUM(BH71,BK71,BN71)</f>
        <v>5</v>
      </c>
      <c r="BU70" s="748">
        <f>SUM(BJ71,BM71,BP71)</f>
        <v>0</v>
      </c>
      <c r="BV70" s="748">
        <f>(BQ70*3)+(BR70*1)</f>
        <v>4</v>
      </c>
      <c r="BW70" s="749">
        <f>RANK(BV70,$BV$70:$BV$75)</f>
        <v>1</v>
      </c>
      <c r="BX70" s="750" t="s">
        <v>2308</v>
      </c>
      <c r="BY70" s="751">
        <f>BT70-BU70</f>
        <v>5</v>
      </c>
      <c r="BZ70" s="752"/>
      <c r="CA70" s="753">
        <f>RANK(BY70,$BY$70:$BY$75)</f>
        <v>1</v>
      </c>
      <c r="CB70" s="754" t="s">
        <v>2308</v>
      </c>
      <c r="CC70" s="861" t="s">
        <v>15205</v>
      </c>
      <c r="CD70" s="862"/>
    </row>
    <row r="71" spans="1:82" ht="26.25" customHeight="1" x14ac:dyDescent="0.25">
      <c r="A71" s="741"/>
      <c r="B71" s="744" t="s">
        <v>1454</v>
      </c>
      <c r="C71" s="745"/>
      <c r="D71" s="141"/>
      <c r="E71" s="147"/>
      <c r="F71" s="153"/>
      <c r="G71" s="135">
        <f>R16</f>
        <v>0</v>
      </c>
      <c r="H71" s="148" t="s">
        <v>2136</v>
      </c>
      <c r="I71" s="155">
        <f>V16</f>
        <v>1</v>
      </c>
      <c r="J71" s="144">
        <f>V24</f>
        <v>1</v>
      </c>
      <c r="K71" s="176" t="s">
        <v>2136</v>
      </c>
      <c r="L71" s="155">
        <f>R24</f>
        <v>1</v>
      </c>
      <c r="M71" s="737"/>
      <c r="N71" s="738"/>
      <c r="O71" s="738"/>
      <c r="P71" s="738"/>
      <c r="Q71" s="738"/>
      <c r="R71" s="738"/>
      <c r="S71" s="735"/>
      <c r="T71" s="714"/>
      <c r="U71" s="739"/>
      <c r="V71" s="740"/>
      <c r="W71" s="720"/>
      <c r="X71" s="728"/>
      <c r="Y71" s="724"/>
      <c r="Z71" s="725"/>
      <c r="AA71" s="186"/>
      <c r="AC71" s="741"/>
      <c r="AD71" s="744" t="s">
        <v>1454</v>
      </c>
      <c r="AE71" s="745"/>
      <c r="AF71" s="141"/>
      <c r="AG71" s="147"/>
      <c r="AH71" s="153"/>
      <c r="AI71" s="135">
        <f>AT16</f>
        <v>3</v>
      </c>
      <c r="AJ71" s="148" t="s">
        <v>2136</v>
      </c>
      <c r="AK71" s="155">
        <f>AX16</f>
        <v>4</v>
      </c>
      <c r="AL71" s="144">
        <f>AX24</f>
        <v>5</v>
      </c>
      <c r="AM71" s="176" t="s">
        <v>2136</v>
      </c>
      <c r="AN71" s="393">
        <f>AT24</f>
        <v>0</v>
      </c>
      <c r="AO71" s="737"/>
      <c r="AP71" s="738"/>
      <c r="AQ71" s="738"/>
      <c r="AR71" s="738"/>
      <c r="AS71" s="738"/>
      <c r="AT71" s="738"/>
      <c r="AU71" s="735"/>
      <c r="AV71" s="714"/>
      <c r="AW71" s="739"/>
      <c r="AX71" s="740"/>
      <c r="AY71" s="720"/>
      <c r="AZ71" s="728"/>
      <c r="BA71" s="724"/>
      <c r="BB71" s="725"/>
      <c r="BE71" s="741"/>
      <c r="BF71" s="744" t="s">
        <v>1454</v>
      </c>
      <c r="BG71" s="745"/>
      <c r="BH71" s="141"/>
      <c r="BI71" s="147"/>
      <c r="BJ71" s="153"/>
      <c r="BK71" s="135">
        <f>BV16</f>
        <v>0</v>
      </c>
      <c r="BL71" s="148" t="s">
        <v>2136</v>
      </c>
      <c r="BM71" s="155">
        <f>BZ16</f>
        <v>0</v>
      </c>
      <c r="BN71" s="144">
        <f>BZ24</f>
        <v>5</v>
      </c>
      <c r="BO71" s="176" t="s">
        <v>2136</v>
      </c>
      <c r="BP71" s="393">
        <f>BV24</f>
        <v>0</v>
      </c>
      <c r="BQ71" s="737"/>
      <c r="BR71" s="738"/>
      <c r="BS71" s="738"/>
      <c r="BT71" s="738"/>
      <c r="BU71" s="738"/>
      <c r="BV71" s="738"/>
      <c r="BW71" s="735"/>
      <c r="BX71" s="714"/>
      <c r="BY71" s="739"/>
      <c r="BZ71" s="740"/>
      <c r="CA71" s="720"/>
      <c r="CB71" s="728"/>
      <c r="CC71" s="859"/>
      <c r="CD71" s="860"/>
    </row>
    <row r="72" spans="1:82" ht="26.25" customHeight="1" x14ac:dyDescent="0.25">
      <c r="A72" s="729" t="str">
        <f>V7</f>
        <v>明治北ＳＳＣ</v>
      </c>
      <c r="B72" s="742" t="s">
        <v>2307</v>
      </c>
      <c r="C72" s="743"/>
      <c r="D72" s="143"/>
      <c r="E72" s="143" t="str">
        <f>IF(D73="","",IF(D73&gt;F73,"○",IF(D73&lt;F73,"●",IF(D73=F73,"△"))))</f>
        <v>○</v>
      </c>
      <c r="F72" s="154"/>
      <c r="G72" s="160"/>
      <c r="H72" s="166"/>
      <c r="I72" s="170"/>
      <c r="J72" s="162"/>
      <c r="K72" s="177" t="str">
        <f>IF(J73="","",IF(J73&gt;L73,"○",IF(J73&lt;L73,"●",IF(J73=L73,"△"))))</f>
        <v>●</v>
      </c>
      <c r="L72" s="154"/>
      <c r="M72" s="731">
        <f>COUNTIF(D72:L72,"○")</f>
        <v>1</v>
      </c>
      <c r="N72" s="733">
        <f>COUNTIF(D72:L72,"△")+COUNTIF(D72:L72,"▲")</f>
        <v>0</v>
      </c>
      <c r="O72" s="733">
        <f>COUNTIF(D72:L72,"●")</f>
        <v>1</v>
      </c>
      <c r="P72" s="733">
        <f>SUM(D73,G73,J73)</f>
        <v>3</v>
      </c>
      <c r="Q72" s="733">
        <f>SUM(F73,I73,L73)</f>
        <v>4</v>
      </c>
      <c r="R72" s="733">
        <f>(M72*3)+(N72*1)</f>
        <v>3</v>
      </c>
      <c r="S72" s="735">
        <f>RANK(R72,$R$70:$R$75)</f>
        <v>2</v>
      </c>
      <c r="T72" s="714" t="s">
        <v>2308</v>
      </c>
      <c r="U72" s="716">
        <f>P72-Q72</f>
        <v>-1</v>
      </c>
      <c r="V72" s="717"/>
      <c r="W72" s="720">
        <f>RANK(U72,$U$70:$V$75)</f>
        <v>2</v>
      </c>
      <c r="X72" s="722" t="s">
        <v>2308</v>
      </c>
      <c r="Y72" s="724">
        <v>2</v>
      </c>
      <c r="Z72" s="725"/>
      <c r="AA72" s="186"/>
      <c r="AC72" s="729" t="str">
        <f>AX7</f>
        <v>滝尾下郡サッカースポーツ少年団</v>
      </c>
      <c r="AD72" s="742" t="s">
        <v>2307</v>
      </c>
      <c r="AE72" s="743"/>
      <c r="AF72" s="143"/>
      <c r="AG72" s="143" t="str">
        <f>IF(AF73="","",IF(AF73&gt;AH73,"○",IF(AF73&lt;AH73,"●",IF(AF73=AH73,"△"))))</f>
        <v>○</v>
      </c>
      <c r="AH72" s="154"/>
      <c r="AI72" s="160"/>
      <c r="AJ72" s="166"/>
      <c r="AK72" s="170"/>
      <c r="AL72" s="394"/>
      <c r="AM72" s="395" t="str">
        <f>IF(AL73="","",IF(AL73&gt;AN73,"○",IF(AL73&lt;AN73,"●",IF(AL73=AN73,"△"))))</f>
        <v>○</v>
      </c>
      <c r="AN72" s="396"/>
      <c r="AO72" s="731">
        <f>COUNTIF(AF72:AN72,"○")</f>
        <v>2</v>
      </c>
      <c r="AP72" s="733">
        <f>COUNTIF(AF72:AN72,"△")+COUNTIF(AF72:AN72,"▲")</f>
        <v>0</v>
      </c>
      <c r="AQ72" s="733">
        <f>COUNTIF(AF72:AN72,"●")</f>
        <v>0</v>
      </c>
      <c r="AR72" s="733">
        <f>SUM(AF73,AI73,AL73)</f>
        <v>9</v>
      </c>
      <c r="AS72" s="733">
        <f>SUM(AH73,AK73,AN73)</f>
        <v>3</v>
      </c>
      <c r="AT72" s="733">
        <f>(AO72*3)+(AP72*1)</f>
        <v>6</v>
      </c>
      <c r="AU72" s="735">
        <f>RANK(AT72,$AT$70:$AT$75)</f>
        <v>1</v>
      </c>
      <c r="AV72" s="714" t="s">
        <v>2308</v>
      </c>
      <c r="AW72" s="716">
        <f>AR72-AS72</f>
        <v>6</v>
      </c>
      <c r="AX72" s="717"/>
      <c r="AY72" s="720">
        <f>RANK(AW72,$AW$70:$AW$75)</f>
        <v>1</v>
      </c>
      <c r="AZ72" s="722" t="s">
        <v>2308</v>
      </c>
      <c r="BA72" s="863">
        <v>1</v>
      </c>
      <c r="BB72" s="725"/>
      <c r="BE72" s="729" t="str">
        <f>BZ7</f>
        <v>リノスフットボールクラブ　Ｕ－１２</v>
      </c>
      <c r="BF72" s="742" t="s">
        <v>2307</v>
      </c>
      <c r="BG72" s="743"/>
      <c r="BH72" s="143"/>
      <c r="BI72" s="143" t="str">
        <f>IF(BH73="","",IF(BH73&gt;BJ73,"○",IF(BH73&lt;BJ73,"●",IF(BH73=BJ73,"△"))))</f>
        <v>△</v>
      </c>
      <c r="BJ72" s="154"/>
      <c r="BK72" s="160"/>
      <c r="BL72" s="166"/>
      <c r="BM72" s="170"/>
      <c r="BN72" s="394"/>
      <c r="BO72" s="395" t="str">
        <f>IF(BN73="","",IF(BN73&gt;BP73,"○",IF(BN73&lt;BP73,"●",IF(BN73=BP73,"△"))))</f>
        <v>○</v>
      </c>
      <c r="BP72" s="396"/>
      <c r="BQ72" s="731">
        <f>COUNTIF(BH72:BP72,"○")</f>
        <v>1</v>
      </c>
      <c r="BR72" s="733">
        <f>COUNTIF(BH72:BP72,"△")+COUNTIF(BH72:BP72,"▲")</f>
        <v>1</v>
      </c>
      <c r="BS72" s="733">
        <f>COUNTIF(BH72:BP72,"●")</f>
        <v>0</v>
      </c>
      <c r="BT72" s="733">
        <f>SUM(BH73,BK73,BN73)</f>
        <v>5</v>
      </c>
      <c r="BU72" s="733">
        <f>SUM(BJ73,BM73,BP73)</f>
        <v>0</v>
      </c>
      <c r="BV72" s="733">
        <f>(BQ72*3)+(BR72*1)</f>
        <v>4</v>
      </c>
      <c r="BW72" s="735">
        <f>RANK(BV72,$BV$70:$BV$75)</f>
        <v>1</v>
      </c>
      <c r="BX72" s="714" t="s">
        <v>2308</v>
      </c>
      <c r="BY72" s="716">
        <f>BT72-BU72</f>
        <v>5</v>
      </c>
      <c r="BZ72" s="717"/>
      <c r="CA72" s="720">
        <f>RANK(BY72,$BY$70:$BY$75)</f>
        <v>1</v>
      </c>
      <c r="CB72" s="722" t="s">
        <v>2308</v>
      </c>
      <c r="CC72" s="859" t="s">
        <v>15206</v>
      </c>
      <c r="CD72" s="860"/>
    </row>
    <row r="73" spans="1:82" ht="26.25" customHeight="1" x14ac:dyDescent="0.25">
      <c r="A73" s="741"/>
      <c r="B73" s="744" t="s">
        <v>1454</v>
      </c>
      <c r="C73" s="745"/>
      <c r="D73" s="144">
        <f>I71</f>
        <v>1</v>
      </c>
      <c r="E73" s="148" t="s">
        <v>2136</v>
      </c>
      <c r="F73" s="155">
        <f>G71</f>
        <v>0</v>
      </c>
      <c r="G73" s="161"/>
      <c r="H73" s="147"/>
      <c r="I73" s="171"/>
      <c r="J73" s="174">
        <f>R20</f>
        <v>2</v>
      </c>
      <c r="K73" s="148" t="s">
        <v>2136</v>
      </c>
      <c r="L73" s="180">
        <f>V20</f>
        <v>4</v>
      </c>
      <c r="M73" s="737"/>
      <c r="N73" s="738"/>
      <c r="O73" s="738"/>
      <c r="P73" s="738"/>
      <c r="Q73" s="738"/>
      <c r="R73" s="738"/>
      <c r="S73" s="735"/>
      <c r="T73" s="714"/>
      <c r="U73" s="739"/>
      <c r="V73" s="740"/>
      <c r="W73" s="720"/>
      <c r="X73" s="728"/>
      <c r="Y73" s="724"/>
      <c r="Z73" s="725"/>
      <c r="AA73" s="186"/>
      <c r="AC73" s="741"/>
      <c r="AD73" s="744" t="s">
        <v>1454</v>
      </c>
      <c r="AE73" s="745"/>
      <c r="AF73" s="144">
        <f>AK71</f>
        <v>4</v>
      </c>
      <c r="AG73" s="148" t="s">
        <v>2136</v>
      </c>
      <c r="AH73" s="155">
        <f>AI71</f>
        <v>3</v>
      </c>
      <c r="AI73" s="161"/>
      <c r="AJ73" s="147"/>
      <c r="AK73" s="171"/>
      <c r="AL73" s="397">
        <f>AT20</f>
        <v>5</v>
      </c>
      <c r="AM73" s="398" t="s">
        <v>2136</v>
      </c>
      <c r="AN73" s="399">
        <f>AX20</f>
        <v>0</v>
      </c>
      <c r="AO73" s="737"/>
      <c r="AP73" s="738"/>
      <c r="AQ73" s="738"/>
      <c r="AR73" s="738"/>
      <c r="AS73" s="738"/>
      <c r="AT73" s="738"/>
      <c r="AU73" s="735"/>
      <c r="AV73" s="714"/>
      <c r="AW73" s="739"/>
      <c r="AX73" s="740"/>
      <c r="AY73" s="720"/>
      <c r="AZ73" s="728"/>
      <c r="BA73" s="724"/>
      <c r="BB73" s="725"/>
      <c r="BE73" s="741"/>
      <c r="BF73" s="744" t="s">
        <v>1454</v>
      </c>
      <c r="BG73" s="745"/>
      <c r="BH73" s="144">
        <f>BM71</f>
        <v>0</v>
      </c>
      <c r="BI73" s="148" t="s">
        <v>2136</v>
      </c>
      <c r="BJ73" s="155">
        <f>BK71</f>
        <v>0</v>
      </c>
      <c r="BK73" s="161"/>
      <c r="BL73" s="147"/>
      <c r="BM73" s="171"/>
      <c r="BN73" s="397">
        <f>BV20</f>
        <v>5</v>
      </c>
      <c r="BO73" s="398" t="s">
        <v>2136</v>
      </c>
      <c r="BP73" s="399">
        <f>BZ20</f>
        <v>0</v>
      </c>
      <c r="BQ73" s="737"/>
      <c r="BR73" s="738"/>
      <c r="BS73" s="738"/>
      <c r="BT73" s="738"/>
      <c r="BU73" s="738"/>
      <c r="BV73" s="738"/>
      <c r="BW73" s="735"/>
      <c r="BX73" s="714"/>
      <c r="BY73" s="739"/>
      <c r="BZ73" s="740"/>
      <c r="CA73" s="720"/>
      <c r="CB73" s="728"/>
      <c r="CC73" s="859"/>
      <c r="CD73" s="860"/>
    </row>
    <row r="74" spans="1:82" ht="26.25" customHeight="1" x14ac:dyDescent="0.25">
      <c r="A74" s="729" t="str">
        <f>V8</f>
        <v>大分トリニータタートルズ</v>
      </c>
      <c r="B74" s="742" t="s">
        <v>2307</v>
      </c>
      <c r="C74" s="743"/>
      <c r="D74" s="143"/>
      <c r="E74" s="143" t="str">
        <f>IF(D75="","",IF(D75&gt;F75,"○",IF(D75&lt;F75,"●",IF(D75=F75,"△"))))</f>
        <v>△</v>
      </c>
      <c r="F74" s="154"/>
      <c r="G74" s="162"/>
      <c r="H74" s="143" t="str">
        <f>IF(G75="","",IF(G75&gt;I75,"○",IF(G75&lt;I75,"●",IF(G75=I75,"△"))))</f>
        <v>○</v>
      </c>
      <c r="I74" s="154"/>
      <c r="J74" s="160"/>
      <c r="K74" s="166"/>
      <c r="L74" s="170"/>
      <c r="M74" s="731">
        <f>COUNTIF(D74:L74,"○")</f>
        <v>1</v>
      </c>
      <c r="N74" s="733">
        <f>COUNTIF(D74:L74,"△")+COUNTIF(D74:L74,"▲")</f>
        <v>1</v>
      </c>
      <c r="O74" s="733">
        <f>COUNTIF(D74:L74,"●")</f>
        <v>0</v>
      </c>
      <c r="P74" s="733">
        <f>SUM(D75,G75,J75)</f>
        <v>5</v>
      </c>
      <c r="Q74" s="733">
        <f>SUM(F75,I75,L75)</f>
        <v>3</v>
      </c>
      <c r="R74" s="733">
        <f>(M74*3)+(N74*1)</f>
        <v>4</v>
      </c>
      <c r="S74" s="735">
        <f>RANK(R74,$R$70:$R$75)</f>
        <v>1</v>
      </c>
      <c r="T74" s="714" t="s">
        <v>2308</v>
      </c>
      <c r="U74" s="716">
        <f>P74-Q74</f>
        <v>2</v>
      </c>
      <c r="V74" s="717"/>
      <c r="W74" s="720">
        <f>RANK(U74,$U$70:$V$75)</f>
        <v>1</v>
      </c>
      <c r="X74" s="722" t="s">
        <v>2308</v>
      </c>
      <c r="Y74" s="724">
        <v>1</v>
      </c>
      <c r="Z74" s="725"/>
      <c r="AA74" s="186"/>
      <c r="AC74" s="729" t="str">
        <f>AX8</f>
        <v>はやぶさフットボールクラブ</v>
      </c>
      <c r="AD74" s="742" t="s">
        <v>2307</v>
      </c>
      <c r="AE74" s="743"/>
      <c r="AF74" s="143"/>
      <c r="AG74" s="143" t="str">
        <f>IF(AF75="","",IF(AF75&gt;AH75,"○",IF(AF75&lt;AH75,"●",IF(AF75=AH75,"△"))))</f>
        <v>●</v>
      </c>
      <c r="AH74" s="154"/>
      <c r="AI74" s="162"/>
      <c r="AJ74" s="143" t="str">
        <f>IF(AI75="","",IF(AI75&gt;AK75,"○",IF(AI75&lt;AK75,"●",IF(AI75=AK75,"△"))))</f>
        <v>●</v>
      </c>
      <c r="AK74" s="154"/>
      <c r="AL74" s="160"/>
      <c r="AM74" s="166"/>
      <c r="AN74" s="170"/>
      <c r="AO74" s="731">
        <f>COUNTIF(AF74:AN74,"○")</f>
        <v>0</v>
      </c>
      <c r="AP74" s="733">
        <f>COUNTIF(AF74:AN74,"△")+COUNTIF(AF74:AN74,"▲")</f>
        <v>0</v>
      </c>
      <c r="AQ74" s="733">
        <f>COUNTIF(AF74:AN74,"●")</f>
        <v>2</v>
      </c>
      <c r="AR74" s="733">
        <f>SUM(AF75,AI75,AL75)</f>
        <v>0</v>
      </c>
      <c r="AS74" s="733">
        <f>SUM(AH75,AK75,AN75)</f>
        <v>10</v>
      </c>
      <c r="AT74" s="733">
        <f>(AO74*3)+(AP74*1)</f>
        <v>0</v>
      </c>
      <c r="AU74" s="735">
        <f>RANK(AT74,$AT$70:$AT$75)</f>
        <v>3</v>
      </c>
      <c r="AV74" s="714" t="s">
        <v>2308</v>
      </c>
      <c r="AW74" s="854">
        <f>AR74-AS74</f>
        <v>-10</v>
      </c>
      <c r="AX74" s="855"/>
      <c r="AY74" s="843">
        <f>RANK(AW74,$AW$70:$AW$75)</f>
        <v>3</v>
      </c>
      <c r="AZ74" s="845" t="s">
        <v>2308</v>
      </c>
      <c r="BA74" s="847">
        <v>3</v>
      </c>
      <c r="BB74" s="848"/>
      <c r="BE74" s="729" t="str">
        <f>BZ8</f>
        <v>ＮＦＣ・ＯＩＴＡ　Ｕ１２</v>
      </c>
      <c r="BF74" s="742" t="s">
        <v>2307</v>
      </c>
      <c r="BG74" s="743"/>
      <c r="BH74" s="143"/>
      <c r="BI74" s="143" t="str">
        <f>IF(BH75="","",IF(BH75&gt;BJ75,"○",IF(BH75&lt;BJ75,"●",IF(BH75=BJ75,"△"))))</f>
        <v>●</v>
      </c>
      <c r="BJ74" s="154"/>
      <c r="BK74" s="162"/>
      <c r="BL74" s="143" t="str">
        <f>IF(BK75="","",IF(BK75&gt;BM75,"○",IF(BK75&lt;BM75,"●",IF(BK75=BM75,"△"))))</f>
        <v>●</v>
      </c>
      <c r="BM74" s="154"/>
      <c r="BN74" s="400"/>
      <c r="BO74" s="401"/>
      <c r="BP74" s="402"/>
      <c r="BQ74" s="731">
        <f>COUNTIF(BH74:BP74,"○")</f>
        <v>0</v>
      </c>
      <c r="BR74" s="733">
        <f>COUNTIF(BH74:BP74,"△")+COUNTIF(BH74:BP74,"▲")</f>
        <v>0</v>
      </c>
      <c r="BS74" s="733">
        <f>COUNTIF(BH74:BP74,"●")</f>
        <v>2</v>
      </c>
      <c r="BT74" s="733">
        <f>SUM(BH75,BK75,BN75)</f>
        <v>0</v>
      </c>
      <c r="BU74" s="733">
        <f>SUM(BJ75,BM75,BP75)</f>
        <v>10</v>
      </c>
      <c r="BV74" s="733">
        <f>(BQ74*3)+(BR74*1)</f>
        <v>0</v>
      </c>
      <c r="BW74" s="735">
        <f>RANK(BV74,$BV$70:$BV$75)</f>
        <v>3</v>
      </c>
      <c r="BX74" s="714" t="s">
        <v>2308</v>
      </c>
      <c r="BY74" s="854">
        <f>BT74-BU74</f>
        <v>-10</v>
      </c>
      <c r="BZ74" s="855"/>
      <c r="CA74" s="843">
        <f>RANK(BY74,$BY$70:$BY$75)</f>
        <v>3</v>
      </c>
      <c r="CB74" s="845" t="s">
        <v>2308</v>
      </c>
      <c r="CC74" s="847">
        <v>3</v>
      </c>
      <c r="CD74" s="848"/>
    </row>
    <row r="75" spans="1:82" ht="26.25" customHeight="1" x14ac:dyDescent="0.25">
      <c r="A75" s="730"/>
      <c r="B75" s="769" t="s">
        <v>1454</v>
      </c>
      <c r="C75" s="770"/>
      <c r="D75" s="145">
        <f>L71</f>
        <v>1</v>
      </c>
      <c r="E75" s="149" t="s">
        <v>2136</v>
      </c>
      <c r="F75" s="156">
        <f>J71</f>
        <v>1</v>
      </c>
      <c r="G75" s="163">
        <f>L73</f>
        <v>4</v>
      </c>
      <c r="H75" s="149" t="s">
        <v>2136</v>
      </c>
      <c r="I75" s="172">
        <f>J73</f>
        <v>2</v>
      </c>
      <c r="J75" s="175"/>
      <c r="K75" s="178"/>
      <c r="L75" s="181"/>
      <c r="M75" s="732"/>
      <c r="N75" s="734"/>
      <c r="O75" s="734"/>
      <c r="P75" s="734"/>
      <c r="Q75" s="734"/>
      <c r="R75" s="734"/>
      <c r="S75" s="736"/>
      <c r="T75" s="715"/>
      <c r="U75" s="718"/>
      <c r="V75" s="719"/>
      <c r="W75" s="721"/>
      <c r="X75" s="723"/>
      <c r="Y75" s="726"/>
      <c r="Z75" s="727"/>
      <c r="AA75" s="186"/>
      <c r="AC75" s="730"/>
      <c r="AD75" s="769" t="s">
        <v>1454</v>
      </c>
      <c r="AE75" s="770"/>
      <c r="AF75" s="385">
        <f>AN71</f>
        <v>0</v>
      </c>
      <c r="AG75" s="386" t="s">
        <v>2136</v>
      </c>
      <c r="AH75" s="387">
        <f>AL71</f>
        <v>5</v>
      </c>
      <c r="AI75" s="388">
        <f>AN73</f>
        <v>0</v>
      </c>
      <c r="AJ75" s="386" t="s">
        <v>2136</v>
      </c>
      <c r="AK75" s="389">
        <f>AL73</f>
        <v>5</v>
      </c>
      <c r="AL75" s="390"/>
      <c r="AM75" s="391"/>
      <c r="AN75" s="392"/>
      <c r="AO75" s="858"/>
      <c r="AP75" s="851"/>
      <c r="AQ75" s="851"/>
      <c r="AR75" s="851"/>
      <c r="AS75" s="851"/>
      <c r="AT75" s="851"/>
      <c r="AU75" s="852"/>
      <c r="AV75" s="853"/>
      <c r="AW75" s="856"/>
      <c r="AX75" s="857"/>
      <c r="AY75" s="844"/>
      <c r="AZ75" s="846"/>
      <c r="BA75" s="849"/>
      <c r="BB75" s="850"/>
      <c r="BE75" s="730"/>
      <c r="BF75" s="769" t="s">
        <v>1454</v>
      </c>
      <c r="BG75" s="770"/>
      <c r="BH75" s="385">
        <f>BP71</f>
        <v>0</v>
      </c>
      <c r="BI75" s="386" t="s">
        <v>2136</v>
      </c>
      <c r="BJ75" s="387">
        <f>BN71</f>
        <v>5</v>
      </c>
      <c r="BK75" s="388">
        <f>BP73</f>
        <v>0</v>
      </c>
      <c r="BL75" s="386" t="s">
        <v>2136</v>
      </c>
      <c r="BM75" s="389">
        <f>BN73</f>
        <v>5</v>
      </c>
      <c r="BN75" s="390"/>
      <c r="BO75" s="391"/>
      <c r="BP75" s="392"/>
      <c r="BQ75" s="858"/>
      <c r="BR75" s="851"/>
      <c r="BS75" s="851"/>
      <c r="BT75" s="851"/>
      <c r="BU75" s="851"/>
      <c r="BV75" s="851"/>
      <c r="BW75" s="852"/>
      <c r="BX75" s="853"/>
      <c r="BY75" s="856"/>
      <c r="BZ75" s="857"/>
      <c r="CA75" s="844"/>
      <c r="CB75" s="846"/>
      <c r="CC75" s="849"/>
      <c r="CD75" s="850"/>
    </row>
    <row r="76" spans="1:82" x14ac:dyDescent="0.25">
      <c r="Y76" s="97"/>
      <c r="Z76" s="97"/>
      <c r="AA76" s="128"/>
      <c r="AC76" s="97"/>
      <c r="AD76" s="97"/>
      <c r="AE76" s="97"/>
      <c r="AF76" s="97"/>
      <c r="AG76" s="97"/>
      <c r="AH76" s="97"/>
      <c r="AI76" s="97"/>
      <c r="AJ76" s="97"/>
      <c r="AK76" s="97"/>
      <c r="AL76" s="97"/>
      <c r="AM76" s="97"/>
      <c r="AN76" s="97"/>
      <c r="AO76" s="97"/>
      <c r="AP76" s="97"/>
      <c r="BE76" s="97"/>
      <c r="BF76" s="97"/>
      <c r="BG76" s="97"/>
      <c r="BH76" s="97"/>
      <c r="BI76" s="97"/>
      <c r="BJ76" s="97"/>
      <c r="BK76" s="97"/>
      <c r="BL76" s="97"/>
      <c r="BM76" s="97"/>
      <c r="BN76" s="97"/>
      <c r="BO76" s="97"/>
      <c r="BP76" s="97"/>
      <c r="BQ76" s="97"/>
      <c r="BR76" s="97"/>
    </row>
  </sheetData>
  <mergeCells count="1053">
    <mergeCell ref="A1:AA1"/>
    <mergeCell ref="AC1:BC1"/>
    <mergeCell ref="BE1:CE1"/>
    <mergeCell ref="A3:C3"/>
    <mergeCell ref="D3:O3"/>
    <mergeCell ref="P3:AA3"/>
    <mergeCell ref="AC3:AE3"/>
    <mergeCell ref="AF3:AQ3"/>
    <mergeCell ref="AR3:BC3"/>
    <mergeCell ref="BE3:BG3"/>
    <mergeCell ref="BH3:BS3"/>
    <mergeCell ref="BT3:CE3"/>
    <mergeCell ref="A4:C4"/>
    <mergeCell ref="D4:I4"/>
    <mergeCell ref="J4:O4"/>
    <mergeCell ref="P4:U4"/>
    <mergeCell ref="V4:AA4"/>
    <mergeCell ref="AC4:AE4"/>
    <mergeCell ref="AF4:AK4"/>
    <mergeCell ref="AL4:AQ4"/>
    <mergeCell ref="AR4:AW4"/>
    <mergeCell ref="AX4:BC4"/>
    <mergeCell ref="BE4:BG4"/>
    <mergeCell ref="BH4:BM4"/>
    <mergeCell ref="BN4:BS4"/>
    <mergeCell ref="BT4:BY4"/>
    <mergeCell ref="BZ4:CE4"/>
    <mergeCell ref="A5:C5"/>
    <mergeCell ref="D5:I5"/>
    <mergeCell ref="J5:O5"/>
    <mergeCell ref="P5:U5"/>
    <mergeCell ref="V5:AA5"/>
    <mergeCell ref="AC5:AE5"/>
    <mergeCell ref="AF5:AK5"/>
    <mergeCell ref="AL5:AQ5"/>
    <mergeCell ref="AR5:AW5"/>
    <mergeCell ref="AX5:BC5"/>
    <mergeCell ref="BE5:BG5"/>
    <mergeCell ref="BH5:BM5"/>
    <mergeCell ref="BN5:BS5"/>
    <mergeCell ref="BT5:BY5"/>
    <mergeCell ref="BZ5:CE5"/>
    <mergeCell ref="D6:I6"/>
    <mergeCell ref="J6:O6"/>
    <mergeCell ref="P6:U6"/>
    <mergeCell ref="V6:AA6"/>
    <mergeCell ref="AF6:AK6"/>
    <mergeCell ref="AL6:AQ6"/>
    <mergeCell ref="AR6:AW6"/>
    <mergeCell ref="AX6:BC6"/>
    <mergeCell ref="BH6:BM6"/>
    <mergeCell ref="BN6:BS6"/>
    <mergeCell ref="BT6:BY6"/>
    <mergeCell ref="BZ6:CE6"/>
    <mergeCell ref="D7:I7"/>
    <mergeCell ref="J7:O7"/>
    <mergeCell ref="P7:U7"/>
    <mergeCell ref="V7:AA7"/>
    <mergeCell ref="AF7:AK7"/>
    <mergeCell ref="AL7:AQ7"/>
    <mergeCell ref="AR7:AW7"/>
    <mergeCell ref="AX7:BC7"/>
    <mergeCell ref="BH7:BM7"/>
    <mergeCell ref="BN7:BS7"/>
    <mergeCell ref="BT7:BY7"/>
    <mergeCell ref="BZ7:CE7"/>
    <mergeCell ref="D8:I8"/>
    <mergeCell ref="J8:O8"/>
    <mergeCell ref="P8:U8"/>
    <mergeCell ref="V8:AA8"/>
    <mergeCell ref="AF8:AK8"/>
    <mergeCell ref="AL8:AQ8"/>
    <mergeCell ref="AR8:AW8"/>
    <mergeCell ref="AX8:BC8"/>
    <mergeCell ref="BH8:BM8"/>
    <mergeCell ref="BN8:BS8"/>
    <mergeCell ref="BT8:BY8"/>
    <mergeCell ref="BZ8:CE8"/>
    <mergeCell ref="A11:C11"/>
    <mergeCell ref="AC11:AE11"/>
    <mergeCell ref="BE11:BG11"/>
    <mergeCell ref="A12:C12"/>
    <mergeCell ref="M12:O12"/>
    <mergeCell ref="Y12:AA12"/>
    <mergeCell ref="AC12:AE12"/>
    <mergeCell ref="AO12:AQ12"/>
    <mergeCell ref="BA12:BC12"/>
    <mergeCell ref="BE12:BG12"/>
    <mergeCell ref="BQ12:BS12"/>
    <mergeCell ref="CC12:CE12"/>
    <mergeCell ref="D13:E13"/>
    <mergeCell ref="F13:H13"/>
    <mergeCell ref="J13:L13"/>
    <mergeCell ref="M13:O13"/>
    <mergeCell ref="P13:Q13"/>
    <mergeCell ref="R13:T13"/>
    <mergeCell ref="V13:X13"/>
    <mergeCell ref="Y13:AA13"/>
    <mergeCell ref="AF13:AG13"/>
    <mergeCell ref="AH13:AJ13"/>
    <mergeCell ref="AL13:AN13"/>
    <mergeCell ref="AO13:AQ13"/>
    <mergeCell ref="AR13:AS13"/>
    <mergeCell ref="AT13:AV13"/>
    <mergeCell ref="AX13:AZ13"/>
    <mergeCell ref="BA13:BC13"/>
    <mergeCell ref="BH13:BI13"/>
    <mergeCell ref="BJ13:BL13"/>
    <mergeCell ref="BN13:BP13"/>
    <mergeCell ref="BQ13:BS13"/>
    <mergeCell ref="BT13:BU13"/>
    <mergeCell ref="BV13:BX13"/>
    <mergeCell ref="BZ13:CB13"/>
    <mergeCell ref="CC13:CE13"/>
    <mergeCell ref="D14:E14"/>
    <mergeCell ref="F14:H14"/>
    <mergeCell ref="J14:L14"/>
    <mergeCell ref="M14:O14"/>
    <mergeCell ref="P14:Q14"/>
    <mergeCell ref="R14:T14"/>
    <mergeCell ref="V14:X14"/>
    <mergeCell ref="Y14:AA14"/>
    <mergeCell ref="AF14:AG14"/>
    <mergeCell ref="AH14:AJ14"/>
    <mergeCell ref="AL14:AN14"/>
    <mergeCell ref="AO14:AQ14"/>
    <mergeCell ref="AR14:AS14"/>
    <mergeCell ref="AT14:AV14"/>
    <mergeCell ref="AX14:AZ14"/>
    <mergeCell ref="BA14:BC14"/>
    <mergeCell ref="BH14:BI14"/>
    <mergeCell ref="BJ14:BL14"/>
    <mergeCell ref="BN14:BP14"/>
    <mergeCell ref="BQ14:BS14"/>
    <mergeCell ref="BT14:BU14"/>
    <mergeCell ref="BV14:BX14"/>
    <mergeCell ref="BZ14:CB14"/>
    <mergeCell ref="CC14:CE14"/>
    <mergeCell ref="BN15:BP15"/>
    <mergeCell ref="BQ15:BS15"/>
    <mergeCell ref="BT15:BU15"/>
    <mergeCell ref="BV15:BX15"/>
    <mergeCell ref="BZ15:CB15"/>
    <mergeCell ref="CC15:CE15"/>
    <mergeCell ref="D16:E16"/>
    <mergeCell ref="F16:H16"/>
    <mergeCell ref="J16:L16"/>
    <mergeCell ref="M16:O16"/>
    <mergeCell ref="P16:Q16"/>
    <mergeCell ref="R16:T16"/>
    <mergeCell ref="V16:X16"/>
    <mergeCell ref="Y16:AA16"/>
    <mergeCell ref="AF16:AG16"/>
    <mergeCell ref="AH16:AJ16"/>
    <mergeCell ref="AL16:AN16"/>
    <mergeCell ref="AO16:AQ16"/>
    <mergeCell ref="AR16:AS16"/>
    <mergeCell ref="AT16:AV16"/>
    <mergeCell ref="AX16:AZ16"/>
    <mergeCell ref="BA16:BC16"/>
    <mergeCell ref="BH16:BI16"/>
    <mergeCell ref="BJ16:BL16"/>
    <mergeCell ref="BN16:BP16"/>
    <mergeCell ref="BQ16:BS16"/>
    <mergeCell ref="BT16:BU16"/>
    <mergeCell ref="BV16:BX16"/>
    <mergeCell ref="BZ16:CB16"/>
    <mergeCell ref="CC16:CE16"/>
    <mergeCell ref="D15:E15"/>
    <mergeCell ref="F15:H15"/>
    <mergeCell ref="F17:H17"/>
    <mergeCell ref="J17:L17"/>
    <mergeCell ref="M17:O17"/>
    <mergeCell ref="P17:Q17"/>
    <mergeCell ref="R17:T17"/>
    <mergeCell ref="V17:X17"/>
    <mergeCell ref="Y17:AA17"/>
    <mergeCell ref="AF17:AG17"/>
    <mergeCell ref="AH17:AJ17"/>
    <mergeCell ref="AL17:AN17"/>
    <mergeCell ref="AO17:AQ17"/>
    <mergeCell ref="AR17:AS17"/>
    <mergeCell ref="AT17:AV17"/>
    <mergeCell ref="AX17:AZ17"/>
    <mergeCell ref="BA17:BC17"/>
    <mergeCell ref="BH17:BI17"/>
    <mergeCell ref="BJ15:BL15"/>
    <mergeCell ref="J15:L15"/>
    <mergeCell ref="M15:O15"/>
    <mergeCell ref="P15:Q15"/>
    <mergeCell ref="R15:T15"/>
    <mergeCell ref="V15:X15"/>
    <mergeCell ref="Y15:AA15"/>
    <mergeCell ref="AF15:AG15"/>
    <mergeCell ref="AH15:AJ15"/>
    <mergeCell ref="AL15:AN15"/>
    <mergeCell ref="AO15:AQ15"/>
    <mergeCell ref="AR15:AS15"/>
    <mergeCell ref="AT15:AV15"/>
    <mergeCell ref="AX15:AZ15"/>
    <mergeCell ref="BA15:BC15"/>
    <mergeCell ref="BH15:BI15"/>
    <mergeCell ref="BJ17:BL17"/>
    <mergeCell ref="BN17:BP17"/>
    <mergeCell ref="BQ17:BS17"/>
    <mergeCell ref="BT17:BU17"/>
    <mergeCell ref="BV17:BX17"/>
    <mergeCell ref="BZ17:CB17"/>
    <mergeCell ref="CC17:CE17"/>
    <mergeCell ref="D18:E18"/>
    <mergeCell ref="F18:H18"/>
    <mergeCell ref="J18:L18"/>
    <mergeCell ref="M18:O18"/>
    <mergeCell ref="P18:Q18"/>
    <mergeCell ref="R18:T18"/>
    <mergeCell ref="V18:X18"/>
    <mergeCell ref="Y18:AA18"/>
    <mergeCell ref="AF18:AG18"/>
    <mergeCell ref="AH18:AJ18"/>
    <mergeCell ref="AL18:AN18"/>
    <mergeCell ref="AO18:AQ18"/>
    <mergeCell ref="AR18:AS18"/>
    <mergeCell ref="AT18:AV18"/>
    <mergeCell ref="AX18:AZ18"/>
    <mergeCell ref="BA18:BC18"/>
    <mergeCell ref="BH18:BI18"/>
    <mergeCell ref="BJ18:BL18"/>
    <mergeCell ref="BN18:BP18"/>
    <mergeCell ref="BQ18:BS18"/>
    <mergeCell ref="BT18:BU18"/>
    <mergeCell ref="BV18:BX18"/>
    <mergeCell ref="BZ18:CB18"/>
    <mergeCell ref="CC18:CE18"/>
    <mergeCell ref="D17:E17"/>
    <mergeCell ref="D19:E19"/>
    <mergeCell ref="F19:H19"/>
    <mergeCell ref="J19:L19"/>
    <mergeCell ref="M19:O19"/>
    <mergeCell ref="P19:Q19"/>
    <mergeCell ref="R19:T19"/>
    <mergeCell ref="V19:X19"/>
    <mergeCell ref="Y19:AA19"/>
    <mergeCell ref="AF19:AG19"/>
    <mergeCell ref="AH19:AJ19"/>
    <mergeCell ref="AL19:AN19"/>
    <mergeCell ref="AO19:AQ19"/>
    <mergeCell ref="AR19:AS19"/>
    <mergeCell ref="AT19:AV19"/>
    <mergeCell ref="AX19:AZ19"/>
    <mergeCell ref="BA19:BC19"/>
    <mergeCell ref="BH19:BI19"/>
    <mergeCell ref="BJ19:BL19"/>
    <mergeCell ref="BN19:BP19"/>
    <mergeCell ref="BQ19:BS19"/>
    <mergeCell ref="BT19:BU19"/>
    <mergeCell ref="BV19:BX19"/>
    <mergeCell ref="BZ19:CB19"/>
    <mergeCell ref="CC19:CE19"/>
    <mergeCell ref="D20:E20"/>
    <mergeCell ref="F20:H20"/>
    <mergeCell ref="J20:L20"/>
    <mergeCell ref="M20:O20"/>
    <mergeCell ref="P20:Q20"/>
    <mergeCell ref="R20:T20"/>
    <mergeCell ref="V20:X20"/>
    <mergeCell ref="Y20:AA20"/>
    <mergeCell ref="AF20:AG20"/>
    <mergeCell ref="AH20:AJ20"/>
    <mergeCell ref="AL20:AN20"/>
    <mergeCell ref="AO20:AQ20"/>
    <mergeCell ref="AR20:AS20"/>
    <mergeCell ref="AT20:AV20"/>
    <mergeCell ref="AX20:AZ20"/>
    <mergeCell ref="BA20:BC20"/>
    <mergeCell ref="BH20:BI20"/>
    <mergeCell ref="BJ20:BL20"/>
    <mergeCell ref="BN20:BP20"/>
    <mergeCell ref="BQ20:BS20"/>
    <mergeCell ref="BT20:BU20"/>
    <mergeCell ref="BV20:BX20"/>
    <mergeCell ref="BZ20:CB20"/>
    <mergeCell ref="CC20:CE20"/>
    <mergeCell ref="BF19:BG20"/>
    <mergeCell ref="BN21:BP21"/>
    <mergeCell ref="BQ21:BS21"/>
    <mergeCell ref="BT21:BU21"/>
    <mergeCell ref="BV21:BX21"/>
    <mergeCell ref="BZ21:CB21"/>
    <mergeCell ref="CC21:CE21"/>
    <mergeCell ref="D22:E22"/>
    <mergeCell ref="F22:H22"/>
    <mergeCell ref="J22:L22"/>
    <mergeCell ref="M22:O22"/>
    <mergeCell ref="P22:Q22"/>
    <mergeCell ref="R22:T22"/>
    <mergeCell ref="V22:X22"/>
    <mergeCell ref="Y22:AA22"/>
    <mergeCell ref="AF22:AG22"/>
    <mergeCell ref="AH22:AJ22"/>
    <mergeCell ref="AL22:AN22"/>
    <mergeCell ref="AO22:AQ22"/>
    <mergeCell ref="AR22:AS22"/>
    <mergeCell ref="AT22:AV22"/>
    <mergeCell ref="AX22:AZ22"/>
    <mergeCell ref="BA22:BC22"/>
    <mergeCell ref="BH22:BI22"/>
    <mergeCell ref="BJ22:BL22"/>
    <mergeCell ref="BN22:BP22"/>
    <mergeCell ref="BQ22:BS22"/>
    <mergeCell ref="BT22:BU22"/>
    <mergeCell ref="BV22:BX22"/>
    <mergeCell ref="BZ22:CB22"/>
    <mergeCell ref="CC22:CE22"/>
    <mergeCell ref="D21:E21"/>
    <mergeCell ref="F21:H21"/>
    <mergeCell ref="F23:H23"/>
    <mergeCell ref="J23:L23"/>
    <mergeCell ref="M23:O23"/>
    <mergeCell ref="P23:Q23"/>
    <mergeCell ref="R23:T23"/>
    <mergeCell ref="V23:X23"/>
    <mergeCell ref="Y23:AA23"/>
    <mergeCell ref="AF23:AG23"/>
    <mergeCell ref="AH23:AJ23"/>
    <mergeCell ref="AL23:AN23"/>
    <mergeCell ref="AO23:AQ23"/>
    <mergeCell ref="AR23:AS23"/>
    <mergeCell ref="AT23:AV23"/>
    <mergeCell ref="AX23:AZ23"/>
    <mergeCell ref="BA23:BC23"/>
    <mergeCell ref="BH23:BI23"/>
    <mergeCell ref="BJ21:BL21"/>
    <mergeCell ref="J21:L21"/>
    <mergeCell ref="M21:O21"/>
    <mergeCell ref="P21:Q21"/>
    <mergeCell ref="R21:T21"/>
    <mergeCell ref="V21:X21"/>
    <mergeCell ref="Y21:AA21"/>
    <mergeCell ref="AF21:AG21"/>
    <mergeCell ref="AH21:AJ21"/>
    <mergeCell ref="AL21:AN21"/>
    <mergeCell ref="AO21:AQ21"/>
    <mergeCell ref="AR21:AS21"/>
    <mergeCell ref="AT21:AV21"/>
    <mergeCell ref="AX21:AZ21"/>
    <mergeCell ref="BA21:BC21"/>
    <mergeCell ref="BH21:BI21"/>
    <mergeCell ref="BJ23:BL23"/>
    <mergeCell ref="BN23:BP23"/>
    <mergeCell ref="BQ23:BS23"/>
    <mergeCell ref="BT23:BU23"/>
    <mergeCell ref="BV23:BX23"/>
    <mergeCell ref="BZ23:CB23"/>
    <mergeCell ref="CC23:CE23"/>
    <mergeCell ref="D24:E24"/>
    <mergeCell ref="F24:H24"/>
    <mergeCell ref="J24:L24"/>
    <mergeCell ref="M24:O24"/>
    <mergeCell ref="P24:Q24"/>
    <mergeCell ref="R24:T24"/>
    <mergeCell ref="V24:X24"/>
    <mergeCell ref="Y24:AA24"/>
    <mergeCell ref="AF24:AG24"/>
    <mergeCell ref="AH24:AJ24"/>
    <mergeCell ref="AL24:AN24"/>
    <mergeCell ref="AO24:AQ24"/>
    <mergeCell ref="AR24:AS24"/>
    <mergeCell ref="AT24:AV24"/>
    <mergeCell ref="AX24:AZ24"/>
    <mergeCell ref="BA24:BC24"/>
    <mergeCell ref="BH24:BI24"/>
    <mergeCell ref="BJ24:BL24"/>
    <mergeCell ref="BN24:BP24"/>
    <mergeCell ref="BQ24:BS24"/>
    <mergeCell ref="BT24:BU24"/>
    <mergeCell ref="BV24:BX24"/>
    <mergeCell ref="BZ24:CB24"/>
    <mergeCell ref="CC24:CE24"/>
    <mergeCell ref="D23:E23"/>
    <mergeCell ref="A45:C45"/>
    <mergeCell ref="D45:F45"/>
    <mergeCell ref="G45:I45"/>
    <mergeCell ref="J45:L45"/>
    <mergeCell ref="S45:T45"/>
    <mergeCell ref="U45:V45"/>
    <mergeCell ref="W45:X45"/>
    <mergeCell ref="Y45:Z45"/>
    <mergeCell ref="AC45:AE45"/>
    <mergeCell ref="AF45:AH45"/>
    <mergeCell ref="AI45:AK45"/>
    <mergeCell ref="AL45:AN45"/>
    <mergeCell ref="AU45:AV45"/>
    <mergeCell ref="AW45:AX45"/>
    <mergeCell ref="AY45:AZ45"/>
    <mergeCell ref="BA45:BB45"/>
    <mergeCell ref="BE45:BG45"/>
    <mergeCell ref="BH45:BJ45"/>
    <mergeCell ref="BK45:BM45"/>
    <mergeCell ref="BN45:BP45"/>
    <mergeCell ref="BW45:BX45"/>
    <mergeCell ref="BY45:BZ45"/>
    <mergeCell ref="CA45:CB45"/>
    <mergeCell ref="CC45:CD45"/>
    <mergeCell ref="B46:C46"/>
    <mergeCell ref="AD46:AE46"/>
    <mergeCell ref="BF46:BG46"/>
    <mergeCell ref="B47:C47"/>
    <mergeCell ref="AD47:AE47"/>
    <mergeCell ref="BF47:BG47"/>
    <mergeCell ref="B48:C48"/>
    <mergeCell ref="AD48:AE48"/>
    <mergeCell ref="BF48:BG48"/>
    <mergeCell ref="B49:C49"/>
    <mergeCell ref="AD49:AE49"/>
    <mergeCell ref="BF49:BG49"/>
    <mergeCell ref="AU46:AU47"/>
    <mergeCell ref="AV46:AV47"/>
    <mergeCell ref="AW46:AX47"/>
    <mergeCell ref="AY46:AY47"/>
    <mergeCell ref="AZ46:AZ47"/>
    <mergeCell ref="BA46:BB47"/>
    <mergeCell ref="BE46:BE47"/>
    <mergeCell ref="BQ46:BQ47"/>
    <mergeCell ref="BR46:BR47"/>
    <mergeCell ref="BS46:BS47"/>
    <mergeCell ref="BT46:BT47"/>
    <mergeCell ref="BU46:BU47"/>
    <mergeCell ref="BV46:BV47"/>
    <mergeCell ref="B50:C50"/>
    <mergeCell ref="AD50:AE50"/>
    <mergeCell ref="BF50:BG50"/>
    <mergeCell ref="B51:C51"/>
    <mergeCell ref="AD51:AE51"/>
    <mergeCell ref="BF51:BG51"/>
    <mergeCell ref="A53:C53"/>
    <mergeCell ref="D53:F53"/>
    <mergeCell ref="G53:I53"/>
    <mergeCell ref="J53:L53"/>
    <mergeCell ref="S53:T53"/>
    <mergeCell ref="U53:V53"/>
    <mergeCell ref="W53:X53"/>
    <mergeCell ref="Y53:Z53"/>
    <mergeCell ref="AC53:AE53"/>
    <mergeCell ref="AF53:AH53"/>
    <mergeCell ref="AI53:AK53"/>
    <mergeCell ref="AL53:AN53"/>
    <mergeCell ref="AU53:AV53"/>
    <mergeCell ref="AW53:AX53"/>
    <mergeCell ref="AY53:AZ53"/>
    <mergeCell ref="BA53:BB53"/>
    <mergeCell ref="BE53:BG53"/>
    <mergeCell ref="AT50:AT51"/>
    <mergeCell ref="AU50:AU51"/>
    <mergeCell ref="AV50:AV51"/>
    <mergeCell ref="AW50:AX51"/>
    <mergeCell ref="AY50:AY51"/>
    <mergeCell ref="AZ50:AZ51"/>
    <mergeCell ref="BA50:BB51"/>
    <mergeCell ref="BE50:BE51"/>
    <mergeCell ref="BH53:BJ53"/>
    <mergeCell ref="BK53:BM53"/>
    <mergeCell ref="BN53:BP53"/>
    <mergeCell ref="BW53:BX53"/>
    <mergeCell ref="BY53:BZ53"/>
    <mergeCell ref="CA53:CB53"/>
    <mergeCell ref="CC53:CD53"/>
    <mergeCell ref="B54:C54"/>
    <mergeCell ref="AD54:AE54"/>
    <mergeCell ref="BF54:BG54"/>
    <mergeCell ref="B55:C55"/>
    <mergeCell ref="AD55:AE55"/>
    <mergeCell ref="BF55:BG55"/>
    <mergeCell ref="B56:C56"/>
    <mergeCell ref="AD56:AE56"/>
    <mergeCell ref="BF56:BG56"/>
    <mergeCell ref="B57:C57"/>
    <mergeCell ref="AD57:AE57"/>
    <mergeCell ref="BF57:BG57"/>
    <mergeCell ref="AU54:AU55"/>
    <mergeCell ref="AV54:AV55"/>
    <mergeCell ref="AW54:AX55"/>
    <mergeCell ref="AY54:AY55"/>
    <mergeCell ref="AZ54:AZ55"/>
    <mergeCell ref="BA54:BB55"/>
    <mergeCell ref="BE54:BE55"/>
    <mergeCell ref="BQ54:BQ55"/>
    <mergeCell ref="BR54:BR55"/>
    <mergeCell ref="BS54:BS55"/>
    <mergeCell ref="BT54:BT55"/>
    <mergeCell ref="BU54:BU55"/>
    <mergeCell ref="BV54:BV55"/>
    <mergeCell ref="B58:C58"/>
    <mergeCell ref="AD58:AE58"/>
    <mergeCell ref="BF58:BG58"/>
    <mergeCell ref="B59:C59"/>
    <mergeCell ref="AD59:AE59"/>
    <mergeCell ref="BF59:BG59"/>
    <mergeCell ref="A61:C61"/>
    <mergeCell ref="D61:F61"/>
    <mergeCell ref="G61:I61"/>
    <mergeCell ref="J61:L61"/>
    <mergeCell ref="S61:T61"/>
    <mergeCell ref="U61:V61"/>
    <mergeCell ref="W61:X61"/>
    <mergeCell ref="Y61:Z61"/>
    <mergeCell ref="AC61:AE61"/>
    <mergeCell ref="AF61:AH61"/>
    <mergeCell ref="AI61:AK61"/>
    <mergeCell ref="AL61:AN61"/>
    <mergeCell ref="AU61:AV61"/>
    <mergeCell ref="AW61:AX61"/>
    <mergeCell ref="AY61:AZ61"/>
    <mergeCell ref="BA61:BB61"/>
    <mergeCell ref="BE61:BG61"/>
    <mergeCell ref="AT58:AT59"/>
    <mergeCell ref="AU58:AU59"/>
    <mergeCell ref="AV58:AV59"/>
    <mergeCell ref="AW58:AX59"/>
    <mergeCell ref="AY58:AY59"/>
    <mergeCell ref="AZ58:AZ59"/>
    <mergeCell ref="BA58:BB59"/>
    <mergeCell ref="BE58:BE59"/>
    <mergeCell ref="BH61:BJ61"/>
    <mergeCell ref="BK61:BM61"/>
    <mergeCell ref="BN61:BP61"/>
    <mergeCell ref="BW61:BX61"/>
    <mergeCell ref="BY61:BZ61"/>
    <mergeCell ref="CA61:CB61"/>
    <mergeCell ref="CC61:CD61"/>
    <mergeCell ref="B62:C62"/>
    <mergeCell ref="AD62:AE62"/>
    <mergeCell ref="BF62:BG62"/>
    <mergeCell ref="B63:C63"/>
    <mergeCell ref="AD63:AE63"/>
    <mergeCell ref="BF63:BG63"/>
    <mergeCell ref="B64:C64"/>
    <mergeCell ref="AD64:AE64"/>
    <mergeCell ref="BF64:BG64"/>
    <mergeCell ref="B65:C65"/>
    <mergeCell ref="AD65:AE65"/>
    <mergeCell ref="BF65:BG65"/>
    <mergeCell ref="AU62:AU63"/>
    <mergeCell ref="AV62:AV63"/>
    <mergeCell ref="AW62:AX63"/>
    <mergeCell ref="AY62:AY63"/>
    <mergeCell ref="AZ62:AZ63"/>
    <mergeCell ref="BA62:BB63"/>
    <mergeCell ref="BE62:BE63"/>
    <mergeCell ref="BQ62:BQ63"/>
    <mergeCell ref="BR62:BR63"/>
    <mergeCell ref="BS62:BS63"/>
    <mergeCell ref="BT62:BT63"/>
    <mergeCell ref="BU62:BU63"/>
    <mergeCell ref="BV62:BV63"/>
    <mergeCell ref="B66:C66"/>
    <mergeCell ref="AD66:AE66"/>
    <mergeCell ref="BF66:BG66"/>
    <mergeCell ref="B67:C67"/>
    <mergeCell ref="AD67:AE67"/>
    <mergeCell ref="BF67:BG67"/>
    <mergeCell ref="A69:C69"/>
    <mergeCell ref="D69:F69"/>
    <mergeCell ref="G69:I69"/>
    <mergeCell ref="J69:L69"/>
    <mergeCell ref="S69:T69"/>
    <mergeCell ref="U69:V69"/>
    <mergeCell ref="W69:X69"/>
    <mergeCell ref="Y69:Z69"/>
    <mergeCell ref="AC69:AE69"/>
    <mergeCell ref="AF69:AH69"/>
    <mergeCell ref="AI69:AK69"/>
    <mergeCell ref="AL69:AN69"/>
    <mergeCell ref="AU69:AV69"/>
    <mergeCell ref="AW69:AX69"/>
    <mergeCell ref="AY69:AZ69"/>
    <mergeCell ref="BA69:BB69"/>
    <mergeCell ref="BE69:BG69"/>
    <mergeCell ref="AT66:AT67"/>
    <mergeCell ref="AU66:AU67"/>
    <mergeCell ref="AV66:AV67"/>
    <mergeCell ref="AW66:AX67"/>
    <mergeCell ref="AY66:AY67"/>
    <mergeCell ref="AZ66:AZ67"/>
    <mergeCell ref="BA66:BB67"/>
    <mergeCell ref="BE66:BE67"/>
    <mergeCell ref="BH69:BJ69"/>
    <mergeCell ref="BK69:BM69"/>
    <mergeCell ref="BN69:BP69"/>
    <mergeCell ref="BW69:BX69"/>
    <mergeCell ref="BY69:BZ69"/>
    <mergeCell ref="CA69:CB69"/>
    <mergeCell ref="CC69:CD69"/>
    <mergeCell ref="B70:C70"/>
    <mergeCell ref="AD70:AE70"/>
    <mergeCell ref="BF70:BG70"/>
    <mergeCell ref="B71:C71"/>
    <mergeCell ref="AD71:AE71"/>
    <mergeCell ref="BF71:BG71"/>
    <mergeCell ref="B72:C72"/>
    <mergeCell ref="AD72:AE72"/>
    <mergeCell ref="BF72:BG72"/>
    <mergeCell ref="B73:C73"/>
    <mergeCell ref="AD73:AE73"/>
    <mergeCell ref="BF73:BG73"/>
    <mergeCell ref="AU70:AU71"/>
    <mergeCell ref="AV70:AV71"/>
    <mergeCell ref="AW70:AX71"/>
    <mergeCell ref="AY70:AY71"/>
    <mergeCell ref="AZ70:AZ71"/>
    <mergeCell ref="BA70:BB71"/>
    <mergeCell ref="BE70:BE71"/>
    <mergeCell ref="BQ70:BQ71"/>
    <mergeCell ref="BR70:BR71"/>
    <mergeCell ref="BS70:BS71"/>
    <mergeCell ref="BT70:BT71"/>
    <mergeCell ref="BU70:BU71"/>
    <mergeCell ref="BV70:BV71"/>
    <mergeCell ref="B74:C74"/>
    <mergeCell ref="AD74:AE74"/>
    <mergeCell ref="BF74:BG74"/>
    <mergeCell ref="B75:C75"/>
    <mergeCell ref="AD75:AE75"/>
    <mergeCell ref="BF75:BG75"/>
    <mergeCell ref="A6:C8"/>
    <mergeCell ref="AC6:AE8"/>
    <mergeCell ref="BE6:BG8"/>
    <mergeCell ref="A13:A14"/>
    <mergeCell ref="B13:C14"/>
    <mergeCell ref="AC13:AC14"/>
    <mergeCell ref="AD13:AE14"/>
    <mergeCell ref="BE13:BE14"/>
    <mergeCell ref="BF13:BG14"/>
    <mergeCell ref="A15:A16"/>
    <mergeCell ref="B15:C16"/>
    <mergeCell ref="AC15:AC16"/>
    <mergeCell ref="AD15:AE16"/>
    <mergeCell ref="BE15:BE16"/>
    <mergeCell ref="BF15:BG16"/>
    <mergeCell ref="A17:A18"/>
    <mergeCell ref="B17:C18"/>
    <mergeCell ref="AC17:AC18"/>
    <mergeCell ref="AD17:AE18"/>
    <mergeCell ref="BE17:BE18"/>
    <mergeCell ref="BF17:BG18"/>
    <mergeCell ref="A19:A20"/>
    <mergeCell ref="B19:C20"/>
    <mergeCell ref="AC19:AC20"/>
    <mergeCell ref="AD19:AE20"/>
    <mergeCell ref="BE19:BE20"/>
    <mergeCell ref="A21:A22"/>
    <mergeCell ref="B21:C22"/>
    <mergeCell ref="AC21:AC22"/>
    <mergeCell ref="AD21:AE22"/>
    <mergeCell ref="BE21:BE22"/>
    <mergeCell ref="BF21:BG22"/>
    <mergeCell ref="A23:A24"/>
    <mergeCell ref="B23:C24"/>
    <mergeCell ref="AC23:AC24"/>
    <mergeCell ref="AD23:AE24"/>
    <mergeCell ref="BE23:BE24"/>
    <mergeCell ref="BF23:BG24"/>
    <mergeCell ref="A46:A47"/>
    <mergeCell ref="M46:M47"/>
    <mergeCell ref="N46:N47"/>
    <mergeCell ref="O46:O47"/>
    <mergeCell ref="P46:P47"/>
    <mergeCell ref="Q46:Q47"/>
    <mergeCell ref="R46:R47"/>
    <mergeCell ref="S46:S47"/>
    <mergeCell ref="T46:T47"/>
    <mergeCell ref="U46:V47"/>
    <mergeCell ref="W46:W47"/>
    <mergeCell ref="X46:X47"/>
    <mergeCell ref="Y46:Z47"/>
    <mergeCell ref="AC46:AC47"/>
    <mergeCell ref="AO46:AO47"/>
    <mergeCell ref="AP46:AP47"/>
    <mergeCell ref="AQ46:AQ47"/>
    <mergeCell ref="AR46:AR47"/>
    <mergeCell ref="AS46:AS47"/>
    <mergeCell ref="AT46:AT47"/>
    <mergeCell ref="BW46:BW47"/>
    <mergeCell ref="BX46:BX47"/>
    <mergeCell ref="BY46:BZ47"/>
    <mergeCell ref="CA46:CA47"/>
    <mergeCell ref="CB46:CB47"/>
    <mergeCell ref="CC46:CD47"/>
    <mergeCell ref="A48:A49"/>
    <mergeCell ref="M48:M49"/>
    <mergeCell ref="N48:N49"/>
    <mergeCell ref="O48:O49"/>
    <mergeCell ref="P48:P49"/>
    <mergeCell ref="Q48:Q49"/>
    <mergeCell ref="R48:R49"/>
    <mergeCell ref="S48:S49"/>
    <mergeCell ref="T48:T49"/>
    <mergeCell ref="U48:V49"/>
    <mergeCell ref="W48:W49"/>
    <mergeCell ref="X48:X49"/>
    <mergeCell ref="Y48:Z49"/>
    <mergeCell ref="AC48:AC49"/>
    <mergeCell ref="AO48:AO49"/>
    <mergeCell ref="AP48:AP49"/>
    <mergeCell ref="AQ48:AQ49"/>
    <mergeCell ref="AR48:AR49"/>
    <mergeCell ref="AS48:AS49"/>
    <mergeCell ref="AT48:AT49"/>
    <mergeCell ref="AU48:AU49"/>
    <mergeCell ref="AV48:AV49"/>
    <mergeCell ref="AW48:AX49"/>
    <mergeCell ref="AY48:AY49"/>
    <mergeCell ref="AZ48:AZ49"/>
    <mergeCell ref="BA48:BB49"/>
    <mergeCell ref="BE48:BE49"/>
    <mergeCell ref="BQ48:BQ49"/>
    <mergeCell ref="BR48:BR49"/>
    <mergeCell ref="BS48:BS49"/>
    <mergeCell ref="BT48:BT49"/>
    <mergeCell ref="BU48:BU49"/>
    <mergeCell ref="BV48:BV49"/>
    <mergeCell ref="BW48:BW49"/>
    <mergeCell ref="BX48:BX49"/>
    <mergeCell ref="BY48:BZ49"/>
    <mergeCell ref="CA48:CA49"/>
    <mergeCell ref="CB48:CB49"/>
    <mergeCell ref="CC48:CD49"/>
    <mergeCell ref="A50:A51"/>
    <mergeCell ref="M50:M51"/>
    <mergeCell ref="N50:N51"/>
    <mergeCell ref="O50:O51"/>
    <mergeCell ref="P50:P51"/>
    <mergeCell ref="Q50:Q51"/>
    <mergeCell ref="R50:R51"/>
    <mergeCell ref="S50:S51"/>
    <mergeCell ref="T50:T51"/>
    <mergeCell ref="U50:V51"/>
    <mergeCell ref="W50:W51"/>
    <mergeCell ref="X50:X51"/>
    <mergeCell ref="Y50:Z51"/>
    <mergeCell ref="AC50:AC51"/>
    <mergeCell ref="AO50:AO51"/>
    <mergeCell ref="AP50:AP51"/>
    <mergeCell ref="AQ50:AQ51"/>
    <mergeCell ref="AR50:AR51"/>
    <mergeCell ref="AS50:AS51"/>
    <mergeCell ref="BQ50:BQ51"/>
    <mergeCell ref="BR50:BR51"/>
    <mergeCell ref="BS50:BS51"/>
    <mergeCell ref="BT50:BT51"/>
    <mergeCell ref="BU50:BU51"/>
    <mergeCell ref="BV50:BV51"/>
    <mergeCell ref="BW50:BW51"/>
    <mergeCell ref="BX50:BX51"/>
    <mergeCell ref="BY50:BZ51"/>
    <mergeCell ref="CA50:CA51"/>
    <mergeCell ref="CB50:CB51"/>
    <mergeCell ref="CC50:CD51"/>
    <mergeCell ref="A54:A55"/>
    <mergeCell ref="M54:M55"/>
    <mergeCell ref="N54:N55"/>
    <mergeCell ref="O54:O55"/>
    <mergeCell ref="P54:P55"/>
    <mergeCell ref="Q54:Q55"/>
    <mergeCell ref="R54:R55"/>
    <mergeCell ref="S54:S55"/>
    <mergeCell ref="T54:T55"/>
    <mergeCell ref="U54:V55"/>
    <mergeCell ref="W54:W55"/>
    <mergeCell ref="X54:X55"/>
    <mergeCell ref="Y54:Z55"/>
    <mergeCell ref="AC54:AC55"/>
    <mergeCell ref="AO54:AO55"/>
    <mergeCell ref="AP54:AP55"/>
    <mergeCell ref="AQ54:AQ55"/>
    <mergeCell ref="AR54:AR55"/>
    <mergeCell ref="AS54:AS55"/>
    <mergeCell ref="AT54:AT55"/>
    <mergeCell ref="BW54:BW55"/>
    <mergeCell ref="BX54:BX55"/>
    <mergeCell ref="BY54:BZ55"/>
    <mergeCell ref="CA54:CA55"/>
    <mergeCell ref="CB54:CB55"/>
    <mergeCell ref="CC54:CD55"/>
    <mergeCell ref="A56:A57"/>
    <mergeCell ref="M56:M57"/>
    <mergeCell ref="N56:N57"/>
    <mergeCell ref="O56:O57"/>
    <mergeCell ref="P56:P57"/>
    <mergeCell ref="Q56:Q57"/>
    <mergeCell ref="R56:R57"/>
    <mergeCell ref="S56:S57"/>
    <mergeCell ref="T56:T57"/>
    <mergeCell ref="U56:V57"/>
    <mergeCell ref="W56:W57"/>
    <mergeCell ref="X56:X57"/>
    <mergeCell ref="Y56:Z57"/>
    <mergeCell ref="AC56:AC57"/>
    <mergeCell ref="AO56:AO57"/>
    <mergeCell ref="AP56:AP57"/>
    <mergeCell ref="AQ56:AQ57"/>
    <mergeCell ref="AR56:AR57"/>
    <mergeCell ref="AS56:AS57"/>
    <mergeCell ref="AT56:AT57"/>
    <mergeCell ref="AU56:AU57"/>
    <mergeCell ref="AV56:AV57"/>
    <mergeCell ref="AW56:AX57"/>
    <mergeCell ref="AY56:AY57"/>
    <mergeCell ref="AZ56:AZ57"/>
    <mergeCell ref="BA56:BB57"/>
    <mergeCell ref="BE56:BE57"/>
    <mergeCell ref="BQ56:BQ57"/>
    <mergeCell ref="BR56:BR57"/>
    <mergeCell ref="BS56:BS57"/>
    <mergeCell ref="BT56:BT57"/>
    <mergeCell ref="BU56:BU57"/>
    <mergeCell ref="BV56:BV57"/>
    <mergeCell ref="BW56:BW57"/>
    <mergeCell ref="BX56:BX57"/>
    <mergeCell ref="BY56:BZ57"/>
    <mergeCell ref="CA56:CA57"/>
    <mergeCell ref="CB56:CB57"/>
    <mergeCell ref="CC56:CD57"/>
    <mergeCell ref="A58:A59"/>
    <mergeCell ref="M58:M59"/>
    <mergeCell ref="N58:N59"/>
    <mergeCell ref="O58:O59"/>
    <mergeCell ref="P58:P59"/>
    <mergeCell ref="Q58:Q59"/>
    <mergeCell ref="R58:R59"/>
    <mergeCell ref="S58:S59"/>
    <mergeCell ref="T58:T59"/>
    <mergeCell ref="U58:V59"/>
    <mergeCell ref="W58:W59"/>
    <mergeCell ref="X58:X59"/>
    <mergeCell ref="Y58:Z59"/>
    <mergeCell ref="AC58:AC59"/>
    <mergeCell ref="AO58:AO59"/>
    <mergeCell ref="AP58:AP59"/>
    <mergeCell ref="AQ58:AQ59"/>
    <mergeCell ref="AR58:AR59"/>
    <mergeCell ref="AS58:AS59"/>
    <mergeCell ref="BQ58:BQ59"/>
    <mergeCell ref="BR58:BR59"/>
    <mergeCell ref="BS58:BS59"/>
    <mergeCell ref="BT58:BT59"/>
    <mergeCell ref="BU58:BU59"/>
    <mergeCell ref="BV58:BV59"/>
    <mergeCell ref="BW58:BW59"/>
    <mergeCell ref="BX58:BX59"/>
    <mergeCell ref="BY58:BZ59"/>
    <mergeCell ref="CA58:CA59"/>
    <mergeCell ref="CB58:CB59"/>
    <mergeCell ref="CC58:CD59"/>
    <mergeCell ref="A62:A63"/>
    <mergeCell ref="M62:M63"/>
    <mergeCell ref="N62:N63"/>
    <mergeCell ref="O62:O63"/>
    <mergeCell ref="P62:P63"/>
    <mergeCell ref="Q62:Q63"/>
    <mergeCell ref="R62:R63"/>
    <mergeCell ref="S62:S63"/>
    <mergeCell ref="T62:T63"/>
    <mergeCell ref="U62:V63"/>
    <mergeCell ref="W62:W63"/>
    <mergeCell ref="X62:X63"/>
    <mergeCell ref="Y62:Z63"/>
    <mergeCell ref="AC62:AC63"/>
    <mergeCell ref="AO62:AO63"/>
    <mergeCell ref="AP62:AP63"/>
    <mergeCell ref="AQ62:AQ63"/>
    <mergeCell ref="AR62:AR63"/>
    <mergeCell ref="AS62:AS63"/>
    <mergeCell ref="AT62:AT63"/>
    <mergeCell ref="BW62:BW63"/>
    <mergeCell ref="BX62:BX63"/>
    <mergeCell ref="BY62:BZ63"/>
    <mergeCell ref="CA62:CA63"/>
    <mergeCell ref="CB62:CB63"/>
    <mergeCell ref="CC62:CD63"/>
    <mergeCell ref="A64:A65"/>
    <mergeCell ref="M64:M65"/>
    <mergeCell ref="N64:N65"/>
    <mergeCell ref="O64:O65"/>
    <mergeCell ref="P64:P65"/>
    <mergeCell ref="Q64:Q65"/>
    <mergeCell ref="R64:R65"/>
    <mergeCell ref="S64:S65"/>
    <mergeCell ref="T64:T65"/>
    <mergeCell ref="U64:V65"/>
    <mergeCell ref="W64:W65"/>
    <mergeCell ref="X64:X65"/>
    <mergeCell ref="Y64:Z65"/>
    <mergeCell ref="AC64:AC65"/>
    <mergeCell ref="AO64:AO65"/>
    <mergeCell ref="AP64:AP65"/>
    <mergeCell ref="AQ64:AQ65"/>
    <mergeCell ref="AR64:AR65"/>
    <mergeCell ref="AS64:AS65"/>
    <mergeCell ref="AT64:AT65"/>
    <mergeCell ref="AU64:AU65"/>
    <mergeCell ref="AV64:AV65"/>
    <mergeCell ref="AW64:AX65"/>
    <mergeCell ref="AY64:AY65"/>
    <mergeCell ref="AZ64:AZ65"/>
    <mergeCell ref="BA64:BB65"/>
    <mergeCell ref="BE64:BE65"/>
    <mergeCell ref="BQ64:BQ65"/>
    <mergeCell ref="BR64:BR65"/>
    <mergeCell ref="BS64:BS65"/>
    <mergeCell ref="BT64:BT65"/>
    <mergeCell ref="BU64:BU65"/>
    <mergeCell ref="BV64:BV65"/>
    <mergeCell ref="BW64:BW65"/>
    <mergeCell ref="BX64:BX65"/>
    <mergeCell ref="BY64:BZ65"/>
    <mergeCell ref="CA64:CA65"/>
    <mergeCell ref="CB64:CB65"/>
    <mergeCell ref="CC64:CD65"/>
    <mergeCell ref="A66:A67"/>
    <mergeCell ref="M66:M67"/>
    <mergeCell ref="N66:N67"/>
    <mergeCell ref="O66:O67"/>
    <mergeCell ref="P66:P67"/>
    <mergeCell ref="Q66:Q67"/>
    <mergeCell ref="R66:R67"/>
    <mergeCell ref="S66:S67"/>
    <mergeCell ref="T66:T67"/>
    <mergeCell ref="U66:V67"/>
    <mergeCell ref="W66:W67"/>
    <mergeCell ref="X66:X67"/>
    <mergeCell ref="Y66:Z67"/>
    <mergeCell ref="AC66:AC67"/>
    <mergeCell ref="AO66:AO67"/>
    <mergeCell ref="AP66:AP67"/>
    <mergeCell ref="AQ66:AQ67"/>
    <mergeCell ref="AR66:AR67"/>
    <mergeCell ref="AS66:AS67"/>
    <mergeCell ref="BQ66:BQ67"/>
    <mergeCell ref="BR66:BR67"/>
    <mergeCell ref="BS66:BS67"/>
    <mergeCell ref="BT66:BT67"/>
    <mergeCell ref="BU66:BU67"/>
    <mergeCell ref="BV66:BV67"/>
    <mergeCell ref="BW66:BW67"/>
    <mergeCell ref="BX66:BX67"/>
    <mergeCell ref="BY66:BZ67"/>
    <mergeCell ref="CA66:CA67"/>
    <mergeCell ref="CB66:CB67"/>
    <mergeCell ref="CC66:CD67"/>
    <mergeCell ref="A70:A71"/>
    <mergeCell ref="M70:M71"/>
    <mergeCell ref="N70:N71"/>
    <mergeCell ref="O70:O71"/>
    <mergeCell ref="P70:P71"/>
    <mergeCell ref="Q70:Q71"/>
    <mergeCell ref="R70:R71"/>
    <mergeCell ref="S70:S71"/>
    <mergeCell ref="T70:T71"/>
    <mergeCell ref="U70:V71"/>
    <mergeCell ref="W70:W71"/>
    <mergeCell ref="X70:X71"/>
    <mergeCell ref="Y70:Z71"/>
    <mergeCell ref="AC70:AC71"/>
    <mergeCell ref="AO70:AO71"/>
    <mergeCell ref="AP70:AP71"/>
    <mergeCell ref="AQ70:AQ71"/>
    <mergeCell ref="AR70:AR71"/>
    <mergeCell ref="AS70:AS71"/>
    <mergeCell ref="AT70:AT71"/>
    <mergeCell ref="BW70:BW71"/>
    <mergeCell ref="BX70:BX71"/>
    <mergeCell ref="BY70:BZ71"/>
    <mergeCell ref="CA70:CA71"/>
    <mergeCell ref="CB70:CB71"/>
    <mergeCell ref="CC70:CD71"/>
    <mergeCell ref="A72:A73"/>
    <mergeCell ref="M72:M73"/>
    <mergeCell ref="N72:N73"/>
    <mergeCell ref="O72:O73"/>
    <mergeCell ref="P72:P73"/>
    <mergeCell ref="Q72:Q73"/>
    <mergeCell ref="R72:R73"/>
    <mergeCell ref="S72:S73"/>
    <mergeCell ref="T72:T73"/>
    <mergeCell ref="U72:V73"/>
    <mergeCell ref="W72:W73"/>
    <mergeCell ref="X72:X73"/>
    <mergeCell ref="Y72:Z73"/>
    <mergeCell ref="AC72:AC73"/>
    <mergeCell ref="AO72:AO73"/>
    <mergeCell ref="AP72:AP73"/>
    <mergeCell ref="AQ72:AQ73"/>
    <mergeCell ref="AR72:AR73"/>
    <mergeCell ref="AS72:AS73"/>
    <mergeCell ref="AT72:AT73"/>
    <mergeCell ref="AU72:AU73"/>
    <mergeCell ref="AV72:AV73"/>
    <mergeCell ref="AW72:AX73"/>
    <mergeCell ref="AY72:AY73"/>
    <mergeCell ref="AZ72:AZ73"/>
    <mergeCell ref="BA72:BB73"/>
    <mergeCell ref="BE72:BE73"/>
    <mergeCell ref="BQ72:BQ73"/>
    <mergeCell ref="BR72:BR73"/>
    <mergeCell ref="BS72:BS73"/>
    <mergeCell ref="BT72:BT73"/>
    <mergeCell ref="BU72:BU73"/>
    <mergeCell ref="BV72:BV73"/>
    <mergeCell ref="BW72:BW73"/>
    <mergeCell ref="BX72:BX73"/>
    <mergeCell ref="BY72:BZ73"/>
    <mergeCell ref="CA72:CA73"/>
    <mergeCell ref="CB72:CB73"/>
    <mergeCell ref="CC72:CD73"/>
    <mergeCell ref="A74:A75"/>
    <mergeCell ref="M74:M75"/>
    <mergeCell ref="N74:N75"/>
    <mergeCell ref="O74:O75"/>
    <mergeCell ref="P74:P75"/>
    <mergeCell ref="Q74:Q75"/>
    <mergeCell ref="R74:R75"/>
    <mergeCell ref="S74:S75"/>
    <mergeCell ref="T74:T75"/>
    <mergeCell ref="U74:V75"/>
    <mergeCell ref="W74:W75"/>
    <mergeCell ref="X74:X75"/>
    <mergeCell ref="Y74:Z75"/>
    <mergeCell ref="AC74:AC75"/>
    <mergeCell ref="AO74:AO75"/>
    <mergeCell ref="AP74:AP75"/>
    <mergeCell ref="AQ74:AQ75"/>
    <mergeCell ref="AR74:AR75"/>
    <mergeCell ref="AS74:AS75"/>
    <mergeCell ref="CA74:CA75"/>
    <mergeCell ref="CB74:CB75"/>
    <mergeCell ref="CC74:CD75"/>
    <mergeCell ref="AT74:AT75"/>
    <mergeCell ref="AU74:AU75"/>
    <mergeCell ref="AV74:AV75"/>
    <mergeCell ref="AW74:AX75"/>
    <mergeCell ref="AY74:AY75"/>
    <mergeCell ref="AZ74:AZ75"/>
    <mergeCell ref="BA74:BB75"/>
    <mergeCell ref="BE74:BE75"/>
    <mergeCell ref="BQ74:BQ75"/>
    <mergeCell ref="BR74:BR75"/>
    <mergeCell ref="BS74:BS75"/>
    <mergeCell ref="BT74:BT75"/>
    <mergeCell ref="BU74:BU75"/>
    <mergeCell ref="BV74:BV75"/>
    <mergeCell ref="BW74:BW75"/>
    <mergeCell ref="BX74:BX75"/>
    <mergeCell ref="BY74:BZ75"/>
  </mergeCells>
  <phoneticPr fontId="29"/>
  <printOptions horizontalCentered="1" verticalCentered="1"/>
  <pageMargins left="0.39370078740157483" right="0.39370078740157483" top="0.39370078740157483" bottom="0.39370078740157483" header="0.51181102362204722" footer="0.51181102362204722"/>
  <pageSetup paperSize="9" scale="41" orientation="portrait" copies="2"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99FF"/>
    <pageSetUpPr fitToPage="1"/>
  </sheetPr>
  <dimension ref="A1:BO100"/>
  <sheetViews>
    <sheetView view="pageBreakPreview" zoomScale="50" zoomScaleNormal="40" zoomScaleSheetLayoutView="50" workbookViewId="0">
      <selection activeCell="A3" sqref="A3"/>
    </sheetView>
  </sheetViews>
  <sheetFormatPr defaultColWidth="9" defaultRowHeight="18.75" x14ac:dyDescent="0.25"/>
  <cols>
    <col min="1" max="1" width="19.46484375" style="66" customWidth="1"/>
    <col min="2" max="2" width="39.86328125" style="66" customWidth="1"/>
    <col min="3" max="3" width="10.73046875" style="66" customWidth="1"/>
    <col min="4" max="4" width="4.46484375" style="66" customWidth="1"/>
    <col min="5" max="5" width="10.3984375" style="66" customWidth="1"/>
    <col min="6" max="6" width="5.73046875" style="66" bestFit="1" customWidth="1"/>
    <col min="7" max="7" width="10.3984375" style="66" customWidth="1"/>
    <col min="8" max="8" width="4.46484375" style="66" customWidth="1"/>
    <col min="9" max="9" width="10.73046875" style="66" bestFit="1" customWidth="1"/>
    <col min="10" max="10" width="39.86328125" style="66" customWidth="1"/>
    <col min="11" max="11" width="15.73046875" style="66" customWidth="1"/>
    <col min="12" max="12" width="3.46484375" style="66" customWidth="1"/>
    <col min="13" max="13" width="19.46484375" style="66" customWidth="1"/>
    <col min="14" max="14" width="39.86328125" style="66" customWidth="1"/>
    <col min="15" max="15" width="10.73046875" style="66" customWidth="1"/>
    <col min="16" max="16" width="4.46484375" style="66" customWidth="1"/>
    <col min="17" max="17" width="10.3984375" style="66" customWidth="1"/>
    <col min="18" max="18" width="5.73046875" style="66" bestFit="1" customWidth="1"/>
    <col min="19" max="19" width="10.3984375" style="66" customWidth="1"/>
    <col min="20" max="20" width="4.46484375" style="66" customWidth="1"/>
    <col min="21" max="21" width="10.73046875" style="66" customWidth="1"/>
    <col min="22" max="22" width="39.86328125" style="66" customWidth="1"/>
    <col min="23" max="23" width="15.73046875" style="66" customWidth="1"/>
    <col min="24" max="24" width="9" style="66"/>
    <col min="25" max="59" width="5.86328125" style="66" customWidth="1"/>
    <col min="60" max="16384" width="9" style="66"/>
  </cols>
  <sheetData>
    <row r="1" spans="1:67" ht="27.75" x14ac:dyDescent="0.25">
      <c r="A1" s="959" t="str">
        <f>抽選会資料!A1</f>
        <v>OFA 第 57 回大分県U-12サッカー大会　兼　KYFA 九州U-12サッカー大会大分県大会</v>
      </c>
      <c r="B1" s="959"/>
      <c r="C1" s="959"/>
      <c r="D1" s="959"/>
      <c r="E1" s="959"/>
      <c r="F1" s="959"/>
      <c r="G1" s="959"/>
      <c r="H1" s="959"/>
      <c r="I1" s="959"/>
      <c r="J1" s="959" t="s">
        <v>2002</v>
      </c>
      <c r="K1" s="959"/>
      <c r="L1" s="228"/>
      <c r="M1" s="959" t="str">
        <f>抽選会資料!A1</f>
        <v>OFA 第 57 回大分県U-12サッカー大会　兼　KYFA 九州U-12サッカー大会大分県大会</v>
      </c>
      <c r="N1" s="959"/>
      <c r="O1" s="959"/>
      <c r="P1" s="959"/>
      <c r="Q1" s="959"/>
      <c r="R1" s="959"/>
      <c r="S1" s="959"/>
      <c r="T1" s="959"/>
      <c r="U1" s="959"/>
      <c r="V1" s="959" t="s">
        <v>2002</v>
      </c>
      <c r="W1" s="959"/>
      <c r="Y1" s="959" t="str">
        <f>$A$1</f>
        <v>OFA 第 57 回大分県U-12サッカー大会　兼　KYFA 九州U-12サッカー大会大分県大会</v>
      </c>
      <c r="Z1" s="959"/>
      <c r="AA1" s="959"/>
      <c r="AB1" s="959"/>
      <c r="AC1" s="959"/>
      <c r="AD1" s="959"/>
      <c r="AE1" s="959"/>
      <c r="AF1" s="959"/>
      <c r="AG1" s="959"/>
      <c r="AH1" s="959"/>
      <c r="AI1" s="959"/>
      <c r="AJ1" s="959"/>
      <c r="AK1" s="959"/>
      <c r="AL1" s="959"/>
      <c r="AM1" s="959"/>
      <c r="AN1" s="959"/>
      <c r="AO1" s="959"/>
      <c r="AP1" s="959"/>
      <c r="AQ1" s="959"/>
      <c r="AR1" s="959"/>
      <c r="AS1" s="959"/>
      <c r="AT1" s="959"/>
      <c r="AU1" s="959"/>
      <c r="AV1" s="959"/>
      <c r="AW1" s="959"/>
      <c r="AX1" s="959"/>
      <c r="AY1" s="959"/>
      <c r="AZ1" s="959"/>
      <c r="BA1" s="959"/>
      <c r="BB1" s="959"/>
      <c r="BC1" s="959"/>
      <c r="BD1" s="959"/>
      <c r="BE1" s="959"/>
      <c r="BF1" s="959"/>
      <c r="BG1" s="959"/>
      <c r="BI1" s="959" t="str">
        <f>$J$1</f>
        <v>２次リーグ結果　報告用紙</v>
      </c>
      <c r="BJ1" s="959"/>
      <c r="BK1" s="959"/>
      <c r="BL1" s="959"/>
      <c r="BM1" s="959"/>
      <c r="BN1" s="959"/>
      <c r="BO1" s="959"/>
    </row>
    <row r="2" spans="1:67" ht="37.5" customHeight="1" x14ac:dyDescent="0.25">
      <c r="A2" s="959" t="s">
        <v>1962</v>
      </c>
      <c r="B2" s="959"/>
      <c r="C2" s="959"/>
      <c r="D2" s="959"/>
      <c r="E2" s="959"/>
      <c r="F2" s="959"/>
      <c r="G2" s="959"/>
      <c r="H2" s="959"/>
      <c r="I2" s="959"/>
      <c r="J2" s="959"/>
      <c r="K2" s="959"/>
      <c r="L2" s="189"/>
      <c r="M2" s="959" t="s">
        <v>1962</v>
      </c>
      <c r="N2" s="959"/>
      <c r="O2" s="959"/>
      <c r="P2" s="959"/>
      <c r="Q2" s="959"/>
      <c r="R2" s="959"/>
      <c r="S2" s="959"/>
      <c r="T2" s="959"/>
      <c r="U2" s="959"/>
      <c r="V2" s="959"/>
      <c r="W2" s="959"/>
      <c r="Y2" s="959" t="s">
        <v>1962</v>
      </c>
      <c r="Z2" s="959"/>
      <c r="AA2" s="959"/>
      <c r="AB2" s="959"/>
      <c r="AC2" s="959"/>
      <c r="AD2" s="959"/>
      <c r="AE2" s="959"/>
      <c r="AF2" s="959"/>
      <c r="AG2" s="959"/>
      <c r="AH2" s="959"/>
      <c r="AI2" s="959"/>
      <c r="AJ2" s="959"/>
      <c r="AK2" s="959"/>
      <c r="AL2" s="959"/>
      <c r="AM2" s="959"/>
      <c r="AN2" s="959"/>
      <c r="AO2" s="959"/>
      <c r="AP2" s="959"/>
      <c r="AQ2" s="959"/>
      <c r="AR2" s="959"/>
      <c r="AS2" s="959"/>
      <c r="AT2" s="959"/>
      <c r="AU2" s="959"/>
      <c r="AV2" s="959"/>
      <c r="AW2" s="959"/>
      <c r="AX2" s="959"/>
      <c r="AY2" s="959"/>
      <c r="AZ2" s="959"/>
      <c r="BA2" s="959"/>
      <c r="BB2" s="959"/>
      <c r="BC2" s="959"/>
      <c r="BD2" s="959"/>
      <c r="BE2" s="959"/>
      <c r="BF2" s="959"/>
      <c r="BG2" s="959"/>
    </row>
    <row r="3" spans="1:67" ht="37.5" customHeight="1" x14ac:dyDescent="0.25">
      <c r="A3" s="189"/>
      <c r="B3" s="189"/>
      <c r="C3" s="189"/>
      <c r="D3" s="189"/>
      <c r="E3" s="189"/>
      <c r="F3" s="189"/>
      <c r="G3" s="189"/>
      <c r="H3" s="189"/>
      <c r="I3" s="189"/>
      <c r="J3" s="189"/>
      <c r="K3" s="189"/>
      <c r="L3" s="189"/>
      <c r="M3" s="189"/>
      <c r="N3" s="189"/>
      <c r="O3" s="189"/>
      <c r="P3" s="189"/>
      <c r="Q3" s="189"/>
      <c r="R3" s="189"/>
      <c r="S3" s="189"/>
      <c r="T3" s="189"/>
      <c r="U3" s="189"/>
      <c r="V3" s="189"/>
      <c r="W3" s="189"/>
      <c r="Y3" s="189"/>
      <c r="Z3" s="189"/>
      <c r="AA3" s="189"/>
      <c r="AB3" s="189"/>
      <c r="AC3" s="189"/>
      <c r="AD3" s="189"/>
      <c r="AE3" s="189"/>
      <c r="AF3" s="189"/>
      <c r="AG3" s="189"/>
      <c r="AH3" s="189"/>
      <c r="AI3" s="189"/>
    </row>
    <row r="4" spans="1:67" ht="37.5" customHeight="1" x14ac:dyDescent="0.25">
      <c r="A4" s="58" t="s">
        <v>487</v>
      </c>
      <c r="B4" s="201" t="str">
        <f>組み合わせ!D6</f>
        <v>豊肥</v>
      </c>
      <c r="C4" s="58" t="s">
        <v>659</v>
      </c>
      <c r="D4" s="961" t="str">
        <f>VLOOKUP(B4,抽選会資料!$B$55:$F$63,2,FALSE)</f>
        <v>恵藤建設サン・スポーツランド(サン・スポーツランドみえ)</v>
      </c>
      <c r="E4" s="961"/>
      <c r="F4" s="961"/>
      <c r="G4" s="961"/>
      <c r="H4" s="961"/>
      <c r="I4" s="961"/>
      <c r="J4" s="961"/>
      <c r="K4" s="961"/>
      <c r="L4" s="68"/>
      <c r="M4" s="58" t="s">
        <v>487</v>
      </c>
      <c r="N4" s="201" t="str">
        <f>組み合わせ!D6</f>
        <v>豊肥</v>
      </c>
      <c r="O4" s="58" t="s">
        <v>659</v>
      </c>
      <c r="P4" s="961" t="str">
        <f>VLOOKUP(N4,抽選会資料!$B$55:$F$63,2,FALSE)</f>
        <v>恵藤建設サン・スポーツランド(サン・スポーツランドみえ)</v>
      </c>
      <c r="Q4" s="961"/>
      <c r="R4" s="961"/>
      <c r="S4" s="961"/>
      <c r="T4" s="961"/>
      <c r="U4" s="961"/>
      <c r="V4" s="961"/>
      <c r="W4" s="961"/>
      <c r="X4" s="39"/>
      <c r="Y4" s="590" t="s">
        <v>487</v>
      </c>
      <c r="Z4" s="590"/>
      <c r="AA4" s="590"/>
      <c r="AB4" s="960" t="str">
        <f>$B$4</f>
        <v>豊肥</v>
      </c>
      <c r="AC4" s="960"/>
      <c r="AD4" s="960"/>
      <c r="AE4" s="960"/>
      <c r="AF4" s="960"/>
      <c r="AG4" s="960"/>
      <c r="AH4" s="58" t="s">
        <v>659</v>
      </c>
      <c r="AI4" s="961" t="str">
        <f>$D$4</f>
        <v>恵藤建設サン・スポーツランド(サン・スポーツランドみえ)</v>
      </c>
      <c r="AJ4" s="961"/>
      <c r="AK4" s="961"/>
      <c r="AL4" s="961"/>
      <c r="AM4" s="961"/>
      <c r="AN4" s="961"/>
      <c r="AO4" s="961"/>
      <c r="AP4" s="961"/>
      <c r="AQ4" s="961"/>
      <c r="AR4" s="961"/>
      <c r="AS4" s="961"/>
      <c r="AT4" s="961"/>
      <c r="AU4" s="961"/>
      <c r="AV4" s="961"/>
      <c r="AW4" s="961"/>
    </row>
    <row r="5" spans="1:67" ht="37.5" customHeight="1" x14ac:dyDescent="0.25">
      <c r="A5" s="190"/>
      <c r="B5" s="190"/>
      <c r="C5" s="190"/>
      <c r="D5" s="190"/>
      <c r="E5" s="190"/>
      <c r="F5" s="190"/>
      <c r="G5" s="190"/>
      <c r="H5" s="190"/>
      <c r="I5" s="190"/>
      <c r="J5" s="190"/>
      <c r="K5" s="190"/>
      <c r="L5" s="190"/>
      <c r="M5" s="190"/>
      <c r="N5" s="190"/>
      <c r="O5" s="190"/>
      <c r="P5" s="190"/>
      <c r="Q5" s="190"/>
      <c r="R5" s="190"/>
      <c r="S5" s="190"/>
      <c r="T5" s="190"/>
      <c r="U5" s="190"/>
      <c r="V5" s="190"/>
      <c r="W5" s="190"/>
      <c r="Y5" s="190"/>
      <c r="Z5" s="190"/>
      <c r="AA5" s="190"/>
    </row>
    <row r="6" spans="1:67" ht="37.5" customHeight="1" x14ac:dyDescent="0.25">
      <c r="A6" s="58" t="s">
        <v>430</v>
      </c>
      <c r="B6" s="201" t="str">
        <f>組み合わせ!H33</f>
        <v>2次リーグ　Aパート</v>
      </c>
      <c r="C6" s="58"/>
      <c r="D6" s="58"/>
      <c r="M6" s="58" t="s">
        <v>430</v>
      </c>
      <c r="N6" s="201" t="str">
        <f>組み合わせ!CB33</f>
        <v>2次リーグ　Cパート</v>
      </c>
      <c r="O6" s="229"/>
      <c r="P6" s="229"/>
      <c r="Y6" s="590" t="s">
        <v>430</v>
      </c>
      <c r="Z6" s="590"/>
      <c r="AA6" s="590"/>
      <c r="AB6" s="962" t="str">
        <f>$B$6</f>
        <v>2次リーグ　Aパート</v>
      </c>
      <c r="AC6" s="962"/>
      <c r="AD6" s="962"/>
      <c r="AE6" s="962"/>
      <c r="AF6" s="962"/>
      <c r="AG6" s="962"/>
    </row>
    <row r="7" spans="1:67" ht="37.5" customHeight="1" x14ac:dyDescent="0.25">
      <c r="A7" s="58"/>
      <c r="B7" s="202" t="str">
        <f>組み合わせ!$H$36</f>
        <v>A</v>
      </c>
      <c r="C7" s="998" t="str">
        <f>組み合わせ!$L$36</f>
        <v>ドリームキッズフットボールクラブ</v>
      </c>
      <c r="D7" s="998"/>
      <c r="E7" s="998"/>
      <c r="F7" s="998"/>
      <c r="G7" s="998"/>
      <c r="H7" s="998"/>
      <c r="I7" s="998"/>
      <c r="J7" s="998" t="str">
        <f>HLOOKUP(C7,組み合わせ!$B$49:$EO$86,31,FALSE)</f>
        <v>大分</v>
      </c>
      <c r="K7" s="999"/>
      <c r="M7" s="229"/>
      <c r="N7" s="202" t="str">
        <f>組み合わせ!$CB$36</f>
        <v>G</v>
      </c>
      <c r="O7" s="998" t="str">
        <f>組み合わせ!$CF$36</f>
        <v>ティエラフットボールクラブＵ－１２</v>
      </c>
      <c r="P7" s="998"/>
      <c r="Q7" s="998"/>
      <c r="R7" s="998"/>
      <c r="S7" s="998"/>
      <c r="T7" s="998"/>
      <c r="U7" s="998"/>
      <c r="V7" s="998" t="str">
        <f>HLOOKUP(O7,組み合わせ!$B$49:$EO$86,31,FALSE)</f>
        <v>中津</v>
      </c>
      <c r="W7" s="999"/>
      <c r="Y7" s="58"/>
      <c r="Z7" s="713" t="str">
        <f>+B7</f>
        <v>A</v>
      </c>
      <c r="AA7" s="713"/>
      <c r="AB7" s="713"/>
      <c r="AC7" s="713" t="str">
        <f>$C$7</f>
        <v>ドリームキッズフットボールクラブ</v>
      </c>
      <c r="AD7" s="713"/>
      <c r="AE7" s="713"/>
      <c r="AF7" s="713"/>
      <c r="AG7" s="713"/>
      <c r="AH7" s="713"/>
      <c r="AI7" s="713"/>
      <c r="AJ7" s="713"/>
      <c r="AK7" s="713"/>
      <c r="AL7" s="713"/>
      <c r="AM7" s="713"/>
      <c r="AN7" s="713"/>
      <c r="AO7" s="713"/>
      <c r="AP7" s="713" t="str">
        <f>$J$7</f>
        <v>大分</v>
      </c>
      <c r="AQ7" s="713"/>
      <c r="AR7" s="713"/>
      <c r="AS7" s="713"/>
    </row>
    <row r="8" spans="1:67" ht="37.5" customHeight="1" x14ac:dyDescent="0.25">
      <c r="A8" s="58"/>
      <c r="B8" s="203" t="str">
        <f>組み合わせ!$H$38</f>
        <v>B</v>
      </c>
      <c r="C8" s="549" t="str">
        <f>組み合わせ!$L$38</f>
        <v>臼杵ＳＳＳ</v>
      </c>
      <c r="D8" s="549"/>
      <c r="E8" s="549"/>
      <c r="F8" s="549"/>
      <c r="G8" s="549"/>
      <c r="H8" s="549"/>
      <c r="I8" s="549"/>
      <c r="J8" s="549" t="str">
        <f>HLOOKUP(C8,組み合わせ!$B$49:$EO$86,31,FALSE)</f>
        <v>臼杵・津久見</v>
      </c>
      <c r="K8" s="995"/>
      <c r="M8" s="229"/>
      <c r="N8" s="203" t="str">
        <f>組み合わせ!$CB$38</f>
        <v>H</v>
      </c>
      <c r="O8" s="549" t="str">
        <f>組み合わせ!$CF$38</f>
        <v>大分トリニータタートルズ</v>
      </c>
      <c r="P8" s="549"/>
      <c r="Q8" s="549"/>
      <c r="R8" s="549"/>
      <c r="S8" s="549"/>
      <c r="T8" s="549"/>
      <c r="U8" s="549"/>
      <c r="V8" s="549" t="str">
        <f>HLOOKUP(O8,組み合わせ!$B$49:$EO$86,31,FALSE)</f>
        <v>大分</v>
      </c>
      <c r="W8" s="995"/>
      <c r="Y8" s="58"/>
      <c r="Z8" s="713" t="str">
        <f>+B8</f>
        <v>B</v>
      </c>
      <c r="AA8" s="713"/>
      <c r="AB8" s="713"/>
      <c r="AC8" s="713" t="str">
        <f>$C$8</f>
        <v>臼杵ＳＳＳ</v>
      </c>
      <c r="AD8" s="713"/>
      <c r="AE8" s="713"/>
      <c r="AF8" s="713"/>
      <c r="AG8" s="713"/>
      <c r="AH8" s="713"/>
      <c r="AI8" s="713"/>
      <c r="AJ8" s="713"/>
      <c r="AK8" s="713"/>
      <c r="AL8" s="713"/>
      <c r="AM8" s="713"/>
      <c r="AN8" s="713"/>
      <c r="AO8" s="713"/>
      <c r="AP8" s="713" t="str">
        <f>$J$8</f>
        <v>臼杵・津久見</v>
      </c>
      <c r="AQ8" s="713"/>
      <c r="AR8" s="713"/>
      <c r="AS8" s="713"/>
    </row>
    <row r="9" spans="1:67" ht="37.5" customHeight="1" x14ac:dyDescent="0.25">
      <c r="A9" s="190"/>
      <c r="B9" s="204" t="str">
        <f>組み合わせ!$H$40</f>
        <v>C</v>
      </c>
      <c r="C9" s="996" t="str">
        <f>組み合わせ!$L$40</f>
        <v>別府フットボールクラブ．ミネルバＵ－１２</v>
      </c>
      <c r="D9" s="996"/>
      <c r="E9" s="996"/>
      <c r="F9" s="996"/>
      <c r="G9" s="996"/>
      <c r="H9" s="996"/>
      <c r="I9" s="996"/>
      <c r="J9" s="996" t="str">
        <f>HLOOKUP(C9,組み合わせ!$B$49:$EO$86,31,FALSE)</f>
        <v>別府</v>
      </c>
      <c r="K9" s="997"/>
      <c r="L9" s="190"/>
      <c r="M9" s="190"/>
      <c r="N9" s="204" t="str">
        <f>組み合わせ!$CB$40</f>
        <v>I</v>
      </c>
      <c r="O9" s="996" t="str">
        <f>組み合わせ!$CF$40</f>
        <v>リノスフットボールクラブ　Ｕ－１２</v>
      </c>
      <c r="P9" s="996"/>
      <c r="Q9" s="996"/>
      <c r="R9" s="996"/>
      <c r="S9" s="996"/>
      <c r="T9" s="996"/>
      <c r="U9" s="996"/>
      <c r="V9" s="996" t="str">
        <f>HLOOKUP(O9,組み合わせ!$B$49:$EO$86,31,FALSE)</f>
        <v>大分</v>
      </c>
      <c r="W9" s="997"/>
      <c r="Y9" s="190"/>
      <c r="Z9" s="713" t="str">
        <f>+B9</f>
        <v>C</v>
      </c>
      <c r="AA9" s="713"/>
      <c r="AB9" s="713"/>
      <c r="AC9" s="713" t="str">
        <f>$C$9</f>
        <v>別府フットボールクラブ．ミネルバＵ－１２</v>
      </c>
      <c r="AD9" s="713"/>
      <c r="AE9" s="713"/>
      <c r="AF9" s="713"/>
      <c r="AG9" s="713"/>
      <c r="AH9" s="713"/>
      <c r="AI9" s="713"/>
      <c r="AJ9" s="713"/>
      <c r="AK9" s="713"/>
      <c r="AL9" s="713"/>
      <c r="AM9" s="713"/>
      <c r="AN9" s="713"/>
      <c r="AO9" s="713"/>
      <c r="AP9" s="713" t="str">
        <f>$J$9</f>
        <v>別府</v>
      </c>
      <c r="AQ9" s="713"/>
      <c r="AR9" s="713"/>
      <c r="AS9" s="713"/>
    </row>
    <row r="10" spans="1:67" ht="37.5" customHeight="1" x14ac:dyDescent="0.25">
      <c r="A10" s="191" t="s">
        <v>497</v>
      </c>
      <c r="B10" s="189"/>
      <c r="C10" s="189"/>
      <c r="D10" s="189"/>
      <c r="E10" s="189"/>
      <c r="F10" s="189"/>
      <c r="G10" s="189"/>
      <c r="H10" s="189"/>
      <c r="I10" s="189"/>
      <c r="J10" s="189"/>
      <c r="K10" s="189"/>
      <c r="L10" s="189"/>
      <c r="M10" s="191" t="s">
        <v>637</v>
      </c>
      <c r="N10" s="189"/>
      <c r="O10" s="189"/>
      <c r="P10" s="189"/>
      <c r="Q10" s="189"/>
      <c r="R10" s="189"/>
      <c r="S10" s="189"/>
      <c r="T10" s="189"/>
      <c r="U10" s="189"/>
      <c r="V10" s="189"/>
      <c r="W10" s="189"/>
    </row>
    <row r="12" spans="1:67" ht="18.75" customHeight="1" x14ac:dyDescent="0.25">
      <c r="A12" s="963" t="s">
        <v>789</v>
      </c>
      <c r="B12" s="964" t="str">
        <f>C7</f>
        <v>ドリームキッズフットボールクラブ</v>
      </c>
      <c r="C12" s="966">
        <f>IF(E12="","",SUM(E12:E13))</f>
        <v>2</v>
      </c>
      <c r="D12" s="940" t="s">
        <v>336</v>
      </c>
      <c r="E12" s="217">
        <v>1</v>
      </c>
      <c r="F12" s="217" t="s">
        <v>61</v>
      </c>
      <c r="G12" s="217">
        <v>0</v>
      </c>
      <c r="H12" s="940" t="s">
        <v>339</v>
      </c>
      <c r="I12" s="966">
        <f>IF(G12="","",SUM(G12:G13))</f>
        <v>0</v>
      </c>
      <c r="J12" s="968" t="str">
        <f>C8</f>
        <v>臼杵ＳＳＳ</v>
      </c>
      <c r="K12" s="190"/>
      <c r="L12" s="190"/>
      <c r="M12" s="969" t="s">
        <v>791</v>
      </c>
      <c r="N12" s="972" t="str">
        <f>O7</f>
        <v>ティエラフットボールクラブＵ－１２</v>
      </c>
      <c r="O12" s="966">
        <f>IF(Q12="","",SUM(Q12:Q13))</f>
        <v>4</v>
      </c>
      <c r="P12" s="940" t="s">
        <v>336</v>
      </c>
      <c r="Q12" s="217">
        <v>4</v>
      </c>
      <c r="R12" s="217" t="s">
        <v>61</v>
      </c>
      <c r="S12" s="217">
        <v>1</v>
      </c>
      <c r="T12" s="940" t="s">
        <v>339</v>
      </c>
      <c r="U12" s="966">
        <f>IF(S12="","",SUM(S12:S13))</f>
        <v>3</v>
      </c>
      <c r="V12" s="968" t="str">
        <f>O8</f>
        <v>大分トリニータタートルズ</v>
      </c>
    </row>
    <row r="13" spans="1:67" ht="18.75" customHeight="1" x14ac:dyDescent="0.25">
      <c r="A13" s="946"/>
      <c r="B13" s="965"/>
      <c r="C13" s="967"/>
      <c r="D13" s="906"/>
      <c r="E13" s="190">
        <v>1</v>
      </c>
      <c r="F13" s="190" t="s">
        <v>126</v>
      </c>
      <c r="G13" s="190">
        <v>0</v>
      </c>
      <c r="H13" s="906"/>
      <c r="I13" s="967"/>
      <c r="J13" s="957"/>
      <c r="K13" s="190"/>
      <c r="L13" s="190"/>
      <c r="M13" s="970"/>
      <c r="N13" s="973"/>
      <c r="O13" s="967"/>
      <c r="P13" s="906"/>
      <c r="Q13" s="190">
        <v>0</v>
      </c>
      <c r="R13" s="190" t="s">
        <v>126</v>
      </c>
      <c r="S13" s="190">
        <v>2</v>
      </c>
      <c r="T13" s="906"/>
      <c r="U13" s="967"/>
      <c r="V13" s="957"/>
    </row>
    <row r="14" spans="1:67" ht="19.5" customHeight="1" x14ac:dyDescent="0.25">
      <c r="A14" s="946"/>
      <c r="B14" s="980"/>
      <c r="C14" s="967"/>
      <c r="D14" s="906"/>
      <c r="E14" s="190"/>
      <c r="F14" s="190" t="s">
        <v>407</v>
      </c>
      <c r="G14" s="190"/>
      <c r="H14" s="906"/>
      <c r="I14" s="967"/>
      <c r="J14" s="958"/>
      <c r="K14" s="190"/>
      <c r="L14" s="190"/>
      <c r="M14" s="971"/>
      <c r="N14" s="974"/>
      <c r="O14" s="975"/>
      <c r="P14" s="908"/>
      <c r="Q14" s="190"/>
      <c r="R14" s="190" t="s">
        <v>407</v>
      </c>
      <c r="S14" s="190"/>
      <c r="T14" s="908"/>
      <c r="U14" s="975"/>
      <c r="V14" s="976"/>
    </row>
    <row r="15" spans="1:67" ht="18.75" customHeight="1" x14ac:dyDescent="0.25">
      <c r="A15" s="192" t="s">
        <v>2463</v>
      </c>
      <c r="B15" s="989" t="s">
        <v>15293</v>
      </c>
      <c r="C15" s="989"/>
      <c r="D15" s="989"/>
      <c r="E15" s="989"/>
      <c r="F15" s="989"/>
      <c r="G15" s="990" t="s">
        <v>2464</v>
      </c>
      <c r="H15" s="990"/>
      <c r="I15" s="990"/>
      <c r="J15" s="991" t="s">
        <v>15295</v>
      </c>
      <c r="K15" s="991"/>
      <c r="L15" s="190"/>
      <c r="M15" s="192" t="s">
        <v>2463</v>
      </c>
      <c r="N15" s="989" t="s">
        <v>15303</v>
      </c>
      <c r="O15" s="989"/>
      <c r="P15" s="989"/>
      <c r="Q15" s="989"/>
      <c r="R15" s="989"/>
      <c r="S15" s="990" t="s">
        <v>2464</v>
      </c>
      <c r="T15" s="990"/>
      <c r="U15" s="990"/>
      <c r="V15" s="991" t="s">
        <v>15295</v>
      </c>
      <c r="W15" s="991"/>
      <c r="Y15" s="954" t="str">
        <f>$Y$6</f>
        <v>パート</v>
      </c>
      <c r="Z15" s="955"/>
      <c r="AA15" s="955"/>
      <c r="AB15" s="955"/>
      <c r="AC15" s="955" t="str">
        <f>$AB$6</f>
        <v>2次リーグ　Aパート</v>
      </c>
      <c r="AD15" s="955"/>
      <c r="AE15" s="956"/>
      <c r="AF15" s="945" t="str">
        <f>$Y$21</f>
        <v>ドリームキッズフットボールクラブ</v>
      </c>
      <c r="AG15" s="945"/>
      <c r="AH15" s="945"/>
      <c r="AI15" s="945"/>
      <c r="AJ15" s="945"/>
      <c r="AK15" s="945" t="str">
        <f>$Y$27</f>
        <v>臼杵ＳＳＳ</v>
      </c>
      <c r="AL15" s="945"/>
      <c r="AM15" s="945"/>
      <c r="AN15" s="945"/>
      <c r="AO15" s="945"/>
      <c r="AP15" s="945" t="str">
        <f>$Y$33</f>
        <v>別府フットボールクラブ．ミネルバＵ－１２</v>
      </c>
      <c r="AQ15" s="945"/>
      <c r="AR15" s="945"/>
      <c r="AS15" s="945"/>
      <c r="AT15" s="945"/>
      <c r="AU15" s="945" t="s">
        <v>1535</v>
      </c>
      <c r="AV15" s="945"/>
      <c r="AW15" s="944" t="s">
        <v>2060</v>
      </c>
      <c r="AX15" s="945"/>
      <c r="AY15" s="944" t="s">
        <v>1208</v>
      </c>
      <c r="AZ15" s="945"/>
      <c r="BA15" s="945" t="s">
        <v>1727</v>
      </c>
      <c r="BB15" s="945"/>
      <c r="BC15" s="945" t="s">
        <v>2005</v>
      </c>
      <c r="BD15" s="945"/>
      <c r="BE15" s="945" t="s">
        <v>2006</v>
      </c>
      <c r="BF15" s="945"/>
      <c r="BG15" s="945" t="s">
        <v>1768</v>
      </c>
      <c r="BH15" s="945"/>
      <c r="BI15" s="944" t="s">
        <v>698</v>
      </c>
      <c r="BJ15" s="945"/>
      <c r="BK15" s="944" t="s">
        <v>1100</v>
      </c>
      <c r="BL15" s="945"/>
      <c r="BM15" s="944" t="s">
        <v>502</v>
      </c>
      <c r="BN15" s="945"/>
      <c r="BO15" s="947" t="s">
        <v>2127</v>
      </c>
    </row>
    <row r="16" spans="1:67" ht="18.75" customHeight="1" x14ac:dyDescent="0.25">
      <c r="A16" s="193" t="s">
        <v>2465</v>
      </c>
      <c r="B16" s="992" t="s">
        <v>15293</v>
      </c>
      <c r="C16" s="992"/>
      <c r="D16" s="992"/>
      <c r="E16" s="992"/>
      <c r="F16" s="992"/>
      <c r="G16" s="983" t="s">
        <v>2464</v>
      </c>
      <c r="H16" s="984"/>
      <c r="I16" s="985"/>
      <c r="J16" s="993" t="s">
        <v>15295</v>
      </c>
      <c r="K16" s="993"/>
      <c r="L16" s="190"/>
      <c r="M16" s="193" t="s">
        <v>2465</v>
      </c>
      <c r="N16" s="992" t="s">
        <v>15303</v>
      </c>
      <c r="O16" s="992"/>
      <c r="P16" s="992"/>
      <c r="Q16" s="992"/>
      <c r="R16" s="992"/>
      <c r="S16" s="983" t="s">
        <v>2464</v>
      </c>
      <c r="T16" s="984"/>
      <c r="U16" s="985"/>
      <c r="V16" s="993" t="s">
        <v>15295</v>
      </c>
      <c r="W16" s="993"/>
      <c r="Y16" s="905"/>
      <c r="Z16" s="906"/>
      <c r="AA16" s="906"/>
      <c r="AB16" s="906"/>
      <c r="AC16" s="906"/>
      <c r="AD16" s="906"/>
      <c r="AE16" s="957"/>
      <c r="AF16" s="946"/>
      <c r="AG16" s="946"/>
      <c r="AH16" s="946"/>
      <c r="AI16" s="946"/>
      <c r="AJ16" s="946"/>
      <c r="AK16" s="946"/>
      <c r="AL16" s="946"/>
      <c r="AM16" s="946"/>
      <c r="AN16" s="946"/>
      <c r="AO16" s="946"/>
      <c r="AP16" s="946"/>
      <c r="AQ16" s="946"/>
      <c r="AR16" s="946"/>
      <c r="AS16" s="946"/>
      <c r="AT16" s="946"/>
      <c r="AU16" s="946"/>
      <c r="AV16" s="946"/>
      <c r="AW16" s="946"/>
      <c r="AX16" s="946"/>
      <c r="AY16" s="946"/>
      <c r="AZ16" s="946"/>
      <c r="BA16" s="946"/>
      <c r="BB16" s="946"/>
      <c r="BC16" s="946"/>
      <c r="BD16" s="946"/>
      <c r="BE16" s="946"/>
      <c r="BF16" s="946"/>
      <c r="BG16" s="946"/>
      <c r="BH16" s="946"/>
      <c r="BI16" s="946"/>
      <c r="BJ16" s="946"/>
      <c r="BK16" s="946"/>
      <c r="BL16" s="946"/>
      <c r="BM16" s="946"/>
      <c r="BN16" s="946"/>
      <c r="BO16" s="948"/>
    </row>
    <row r="17" spans="1:67" x14ac:dyDescent="0.25">
      <c r="A17" s="194" t="s">
        <v>2466</v>
      </c>
      <c r="B17" s="982" t="s">
        <v>15294</v>
      </c>
      <c r="C17" s="982"/>
      <c r="D17" s="982"/>
      <c r="E17" s="982"/>
      <c r="F17" s="982"/>
      <c r="G17" s="983" t="s">
        <v>2464</v>
      </c>
      <c r="H17" s="984"/>
      <c r="I17" s="985"/>
      <c r="J17" s="986" t="s">
        <v>15295</v>
      </c>
      <c r="K17" s="986"/>
      <c r="L17" s="190"/>
      <c r="M17" s="194" t="s">
        <v>2466</v>
      </c>
      <c r="N17" s="982" t="s">
        <v>15304</v>
      </c>
      <c r="O17" s="982"/>
      <c r="P17" s="982"/>
      <c r="Q17" s="982"/>
      <c r="R17" s="982"/>
      <c r="S17" s="983" t="s">
        <v>2464</v>
      </c>
      <c r="T17" s="984"/>
      <c r="U17" s="985"/>
      <c r="V17" s="986" t="s">
        <v>15295</v>
      </c>
      <c r="W17" s="986"/>
      <c r="Y17" s="905"/>
      <c r="Z17" s="906"/>
      <c r="AA17" s="906"/>
      <c r="AB17" s="906"/>
      <c r="AC17" s="906"/>
      <c r="AD17" s="906"/>
      <c r="AE17" s="957"/>
      <c r="AF17" s="946"/>
      <c r="AG17" s="946"/>
      <c r="AH17" s="946"/>
      <c r="AI17" s="946"/>
      <c r="AJ17" s="946"/>
      <c r="AK17" s="946"/>
      <c r="AL17" s="946"/>
      <c r="AM17" s="946"/>
      <c r="AN17" s="946"/>
      <c r="AO17" s="946"/>
      <c r="AP17" s="946"/>
      <c r="AQ17" s="946"/>
      <c r="AR17" s="946"/>
      <c r="AS17" s="946"/>
      <c r="AT17" s="946"/>
      <c r="AU17" s="946"/>
      <c r="AV17" s="946"/>
      <c r="AW17" s="946"/>
      <c r="AX17" s="946"/>
      <c r="AY17" s="946"/>
      <c r="AZ17" s="946"/>
      <c r="BA17" s="946"/>
      <c r="BB17" s="946"/>
      <c r="BC17" s="946"/>
      <c r="BD17" s="946"/>
      <c r="BE17" s="946"/>
      <c r="BF17" s="946"/>
      <c r="BG17" s="946"/>
      <c r="BH17" s="946"/>
      <c r="BI17" s="946"/>
      <c r="BJ17" s="946"/>
      <c r="BK17" s="946"/>
      <c r="BL17" s="946"/>
      <c r="BM17" s="946"/>
      <c r="BN17" s="946"/>
      <c r="BO17" s="948"/>
    </row>
    <row r="18" spans="1:67" x14ac:dyDescent="0.25">
      <c r="A18" s="195" t="s">
        <v>609</v>
      </c>
      <c r="B18" s="205" t="str">
        <f>IF(ISERROR(VLOOKUP(G18,審判員!$A:$C,2,FALSE))=TRUE,"",VLOOKUP(G18,審判員!$A:$C,2,FALSE))</f>
        <v>佐藤　昭生</v>
      </c>
      <c r="C18" s="211">
        <f>IF(ISERROR(VLOOKUP(G18,審判員!$A:$C,3,FALSE))=TRUE,"",VLOOKUP(G18,審判員!$A:$C,3,FALSE))</f>
        <v>3</v>
      </c>
      <c r="D18" s="218" t="s">
        <v>612</v>
      </c>
      <c r="E18" s="955" t="s">
        <v>201</v>
      </c>
      <c r="F18" s="955"/>
      <c r="G18" s="955" t="s">
        <v>15296</v>
      </c>
      <c r="H18" s="955"/>
      <c r="I18" s="955"/>
      <c r="J18" s="987" t="s">
        <v>788</v>
      </c>
      <c r="K18" s="988"/>
      <c r="L18" s="190"/>
      <c r="M18" s="195" t="s">
        <v>609</v>
      </c>
      <c r="N18" s="205" t="str">
        <f>IF(ISERROR(VLOOKUP(S18,審判員!$A:$C,2,FALSE))=TRUE,"",VLOOKUP(S18,審判員!$A:$C,2,FALSE))</f>
        <v>仲野　雅貴</v>
      </c>
      <c r="O18" s="211">
        <f>IF(ISERROR(VLOOKUP(S18,審判員!$A:$C,3,FALSE))=TRUE,"",VLOOKUP(S18,審判員!$A:$C,3,FALSE))</f>
        <v>3</v>
      </c>
      <c r="P18" s="218" t="s">
        <v>612</v>
      </c>
      <c r="Q18" s="955" t="s">
        <v>201</v>
      </c>
      <c r="R18" s="955"/>
      <c r="S18" s="955" t="s">
        <v>15305</v>
      </c>
      <c r="T18" s="955"/>
      <c r="U18" s="955"/>
      <c r="V18" s="987" t="s">
        <v>788</v>
      </c>
      <c r="W18" s="988"/>
      <c r="Y18" s="905"/>
      <c r="Z18" s="906"/>
      <c r="AA18" s="906"/>
      <c r="AB18" s="906"/>
      <c r="AC18" s="906"/>
      <c r="AD18" s="906"/>
      <c r="AE18" s="957"/>
      <c r="AF18" s="946"/>
      <c r="AG18" s="946"/>
      <c r="AH18" s="946"/>
      <c r="AI18" s="946"/>
      <c r="AJ18" s="946"/>
      <c r="AK18" s="946"/>
      <c r="AL18" s="946"/>
      <c r="AM18" s="946"/>
      <c r="AN18" s="946"/>
      <c r="AO18" s="946"/>
      <c r="AP18" s="946"/>
      <c r="AQ18" s="946"/>
      <c r="AR18" s="946"/>
      <c r="AS18" s="946"/>
      <c r="AT18" s="946"/>
      <c r="AU18" s="946"/>
      <c r="AV18" s="946"/>
      <c r="AW18" s="946"/>
      <c r="AX18" s="946"/>
      <c r="AY18" s="946"/>
      <c r="AZ18" s="946"/>
      <c r="BA18" s="946"/>
      <c r="BB18" s="946"/>
      <c r="BC18" s="946"/>
      <c r="BD18" s="946"/>
      <c r="BE18" s="946"/>
      <c r="BF18" s="946"/>
      <c r="BG18" s="946"/>
      <c r="BH18" s="946"/>
      <c r="BI18" s="946"/>
      <c r="BJ18" s="946"/>
      <c r="BK18" s="946"/>
      <c r="BL18" s="946"/>
      <c r="BM18" s="946"/>
      <c r="BN18" s="946"/>
      <c r="BO18" s="948"/>
    </row>
    <row r="19" spans="1:67" x14ac:dyDescent="0.25">
      <c r="A19" s="196" t="s">
        <v>704</v>
      </c>
      <c r="B19" s="206" t="str">
        <f>IF(ISERROR(VLOOKUP(G19,審判員!$A:$C,2,FALSE))=TRUE,"",VLOOKUP(G19,審判員!$A:$C,2,FALSE))</f>
        <v>高柿　康平</v>
      </c>
      <c r="C19" s="212">
        <f>IF(ISERROR(VLOOKUP(G19,審判員!$A:$C,3,FALSE))=TRUE,"",VLOOKUP(G19,審判員!$A:$C,3,FALSE))</f>
        <v>3</v>
      </c>
      <c r="D19" s="219" t="s">
        <v>612</v>
      </c>
      <c r="E19" s="906" t="s">
        <v>1286</v>
      </c>
      <c r="F19" s="906"/>
      <c r="G19" s="906" t="s">
        <v>15170</v>
      </c>
      <c r="H19" s="906"/>
      <c r="I19" s="906"/>
      <c r="J19" s="891" t="str">
        <f>N12</f>
        <v>ティエラフットボールクラブＵ－１２</v>
      </c>
      <c r="K19" s="981"/>
      <c r="L19" s="190"/>
      <c r="M19" s="196" t="s">
        <v>704</v>
      </c>
      <c r="N19" s="206" t="str">
        <f>IF(ISERROR(VLOOKUP(S19,審判員!$A:$C,2,FALSE))=TRUE,"",VLOOKUP(S19,審判員!$A:$C,2,FALSE))</f>
        <v>田村　拓也</v>
      </c>
      <c r="O19" s="212">
        <f>IF(ISERROR(VLOOKUP(S19,審判員!$A:$C,3,FALSE))=TRUE,"",VLOOKUP(S19,審判員!$A:$C,3,FALSE))</f>
        <v>3</v>
      </c>
      <c r="P19" s="219" t="s">
        <v>612</v>
      </c>
      <c r="Q19" s="906" t="s">
        <v>1286</v>
      </c>
      <c r="R19" s="906"/>
      <c r="S19" s="906" t="s">
        <v>15306</v>
      </c>
      <c r="T19" s="906"/>
      <c r="U19" s="906"/>
      <c r="V19" s="891" t="str">
        <f>B12</f>
        <v>ドリームキッズフットボールクラブ</v>
      </c>
      <c r="W19" s="981"/>
      <c r="Y19" s="905"/>
      <c r="Z19" s="906"/>
      <c r="AA19" s="906"/>
      <c r="AB19" s="906"/>
      <c r="AC19" s="906"/>
      <c r="AD19" s="906"/>
      <c r="AE19" s="957"/>
      <c r="AF19" s="946"/>
      <c r="AG19" s="946"/>
      <c r="AH19" s="946"/>
      <c r="AI19" s="946"/>
      <c r="AJ19" s="946"/>
      <c r="AK19" s="946"/>
      <c r="AL19" s="946"/>
      <c r="AM19" s="946"/>
      <c r="AN19" s="946"/>
      <c r="AO19" s="946"/>
      <c r="AP19" s="946"/>
      <c r="AQ19" s="946"/>
      <c r="AR19" s="946"/>
      <c r="AS19" s="946"/>
      <c r="AT19" s="946"/>
      <c r="AU19" s="946"/>
      <c r="AV19" s="946"/>
      <c r="AW19" s="946"/>
      <c r="AX19" s="946"/>
      <c r="AY19" s="946"/>
      <c r="AZ19" s="946"/>
      <c r="BA19" s="946"/>
      <c r="BB19" s="946"/>
      <c r="BC19" s="946"/>
      <c r="BD19" s="946"/>
      <c r="BE19" s="946"/>
      <c r="BF19" s="946"/>
      <c r="BG19" s="946"/>
      <c r="BH19" s="946"/>
      <c r="BI19" s="946"/>
      <c r="BJ19" s="946"/>
      <c r="BK19" s="946"/>
      <c r="BL19" s="946"/>
      <c r="BM19" s="946"/>
      <c r="BN19" s="946"/>
      <c r="BO19" s="948"/>
    </row>
    <row r="20" spans="1:67" x14ac:dyDescent="0.25">
      <c r="A20" s="196" t="s">
        <v>2007</v>
      </c>
      <c r="B20" s="206" t="str">
        <f>IF(ISERROR(VLOOKUP(G20,審判員!$A:$C,2,FALSE))=TRUE,"",VLOOKUP(G20,審判員!$A:$C,2,FALSE))</f>
        <v>佐々木　陽生</v>
      </c>
      <c r="C20" s="212">
        <f>IF(ISERROR(VLOOKUP(G20,審判員!$A:$C,3,FALSE))=TRUE,"",VLOOKUP(G20,審判員!$A:$C,3,FALSE))</f>
        <v>3</v>
      </c>
      <c r="D20" s="219" t="s">
        <v>612</v>
      </c>
      <c r="E20" s="906" t="s">
        <v>1286</v>
      </c>
      <c r="F20" s="906"/>
      <c r="G20" s="906" t="s">
        <v>15297</v>
      </c>
      <c r="H20" s="906"/>
      <c r="I20" s="906"/>
      <c r="J20" s="891" t="str">
        <f>V12</f>
        <v>大分トリニータタートルズ</v>
      </c>
      <c r="K20" s="981"/>
      <c r="L20" s="190"/>
      <c r="M20" s="196" t="s">
        <v>2007</v>
      </c>
      <c r="N20" s="206" t="str">
        <f>IF(ISERROR(VLOOKUP(S20,審判員!$A:$C,2,FALSE))=TRUE,"",VLOOKUP(S20,審判員!$A:$C,2,FALSE))</f>
        <v>佐藤　巨規</v>
      </c>
      <c r="O20" s="212">
        <f>IF(ISERROR(VLOOKUP(S20,審判員!$A:$C,3,FALSE))=TRUE,"",VLOOKUP(S20,審判員!$A:$C,3,FALSE))</f>
        <v>3</v>
      </c>
      <c r="P20" s="219" t="s">
        <v>612</v>
      </c>
      <c r="Q20" s="906" t="s">
        <v>1286</v>
      </c>
      <c r="R20" s="906"/>
      <c r="S20" s="906" t="s">
        <v>15307</v>
      </c>
      <c r="T20" s="906"/>
      <c r="U20" s="906"/>
      <c r="V20" s="891" t="str">
        <f>J12</f>
        <v>臼杵ＳＳＳ</v>
      </c>
      <c r="W20" s="981"/>
      <c r="Y20" s="941"/>
      <c r="Z20" s="936"/>
      <c r="AA20" s="936"/>
      <c r="AB20" s="936"/>
      <c r="AC20" s="936"/>
      <c r="AD20" s="936"/>
      <c r="AE20" s="958"/>
      <c r="AF20" s="946"/>
      <c r="AG20" s="946"/>
      <c r="AH20" s="946"/>
      <c r="AI20" s="946"/>
      <c r="AJ20" s="946"/>
      <c r="AK20" s="946"/>
      <c r="AL20" s="946"/>
      <c r="AM20" s="946"/>
      <c r="AN20" s="946"/>
      <c r="AO20" s="946"/>
      <c r="AP20" s="946"/>
      <c r="AQ20" s="946"/>
      <c r="AR20" s="946"/>
      <c r="AS20" s="946"/>
      <c r="AT20" s="946"/>
      <c r="AU20" s="946"/>
      <c r="AV20" s="946"/>
      <c r="AW20" s="946"/>
      <c r="AX20" s="946"/>
      <c r="AY20" s="946"/>
      <c r="AZ20" s="946"/>
      <c r="BA20" s="946"/>
      <c r="BB20" s="946"/>
      <c r="BC20" s="946"/>
      <c r="BD20" s="946"/>
      <c r="BE20" s="946"/>
      <c r="BF20" s="946"/>
      <c r="BG20" s="946"/>
      <c r="BH20" s="946"/>
      <c r="BI20" s="946"/>
      <c r="BJ20" s="946"/>
      <c r="BK20" s="946"/>
      <c r="BL20" s="946"/>
      <c r="BM20" s="946"/>
      <c r="BN20" s="946"/>
      <c r="BO20" s="949"/>
    </row>
    <row r="21" spans="1:67" ht="18.75" customHeight="1" x14ac:dyDescent="0.25">
      <c r="A21" s="197" t="s">
        <v>2008</v>
      </c>
      <c r="B21" s="207" t="str">
        <f>IF(ISERROR(VLOOKUP(G21,審判員!$A:$C,2,FALSE))=TRUE,"",VLOOKUP(G21,審判員!$A:$C,2,FALSE))</f>
        <v>寺次　良生</v>
      </c>
      <c r="C21" s="213">
        <f>IF(ISERROR(VLOOKUP(G21,審判員!$A:$C,3,FALSE))=TRUE,"",VLOOKUP(G21,審判員!$A:$C,3,FALSE))</f>
        <v>3</v>
      </c>
      <c r="D21" s="220" t="s">
        <v>612</v>
      </c>
      <c r="E21" s="977" t="s">
        <v>1286</v>
      </c>
      <c r="F21" s="977"/>
      <c r="G21" s="977" t="s">
        <v>15298</v>
      </c>
      <c r="H21" s="977"/>
      <c r="I21" s="977"/>
      <c r="J21" s="978" t="s">
        <v>788</v>
      </c>
      <c r="K21" s="979"/>
      <c r="L21" s="190"/>
      <c r="M21" s="197" t="s">
        <v>2008</v>
      </c>
      <c r="N21" s="207" t="str">
        <f>IF(ISERROR(VLOOKUP(S21,審判員!$A:$C,2,FALSE))=TRUE,"",VLOOKUP(S21,審判員!$A:$C,2,FALSE))</f>
        <v>安藤　大生</v>
      </c>
      <c r="O21" s="213">
        <f>IF(ISERROR(VLOOKUP(S21,審判員!$A:$C,3,FALSE))=TRUE,"",VLOOKUP(S21,審判員!$A:$C,3,FALSE))</f>
        <v>3</v>
      </c>
      <c r="P21" s="220" t="s">
        <v>612</v>
      </c>
      <c r="Q21" s="977" t="s">
        <v>1286</v>
      </c>
      <c r="R21" s="977"/>
      <c r="S21" s="977" t="s">
        <v>15308</v>
      </c>
      <c r="T21" s="977"/>
      <c r="U21" s="977"/>
      <c r="V21" s="978" t="s">
        <v>788</v>
      </c>
      <c r="W21" s="979"/>
      <c r="Y21" s="939" t="str">
        <f>$AC$7</f>
        <v>ドリームキッズフットボールクラブ</v>
      </c>
      <c r="Z21" s="940"/>
      <c r="AA21" s="940"/>
      <c r="AB21" s="940"/>
      <c r="AC21" s="940"/>
      <c r="AD21" s="940" t="s">
        <v>242</v>
      </c>
      <c r="AE21" s="940"/>
      <c r="AF21" s="950"/>
      <c r="AG21" s="942"/>
      <c r="AH21" s="942"/>
      <c r="AI21" s="942"/>
      <c r="AJ21" s="951"/>
      <c r="AK21" s="923" t="str">
        <f>IF(AK25="","",IF(AK25&gt;AN25,"○",IF(AK25&lt;AN25,"●",IF(AK23&gt;AN23,"△",IF(AK23&lt;AN23,"▲")))))</f>
        <v>○</v>
      </c>
      <c r="AL21" s="924"/>
      <c r="AM21" s="924"/>
      <c r="AN21" s="924"/>
      <c r="AO21" s="925"/>
      <c r="AP21" s="923" t="str">
        <f>IF(AP25="","",IF(AP25&gt;AS25,"○",IF(AP25&lt;AS25,"●",IF(AP23&gt;AS23,"△",IF(AP23&lt;AS23,"▲")))))</f>
        <v>○</v>
      </c>
      <c r="AQ21" s="924"/>
      <c r="AR21" s="924"/>
      <c r="AS21" s="924"/>
      <c r="AT21" s="925"/>
      <c r="AU21" s="903">
        <f>COUNTIF($AF$21:$AT$22,"○")</f>
        <v>2</v>
      </c>
      <c r="AV21" s="903"/>
      <c r="AW21" s="903">
        <f>COUNTIF($AF$21:$AT$22,"△")</f>
        <v>0</v>
      </c>
      <c r="AX21" s="903"/>
      <c r="AY21" s="903">
        <f>COUNTIF($AF$21:$AT$22,"▲")</f>
        <v>0</v>
      </c>
      <c r="AZ21" s="903"/>
      <c r="BA21" s="903">
        <f>COUNTIF($AF$21:$AT$22,"●")</f>
        <v>0</v>
      </c>
      <c r="BB21" s="903"/>
      <c r="BC21" s="903">
        <f>SUM($AK$25,$AP$25)</f>
        <v>5</v>
      </c>
      <c r="BD21" s="903"/>
      <c r="BE21" s="903">
        <f>SUM($AN$25,$AS$25)</f>
        <v>0</v>
      </c>
      <c r="BF21" s="903"/>
      <c r="BG21" s="903">
        <f>($AU$21*3)+($AW$21*2)+($AY$21*1)</f>
        <v>6</v>
      </c>
      <c r="BH21" s="903"/>
      <c r="BI21" s="910">
        <f>RANK($BG$21,$BG$21:$BH$38)</f>
        <v>1</v>
      </c>
      <c r="BJ21" s="910"/>
      <c r="BK21" s="903">
        <f>$BC$21-$BE$21</f>
        <v>5</v>
      </c>
      <c r="BL21" s="903"/>
      <c r="BM21" s="910">
        <f>RANK($BK$21,$BK$21:$BL$38)</f>
        <v>1</v>
      </c>
      <c r="BN21" s="910"/>
      <c r="BO21" s="912"/>
    </row>
    <row r="22" spans="1:67" ht="18.75" customHeight="1" x14ac:dyDescent="0.25">
      <c r="A22" s="198" t="s">
        <v>469</v>
      </c>
      <c r="B22" s="208" t="s">
        <v>606</v>
      </c>
      <c r="C22" s="208" t="s">
        <v>234</v>
      </c>
      <c r="D22" s="208" t="s">
        <v>272</v>
      </c>
      <c r="E22" s="208" t="s">
        <v>750</v>
      </c>
      <c r="F22" s="223"/>
      <c r="G22" s="208" t="s">
        <v>750</v>
      </c>
      <c r="H22" s="208" t="s">
        <v>272</v>
      </c>
      <c r="I22" s="208" t="s">
        <v>234</v>
      </c>
      <c r="J22" s="208" t="s">
        <v>606</v>
      </c>
      <c r="K22" s="225" t="s">
        <v>469</v>
      </c>
      <c r="L22" s="190"/>
      <c r="M22" s="198" t="s">
        <v>469</v>
      </c>
      <c r="N22" s="208" t="s">
        <v>606</v>
      </c>
      <c r="O22" s="208" t="s">
        <v>234</v>
      </c>
      <c r="P22" s="208" t="s">
        <v>272</v>
      </c>
      <c r="Q22" s="208" t="s">
        <v>750</v>
      </c>
      <c r="R22" s="223"/>
      <c r="S22" s="208" t="s">
        <v>750</v>
      </c>
      <c r="T22" s="208" t="s">
        <v>272</v>
      </c>
      <c r="U22" s="208" t="s">
        <v>234</v>
      </c>
      <c r="V22" s="208" t="s">
        <v>606</v>
      </c>
      <c r="W22" s="225" t="s">
        <v>469</v>
      </c>
      <c r="Y22" s="905"/>
      <c r="Z22" s="906"/>
      <c r="AA22" s="906"/>
      <c r="AB22" s="906"/>
      <c r="AC22" s="906"/>
      <c r="AD22" s="906"/>
      <c r="AE22" s="906"/>
      <c r="AF22" s="929"/>
      <c r="AG22" s="930"/>
      <c r="AH22" s="930"/>
      <c r="AI22" s="930"/>
      <c r="AJ22" s="931"/>
      <c r="AK22" s="917"/>
      <c r="AL22" s="918"/>
      <c r="AM22" s="918"/>
      <c r="AN22" s="918"/>
      <c r="AO22" s="920"/>
      <c r="AP22" s="917"/>
      <c r="AQ22" s="918"/>
      <c r="AR22" s="918"/>
      <c r="AS22" s="918"/>
      <c r="AT22" s="920"/>
      <c r="AU22" s="903"/>
      <c r="AV22" s="903"/>
      <c r="AW22" s="903"/>
      <c r="AX22" s="903"/>
      <c r="AY22" s="903"/>
      <c r="AZ22" s="903"/>
      <c r="BA22" s="903"/>
      <c r="BB22" s="903"/>
      <c r="BC22" s="903"/>
      <c r="BD22" s="903"/>
      <c r="BE22" s="903"/>
      <c r="BF22" s="903"/>
      <c r="BG22" s="903"/>
      <c r="BH22" s="903"/>
      <c r="BI22" s="910"/>
      <c r="BJ22" s="910"/>
      <c r="BK22" s="903"/>
      <c r="BL22" s="903"/>
      <c r="BM22" s="910"/>
      <c r="BN22" s="910"/>
      <c r="BO22" s="913"/>
    </row>
    <row r="23" spans="1:67" ht="18.75" customHeight="1" x14ac:dyDescent="0.25">
      <c r="A23" s="199"/>
      <c r="B23" s="209" t="str">
        <f>IF(ISERROR(VLOOKUP(CONCATENATE($B$12,"_",C23),選手名簿!$A:$E,5,FALSE))=TRUE,"",VLOOKUP(CONCATENATE($B$12,"_",C23),選手名簿!$A:$E,5,FALSE))</f>
        <v/>
      </c>
      <c r="C23" s="214"/>
      <c r="D23" s="214"/>
      <c r="E23" s="221"/>
      <c r="F23" s="223"/>
      <c r="G23" s="221"/>
      <c r="H23" s="214"/>
      <c r="I23" s="214"/>
      <c r="J23" s="206" t="str">
        <f>IF(ISERROR(VLOOKUP(CONCATENATE($J$12,"_",I23),選手名簿!$A:$E,5,FALSE))=TRUE,"",VLOOKUP(CONCATENATE($J$12,"_",I23),選手名簿!$A:$E,5,FALSE))</f>
        <v/>
      </c>
      <c r="K23" s="226"/>
      <c r="L23" s="190"/>
      <c r="M23" s="199"/>
      <c r="N23" s="209" t="str">
        <f>IF(ISERROR(VLOOKUP(CONCATENATE($N$12,"_",O23),選手名簿!$A:$E,5,FALSE))=TRUE,"",VLOOKUP(CONCATENATE($N$12,"_",O23),選手名簿!$A:$E,5,FALSE))</f>
        <v/>
      </c>
      <c r="O23" s="214"/>
      <c r="P23" s="214"/>
      <c r="Q23" s="221"/>
      <c r="R23" s="223"/>
      <c r="S23" s="221"/>
      <c r="T23" s="214"/>
      <c r="U23" s="214"/>
      <c r="V23" s="206" t="str">
        <f>IF(ISERROR(VLOOKUP(CONCATENATE($V$12,"_",U23),選手名簿!$A:$E,5,FALSE))=TRUE,"",VLOOKUP(CONCATENATE($V$12,"_",U23),選手名簿!$A:$E,5,FALSE))</f>
        <v/>
      </c>
      <c r="W23" s="226"/>
      <c r="Y23" s="905"/>
      <c r="Z23" s="906"/>
      <c r="AA23" s="906"/>
      <c r="AB23" s="906"/>
      <c r="AC23" s="906"/>
      <c r="AD23" s="906"/>
      <c r="AE23" s="906"/>
      <c r="AF23" s="929"/>
      <c r="AG23" s="930"/>
      <c r="AH23" s="930"/>
      <c r="AI23" s="930"/>
      <c r="AJ23" s="931"/>
      <c r="AK23" s="915" t="str">
        <f>IF($E$14="","",$E$14)</f>
        <v/>
      </c>
      <c r="AL23" s="916"/>
      <c r="AM23" s="916" t="s">
        <v>2011</v>
      </c>
      <c r="AN23" s="916" t="str">
        <f>IF($G$14="","",$G$14)</f>
        <v/>
      </c>
      <c r="AO23" s="919"/>
      <c r="AP23" s="915" t="str">
        <f>IF($G$50="","",$G$50)</f>
        <v/>
      </c>
      <c r="AQ23" s="916"/>
      <c r="AR23" s="916" t="s">
        <v>2011</v>
      </c>
      <c r="AS23" s="916" t="str">
        <f>IF($E$50="","",$E$50)</f>
        <v/>
      </c>
      <c r="AT23" s="919"/>
      <c r="AU23" s="903"/>
      <c r="AV23" s="903"/>
      <c r="AW23" s="903"/>
      <c r="AX23" s="903"/>
      <c r="AY23" s="903"/>
      <c r="AZ23" s="903"/>
      <c r="BA23" s="903"/>
      <c r="BB23" s="903"/>
      <c r="BC23" s="903"/>
      <c r="BD23" s="903"/>
      <c r="BE23" s="903"/>
      <c r="BF23" s="903"/>
      <c r="BG23" s="903"/>
      <c r="BH23" s="903"/>
      <c r="BI23" s="910"/>
      <c r="BJ23" s="910"/>
      <c r="BK23" s="903"/>
      <c r="BL23" s="903"/>
      <c r="BM23" s="910"/>
      <c r="BN23" s="910"/>
      <c r="BO23" s="913"/>
    </row>
    <row r="24" spans="1:67" ht="18.75" customHeight="1" x14ac:dyDescent="0.25">
      <c r="A24" s="199"/>
      <c r="B24" s="209" t="str">
        <f>IF(ISERROR(VLOOKUP(CONCATENATE($B$12,"_",C24),選手名簿!$A:$E,5,FALSE))=TRUE,"",VLOOKUP(CONCATENATE($B$12,"_",C24),選手名簿!$A:$E,5,FALSE))</f>
        <v/>
      </c>
      <c r="C24" s="214"/>
      <c r="D24" s="214"/>
      <c r="E24" s="221"/>
      <c r="F24" s="223"/>
      <c r="G24" s="221"/>
      <c r="H24" s="214"/>
      <c r="I24" s="214"/>
      <c r="J24" s="209" t="str">
        <f>IF(ISERROR(VLOOKUP(CONCATENATE($J$12,"_",I24),選手名簿!$A:$E,5,FALSE))=TRUE,"",VLOOKUP(CONCATENATE($J$12,"_",I24),選手名簿!$A:$E,5,FALSE))</f>
        <v/>
      </c>
      <c r="K24" s="226"/>
      <c r="L24" s="190"/>
      <c r="M24" s="199"/>
      <c r="N24" s="209" t="str">
        <f>IF(ISERROR(VLOOKUP(CONCATENATE($N$12,"_",O24),選手名簿!$A:$E,5,FALSE))=TRUE,"",VLOOKUP(CONCATENATE($N$12,"_",O24),選手名簿!$A:$E,5,FALSE))</f>
        <v/>
      </c>
      <c r="O24" s="214"/>
      <c r="P24" s="214"/>
      <c r="Q24" s="221"/>
      <c r="R24" s="223"/>
      <c r="S24" s="221"/>
      <c r="T24" s="214"/>
      <c r="U24" s="214"/>
      <c r="V24" s="209" t="str">
        <f>IF(ISERROR(VLOOKUP(CONCATENATE($V$12,"_",U24),選手名簿!$A:$E,5,FALSE))=TRUE,"",VLOOKUP(CONCATENATE($V$12,"_",U24),選手名簿!$A:$E,5,FALSE))</f>
        <v/>
      </c>
      <c r="W24" s="226"/>
      <c r="Y24" s="905"/>
      <c r="Z24" s="906"/>
      <c r="AA24" s="906"/>
      <c r="AB24" s="906"/>
      <c r="AC24" s="906"/>
      <c r="AD24" s="906" t="s">
        <v>2010</v>
      </c>
      <c r="AE24" s="906"/>
      <c r="AF24" s="929"/>
      <c r="AG24" s="930"/>
      <c r="AH24" s="930"/>
      <c r="AI24" s="930"/>
      <c r="AJ24" s="931"/>
      <c r="AK24" s="917"/>
      <c r="AL24" s="918"/>
      <c r="AM24" s="918"/>
      <c r="AN24" s="918"/>
      <c r="AO24" s="920"/>
      <c r="AP24" s="917"/>
      <c r="AQ24" s="918"/>
      <c r="AR24" s="918"/>
      <c r="AS24" s="918"/>
      <c r="AT24" s="920"/>
      <c r="AU24" s="903"/>
      <c r="AV24" s="903"/>
      <c r="AW24" s="903"/>
      <c r="AX24" s="903"/>
      <c r="AY24" s="903"/>
      <c r="AZ24" s="903"/>
      <c r="BA24" s="903"/>
      <c r="BB24" s="903"/>
      <c r="BC24" s="903"/>
      <c r="BD24" s="903"/>
      <c r="BE24" s="903"/>
      <c r="BF24" s="903"/>
      <c r="BG24" s="903"/>
      <c r="BH24" s="903"/>
      <c r="BI24" s="910"/>
      <c r="BJ24" s="910"/>
      <c r="BK24" s="903"/>
      <c r="BL24" s="903"/>
      <c r="BM24" s="910"/>
      <c r="BN24" s="910"/>
      <c r="BO24" s="913"/>
    </row>
    <row r="25" spans="1:67" ht="18.75" customHeight="1" x14ac:dyDescent="0.25">
      <c r="A25" s="199"/>
      <c r="B25" s="209" t="str">
        <f>IF(ISERROR(VLOOKUP(CONCATENATE($B$12,"_",C25),選手名簿!$A:$E,5,FALSE))=TRUE,"",VLOOKUP(CONCATENATE($B$12,"_",C25),選手名簿!$A:$E,5,FALSE))</f>
        <v/>
      </c>
      <c r="C25" s="214"/>
      <c r="D25" s="214"/>
      <c r="E25" s="221"/>
      <c r="F25" s="223"/>
      <c r="G25" s="221"/>
      <c r="H25" s="214"/>
      <c r="I25" s="214"/>
      <c r="J25" s="209" t="str">
        <f>IF(ISERROR(VLOOKUP(CONCATENATE($J$12,"_",I25),選手名簿!$A:$E,5,FALSE))=TRUE,"",VLOOKUP(CONCATENATE($J$12,"_",I25),選手名簿!$A:$E,5,FALSE))</f>
        <v/>
      </c>
      <c r="K25" s="226"/>
      <c r="L25" s="190"/>
      <c r="M25" s="199"/>
      <c r="N25" s="209" t="str">
        <f>IF(ISERROR(VLOOKUP(CONCATENATE($N$12,"_",O25),選手名簿!$A:$E,5,FALSE))=TRUE,"",VLOOKUP(CONCATENATE($N$12,"_",O25),選手名簿!$A:$E,5,FALSE))</f>
        <v/>
      </c>
      <c r="O25" s="214"/>
      <c r="P25" s="214"/>
      <c r="Q25" s="221"/>
      <c r="R25" s="223"/>
      <c r="S25" s="221"/>
      <c r="T25" s="214"/>
      <c r="U25" s="214"/>
      <c r="V25" s="209" t="str">
        <f>IF(ISERROR(VLOOKUP(CONCATENATE($V$12,"_",U25),選手名簿!$A:$E,5,FALSE))=TRUE,"",VLOOKUP(CONCATENATE($V$12,"_",U25),選手名簿!$A:$E,5,FALSE))</f>
        <v/>
      </c>
      <c r="W25" s="226"/>
      <c r="Y25" s="905"/>
      <c r="Z25" s="906"/>
      <c r="AA25" s="906"/>
      <c r="AB25" s="906"/>
      <c r="AC25" s="906"/>
      <c r="AD25" s="906"/>
      <c r="AE25" s="906"/>
      <c r="AF25" s="929"/>
      <c r="AG25" s="930"/>
      <c r="AH25" s="930"/>
      <c r="AI25" s="930"/>
      <c r="AJ25" s="931"/>
      <c r="AK25" s="915">
        <f>$C$12</f>
        <v>2</v>
      </c>
      <c r="AL25" s="916"/>
      <c r="AM25" s="916" t="s">
        <v>2011</v>
      </c>
      <c r="AN25" s="916">
        <f>$I$12</f>
        <v>0</v>
      </c>
      <c r="AO25" s="919"/>
      <c r="AP25" s="915">
        <f>$I$48</f>
        <v>3</v>
      </c>
      <c r="AQ25" s="916"/>
      <c r="AR25" s="916" t="s">
        <v>2011</v>
      </c>
      <c r="AS25" s="916">
        <f>$C$48</f>
        <v>0</v>
      </c>
      <c r="AT25" s="919"/>
      <c r="AU25" s="903"/>
      <c r="AV25" s="903"/>
      <c r="AW25" s="903"/>
      <c r="AX25" s="903"/>
      <c r="AY25" s="903"/>
      <c r="AZ25" s="903"/>
      <c r="BA25" s="903"/>
      <c r="BB25" s="903"/>
      <c r="BC25" s="903"/>
      <c r="BD25" s="903"/>
      <c r="BE25" s="903"/>
      <c r="BF25" s="903"/>
      <c r="BG25" s="903"/>
      <c r="BH25" s="903"/>
      <c r="BI25" s="910"/>
      <c r="BJ25" s="910"/>
      <c r="BK25" s="903"/>
      <c r="BL25" s="903"/>
      <c r="BM25" s="910"/>
      <c r="BN25" s="910"/>
      <c r="BO25" s="913"/>
    </row>
    <row r="26" spans="1:67" ht="18.75" customHeight="1" x14ac:dyDescent="0.25">
      <c r="A26" s="199"/>
      <c r="B26" s="209" t="str">
        <f>IF(ISERROR(VLOOKUP(CONCATENATE($B$12,"_",C26),選手名簿!$A:$E,5,FALSE))=TRUE,"",VLOOKUP(CONCATENATE($B$12,"_",C26),選手名簿!$A:$E,5,FALSE))</f>
        <v/>
      </c>
      <c r="C26" s="214"/>
      <c r="D26" s="214"/>
      <c r="E26" s="221"/>
      <c r="F26" s="223"/>
      <c r="G26" s="221"/>
      <c r="H26" s="214"/>
      <c r="I26" s="214"/>
      <c r="J26" s="209" t="str">
        <f>IF(ISERROR(VLOOKUP(CONCATENATE($J$12,"_",I26),選手名簿!$A:$E,5,FALSE))=TRUE,"",VLOOKUP(CONCATENATE($J$12,"_",I26),選手名簿!$A:$E,5,FALSE))</f>
        <v/>
      </c>
      <c r="K26" s="226"/>
      <c r="L26" s="190"/>
      <c r="M26" s="199"/>
      <c r="N26" s="209" t="str">
        <f>IF(ISERROR(VLOOKUP(CONCATENATE($N$12,"_",O26),選手名簿!$A:$E,5,FALSE))=TRUE,"",VLOOKUP(CONCATENATE($N$12,"_",O26),選手名簿!$A:$E,5,FALSE))</f>
        <v/>
      </c>
      <c r="O26" s="214"/>
      <c r="P26" s="214"/>
      <c r="Q26" s="221"/>
      <c r="R26" s="223"/>
      <c r="S26" s="221"/>
      <c r="T26" s="214"/>
      <c r="U26" s="214"/>
      <c r="V26" s="209" t="str">
        <f>IF(ISERROR(VLOOKUP(CONCATENATE($V$12,"_",U26),選手名簿!$A:$E,5,FALSE))=TRUE,"",VLOOKUP(CONCATENATE($V$12,"_",U26),選手名簿!$A:$E,5,FALSE))</f>
        <v/>
      </c>
      <c r="W26" s="226"/>
      <c r="Y26" s="941"/>
      <c r="Z26" s="936"/>
      <c r="AA26" s="936"/>
      <c r="AB26" s="936"/>
      <c r="AC26" s="936"/>
      <c r="AD26" s="936"/>
      <c r="AE26" s="936"/>
      <c r="AF26" s="952"/>
      <c r="AG26" s="943"/>
      <c r="AH26" s="943"/>
      <c r="AI26" s="943"/>
      <c r="AJ26" s="953"/>
      <c r="AK26" s="937"/>
      <c r="AL26" s="560"/>
      <c r="AM26" s="560"/>
      <c r="AN26" s="560"/>
      <c r="AO26" s="938"/>
      <c r="AP26" s="937"/>
      <c r="AQ26" s="560"/>
      <c r="AR26" s="560"/>
      <c r="AS26" s="560"/>
      <c r="AT26" s="938"/>
      <c r="AU26" s="903"/>
      <c r="AV26" s="903"/>
      <c r="AW26" s="903"/>
      <c r="AX26" s="903"/>
      <c r="AY26" s="903"/>
      <c r="AZ26" s="903"/>
      <c r="BA26" s="903"/>
      <c r="BB26" s="903"/>
      <c r="BC26" s="903"/>
      <c r="BD26" s="903"/>
      <c r="BE26" s="903"/>
      <c r="BF26" s="903"/>
      <c r="BG26" s="903"/>
      <c r="BH26" s="903"/>
      <c r="BI26" s="910"/>
      <c r="BJ26" s="910"/>
      <c r="BK26" s="903"/>
      <c r="BL26" s="903"/>
      <c r="BM26" s="910"/>
      <c r="BN26" s="910"/>
      <c r="BO26" s="935"/>
    </row>
    <row r="27" spans="1:67" ht="18.75" customHeight="1" x14ac:dyDescent="0.25">
      <c r="A27" s="200"/>
      <c r="B27" s="210" t="str">
        <f>IF(ISERROR(VLOOKUP(CONCATENATE($B$12,"_",C27),選手名簿!$A:$E,5,FALSE))=TRUE,"",VLOOKUP(CONCATENATE($B$12,"_",C27),選手名簿!$A:$E,5,FALSE))</f>
        <v/>
      </c>
      <c r="C27" s="215"/>
      <c r="D27" s="215"/>
      <c r="E27" s="222"/>
      <c r="F27" s="224"/>
      <c r="G27" s="222"/>
      <c r="H27" s="215"/>
      <c r="I27" s="215"/>
      <c r="J27" s="210" t="str">
        <f>IF(ISERROR(VLOOKUP(CONCATENATE($J$12,"_",I27),選手名簿!$A:$E,5,FALSE))=TRUE,"",VLOOKUP(CONCATENATE($J$12,"_",I27),選手名簿!$A:$E,5,FALSE))</f>
        <v/>
      </c>
      <c r="K27" s="227"/>
      <c r="L27" s="190"/>
      <c r="M27" s="200"/>
      <c r="N27" s="210" t="str">
        <f>IF(ISERROR(VLOOKUP(CONCATENATE($N$12,"_",O27),選手名簿!$A:$E,5,FALSE))=TRUE,"",VLOOKUP(CONCATENATE($N$12,"_",O27),選手名簿!$A:$E,5,FALSE))</f>
        <v/>
      </c>
      <c r="O27" s="215"/>
      <c r="P27" s="215"/>
      <c r="Q27" s="222"/>
      <c r="R27" s="224"/>
      <c r="S27" s="222"/>
      <c r="T27" s="215"/>
      <c r="U27" s="215"/>
      <c r="V27" s="210" t="str">
        <f>IF(ISERROR(VLOOKUP(CONCATENATE($V$12,"_",U27),選手名簿!$A:$E,5,FALSE))=TRUE,"",VLOOKUP(CONCATENATE($V$12,"_",U27),選手名簿!$A:$E,5,FALSE))</f>
        <v/>
      </c>
      <c r="W27" s="227"/>
      <c r="Y27" s="939" t="str">
        <f>$AC$8</f>
        <v>臼杵ＳＳＳ</v>
      </c>
      <c r="Z27" s="940"/>
      <c r="AA27" s="940"/>
      <c r="AB27" s="940"/>
      <c r="AC27" s="940"/>
      <c r="AD27" s="940" t="s">
        <v>242</v>
      </c>
      <c r="AE27" s="940"/>
      <c r="AF27" s="923" t="str">
        <f>IF(AF31="","",IF(AF31&gt;AI31,"○",IF(AF31&lt;AI31,"●",IF(AF29&gt;AI29,"△",IF(AF29&lt;AI29,"▲")))))</f>
        <v>●</v>
      </c>
      <c r="AG27" s="924"/>
      <c r="AH27" s="924"/>
      <c r="AI27" s="924"/>
      <c r="AJ27" s="925"/>
      <c r="AK27" s="942"/>
      <c r="AL27" s="942"/>
      <c r="AM27" s="942"/>
      <c r="AN27" s="942"/>
      <c r="AO27" s="942"/>
      <c r="AP27" s="923" t="str">
        <f>IF(AP31="","",IF(AP31&gt;AS31,"○",IF(AP31&lt;AS31,"●",IF(AP29&gt;AS29,"△",IF(AP29&lt;AS29,"▲")))))</f>
        <v>●</v>
      </c>
      <c r="AQ27" s="924"/>
      <c r="AR27" s="924"/>
      <c r="AS27" s="924"/>
      <c r="AT27" s="925"/>
      <c r="AU27" s="903">
        <f>COUNTIF($AF$27:$AT$28,"○")</f>
        <v>0</v>
      </c>
      <c r="AV27" s="903"/>
      <c r="AW27" s="903">
        <f>COUNTIF($AF$27:$AT$28,"△")</f>
        <v>0</v>
      </c>
      <c r="AX27" s="903"/>
      <c r="AY27" s="903">
        <f>COUNTIF($AF$27:$AT$28,"▲")</f>
        <v>0</v>
      </c>
      <c r="AZ27" s="903"/>
      <c r="BA27" s="903">
        <f>COUNTIF($AF$27:$AT$28,"●")</f>
        <v>2</v>
      </c>
      <c r="BB27" s="903"/>
      <c r="BC27" s="903">
        <f>SUM($AF$31,$AP$31)</f>
        <v>1</v>
      </c>
      <c r="BD27" s="903"/>
      <c r="BE27" s="903">
        <f>SUM($AI$31,$AS$31)</f>
        <v>4</v>
      </c>
      <c r="BF27" s="903"/>
      <c r="BG27" s="903">
        <f>($AU$27*3)+($AW$27*2)+($AY$27*1)</f>
        <v>0</v>
      </c>
      <c r="BH27" s="903"/>
      <c r="BI27" s="910">
        <f>RANK($BG$27,$BG$21:$BH$38)</f>
        <v>3</v>
      </c>
      <c r="BJ27" s="910"/>
      <c r="BK27" s="903">
        <f>$BC$27-$BE$27</f>
        <v>-3</v>
      </c>
      <c r="BL27" s="903"/>
      <c r="BM27" s="910">
        <f>RANK($BK$27,$BK$21:$BL$38)</f>
        <v>3</v>
      </c>
      <c r="BN27" s="910"/>
      <c r="BO27" s="912"/>
    </row>
    <row r="28" spans="1:67" ht="18.75" customHeight="1" x14ac:dyDescent="0.25">
      <c r="A28" s="190"/>
      <c r="B28" s="190"/>
      <c r="C28" s="190"/>
      <c r="D28" s="190"/>
      <c r="E28" s="190"/>
      <c r="F28" s="190"/>
      <c r="G28" s="190"/>
      <c r="H28" s="190"/>
      <c r="I28" s="190"/>
      <c r="J28" s="190"/>
      <c r="K28" s="190"/>
      <c r="L28" s="190"/>
      <c r="M28" s="190"/>
      <c r="N28" s="190"/>
      <c r="O28" s="190"/>
      <c r="P28" s="190"/>
      <c r="Q28" s="190"/>
      <c r="R28" s="190"/>
      <c r="S28" s="190"/>
      <c r="T28" s="190"/>
      <c r="U28" s="190"/>
      <c r="V28" s="190"/>
      <c r="Y28" s="905"/>
      <c r="Z28" s="906"/>
      <c r="AA28" s="906"/>
      <c r="AB28" s="906"/>
      <c r="AC28" s="906"/>
      <c r="AD28" s="906"/>
      <c r="AE28" s="906"/>
      <c r="AF28" s="917"/>
      <c r="AG28" s="918"/>
      <c r="AH28" s="918"/>
      <c r="AI28" s="918"/>
      <c r="AJ28" s="920"/>
      <c r="AK28" s="930"/>
      <c r="AL28" s="930"/>
      <c r="AM28" s="930"/>
      <c r="AN28" s="930"/>
      <c r="AO28" s="930"/>
      <c r="AP28" s="917"/>
      <c r="AQ28" s="918"/>
      <c r="AR28" s="918"/>
      <c r="AS28" s="918"/>
      <c r="AT28" s="920"/>
      <c r="AU28" s="903"/>
      <c r="AV28" s="903"/>
      <c r="AW28" s="903"/>
      <c r="AX28" s="903"/>
      <c r="AY28" s="903"/>
      <c r="AZ28" s="903"/>
      <c r="BA28" s="903"/>
      <c r="BB28" s="903"/>
      <c r="BC28" s="903"/>
      <c r="BD28" s="903"/>
      <c r="BE28" s="903"/>
      <c r="BF28" s="903"/>
      <c r="BG28" s="903"/>
      <c r="BH28" s="903"/>
      <c r="BI28" s="910"/>
      <c r="BJ28" s="910"/>
      <c r="BK28" s="903"/>
      <c r="BL28" s="903"/>
      <c r="BM28" s="910"/>
      <c r="BN28" s="910"/>
      <c r="BO28" s="913"/>
    </row>
    <row r="29" spans="1:67" ht="18.75" customHeight="1" x14ac:dyDescent="0.25">
      <c r="A29" s="190"/>
      <c r="B29" s="190"/>
      <c r="C29" s="190"/>
      <c r="D29" s="190"/>
      <c r="E29" s="190"/>
      <c r="F29" s="190"/>
      <c r="G29" s="190"/>
      <c r="H29" s="190"/>
      <c r="I29" s="190"/>
      <c r="J29" s="190"/>
      <c r="K29" s="190"/>
      <c r="L29" s="190"/>
      <c r="M29" s="190"/>
      <c r="N29" s="190"/>
      <c r="O29" s="190"/>
      <c r="P29" s="190"/>
      <c r="Q29" s="190"/>
      <c r="R29" s="190"/>
      <c r="S29" s="190"/>
      <c r="T29" s="190"/>
      <c r="U29" s="190"/>
      <c r="V29" s="190"/>
      <c r="Y29" s="905"/>
      <c r="Z29" s="906"/>
      <c r="AA29" s="906"/>
      <c r="AB29" s="906"/>
      <c r="AC29" s="906"/>
      <c r="AD29" s="906"/>
      <c r="AE29" s="906"/>
      <c r="AF29" s="915" t="str">
        <f>AN23</f>
        <v/>
      </c>
      <c r="AG29" s="916"/>
      <c r="AH29" s="916" t="s">
        <v>2011</v>
      </c>
      <c r="AI29" s="916" t="str">
        <f>AK23</f>
        <v/>
      </c>
      <c r="AJ29" s="919"/>
      <c r="AK29" s="930"/>
      <c r="AL29" s="930"/>
      <c r="AM29" s="930"/>
      <c r="AN29" s="930"/>
      <c r="AO29" s="930"/>
      <c r="AP29" s="915" t="str">
        <f>IF($E$32="","",$E$32)</f>
        <v/>
      </c>
      <c r="AQ29" s="916"/>
      <c r="AR29" s="916" t="s">
        <v>2011</v>
      </c>
      <c r="AS29" s="916" t="str">
        <f>IF($G$32="","",$G$32)</f>
        <v/>
      </c>
      <c r="AT29" s="919"/>
      <c r="AU29" s="903"/>
      <c r="AV29" s="903"/>
      <c r="AW29" s="903"/>
      <c r="AX29" s="903"/>
      <c r="AY29" s="903"/>
      <c r="AZ29" s="903"/>
      <c r="BA29" s="903"/>
      <c r="BB29" s="903"/>
      <c r="BC29" s="903"/>
      <c r="BD29" s="903"/>
      <c r="BE29" s="903"/>
      <c r="BF29" s="903"/>
      <c r="BG29" s="903"/>
      <c r="BH29" s="903"/>
      <c r="BI29" s="910"/>
      <c r="BJ29" s="910"/>
      <c r="BK29" s="903"/>
      <c r="BL29" s="903"/>
      <c r="BM29" s="910"/>
      <c r="BN29" s="910"/>
      <c r="BO29" s="913"/>
    </row>
    <row r="30" spans="1:67" ht="18.75" customHeight="1" x14ac:dyDescent="0.25">
      <c r="A30" s="963" t="s">
        <v>1217</v>
      </c>
      <c r="B30" s="964" t="str">
        <f>C8</f>
        <v>臼杵ＳＳＳ</v>
      </c>
      <c r="C30" s="966">
        <f>IF(E30="","",SUM(E30:E31))</f>
        <v>1</v>
      </c>
      <c r="D30" s="940" t="s">
        <v>336</v>
      </c>
      <c r="E30" s="217">
        <v>1</v>
      </c>
      <c r="F30" s="217" t="s">
        <v>61</v>
      </c>
      <c r="G30" s="217">
        <v>0</v>
      </c>
      <c r="H30" s="940" t="s">
        <v>339</v>
      </c>
      <c r="I30" s="966">
        <f>IF(G30="","",SUM(G30:G31))</f>
        <v>2</v>
      </c>
      <c r="J30" s="968" t="str">
        <f>C9</f>
        <v>別府フットボールクラブ．ミネルバＵ－１２</v>
      </c>
      <c r="K30" s="190"/>
      <c r="L30" s="190"/>
      <c r="M30" s="969" t="s">
        <v>2018</v>
      </c>
      <c r="N30" s="964" t="str">
        <f>O8</f>
        <v>大分トリニータタートルズ</v>
      </c>
      <c r="O30" s="966">
        <f>IF(Q30="","",SUM(Q30:Q31))</f>
        <v>0</v>
      </c>
      <c r="P30" s="940" t="s">
        <v>336</v>
      </c>
      <c r="Q30" s="217">
        <v>0</v>
      </c>
      <c r="R30" s="217" t="s">
        <v>61</v>
      </c>
      <c r="S30" s="217">
        <v>0</v>
      </c>
      <c r="T30" s="940" t="s">
        <v>339</v>
      </c>
      <c r="U30" s="966">
        <f>IF(S30="","",SUM(S30:S31))</f>
        <v>1</v>
      </c>
      <c r="V30" s="968" t="str">
        <f>O9</f>
        <v>リノスフットボールクラブ　Ｕ－１２</v>
      </c>
      <c r="Y30" s="905"/>
      <c r="Z30" s="906"/>
      <c r="AA30" s="906"/>
      <c r="AB30" s="906"/>
      <c r="AC30" s="906"/>
      <c r="AD30" s="906" t="s">
        <v>2010</v>
      </c>
      <c r="AE30" s="906"/>
      <c r="AF30" s="917"/>
      <c r="AG30" s="918"/>
      <c r="AH30" s="918"/>
      <c r="AI30" s="918"/>
      <c r="AJ30" s="920"/>
      <c r="AK30" s="930"/>
      <c r="AL30" s="930"/>
      <c r="AM30" s="930"/>
      <c r="AN30" s="930"/>
      <c r="AO30" s="930"/>
      <c r="AP30" s="917"/>
      <c r="AQ30" s="918"/>
      <c r="AR30" s="918"/>
      <c r="AS30" s="918"/>
      <c r="AT30" s="920"/>
      <c r="AU30" s="903"/>
      <c r="AV30" s="903"/>
      <c r="AW30" s="903"/>
      <c r="AX30" s="903"/>
      <c r="AY30" s="903"/>
      <c r="AZ30" s="903"/>
      <c r="BA30" s="903"/>
      <c r="BB30" s="903"/>
      <c r="BC30" s="903"/>
      <c r="BD30" s="903"/>
      <c r="BE30" s="903"/>
      <c r="BF30" s="903"/>
      <c r="BG30" s="903"/>
      <c r="BH30" s="903"/>
      <c r="BI30" s="910"/>
      <c r="BJ30" s="910"/>
      <c r="BK30" s="903"/>
      <c r="BL30" s="903"/>
      <c r="BM30" s="910"/>
      <c r="BN30" s="910"/>
      <c r="BO30" s="913"/>
    </row>
    <row r="31" spans="1:67" ht="18.75" customHeight="1" x14ac:dyDescent="0.25">
      <c r="A31" s="946"/>
      <c r="B31" s="965"/>
      <c r="C31" s="967"/>
      <c r="D31" s="906"/>
      <c r="E31" s="190">
        <v>0</v>
      </c>
      <c r="F31" s="190" t="s">
        <v>126</v>
      </c>
      <c r="G31" s="190">
        <v>2</v>
      </c>
      <c r="H31" s="906"/>
      <c r="I31" s="967"/>
      <c r="J31" s="957"/>
      <c r="K31" s="190"/>
      <c r="L31" s="190"/>
      <c r="M31" s="970"/>
      <c r="N31" s="965"/>
      <c r="O31" s="967"/>
      <c r="P31" s="906"/>
      <c r="Q31" s="190">
        <v>0</v>
      </c>
      <c r="R31" s="190" t="s">
        <v>126</v>
      </c>
      <c r="S31" s="190">
        <v>1</v>
      </c>
      <c r="T31" s="906"/>
      <c r="U31" s="967"/>
      <c r="V31" s="957"/>
      <c r="Y31" s="905"/>
      <c r="Z31" s="906"/>
      <c r="AA31" s="906"/>
      <c r="AB31" s="906"/>
      <c r="AC31" s="906"/>
      <c r="AD31" s="906"/>
      <c r="AE31" s="906"/>
      <c r="AF31" s="915">
        <f>AN25</f>
        <v>0</v>
      </c>
      <c r="AG31" s="916"/>
      <c r="AH31" s="916" t="s">
        <v>2011</v>
      </c>
      <c r="AI31" s="916">
        <f>AK25</f>
        <v>2</v>
      </c>
      <c r="AJ31" s="919"/>
      <c r="AK31" s="930"/>
      <c r="AL31" s="930"/>
      <c r="AM31" s="930"/>
      <c r="AN31" s="930"/>
      <c r="AO31" s="930"/>
      <c r="AP31" s="915">
        <f>$C$30</f>
        <v>1</v>
      </c>
      <c r="AQ31" s="916"/>
      <c r="AR31" s="916" t="s">
        <v>2011</v>
      </c>
      <c r="AS31" s="916">
        <f>$I$30</f>
        <v>2</v>
      </c>
      <c r="AT31" s="919"/>
      <c r="AU31" s="903"/>
      <c r="AV31" s="903"/>
      <c r="AW31" s="903"/>
      <c r="AX31" s="903"/>
      <c r="AY31" s="903"/>
      <c r="AZ31" s="903"/>
      <c r="BA31" s="903"/>
      <c r="BB31" s="903"/>
      <c r="BC31" s="903"/>
      <c r="BD31" s="903"/>
      <c r="BE31" s="903"/>
      <c r="BF31" s="903"/>
      <c r="BG31" s="903"/>
      <c r="BH31" s="903"/>
      <c r="BI31" s="910"/>
      <c r="BJ31" s="910"/>
      <c r="BK31" s="903"/>
      <c r="BL31" s="903"/>
      <c r="BM31" s="910"/>
      <c r="BN31" s="910"/>
      <c r="BO31" s="913"/>
    </row>
    <row r="32" spans="1:67" ht="18.75" customHeight="1" x14ac:dyDescent="0.25">
      <c r="A32" s="946"/>
      <c r="B32" s="965"/>
      <c r="C32" s="967"/>
      <c r="D32" s="906"/>
      <c r="E32" s="190"/>
      <c r="F32" s="190" t="s">
        <v>407</v>
      </c>
      <c r="G32" s="190"/>
      <c r="H32" s="906"/>
      <c r="I32" s="967"/>
      <c r="J32" s="957"/>
      <c r="K32" s="190"/>
      <c r="L32" s="190"/>
      <c r="M32" s="971"/>
      <c r="N32" s="994"/>
      <c r="O32" s="975"/>
      <c r="P32" s="908"/>
      <c r="Q32" s="190"/>
      <c r="R32" s="190" t="s">
        <v>407</v>
      </c>
      <c r="S32" s="190"/>
      <c r="T32" s="908"/>
      <c r="U32" s="975"/>
      <c r="V32" s="976"/>
      <c r="Y32" s="941"/>
      <c r="Z32" s="936"/>
      <c r="AA32" s="936"/>
      <c r="AB32" s="936"/>
      <c r="AC32" s="936"/>
      <c r="AD32" s="936"/>
      <c r="AE32" s="936"/>
      <c r="AF32" s="937"/>
      <c r="AG32" s="560"/>
      <c r="AH32" s="560"/>
      <c r="AI32" s="560"/>
      <c r="AJ32" s="938"/>
      <c r="AK32" s="943"/>
      <c r="AL32" s="943"/>
      <c r="AM32" s="943"/>
      <c r="AN32" s="943"/>
      <c r="AO32" s="943"/>
      <c r="AP32" s="937"/>
      <c r="AQ32" s="560"/>
      <c r="AR32" s="560"/>
      <c r="AS32" s="560"/>
      <c r="AT32" s="938"/>
      <c r="AU32" s="903"/>
      <c r="AV32" s="903"/>
      <c r="AW32" s="903"/>
      <c r="AX32" s="903"/>
      <c r="AY32" s="903"/>
      <c r="AZ32" s="903"/>
      <c r="BA32" s="903"/>
      <c r="BB32" s="903"/>
      <c r="BC32" s="903"/>
      <c r="BD32" s="903"/>
      <c r="BE32" s="903"/>
      <c r="BF32" s="903"/>
      <c r="BG32" s="903"/>
      <c r="BH32" s="903"/>
      <c r="BI32" s="910"/>
      <c r="BJ32" s="910"/>
      <c r="BK32" s="903"/>
      <c r="BL32" s="903"/>
      <c r="BM32" s="910"/>
      <c r="BN32" s="910"/>
      <c r="BO32" s="935"/>
    </row>
    <row r="33" spans="1:67" ht="18.75" customHeight="1" x14ac:dyDescent="0.25">
      <c r="A33" s="192" t="s">
        <v>2463</v>
      </c>
      <c r="B33" s="989" t="s">
        <v>15293</v>
      </c>
      <c r="C33" s="989"/>
      <c r="D33" s="989"/>
      <c r="E33" s="989"/>
      <c r="F33" s="989"/>
      <c r="G33" s="990" t="s">
        <v>2464</v>
      </c>
      <c r="H33" s="990"/>
      <c r="I33" s="990"/>
      <c r="J33" s="991" t="s">
        <v>15295</v>
      </c>
      <c r="K33" s="991"/>
      <c r="L33" s="190"/>
      <c r="M33" s="192" t="s">
        <v>2463</v>
      </c>
      <c r="N33" s="989" t="s">
        <v>15312</v>
      </c>
      <c r="O33" s="989"/>
      <c r="P33" s="989"/>
      <c r="Q33" s="989"/>
      <c r="R33" s="989"/>
      <c r="S33" s="990" t="s">
        <v>2464</v>
      </c>
      <c r="T33" s="990"/>
      <c r="U33" s="990"/>
      <c r="V33" s="991" t="s">
        <v>15295</v>
      </c>
      <c r="W33" s="991"/>
      <c r="Y33" s="905" t="str">
        <f>$AC$9</f>
        <v>別府フットボールクラブ．ミネルバＵ－１２</v>
      </c>
      <c r="Z33" s="906"/>
      <c r="AA33" s="906"/>
      <c r="AB33" s="906"/>
      <c r="AC33" s="906"/>
      <c r="AD33" s="906" t="s">
        <v>242</v>
      </c>
      <c r="AE33" s="906"/>
      <c r="AF33" s="923" t="str">
        <f>IF(AF37="","",IF(AF37&gt;AI37,"○",IF(AF37&lt;AI37,"●",IF(AF35&gt;AI35,"△",IF(AF35&lt;AI35,"▲")))))</f>
        <v>●</v>
      </c>
      <c r="AG33" s="924"/>
      <c r="AH33" s="924"/>
      <c r="AI33" s="924"/>
      <c r="AJ33" s="925"/>
      <c r="AK33" s="923" t="str">
        <f>IF(AK37="","",IF(AK37&gt;AN37,"○",IF(AK37&lt;AN37,"●",IF(AK35&gt;AN35,"△",IF(AK35&lt;AN35,"▲")))))</f>
        <v>○</v>
      </c>
      <c r="AL33" s="924"/>
      <c r="AM33" s="924"/>
      <c r="AN33" s="924"/>
      <c r="AO33" s="925"/>
      <c r="AP33" s="926"/>
      <c r="AQ33" s="927"/>
      <c r="AR33" s="927"/>
      <c r="AS33" s="927"/>
      <c r="AT33" s="928"/>
      <c r="AU33" s="903">
        <f>COUNTIF($AF$33:$AT$34,"○")</f>
        <v>1</v>
      </c>
      <c r="AV33" s="903"/>
      <c r="AW33" s="902">
        <f>COUNTIF($AF$33:$AT$34,"△")</f>
        <v>0</v>
      </c>
      <c r="AX33" s="902"/>
      <c r="AY33" s="902">
        <f>COUNTIF($AF$33:$AT$34,"▲")</f>
        <v>0</v>
      </c>
      <c r="AZ33" s="902"/>
      <c r="BA33" s="902">
        <f>COUNTIF($AF$33:$AT$34,"●")</f>
        <v>1</v>
      </c>
      <c r="BB33" s="902"/>
      <c r="BC33" s="902">
        <f>SUM($AF$37,$AK$37)</f>
        <v>2</v>
      </c>
      <c r="BD33" s="902"/>
      <c r="BE33" s="902">
        <f>SUM($AI$37,$AN$37)</f>
        <v>4</v>
      </c>
      <c r="BF33" s="902"/>
      <c r="BG33" s="902">
        <f>($AU$33*3)+($AW$33*2)+($AY$33*1)</f>
        <v>3</v>
      </c>
      <c r="BH33" s="902"/>
      <c r="BI33" s="909">
        <f>RANK($BG$33,$BG$21:$BH$38)</f>
        <v>2</v>
      </c>
      <c r="BJ33" s="909"/>
      <c r="BK33" s="902">
        <f>$BC$33-$BE$33</f>
        <v>-2</v>
      </c>
      <c r="BL33" s="902"/>
      <c r="BM33" s="909">
        <f>RANK($BK$33,$BK$21:$BL$38)</f>
        <v>2</v>
      </c>
      <c r="BN33" s="909"/>
      <c r="BO33" s="912"/>
    </row>
    <row r="34" spans="1:67" ht="18.75" customHeight="1" x14ac:dyDescent="0.25">
      <c r="A34" s="193" t="s">
        <v>2465</v>
      </c>
      <c r="B34" s="992" t="s">
        <v>15293</v>
      </c>
      <c r="C34" s="992"/>
      <c r="D34" s="992"/>
      <c r="E34" s="992"/>
      <c r="F34" s="992"/>
      <c r="G34" s="983" t="s">
        <v>2464</v>
      </c>
      <c r="H34" s="984"/>
      <c r="I34" s="985"/>
      <c r="J34" s="993" t="s">
        <v>15295</v>
      </c>
      <c r="K34" s="993"/>
      <c r="L34" s="190"/>
      <c r="M34" s="193" t="s">
        <v>2465</v>
      </c>
      <c r="N34" s="992" t="s">
        <v>15312</v>
      </c>
      <c r="O34" s="992"/>
      <c r="P34" s="992"/>
      <c r="Q34" s="992"/>
      <c r="R34" s="992"/>
      <c r="S34" s="983" t="s">
        <v>2464</v>
      </c>
      <c r="T34" s="984"/>
      <c r="U34" s="985"/>
      <c r="V34" s="993" t="s">
        <v>15295</v>
      </c>
      <c r="W34" s="993"/>
      <c r="Y34" s="905"/>
      <c r="Z34" s="906"/>
      <c r="AA34" s="906"/>
      <c r="AB34" s="906"/>
      <c r="AC34" s="906"/>
      <c r="AD34" s="906"/>
      <c r="AE34" s="906"/>
      <c r="AF34" s="917"/>
      <c r="AG34" s="918"/>
      <c r="AH34" s="918"/>
      <c r="AI34" s="918"/>
      <c r="AJ34" s="920"/>
      <c r="AK34" s="917"/>
      <c r="AL34" s="918"/>
      <c r="AM34" s="918"/>
      <c r="AN34" s="918"/>
      <c r="AO34" s="920"/>
      <c r="AP34" s="929"/>
      <c r="AQ34" s="930"/>
      <c r="AR34" s="930"/>
      <c r="AS34" s="930"/>
      <c r="AT34" s="931"/>
      <c r="AU34" s="903"/>
      <c r="AV34" s="903"/>
      <c r="AW34" s="903"/>
      <c r="AX34" s="903"/>
      <c r="AY34" s="903"/>
      <c r="AZ34" s="903"/>
      <c r="BA34" s="903"/>
      <c r="BB34" s="903"/>
      <c r="BC34" s="903"/>
      <c r="BD34" s="903"/>
      <c r="BE34" s="903"/>
      <c r="BF34" s="903"/>
      <c r="BG34" s="903"/>
      <c r="BH34" s="903"/>
      <c r="BI34" s="910"/>
      <c r="BJ34" s="910"/>
      <c r="BK34" s="903"/>
      <c r="BL34" s="903"/>
      <c r="BM34" s="910"/>
      <c r="BN34" s="910"/>
      <c r="BO34" s="913"/>
    </row>
    <row r="35" spans="1:67" ht="18.75" customHeight="1" x14ac:dyDescent="0.25">
      <c r="A35" s="194" t="s">
        <v>2466</v>
      </c>
      <c r="B35" s="982" t="s">
        <v>15294</v>
      </c>
      <c r="C35" s="982"/>
      <c r="D35" s="982"/>
      <c r="E35" s="982"/>
      <c r="F35" s="982"/>
      <c r="G35" s="983" t="s">
        <v>2464</v>
      </c>
      <c r="H35" s="984"/>
      <c r="I35" s="985"/>
      <c r="J35" s="986" t="s">
        <v>15295</v>
      </c>
      <c r="K35" s="986"/>
      <c r="L35" s="190"/>
      <c r="M35" s="194" t="s">
        <v>2466</v>
      </c>
      <c r="N35" s="982" t="s">
        <v>15304</v>
      </c>
      <c r="O35" s="982"/>
      <c r="P35" s="982"/>
      <c r="Q35" s="982"/>
      <c r="R35" s="982"/>
      <c r="S35" s="983" t="s">
        <v>2464</v>
      </c>
      <c r="T35" s="984"/>
      <c r="U35" s="985"/>
      <c r="V35" s="986" t="s">
        <v>15295</v>
      </c>
      <c r="W35" s="986"/>
      <c r="Y35" s="905"/>
      <c r="Z35" s="906"/>
      <c r="AA35" s="906"/>
      <c r="AB35" s="906"/>
      <c r="AC35" s="906"/>
      <c r="AD35" s="906"/>
      <c r="AE35" s="906"/>
      <c r="AF35" s="915" t="str">
        <f>AS23</f>
        <v/>
      </c>
      <c r="AG35" s="916"/>
      <c r="AH35" s="916" t="s">
        <v>2011</v>
      </c>
      <c r="AI35" s="916" t="str">
        <f>AP23</f>
        <v/>
      </c>
      <c r="AJ35" s="919"/>
      <c r="AK35" s="915" t="str">
        <f>AS29</f>
        <v/>
      </c>
      <c r="AL35" s="916"/>
      <c r="AM35" s="916" t="s">
        <v>2011</v>
      </c>
      <c r="AN35" s="916" t="str">
        <f>AP29</f>
        <v/>
      </c>
      <c r="AO35" s="919"/>
      <c r="AP35" s="929"/>
      <c r="AQ35" s="930"/>
      <c r="AR35" s="930"/>
      <c r="AS35" s="930"/>
      <c r="AT35" s="931"/>
      <c r="AU35" s="903"/>
      <c r="AV35" s="903"/>
      <c r="AW35" s="903"/>
      <c r="AX35" s="903"/>
      <c r="AY35" s="903"/>
      <c r="AZ35" s="903"/>
      <c r="BA35" s="903"/>
      <c r="BB35" s="903"/>
      <c r="BC35" s="903"/>
      <c r="BD35" s="903"/>
      <c r="BE35" s="903"/>
      <c r="BF35" s="903"/>
      <c r="BG35" s="903"/>
      <c r="BH35" s="903"/>
      <c r="BI35" s="910"/>
      <c r="BJ35" s="910"/>
      <c r="BK35" s="903"/>
      <c r="BL35" s="903"/>
      <c r="BM35" s="910"/>
      <c r="BN35" s="910"/>
      <c r="BO35" s="913"/>
    </row>
    <row r="36" spans="1:67" ht="18.75" customHeight="1" x14ac:dyDescent="0.25">
      <c r="A36" s="195" t="s">
        <v>609</v>
      </c>
      <c r="B36" s="205" t="str">
        <f>IF(ISERROR(VLOOKUP(G36,審判員!$A:$C,2,FALSE))=TRUE,"",VLOOKUP(G36,審判員!$A:$C,2,FALSE))</f>
        <v>寺次　良生</v>
      </c>
      <c r="C36" s="211">
        <f>IF(ISERROR(VLOOKUP(G36,審判員!$A:$C,3,FALSE))=TRUE,"",VLOOKUP(G36,審判員!$A:$C,3,FALSE))</f>
        <v>3</v>
      </c>
      <c r="D36" s="218" t="s">
        <v>612</v>
      </c>
      <c r="E36" s="955" t="s">
        <v>201</v>
      </c>
      <c r="F36" s="955"/>
      <c r="G36" s="955" t="s">
        <v>15298</v>
      </c>
      <c r="H36" s="955"/>
      <c r="I36" s="955"/>
      <c r="J36" s="987" t="s">
        <v>788</v>
      </c>
      <c r="K36" s="988"/>
      <c r="L36" s="190"/>
      <c r="M36" s="195" t="s">
        <v>609</v>
      </c>
      <c r="N36" s="205" t="str">
        <f>IF(ISERROR(VLOOKUP(S36,審判員!$A:$C,2,FALSE))=TRUE,"",VLOOKUP(S36,審判員!$A:$C,2,FALSE))</f>
        <v>菊地　謙一</v>
      </c>
      <c r="O36" s="211">
        <f>IF(ISERROR(VLOOKUP(S36,審判員!$A:$C,3,FALSE))=TRUE,"",VLOOKUP(S36,審判員!$A:$C,3,FALSE))</f>
        <v>3</v>
      </c>
      <c r="P36" s="218" t="s">
        <v>612</v>
      </c>
      <c r="Q36" s="955" t="s">
        <v>201</v>
      </c>
      <c r="R36" s="955"/>
      <c r="S36" s="955" t="s">
        <v>15313</v>
      </c>
      <c r="T36" s="955"/>
      <c r="U36" s="955"/>
      <c r="V36" s="987" t="s">
        <v>788</v>
      </c>
      <c r="W36" s="988"/>
      <c r="Y36" s="905"/>
      <c r="Z36" s="906"/>
      <c r="AA36" s="906"/>
      <c r="AB36" s="906"/>
      <c r="AC36" s="906"/>
      <c r="AD36" s="906" t="s">
        <v>2010</v>
      </c>
      <c r="AE36" s="906"/>
      <c r="AF36" s="917"/>
      <c r="AG36" s="918"/>
      <c r="AH36" s="918"/>
      <c r="AI36" s="918"/>
      <c r="AJ36" s="920"/>
      <c r="AK36" s="917"/>
      <c r="AL36" s="918"/>
      <c r="AM36" s="918"/>
      <c r="AN36" s="918"/>
      <c r="AO36" s="920"/>
      <c r="AP36" s="929"/>
      <c r="AQ36" s="930"/>
      <c r="AR36" s="930"/>
      <c r="AS36" s="930"/>
      <c r="AT36" s="931"/>
      <c r="AU36" s="903"/>
      <c r="AV36" s="903"/>
      <c r="AW36" s="903"/>
      <c r="AX36" s="903"/>
      <c r="AY36" s="903"/>
      <c r="AZ36" s="903"/>
      <c r="BA36" s="903"/>
      <c r="BB36" s="903"/>
      <c r="BC36" s="903"/>
      <c r="BD36" s="903"/>
      <c r="BE36" s="903"/>
      <c r="BF36" s="903"/>
      <c r="BG36" s="903"/>
      <c r="BH36" s="903"/>
      <c r="BI36" s="910"/>
      <c r="BJ36" s="910"/>
      <c r="BK36" s="903"/>
      <c r="BL36" s="903"/>
      <c r="BM36" s="910"/>
      <c r="BN36" s="910"/>
      <c r="BO36" s="913"/>
    </row>
    <row r="37" spans="1:67" ht="18.75" customHeight="1" x14ac:dyDescent="0.25">
      <c r="A37" s="196" t="s">
        <v>704</v>
      </c>
      <c r="B37" s="206" t="str">
        <f>IF(ISERROR(VLOOKUP(G37,審判員!$A:$C,2,FALSE))=TRUE,"",VLOOKUP(G37,審判員!$A:$C,2,FALSE))</f>
        <v>佐々木　陽生</v>
      </c>
      <c r="C37" s="212">
        <f>IF(ISERROR(VLOOKUP(G37,審判員!$A:$C,3,FALSE))=TRUE,"",VLOOKUP(G37,審判員!$A:$C,3,FALSE))</f>
        <v>3</v>
      </c>
      <c r="D37" s="219" t="s">
        <v>612</v>
      </c>
      <c r="E37" s="906" t="s">
        <v>1286</v>
      </c>
      <c r="F37" s="906"/>
      <c r="G37" s="906" t="s">
        <v>15297</v>
      </c>
      <c r="H37" s="906"/>
      <c r="I37" s="906"/>
      <c r="J37" s="891" t="str">
        <f>N30</f>
        <v>大分トリニータタートルズ</v>
      </c>
      <c r="K37" s="981"/>
      <c r="L37" s="190"/>
      <c r="M37" s="196" t="s">
        <v>704</v>
      </c>
      <c r="N37" s="206" t="str">
        <f>IF(ISERROR(VLOOKUP(S37,審判員!$A:$C,2,FALSE))=TRUE,"",VLOOKUP(S37,審判員!$A:$C,2,FALSE))</f>
        <v>佐藤　巨規</v>
      </c>
      <c r="O37" s="212">
        <f>IF(ISERROR(VLOOKUP(S37,審判員!$A:$C,3,FALSE))=TRUE,"",VLOOKUP(S37,審判員!$A:$C,3,FALSE))</f>
        <v>3</v>
      </c>
      <c r="P37" s="219" t="s">
        <v>612</v>
      </c>
      <c r="Q37" s="906" t="s">
        <v>1286</v>
      </c>
      <c r="R37" s="906"/>
      <c r="S37" s="906" t="s">
        <v>15307</v>
      </c>
      <c r="T37" s="906"/>
      <c r="U37" s="906"/>
      <c r="V37" s="891" t="str">
        <f>B30</f>
        <v>臼杵ＳＳＳ</v>
      </c>
      <c r="W37" s="981"/>
      <c r="Y37" s="905"/>
      <c r="Z37" s="906"/>
      <c r="AA37" s="906"/>
      <c r="AB37" s="906"/>
      <c r="AC37" s="906"/>
      <c r="AD37" s="906"/>
      <c r="AE37" s="906"/>
      <c r="AF37" s="915">
        <f>AS25</f>
        <v>0</v>
      </c>
      <c r="AG37" s="916"/>
      <c r="AH37" s="916" t="s">
        <v>2011</v>
      </c>
      <c r="AI37" s="916">
        <f>AP25</f>
        <v>3</v>
      </c>
      <c r="AJ37" s="919"/>
      <c r="AK37" s="915">
        <f>AS31</f>
        <v>2</v>
      </c>
      <c r="AL37" s="916"/>
      <c r="AM37" s="916" t="s">
        <v>2011</v>
      </c>
      <c r="AN37" s="916">
        <f>AP31</f>
        <v>1</v>
      </c>
      <c r="AO37" s="919"/>
      <c r="AP37" s="929"/>
      <c r="AQ37" s="930"/>
      <c r="AR37" s="930"/>
      <c r="AS37" s="930"/>
      <c r="AT37" s="931"/>
      <c r="AU37" s="903"/>
      <c r="AV37" s="903"/>
      <c r="AW37" s="903"/>
      <c r="AX37" s="903"/>
      <c r="AY37" s="903"/>
      <c r="AZ37" s="903"/>
      <c r="BA37" s="903"/>
      <c r="BB37" s="903"/>
      <c r="BC37" s="903"/>
      <c r="BD37" s="903"/>
      <c r="BE37" s="903"/>
      <c r="BF37" s="903"/>
      <c r="BG37" s="903"/>
      <c r="BH37" s="903"/>
      <c r="BI37" s="910"/>
      <c r="BJ37" s="910"/>
      <c r="BK37" s="903"/>
      <c r="BL37" s="903"/>
      <c r="BM37" s="910"/>
      <c r="BN37" s="910"/>
      <c r="BO37" s="913"/>
    </row>
    <row r="38" spans="1:67" ht="19.5" customHeight="1" x14ac:dyDescent="0.25">
      <c r="A38" s="196" t="s">
        <v>2007</v>
      </c>
      <c r="B38" s="206" t="str">
        <f>IF(ISERROR(VLOOKUP(G38,審判員!$A:$C,2,FALSE))=TRUE,"",VLOOKUP(G38,審判員!$A:$C,2,FALSE))</f>
        <v>渡邉　卓人</v>
      </c>
      <c r="C38" s="212">
        <f>IF(ISERROR(VLOOKUP(G38,審判員!$A:$C,3,FALSE))=TRUE,"",VLOOKUP(G38,審判員!$A:$C,3,FALSE))</f>
        <v>3</v>
      </c>
      <c r="D38" s="219" t="s">
        <v>612</v>
      </c>
      <c r="E38" s="906" t="s">
        <v>1286</v>
      </c>
      <c r="F38" s="906"/>
      <c r="G38" s="906" t="s">
        <v>15309</v>
      </c>
      <c r="H38" s="906"/>
      <c r="I38" s="906"/>
      <c r="J38" s="891" t="str">
        <f>V30</f>
        <v>リノスフットボールクラブ　Ｕ－１２</v>
      </c>
      <c r="K38" s="981"/>
      <c r="L38" s="190"/>
      <c r="M38" s="196" t="s">
        <v>2007</v>
      </c>
      <c r="N38" s="206" t="str">
        <f>IF(ISERROR(VLOOKUP(S38,審判員!$A:$C,2,FALSE))=TRUE,"",VLOOKUP(S38,審判員!$A:$C,2,FALSE))</f>
        <v>寺坂　洸希</v>
      </c>
      <c r="O38" s="212">
        <f>IF(ISERROR(VLOOKUP(S38,審判員!$A:$C,3,FALSE))=TRUE,"",VLOOKUP(S38,審判員!$A:$C,3,FALSE))</f>
        <v>3</v>
      </c>
      <c r="P38" s="219" t="s">
        <v>612</v>
      </c>
      <c r="Q38" s="906" t="s">
        <v>1286</v>
      </c>
      <c r="R38" s="906"/>
      <c r="S38" s="906" t="s">
        <v>15190</v>
      </c>
      <c r="T38" s="906"/>
      <c r="U38" s="906"/>
      <c r="V38" s="891" t="str">
        <f>J30</f>
        <v>別府フットボールクラブ．ミネルバＵ－１２</v>
      </c>
      <c r="W38" s="981"/>
      <c r="Y38" s="907"/>
      <c r="Z38" s="908"/>
      <c r="AA38" s="908"/>
      <c r="AB38" s="908"/>
      <c r="AC38" s="908"/>
      <c r="AD38" s="908"/>
      <c r="AE38" s="908"/>
      <c r="AF38" s="921"/>
      <c r="AG38" s="565"/>
      <c r="AH38" s="565"/>
      <c r="AI38" s="565"/>
      <c r="AJ38" s="922"/>
      <c r="AK38" s="921"/>
      <c r="AL38" s="565"/>
      <c r="AM38" s="565"/>
      <c r="AN38" s="565"/>
      <c r="AO38" s="922"/>
      <c r="AP38" s="932"/>
      <c r="AQ38" s="933"/>
      <c r="AR38" s="933"/>
      <c r="AS38" s="933"/>
      <c r="AT38" s="934"/>
      <c r="AU38" s="904"/>
      <c r="AV38" s="904"/>
      <c r="AW38" s="904"/>
      <c r="AX38" s="904"/>
      <c r="AY38" s="904"/>
      <c r="AZ38" s="904"/>
      <c r="BA38" s="904"/>
      <c r="BB38" s="904"/>
      <c r="BC38" s="904"/>
      <c r="BD38" s="904"/>
      <c r="BE38" s="904"/>
      <c r="BF38" s="904"/>
      <c r="BG38" s="904"/>
      <c r="BH38" s="904"/>
      <c r="BI38" s="911"/>
      <c r="BJ38" s="911"/>
      <c r="BK38" s="904"/>
      <c r="BL38" s="904"/>
      <c r="BM38" s="911"/>
      <c r="BN38" s="911"/>
      <c r="BO38" s="914"/>
    </row>
    <row r="39" spans="1:67" x14ac:dyDescent="0.25">
      <c r="A39" s="197" t="s">
        <v>2008</v>
      </c>
      <c r="B39" s="207" t="str">
        <f>IF(ISERROR(VLOOKUP(G39,審判員!$A:$C,2,FALSE))=TRUE,"",VLOOKUP(G39,審判員!$A:$C,2,FALSE))</f>
        <v>羽田野　亘</v>
      </c>
      <c r="C39" s="213">
        <f>IF(ISERROR(VLOOKUP(G39,審判員!$A:$C,3,FALSE))=TRUE,"",VLOOKUP(G39,審判員!$A:$C,3,FALSE))</f>
        <v>3</v>
      </c>
      <c r="D39" s="220" t="s">
        <v>612</v>
      </c>
      <c r="E39" s="977" t="s">
        <v>1286</v>
      </c>
      <c r="F39" s="977"/>
      <c r="G39" s="977" t="s">
        <v>15255</v>
      </c>
      <c r="H39" s="977"/>
      <c r="I39" s="977"/>
      <c r="J39" s="978" t="s">
        <v>788</v>
      </c>
      <c r="K39" s="979"/>
      <c r="L39" s="190"/>
      <c r="M39" s="197" t="s">
        <v>2008</v>
      </c>
      <c r="N39" s="207" t="str">
        <f>IF(ISERROR(VLOOKUP(S39,審判員!$A:$C,2,FALSE))=TRUE,"",VLOOKUP(S39,審判員!$A:$C,2,FALSE))</f>
        <v>安藤　大生</v>
      </c>
      <c r="O39" s="213">
        <f>IF(ISERROR(VLOOKUP(S39,審判員!$A:$C,3,FALSE))=TRUE,"",VLOOKUP(S39,審判員!$A:$C,3,FALSE))</f>
        <v>3</v>
      </c>
      <c r="P39" s="220" t="s">
        <v>612</v>
      </c>
      <c r="Q39" s="977" t="s">
        <v>1286</v>
      </c>
      <c r="R39" s="977"/>
      <c r="S39" s="977" t="s">
        <v>15308</v>
      </c>
      <c r="T39" s="977"/>
      <c r="U39" s="977"/>
      <c r="V39" s="978" t="s">
        <v>788</v>
      </c>
      <c r="W39" s="979"/>
    </row>
    <row r="40" spans="1:67" x14ac:dyDescent="0.25">
      <c r="A40" s="198" t="s">
        <v>469</v>
      </c>
      <c r="B40" s="208" t="s">
        <v>606</v>
      </c>
      <c r="C40" s="208" t="s">
        <v>234</v>
      </c>
      <c r="D40" s="208" t="s">
        <v>272</v>
      </c>
      <c r="E40" s="208" t="s">
        <v>750</v>
      </c>
      <c r="F40" s="223"/>
      <c r="G40" s="208" t="s">
        <v>750</v>
      </c>
      <c r="H40" s="208" t="s">
        <v>272</v>
      </c>
      <c r="I40" s="208" t="s">
        <v>234</v>
      </c>
      <c r="J40" s="208" t="s">
        <v>606</v>
      </c>
      <c r="K40" s="225" t="s">
        <v>469</v>
      </c>
      <c r="L40" s="190"/>
      <c r="M40" s="198" t="s">
        <v>469</v>
      </c>
      <c r="N40" s="208" t="s">
        <v>606</v>
      </c>
      <c r="O40" s="208" t="s">
        <v>234</v>
      </c>
      <c r="P40" s="208" t="s">
        <v>272</v>
      </c>
      <c r="Q40" s="208" t="s">
        <v>750</v>
      </c>
      <c r="R40" s="223"/>
      <c r="S40" s="208" t="s">
        <v>750</v>
      </c>
      <c r="T40" s="208" t="s">
        <v>272</v>
      </c>
      <c r="U40" s="208" t="s">
        <v>234</v>
      </c>
      <c r="V40" s="208" t="s">
        <v>606</v>
      </c>
      <c r="W40" s="225" t="s">
        <v>469</v>
      </c>
      <c r="Y40" s="891" t="s">
        <v>2125</v>
      </c>
      <c r="Z40" s="891"/>
      <c r="AA40" s="891"/>
      <c r="AB40" s="891"/>
      <c r="AC40" s="891"/>
      <c r="AD40" s="891"/>
      <c r="AE40" s="891"/>
      <c r="AF40" s="891"/>
      <c r="AG40" s="891"/>
      <c r="AH40" s="891"/>
      <c r="AI40" s="891"/>
      <c r="AJ40" s="891"/>
      <c r="AK40" s="891"/>
      <c r="AL40" s="891"/>
      <c r="AM40" s="891"/>
      <c r="AN40" s="891"/>
      <c r="AO40" s="891"/>
      <c r="AP40" s="891"/>
      <c r="AQ40" s="891"/>
      <c r="AR40" s="891"/>
      <c r="AS40" s="891"/>
      <c r="AT40" s="891"/>
      <c r="AU40" s="891"/>
      <c r="AV40" s="891"/>
      <c r="AW40" s="891"/>
      <c r="AX40" s="891"/>
      <c r="AY40" s="891"/>
      <c r="AZ40" s="891"/>
      <c r="BA40" s="891"/>
      <c r="BB40" s="891"/>
      <c r="BC40" s="891"/>
      <c r="BD40" s="891"/>
      <c r="BE40" s="891"/>
      <c r="BF40" s="891"/>
    </row>
    <row r="41" spans="1:67" x14ac:dyDescent="0.25">
      <c r="A41" s="199"/>
      <c r="B41" s="209" t="str">
        <f>IF(ISERROR(VLOOKUP(CONCATENATE($B$30,"_",C41),選手名簿!$A:$E,5,FALSE))=TRUE,"",VLOOKUP(CONCATENATE($B$30,"_",C41),選手名簿!$A:$E,5,FALSE))</f>
        <v/>
      </c>
      <c r="C41" s="214"/>
      <c r="D41" s="214"/>
      <c r="E41" s="221"/>
      <c r="F41" s="223"/>
      <c r="G41" s="221"/>
      <c r="H41" s="214"/>
      <c r="I41" s="214"/>
      <c r="J41" s="209" t="str">
        <f>IF(ISERROR(VLOOKUP(CONCATENATE($J$30,"_",I41),選手名簿!$A:$E,5,FALSE))=TRUE,"",VLOOKUP(CONCATENATE($J$30,"_",I41),選手名簿!$A:$E,5,FALSE))</f>
        <v/>
      </c>
      <c r="K41" s="226"/>
      <c r="L41" s="190"/>
      <c r="M41" s="199"/>
      <c r="N41" s="209" t="str">
        <f>IF(ISERROR(VLOOKUP(CONCATENATE($N$30,"_",O41),選手名簿!$A:$E,5,FALSE))=TRUE,"",VLOOKUP(CONCATENATE($N$30,"_",O41),選手名簿!$A:$E,5,FALSE))</f>
        <v/>
      </c>
      <c r="O41" s="214"/>
      <c r="P41" s="214"/>
      <c r="Q41" s="221"/>
      <c r="R41" s="223"/>
      <c r="S41" s="221" t="s">
        <v>749</v>
      </c>
      <c r="T41" s="214">
        <v>30</v>
      </c>
      <c r="U41" s="214">
        <v>22</v>
      </c>
      <c r="V41" s="206" t="str">
        <f>IF(ISERROR(VLOOKUP(CONCATENATE($V$30,"_",U41),選手名簿!$A:$E,5,FALSE))=TRUE,"",VLOOKUP(CONCATENATE($V$30,"_",U41),選手名簿!$A:$E,5,FALSE))</f>
        <v>菅　泰輔</v>
      </c>
      <c r="W41" s="226" t="s">
        <v>579</v>
      </c>
      <c r="Y41" s="891"/>
      <c r="Z41" s="891"/>
      <c r="AA41" s="891"/>
      <c r="AB41" s="891"/>
      <c r="AC41" s="891"/>
      <c r="AD41" s="891"/>
      <c r="AE41" s="891"/>
      <c r="AF41" s="891"/>
      <c r="AG41" s="891"/>
      <c r="AH41" s="891"/>
      <c r="AI41" s="891"/>
      <c r="AJ41" s="891"/>
      <c r="AK41" s="891"/>
      <c r="AL41" s="891"/>
      <c r="AM41" s="891"/>
      <c r="AN41" s="891"/>
      <c r="AO41" s="891"/>
      <c r="AP41" s="891"/>
      <c r="AQ41" s="891"/>
      <c r="AR41" s="891"/>
      <c r="AS41" s="891"/>
      <c r="AT41" s="891"/>
      <c r="AU41" s="891"/>
      <c r="AV41" s="891"/>
      <c r="AW41" s="891"/>
      <c r="AX41" s="891"/>
      <c r="AY41" s="891"/>
      <c r="AZ41" s="891"/>
      <c r="BA41" s="891"/>
      <c r="BB41" s="891"/>
      <c r="BC41" s="891"/>
      <c r="BD41" s="891"/>
      <c r="BE41" s="891"/>
      <c r="BF41" s="891"/>
    </row>
    <row r="42" spans="1:67" ht="18.75" customHeight="1" x14ac:dyDescent="0.25">
      <c r="A42" s="199"/>
      <c r="B42" s="209" t="str">
        <f>IF(ISERROR(VLOOKUP(CONCATENATE($B$30,"_",C42),選手名簿!$A:$E,5,FALSE))=TRUE,"",VLOOKUP(CONCATENATE($B$30,"_",C42),選手名簿!$A:$E,5,FALSE))</f>
        <v/>
      </c>
      <c r="C42" s="214"/>
      <c r="D42" s="214"/>
      <c r="E42" s="221"/>
      <c r="F42" s="223"/>
      <c r="G42" s="221"/>
      <c r="H42" s="214"/>
      <c r="I42" s="214"/>
      <c r="J42" s="209" t="str">
        <f>IF(ISERROR(VLOOKUP(CONCATENATE($J$30,"_",I42),選手名簿!$A:$E,5,FALSE))=TRUE,"",VLOOKUP(CONCATENATE($J$30,"_",I42),選手名簿!$A:$E,5,FALSE))</f>
        <v/>
      </c>
      <c r="K42" s="226"/>
      <c r="L42" s="190"/>
      <c r="M42" s="199"/>
      <c r="N42" s="209" t="str">
        <f>IF(ISERROR(VLOOKUP(CONCATENATE($N$30,"_",O42),選手名簿!$A:$E,5,FALSE))=TRUE,"",VLOOKUP(CONCATENATE($N$30,"_",O42),選手名簿!$A:$E,5,FALSE))</f>
        <v/>
      </c>
      <c r="O42" s="214"/>
      <c r="P42" s="214"/>
      <c r="Q42" s="221"/>
      <c r="R42" s="223"/>
      <c r="S42" s="221"/>
      <c r="T42" s="214"/>
      <c r="U42" s="214"/>
      <c r="V42" s="209" t="str">
        <f>IF(ISERROR(VLOOKUP(CONCATENATE($V$30,"_",U42),選手名簿!$A:$E,5,FALSE))=TRUE,"",VLOOKUP(CONCATENATE($V$30,"_",U42),選手名簿!$A:$E,5,FALSE))</f>
        <v/>
      </c>
      <c r="W42" s="226"/>
      <c r="Y42" s="892" t="s">
        <v>2013</v>
      </c>
      <c r="Z42" s="893"/>
      <c r="AA42" s="896" t="s">
        <v>159</v>
      </c>
      <c r="AB42" s="232" t="s">
        <v>408</v>
      </c>
      <c r="AC42" s="231"/>
      <c r="AD42" s="898" t="s">
        <v>2060</v>
      </c>
      <c r="AE42" s="232" t="s">
        <v>2015</v>
      </c>
      <c r="AF42" s="231"/>
      <c r="AG42" s="898" t="s">
        <v>1208</v>
      </c>
      <c r="AH42" s="232" t="s">
        <v>2126</v>
      </c>
      <c r="AI42" s="231"/>
      <c r="AJ42" s="900" t="s">
        <v>1727</v>
      </c>
      <c r="AK42" s="234" t="s">
        <v>2016</v>
      </c>
    </row>
    <row r="43" spans="1:67" ht="19.5" customHeight="1" x14ac:dyDescent="0.25">
      <c r="A43" s="199"/>
      <c r="B43" s="209" t="str">
        <f>IF(ISERROR(VLOOKUP(CONCATENATE($B$30,"_",C43),選手名簿!$A:$E,5,FALSE))=TRUE,"",VLOOKUP(CONCATENATE($B$30,"_",C43),選手名簿!$A:$E,5,FALSE))</f>
        <v/>
      </c>
      <c r="C43" s="214"/>
      <c r="D43" s="214"/>
      <c r="E43" s="221"/>
      <c r="F43" s="223"/>
      <c r="G43" s="221"/>
      <c r="H43" s="214"/>
      <c r="I43" s="214"/>
      <c r="J43" s="209" t="str">
        <f>IF(ISERROR(VLOOKUP(CONCATENATE($J$30,"_",I43),選手名簿!$A:$E,5,FALSE))=TRUE,"",VLOOKUP(CONCATENATE($J$30,"_",I43),選手名簿!$A:$E,5,FALSE))</f>
        <v/>
      </c>
      <c r="K43" s="226"/>
      <c r="L43" s="190"/>
      <c r="M43" s="199"/>
      <c r="N43" s="209" t="str">
        <f>IF(ISERROR(VLOOKUP(CONCATENATE($N$30,"_",O43),選手名簿!$A:$E,5,FALSE))=TRUE,"",VLOOKUP(CONCATENATE($N$30,"_",O43),選手名簿!$A:$E,5,FALSE))</f>
        <v/>
      </c>
      <c r="O43" s="214"/>
      <c r="P43" s="214"/>
      <c r="Q43" s="221"/>
      <c r="R43" s="223"/>
      <c r="S43" s="221"/>
      <c r="T43" s="214"/>
      <c r="U43" s="214"/>
      <c r="V43" s="209" t="str">
        <f>IF(ISERROR(VLOOKUP(CONCATENATE($V$30,"_",U43),選手名簿!$A:$E,5,FALSE))=TRUE,"",VLOOKUP(CONCATENATE($V$30,"_",U43),選手名簿!$A:$E,5,FALSE))</f>
        <v/>
      </c>
      <c r="W43" s="226"/>
      <c r="Y43" s="894"/>
      <c r="Z43" s="895"/>
      <c r="AA43" s="897"/>
      <c r="AB43" s="233">
        <v>3</v>
      </c>
      <c r="AC43" s="230"/>
      <c r="AD43" s="899"/>
      <c r="AE43" s="233">
        <v>2</v>
      </c>
      <c r="AF43" s="230"/>
      <c r="AG43" s="899"/>
      <c r="AH43" s="233">
        <v>1</v>
      </c>
      <c r="AI43" s="230"/>
      <c r="AJ43" s="901"/>
      <c r="AK43" s="235">
        <v>0</v>
      </c>
    </row>
    <row r="44" spans="1:67" ht="19.5" customHeight="1" x14ac:dyDescent="0.25">
      <c r="A44" s="199"/>
      <c r="B44" s="209" t="str">
        <f>IF(ISERROR(VLOOKUP(CONCATENATE($B$30,"_",C44),選手名簿!$A:$E,5,FALSE))=TRUE,"",VLOOKUP(CONCATENATE($B$30,"_",C44),選手名簿!$A:$E,5,FALSE))</f>
        <v/>
      </c>
      <c r="C44" s="214"/>
      <c r="D44" s="214"/>
      <c r="E44" s="221"/>
      <c r="F44" s="223"/>
      <c r="G44" s="221"/>
      <c r="H44" s="214"/>
      <c r="I44" s="214"/>
      <c r="J44" s="209" t="str">
        <f>IF(ISERROR(VLOOKUP(CONCATENATE($J$30,"_",I44),選手名簿!$A:$E,5,FALSE))=TRUE,"",VLOOKUP(CONCATENATE($J$30,"_",I44),選手名簿!$A:$E,5,FALSE))</f>
        <v/>
      </c>
      <c r="K44" s="226"/>
      <c r="L44" s="190"/>
      <c r="M44" s="199"/>
      <c r="N44" s="209" t="str">
        <f>IF(ISERROR(VLOOKUP(CONCATENATE($N$30,"_",O44),選手名簿!$A:$E,5,FALSE))=TRUE,"",VLOOKUP(CONCATENATE($N$30,"_",O44),選手名簿!$A:$E,5,FALSE))</f>
        <v/>
      </c>
      <c r="O44" s="214"/>
      <c r="P44" s="214"/>
      <c r="Q44" s="221"/>
      <c r="R44" s="223"/>
      <c r="S44" s="221"/>
      <c r="T44" s="214"/>
      <c r="U44" s="214"/>
      <c r="V44" s="209" t="str">
        <f>IF(ISERROR(VLOOKUP(CONCATENATE($V$30,"_",U44),選手名簿!$A:$E,5,FALSE))=TRUE,"",VLOOKUP(CONCATENATE($V$30,"_",U44),選手名簿!$A:$E,5,FALSE))</f>
        <v/>
      </c>
      <c r="W44" s="226"/>
    </row>
    <row r="45" spans="1:67" x14ac:dyDescent="0.25">
      <c r="A45" s="200"/>
      <c r="B45" s="210" t="str">
        <f>IF(ISERROR(VLOOKUP(CONCATENATE($B$30,"_",C45),選手名簿!$A:$E,5,FALSE))=TRUE,"",VLOOKUP(CONCATENATE($B$30,"_",C45),選手名簿!$A:$E,5,FALSE))</f>
        <v/>
      </c>
      <c r="C45" s="215"/>
      <c r="D45" s="215"/>
      <c r="E45" s="222"/>
      <c r="F45" s="224"/>
      <c r="G45" s="222"/>
      <c r="H45" s="215"/>
      <c r="I45" s="215"/>
      <c r="J45" s="210" t="str">
        <f>IF(ISERROR(VLOOKUP(CONCATENATE($J$30,"_",I45),選手名簿!$A:$E,5,FALSE))=TRUE,"",VLOOKUP(CONCATENATE($J$30,"_",I45),選手名簿!$A:$E,5,FALSE))</f>
        <v/>
      </c>
      <c r="K45" s="227"/>
      <c r="L45" s="190"/>
      <c r="M45" s="200"/>
      <c r="N45" s="210" t="str">
        <f>IF(ISERROR(VLOOKUP(CONCATENATE($N$30,"_",O45),選手名簿!$A:$E,5,FALSE))=TRUE,"",VLOOKUP(CONCATENATE($N$30,"_",O45),選手名簿!$A:$E,5,FALSE))</f>
        <v/>
      </c>
      <c r="O45" s="215"/>
      <c r="P45" s="215"/>
      <c r="Q45" s="222"/>
      <c r="R45" s="224"/>
      <c r="S45" s="222"/>
      <c r="T45" s="215"/>
      <c r="U45" s="215"/>
      <c r="V45" s="210" t="str">
        <f>IF(ISERROR(VLOOKUP(CONCATENATE($V$30,"_",U45),選手名簿!$A:$E,5,FALSE))=TRUE,"",VLOOKUP(CONCATENATE($V$30,"_",U45),選手名簿!$A:$E,5,FALSE))</f>
        <v/>
      </c>
      <c r="W45" s="227"/>
    </row>
    <row r="46" spans="1:67" x14ac:dyDescent="0.25">
      <c r="A46" s="190"/>
      <c r="B46" s="190"/>
      <c r="C46" s="190"/>
      <c r="D46" s="190"/>
      <c r="E46" s="190"/>
      <c r="F46" s="190"/>
      <c r="G46" s="190"/>
      <c r="H46" s="190"/>
      <c r="I46" s="190"/>
      <c r="J46" s="190"/>
      <c r="K46" s="190"/>
      <c r="L46" s="190"/>
      <c r="M46" s="190"/>
      <c r="N46" s="190"/>
      <c r="O46" s="190"/>
      <c r="P46" s="190"/>
      <c r="Q46" s="190"/>
      <c r="R46" s="190"/>
      <c r="S46" s="190"/>
      <c r="T46" s="190"/>
      <c r="U46" s="190"/>
      <c r="V46" s="190"/>
    </row>
    <row r="47" spans="1:67" x14ac:dyDescent="0.25">
      <c r="A47" s="190"/>
      <c r="B47" s="190"/>
      <c r="C47" s="190"/>
      <c r="D47" s="190"/>
      <c r="E47" s="190"/>
      <c r="F47" s="190"/>
      <c r="G47" s="190"/>
      <c r="H47" s="190"/>
      <c r="I47" s="190"/>
      <c r="J47" s="190"/>
      <c r="K47" s="190"/>
      <c r="L47" s="190"/>
      <c r="M47" s="190"/>
      <c r="N47" s="190"/>
      <c r="O47" s="190"/>
      <c r="P47" s="190"/>
      <c r="Q47" s="190"/>
      <c r="R47" s="190"/>
      <c r="S47" s="190"/>
      <c r="T47" s="190"/>
      <c r="U47" s="190"/>
      <c r="V47" s="190"/>
    </row>
    <row r="48" spans="1:67" ht="18.75" customHeight="1" x14ac:dyDescent="0.25">
      <c r="A48" s="963" t="s">
        <v>1703</v>
      </c>
      <c r="B48" s="964" t="str">
        <f>C9</f>
        <v>別府フットボールクラブ．ミネルバＵ－１２</v>
      </c>
      <c r="C48" s="966">
        <f>IF(E48="","",SUM(E48:E49))</f>
        <v>0</v>
      </c>
      <c r="D48" s="940" t="s">
        <v>336</v>
      </c>
      <c r="E48" s="217">
        <v>0</v>
      </c>
      <c r="F48" s="217" t="s">
        <v>61</v>
      </c>
      <c r="G48" s="217">
        <v>0</v>
      </c>
      <c r="H48" s="940" t="s">
        <v>339</v>
      </c>
      <c r="I48" s="966">
        <f>IF(G48="","",SUM(G48:G49))</f>
        <v>3</v>
      </c>
      <c r="J48" s="968" t="str">
        <f>C7</f>
        <v>ドリームキッズフットボールクラブ</v>
      </c>
      <c r="K48" s="190"/>
      <c r="M48" s="969" t="s">
        <v>1596</v>
      </c>
      <c r="N48" s="972" t="str">
        <f>O9</f>
        <v>リノスフットボールクラブ　Ｕ－１２</v>
      </c>
      <c r="O48" s="966">
        <f>IF(Q48="","",SUM(Q48:Q49))</f>
        <v>0</v>
      </c>
      <c r="P48" s="940" t="s">
        <v>336</v>
      </c>
      <c r="Q48" s="217">
        <v>0</v>
      </c>
      <c r="R48" s="217" t="s">
        <v>61</v>
      </c>
      <c r="S48" s="217">
        <v>0</v>
      </c>
      <c r="T48" s="940" t="s">
        <v>339</v>
      </c>
      <c r="U48" s="966">
        <f>IF(S48="","",SUM(S48:S49))</f>
        <v>1</v>
      </c>
      <c r="V48" s="968" t="str">
        <f>O7</f>
        <v>ティエラフットボールクラブＵ－１２</v>
      </c>
      <c r="Y48" s="959" t="str">
        <f>$Y$1</f>
        <v>OFA 第 57 回大分県U-12サッカー大会　兼　KYFA 九州U-12サッカー大会大分県大会</v>
      </c>
      <c r="Z48" s="959"/>
      <c r="AA48" s="959"/>
      <c r="AB48" s="959"/>
      <c r="AC48" s="959"/>
      <c r="AD48" s="959"/>
      <c r="AE48" s="959"/>
      <c r="AF48" s="959"/>
      <c r="AG48" s="959"/>
      <c r="AH48" s="959"/>
      <c r="AI48" s="959"/>
      <c r="AJ48" s="959"/>
      <c r="AK48" s="959"/>
      <c r="AL48" s="959"/>
      <c r="AM48" s="959"/>
      <c r="AN48" s="959"/>
      <c r="AO48" s="959"/>
      <c r="AP48" s="959"/>
      <c r="AQ48" s="959"/>
      <c r="AR48" s="959"/>
      <c r="AS48" s="959"/>
      <c r="AT48" s="959"/>
      <c r="AU48" s="959"/>
      <c r="AV48" s="959"/>
      <c r="AW48" s="959"/>
      <c r="AX48" s="959"/>
      <c r="AY48" s="959"/>
      <c r="AZ48" s="959"/>
      <c r="BA48" s="959"/>
      <c r="BB48" s="959"/>
      <c r="BC48" s="959"/>
      <c r="BD48" s="959"/>
      <c r="BE48" s="959"/>
      <c r="BF48" s="959"/>
      <c r="BG48" s="959"/>
      <c r="BI48" s="959" t="str">
        <f>$BI$1</f>
        <v>２次リーグ結果　報告用紙</v>
      </c>
      <c r="BJ48" s="959"/>
      <c r="BK48" s="959"/>
      <c r="BL48" s="959"/>
      <c r="BM48" s="959"/>
      <c r="BN48" s="959"/>
      <c r="BO48" s="959"/>
    </row>
    <row r="49" spans="1:67" ht="18.75" customHeight="1" x14ac:dyDescent="0.25">
      <c r="A49" s="946"/>
      <c r="B49" s="965"/>
      <c r="C49" s="967"/>
      <c r="D49" s="906"/>
      <c r="E49" s="190">
        <v>0</v>
      </c>
      <c r="F49" s="190" t="s">
        <v>126</v>
      </c>
      <c r="G49" s="190">
        <v>3</v>
      </c>
      <c r="H49" s="906"/>
      <c r="I49" s="967"/>
      <c r="J49" s="957"/>
      <c r="K49" s="190"/>
      <c r="M49" s="970"/>
      <c r="N49" s="973"/>
      <c r="O49" s="967"/>
      <c r="P49" s="906"/>
      <c r="Q49" s="190">
        <v>0</v>
      </c>
      <c r="R49" s="190" t="s">
        <v>126</v>
      </c>
      <c r="S49" s="190">
        <v>1</v>
      </c>
      <c r="T49" s="906"/>
      <c r="U49" s="967"/>
      <c r="V49" s="957"/>
      <c r="Y49" s="959"/>
      <c r="Z49" s="959"/>
      <c r="AA49" s="959"/>
      <c r="AB49" s="959"/>
      <c r="AC49" s="959"/>
      <c r="AD49" s="959"/>
      <c r="AE49" s="959"/>
      <c r="AF49" s="959"/>
      <c r="AG49" s="959"/>
      <c r="AH49" s="959"/>
      <c r="AI49" s="959"/>
      <c r="AJ49" s="959"/>
      <c r="AK49" s="959"/>
      <c r="AL49" s="959"/>
      <c r="AM49" s="959"/>
      <c r="AN49" s="959"/>
      <c r="AO49" s="959"/>
      <c r="AP49" s="959"/>
      <c r="AQ49" s="959"/>
      <c r="AR49" s="959"/>
      <c r="AS49" s="959"/>
      <c r="AT49" s="959"/>
      <c r="AU49" s="959"/>
      <c r="AV49" s="959"/>
      <c r="AW49" s="959"/>
      <c r="AX49" s="959"/>
      <c r="AY49" s="959"/>
      <c r="AZ49" s="959"/>
      <c r="BA49" s="959"/>
      <c r="BB49" s="959"/>
      <c r="BC49" s="959"/>
      <c r="BD49" s="959"/>
      <c r="BE49" s="959"/>
      <c r="BF49" s="959"/>
      <c r="BG49" s="959"/>
      <c r="BI49" s="959"/>
      <c r="BJ49" s="959"/>
      <c r="BK49" s="959"/>
      <c r="BL49" s="959"/>
      <c r="BM49" s="959"/>
      <c r="BN49" s="959"/>
      <c r="BO49" s="959"/>
    </row>
    <row r="50" spans="1:67" ht="19.5" customHeight="1" x14ac:dyDescent="0.25">
      <c r="A50" s="946"/>
      <c r="B50" s="965"/>
      <c r="C50" s="967"/>
      <c r="D50" s="906"/>
      <c r="E50" s="190"/>
      <c r="F50" s="190" t="s">
        <v>407</v>
      </c>
      <c r="G50" s="190"/>
      <c r="H50" s="906"/>
      <c r="I50" s="967"/>
      <c r="J50" s="957"/>
      <c r="K50" s="190"/>
      <c r="M50" s="971"/>
      <c r="N50" s="974"/>
      <c r="O50" s="975"/>
      <c r="P50" s="908"/>
      <c r="Q50" s="190"/>
      <c r="R50" s="190" t="s">
        <v>407</v>
      </c>
      <c r="S50" s="190"/>
      <c r="T50" s="908"/>
      <c r="U50" s="975"/>
      <c r="V50" s="976"/>
      <c r="Y50" s="959" t="s">
        <v>1962</v>
      </c>
      <c r="Z50" s="959"/>
      <c r="AA50" s="959"/>
      <c r="AB50" s="959"/>
      <c r="AC50" s="959"/>
      <c r="AD50" s="959"/>
      <c r="AE50" s="959"/>
      <c r="AF50" s="959"/>
      <c r="AG50" s="959"/>
      <c r="AH50" s="959"/>
      <c r="AI50" s="959"/>
      <c r="AJ50" s="959"/>
      <c r="AK50" s="959"/>
      <c r="AL50" s="959"/>
      <c r="AM50" s="959"/>
      <c r="AN50" s="959"/>
      <c r="AO50" s="959"/>
      <c r="AP50" s="959"/>
      <c r="AQ50" s="959"/>
      <c r="AR50" s="959"/>
      <c r="AS50" s="959"/>
      <c r="AT50" s="959"/>
      <c r="AU50" s="959"/>
      <c r="AV50" s="959"/>
      <c r="AW50" s="959"/>
      <c r="AX50" s="959"/>
      <c r="AY50" s="959"/>
      <c r="AZ50" s="959"/>
      <c r="BA50" s="959"/>
      <c r="BB50" s="959"/>
      <c r="BC50" s="959"/>
      <c r="BD50" s="959"/>
      <c r="BE50" s="959"/>
      <c r="BF50" s="959"/>
      <c r="BG50" s="959"/>
    </row>
    <row r="51" spans="1:67" ht="18.75" customHeight="1" x14ac:dyDescent="0.25">
      <c r="A51" s="192" t="s">
        <v>2463</v>
      </c>
      <c r="B51" s="989" t="s">
        <v>15293</v>
      </c>
      <c r="C51" s="989"/>
      <c r="D51" s="989"/>
      <c r="E51" s="989"/>
      <c r="F51" s="989"/>
      <c r="G51" s="990" t="s">
        <v>2464</v>
      </c>
      <c r="H51" s="990"/>
      <c r="I51" s="990"/>
      <c r="J51" s="991" t="s">
        <v>15295</v>
      </c>
      <c r="K51" s="991"/>
      <c r="M51" s="192" t="s">
        <v>2463</v>
      </c>
      <c r="N51" s="989" t="s">
        <v>15312</v>
      </c>
      <c r="O51" s="989"/>
      <c r="P51" s="989"/>
      <c r="Q51" s="989"/>
      <c r="R51" s="989"/>
      <c r="S51" s="990" t="s">
        <v>2464</v>
      </c>
      <c r="T51" s="990"/>
      <c r="U51" s="990"/>
      <c r="V51" s="991" t="s">
        <v>15295</v>
      </c>
      <c r="W51" s="991"/>
      <c r="Y51" s="959"/>
      <c r="Z51" s="959"/>
      <c r="AA51" s="959"/>
      <c r="AB51" s="959"/>
      <c r="AC51" s="959"/>
      <c r="AD51" s="959"/>
      <c r="AE51" s="959"/>
      <c r="AF51" s="959"/>
      <c r="AG51" s="959"/>
      <c r="AH51" s="959"/>
      <c r="AI51" s="959"/>
      <c r="AJ51" s="959"/>
      <c r="AK51" s="959"/>
      <c r="AL51" s="959"/>
      <c r="AM51" s="959"/>
      <c r="AN51" s="959"/>
      <c r="AO51" s="959"/>
      <c r="AP51" s="959"/>
      <c r="AQ51" s="959"/>
      <c r="AR51" s="959"/>
      <c r="AS51" s="959"/>
      <c r="AT51" s="959"/>
      <c r="AU51" s="959"/>
      <c r="AV51" s="959"/>
      <c r="AW51" s="959"/>
      <c r="AX51" s="959"/>
      <c r="AY51" s="959"/>
      <c r="AZ51" s="959"/>
      <c r="BA51" s="959"/>
      <c r="BB51" s="959"/>
      <c r="BC51" s="959"/>
      <c r="BD51" s="959"/>
      <c r="BE51" s="959"/>
      <c r="BF51" s="959"/>
      <c r="BG51" s="959"/>
    </row>
    <row r="52" spans="1:67" ht="18.75" customHeight="1" x14ac:dyDescent="0.25">
      <c r="A52" s="193" t="s">
        <v>2465</v>
      </c>
      <c r="B52" s="992" t="s">
        <v>15293</v>
      </c>
      <c r="C52" s="992"/>
      <c r="D52" s="992"/>
      <c r="E52" s="992"/>
      <c r="F52" s="992"/>
      <c r="G52" s="983" t="s">
        <v>2464</v>
      </c>
      <c r="H52" s="984"/>
      <c r="I52" s="985"/>
      <c r="J52" s="993" t="s">
        <v>15295</v>
      </c>
      <c r="K52" s="993"/>
      <c r="M52" s="193" t="s">
        <v>2465</v>
      </c>
      <c r="N52" s="992" t="s">
        <v>15312</v>
      </c>
      <c r="O52" s="992"/>
      <c r="P52" s="992"/>
      <c r="Q52" s="992"/>
      <c r="R52" s="992"/>
      <c r="S52" s="983" t="s">
        <v>2464</v>
      </c>
      <c r="T52" s="984"/>
      <c r="U52" s="985"/>
      <c r="V52" s="993" t="s">
        <v>15295</v>
      </c>
      <c r="W52" s="993"/>
      <c r="Y52" s="189"/>
      <c r="Z52" s="189"/>
      <c r="AA52" s="189"/>
      <c r="AB52" s="189"/>
      <c r="AC52" s="189"/>
      <c r="AD52" s="189"/>
      <c r="AE52" s="189"/>
      <c r="AF52" s="189"/>
      <c r="AG52" s="189"/>
      <c r="AH52" s="189"/>
      <c r="AI52" s="189"/>
      <c r="AJ52" s="189"/>
      <c r="AK52" s="189"/>
      <c r="AL52" s="189"/>
      <c r="AM52" s="189"/>
      <c r="AN52" s="189"/>
      <c r="AO52" s="189"/>
      <c r="AP52" s="189"/>
      <c r="AQ52" s="189"/>
      <c r="AR52" s="189"/>
      <c r="AS52" s="189"/>
      <c r="AT52" s="189"/>
      <c r="AU52" s="189"/>
      <c r="AV52" s="189"/>
      <c r="AW52" s="189"/>
      <c r="AX52" s="189"/>
      <c r="AY52" s="189"/>
      <c r="AZ52" s="189"/>
      <c r="BA52" s="189"/>
      <c r="BB52" s="189"/>
      <c r="BC52" s="189"/>
      <c r="BD52" s="189"/>
      <c r="BE52" s="189"/>
      <c r="BF52" s="189"/>
      <c r="BG52" s="189"/>
    </row>
    <row r="53" spans="1:67" ht="18.75" customHeight="1" x14ac:dyDescent="0.25">
      <c r="A53" s="194" t="s">
        <v>2466</v>
      </c>
      <c r="B53" s="982" t="s">
        <v>15294</v>
      </c>
      <c r="C53" s="982"/>
      <c r="D53" s="982"/>
      <c r="E53" s="982"/>
      <c r="F53" s="982"/>
      <c r="G53" s="983" t="s">
        <v>2464</v>
      </c>
      <c r="H53" s="984"/>
      <c r="I53" s="985"/>
      <c r="J53" s="986" t="s">
        <v>15295</v>
      </c>
      <c r="K53" s="986"/>
      <c r="M53" s="194" t="s">
        <v>2466</v>
      </c>
      <c r="N53" s="982" t="s">
        <v>15304</v>
      </c>
      <c r="O53" s="982"/>
      <c r="P53" s="982"/>
      <c r="Q53" s="982"/>
      <c r="R53" s="982"/>
      <c r="S53" s="983" t="s">
        <v>2464</v>
      </c>
      <c r="T53" s="984"/>
      <c r="U53" s="985"/>
      <c r="V53" s="986" t="s">
        <v>15295</v>
      </c>
      <c r="W53" s="986"/>
      <c r="Y53" s="189"/>
      <c r="Z53" s="189"/>
      <c r="AA53" s="189"/>
      <c r="AB53" s="189"/>
      <c r="AC53" s="189"/>
      <c r="AD53" s="189"/>
      <c r="AE53" s="189"/>
      <c r="AF53" s="189"/>
      <c r="AG53" s="189"/>
      <c r="AH53" s="189"/>
      <c r="AI53" s="189"/>
    </row>
    <row r="54" spans="1:67" x14ac:dyDescent="0.25">
      <c r="A54" s="195" t="s">
        <v>609</v>
      </c>
      <c r="B54" s="205" t="str">
        <f>IF(ISERROR(VLOOKUP(G54,審判員!$A:$C,2,FALSE))=TRUE,"",VLOOKUP(G54,審判員!$A:$C,2,FALSE))</f>
        <v>仲野　雅貴</v>
      </c>
      <c r="C54" s="211">
        <f>IF(ISERROR(VLOOKUP(G54,審判員!$A:$C,3,FALSE))=TRUE,"",VLOOKUP(G54,審判員!$A:$C,3,FALSE))</f>
        <v>3</v>
      </c>
      <c r="D54" s="218" t="s">
        <v>612</v>
      </c>
      <c r="E54" s="955" t="s">
        <v>201</v>
      </c>
      <c r="F54" s="955"/>
      <c r="G54" s="955" t="s">
        <v>15305</v>
      </c>
      <c r="H54" s="955"/>
      <c r="I54" s="955"/>
      <c r="J54" s="987" t="s">
        <v>788</v>
      </c>
      <c r="K54" s="988"/>
      <c r="L54" s="190"/>
      <c r="M54" s="195" t="s">
        <v>609</v>
      </c>
      <c r="N54" s="205" t="str">
        <f>IF(ISERROR(VLOOKUP(S54,審判員!$A:$C,2,FALSE))=TRUE,"",VLOOKUP(S54,審判員!$A:$C,2,FALSE))</f>
        <v>羽田野　亘</v>
      </c>
      <c r="O54" s="211">
        <f>IF(ISERROR(VLOOKUP(S54,審判員!$A:$C,3,FALSE))=TRUE,"",VLOOKUP(S54,審判員!$A:$C,3,FALSE))</f>
        <v>3</v>
      </c>
      <c r="P54" s="218" t="s">
        <v>612</v>
      </c>
      <c r="Q54" s="955" t="s">
        <v>201</v>
      </c>
      <c r="R54" s="955"/>
      <c r="S54" s="955" t="s">
        <v>15255</v>
      </c>
      <c r="T54" s="955"/>
      <c r="U54" s="955"/>
      <c r="V54" s="987" t="s">
        <v>788</v>
      </c>
      <c r="W54" s="988"/>
      <c r="Y54" s="590" t="s">
        <v>487</v>
      </c>
      <c r="Z54" s="590"/>
      <c r="AA54" s="590"/>
      <c r="AB54" s="960" t="str">
        <f>$N$4</f>
        <v>豊肥</v>
      </c>
      <c r="AC54" s="960"/>
      <c r="AD54" s="960"/>
      <c r="AE54" s="960"/>
      <c r="AF54" s="960"/>
      <c r="AG54" s="960"/>
      <c r="AH54" s="590" t="s">
        <v>659</v>
      </c>
      <c r="AI54" s="961" t="str">
        <f>$P$4</f>
        <v>恵藤建設サン・スポーツランド(サン・スポーツランドみえ)</v>
      </c>
      <c r="AJ54" s="961"/>
      <c r="AK54" s="961"/>
      <c r="AL54" s="961"/>
      <c r="AM54" s="961"/>
      <c r="AN54" s="961"/>
      <c r="AO54" s="961"/>
      <c r="AP54" s="961"/>
      <c r="AQ54" s="961"/>
      <c r="AR54" s="961"/>
      <c r="AS54" s="961"/>
      <c r="AT54" s="961"/>
      <c r="AU54" s="961"/>
      <c r="AV54" s="961"/>
      <c r="AW54" s="961"/>
    </row>
    <row r="55" spans="1:67" x14ac:dyDescent="0.25">
      <c r="A55" s="196" t="s">
        <v>704</v>
      </c>
      <c r="B55" s="206" t="str">
        <f>IF(ISERROR(VLOOKUP(G55,審判員!$A:$C,2,FALSE))=TRUE,"",VLOOKUP(G55,審判員!$A:$C,2,FALSE))</f>
        <v>高柿　康平</v>
      </c>
      <c r="C55" s="212">
        <f>IF(ISERROR(VLOOKUP(G55,審判員!$A:$C,3,FALSE))=TRUE,"",VLOOKUP(G55,審判員!$A:$C,3,FALSE))</f>
        <v>3</v>
      </c>
      <c r="D55" s="219" t="s">
        <v>612</v>
      </c>
      <c r="E55" s="906" t="s">
        <v>1286</v>
      </c>
      <c r="F55" s="906"/>
      <c r="G55" s="906" t="s">
        <v>15170</v>
      </c>
      <c r="H55" s="906"/>
      <c r="I55" s="906"/>
      <c r="J55" s="891" t="str">
        <f>N48</f>
        <v>リノスフットボールクラブ　Ｕ－１２</v>
      </c>
      <c r="K55" s="981"/>
      <c r="L55" s="190"/>
      <c r="M55" s="196" t="s">
        <v>704</v>
      </c>
      <c r="N55" s="206" t="str">
        <f>IF(ISERROR(VLOOKUP(S55,審判員!$A:$C,2,FALSE))=TRUE,"",VLOOKUP(S55,審判員!$A:$C,2,FALSE))</f>
        <v>寺坂　洸希</v>
      </c>
      <c r="O55" s="212">
        <f>IF(ISERROR(VLOOKUP(S55,審判員!$A:$C,3,FALSE))=TRUE,"",VLOOKUP(S55,審判員!$A:$C,3,FALSE))</f>
        <v>3</v>
      </c>
      <c r="P55" s="219" t="s">
        <v>612</v>
      </c>
      <c r="Q55" s="906" t="s">
        <v>1286</v>
      </c>
      <c r="R55" s="906"/>
      <c r="S55" s="906" t="s">
        <v>15190</v>
      </c>
      <c r="T55" s="906"/>
      <c r="U55" s="906"/>
      <c r="V55" s="891" t="str">
        <f>B48</f>
        <v>別府フットボールクラブ．ミネルバＵ－１２</v>
      </c>
      <c r="W55" s="981"/>
      <c r="Y55" s="590"/>
      <c r="Z55" s="590"/>
      <c r="AA55" s="590"/>
      <c r="AB55" s="960"/>
      <c r="AC55" s="960"/>
      <c r="AD55" s="960"/>
      <c r="AE55" s="960"/>
      <c r="AF55" s="960"/>
      <c r="AG55" s="960"/>
      <c r="AH55" s="590"/>
      <c r="AI55" s="961"/>
      <c r="AJ55" s="961"/>
      <c r="AK55" s="961"/>
      <c r="AL55" s="961"/>
      <c r="AM55" s="961"/>
      <c r="AN55" s="961"/>
      <c r="AO55" s="961"/>
      <c r="AP55" s="961"/>
      <c r="AQ55" s="961"/>
      <c r="AR55" s="961"/>
      <c r="AS55" s="961"/>
      <c r="AT55" s="961"/>
      <c r="AU55" s="961"/>
      <c r="AV55" s="961"/>
      <c r="AW55" s="961"/>
    </row>
    <row r="56" spans="1:67" x14ac:dyDescent="0.25">
      <c r="A56" s="196" t="s">
        <v>2007</v>
      </c>
      <c r="B56" s="206" t="str">
        <f>IF(ISERROR(VLOOKUP(G56,審判員!$A:$C,2,FALSE))=TRUE,"",VLOOKUP(G56,審判員!$A:$C,2,FALSE))</f>
        <v>高柿　康平</v>
      </c>
      <c r="C56" s="212">
        <f>IF(ISERROR(VLOOKUP(G56,審判員!$A:$C,3,FALSE))=TRUE,"",VLOOKUP(G56,審判員!$A:$C,3,FALSE))</f>
        <v>3</v>
      </c>
      <c r="D56" s="219" t="s">
        <v>612</v>
      </c>
      <c r="E56" s="906" t="s">
        <v>1286</v>
      </c>
      <c r="F56" s="906"/>
      <c r="G56" s="906" t="s">
        <v>15170</v>
      </c>
      <c r="H56" s="906"/>
      <c r="I56" s="906"/>
      <c r="J56" s="891" t="str">
        <f>V48</f>
        <v>ティエラフットボールクラブＵ－１２</v>
      </c>
      <c r="K56" s="981"/>
      <c r="L56" s="190"/>
      <c r="M56" s="196" t="s">
        <v>2007</v>
      </c>
      <c r="N56" s="206" t="str">
        <f>IF(ISERROR(VLOOKUP(S56,審判員!$A:$C,2,FALSE))=TRUE,"",VLOOKUP(S56,審判員!$A:$C,2,FALSE))</f>
        <v>田村　拓也</v>
      </c>
      <c r="O56" s="212">
        <f>IF(ISERROR(VLOOKUP(S56,審判員!$A:$C,3,FALSE))=TRUE,"",VLOOKUP(S56,審判員!$A:$C,3,FALSE))</f>
        <v>3</v>
      </c>
      <c r="P56" s="219" t="s">
        <v>612</v>
      </c>
      <c r="Q56" s="906" t="s">
        <v>1286</v>
      </c>
      <c r="R56" s="906"/>
      <c r="S56" s="906" t="s">
        <v>15306</v>
      </c>
      <c r="T56" s="906"/>
      <c r="U56" s="906"/>
      <c r="V56" s="891" t="str">
        <f>J48</f>
        <v>ドリームキッズフットボールクラブ</v>
      </c>
      <c r="W56" s="981"/>
      <c r="Y56" s="58"/>
      <c r="Z56" s="58"/>
      <c r="AA56" s="58"/>
      <c r="AB56" s="58"/>
      <c r="AC56" s="58"/>
      <c r="AD56" s="58"/>
      <c r="AE56" s="58"/>
      <c r="AF56" s="58"/>
      <c r="AG56" s="58"/>
      <c r="AH56" s="58"/>
      <c r="AI56" s="216"/>
      <c r="AJ56" s="216"/>
      <c r="AK56" s="216"/>
      <c r="AL56" s="216"/>
      <c r="AM56" s="216"/>
      <c r="AN56" s="216"/>
      <c r="AO56" s="216"/>
      <c r="AP56" s="216"/>
      <c r="AQ56" s="216"/>
      <c r="AR56" s="216"/>
      <c r="AS56" s="216"/>
      <c r="AT56" s="216"/>
      <c r="AU56" s="216"/>
      <c r="AV56" s="216"/>
      <c r="AW56" s="216"/>
    </row>
    <row r="57" spans="1:67" x14ac:dyDescent="0.25">
      <c r="A57" s="197" t="s">
        <v>2008</v>
      </c>
      <c r="B57" s="207" t="str">
        <f>IF(ISERROR(VLOOKUP(G57,審判員!$A:$C,2,FALSE))=TRUE,"",VLOOKUP(G57,審判員!$A:$C,2,FALSE))</f>
        <v>寺次　良生</v>
      </c>
      <c r="C57" s="213">
        <f>IF(ISERROR(VLOOKUP(G57,審判員!$A:$C,3,FALSE))=TRUE,"",VLOOKUP(G57,審判員!$A:$C,3,FALSE))</f>
        <v>3</v>
      </c>
      <c r="D57" s="220" t="s">
        <v>612</v>
      </c>
      <c r="E57" s="977" t="s">
        <v>1286</v>
      </c>
      <c r="F57" s="977"/>
      <c r="G57" s="977" t="s">
        <v>15298</v>
      </c>
      <c r="H57" s="977"/>
      <c r="I57" s="977"/>
      <c r="J57" s="978" t="s">
        <v>788</v>
      </c>
      <c r="K57" s="979"/>
      <c r="L57" s="190"/>
      <c r="M57" s="197" t="s">
        <v>2008</v>
      </c>
      <c r="N57" s="207" t="str">
        <f>IF(ISERROR(VLOOKUP(S57,審判員!$A:$C,2,FALSE))=TRUE,"",VLOOKUP(S57,審判員!$A:$C,2,FALSE))</f>
        <v>菊地　謙一</v>
      </c>
      <c r="O57" s="213">
        <f>IF(ISERROR(VLOOKUP(S57,審判員!$A:$C,3,FALSE))=TRUE,"",VLOOKUP(S57,審判員!$A:$C,3,FALSE))</f>
        <v>3</v>
      </c>
      <c r="P57" s="220" t="s">
        <v>612</v>
      </c>
      <c r="Q57" s="977" t="s">
        <v>1286</v>
      </c>
      <c r="R57" s="977"/>
      <c r="S57" s="977" t="s">
        <v>15313</v>
      </c>
      <c r="T57" s="977"/>
      <c r="U57" s="977"/>
      <c r="V57" s="978" t="s">
        <v>788</v>
      </c>
      <c r="W57" s="979"/>
      <c r="Y57" s="190"/>
      <c r="Z57" s="190"/>
      <c r="AA57" s="190"/>
    </row>
    <row r="58" spans="1:67" x14ac:dyDescent="0.25">
      <c r="A58" s="198" t="s">
        <v>469</v>
      </c>
      <c r="B58" s="208" t="s">
        <v>606</v>
      </c>
      <c r="C58" s="208" t="s">
        <v>234</v>
      </c>
      <c r="D58" s="208" t="s">
        <v>272</v>
      </c>
      <c r="E58" s="208" t="s">
        <v>750</v>
      </c>
      <c r="F58" s="223"/>
      <c r="G58" s="208" t="s">
        <v>750</v>
      </c>
      <c r="H58" s="208" t="s">
        <v>272</v>
      </c>
      <c r="I58" s="208" t="s">
        <v>234</v>
      </c>
      <c r="J58" s="208" t="s">
        <v>606</v>
      </c>
      <c r="K58" s="225" t="s">
        <v>469</v>
      </c>
      <c r="L58" s="190"/>
      <c r="M58" s="198" t="s">
        <v>469</v>
      </c>
      <c r="N58" s="208" t="s">
        <v>606</v>
      </c>
      <c r="O58" s="208" t="s">
        <v>234</v>
      </c>
      <c r="P58" s="208" t="s">
        <v>272</v>
      </c>
      <c r="Q58" s="208" t="s">
        <v>750</v>
      </c>
      <c r="R58" s="223"/>
      <c r="S58" s="208" t="s">
        <v>750</v>
      </c>
      <c r="T58" s="208" t="s">
        <v>272</v>
      </c>
      <c r="U58" s="208" t="s">
        <v>234</v>
      </c>
      <c r="V58" s="208" t="s">
        <v>606</v>
      </c>
      <c r="W58" s="225" t="s">
        <v>469</v>
      </c>
      <c r="Y58" s="590" t="s">
        <v>430</v>
      </c>
      <c r="Z58" s="590"/>
      <c r="AA58" s="590"/>
      <c r="AB58" s="960" t="str">
        <f>$N$6</f>
        <v>2次リーグ　Cパート</v>
      </c>
      <c r="AC58" s="960"/>
      <c r="AD58" s="960"/>
      <c r="AE58" s="960"/>
      <c r="AF58" s="960"/>
      <c r="AG58" s="960"/>
    </row>
    <row r="59" spans="1:67" x14ac:dyDescent="0.25">
      <c r="A59" s="199"/>
      <c r="B59" s="209" t="str">
        <f>IF(ISERROR(VLOOKUP(CONCATENATE($B$48,"_",C59),選手名簿!$A:$E,5,FALSE))=TRUE,"",VLOOKUP(CONCATENATE($B$48,"_",C59),選手名簿!$A:$E,5,FALSE))</f>
        <v/>
      </c>
      <c r="C59" s="214"/>
      <c r="D59" s="214"/>
      <c r="E59" s="221"/>
      <c r="F59" s="223"/>
      <c r="G59" s="221"/>
      <c r="H59" s="214"/>
      <c r="I59" s="214"/>
      <c r="J59" s="209" t="str">
        <f>IF(ISERROR(VLOOKUP(CONCATENATE($J$48,"_",I59),選手名簿!$A:$E,5,FALSE))=TRUE,"",VLOOKUP(CONCATENATE($J$48,"_",I59),選手名簿!$A:$E,5,FALSE))</f>
        <v/>
      </c>
      <c r="K59" s="226"/>
      <c r="L59" s="190"/>
      <c r="M59" s="199"/>
      <c r="N59" s="209" t="str">
        <f>IF(ISERROR(VLOOKUP(CONCATENATE($N$48,"_",O59),選手名簿!$A:$E,5,FALSE))=TRUE,"",VLOOKUP(CONCATENATE($N$48,"_",O59),選手名簿!$A:$E,5,FALSE))</f>
        <v/>
      </c>
      <c r="O59" s="214"/>
      <c r="P59" s="214"/>
      <c r="Q59" s="221"/>
      <c r="R59" s="223"/>
      <c r="S59" s="221"/>
      <c r="T59" s="214"/>
      <c r="U59" s="214"/>
      <c r="V59" s="206" t="str">
        <f>IF(ISERROR(VLOOKUP(CONCATENATE($V$48,"_",U59),選手名簿!$A:$E,5,FALSE))=TRUE,"",VLOOKUP(CONCATENATE($V$48,"_",U59),選手名簿!$A:$E,5,FALSE))</f>
        <v/>
      </c>
      <c r="W59" s="226"/>
      <c r="Y59" s="590"/>
      <c r="Z59" s="590"/>
      <c r="AA59" s="590"/>
      <c r="AB59" s="962"/>
      <c r="AC59" s="962"/>
      <c r="AD59" s="962"/>
      <c r="AE59" s="962"/>
      <c r="AF59" s="962"/>
      <c r="AG59" s="962"/>
    </row>
    <row r="60" spans="1:67" x14ac:dyDescent="0.25">
      <c r="A60" s="199"/>
      <c r="B60" s="209" t="str">
        <f>IF(ISERROR(VLOOKUP(CONCATENATE($B$48,"_",C60),選手名簿!$A:$E,5,FALSE))=TRUE,"",VLOOKUP(CONCATENATE($B$48,"_",C60),選手名簿!$A:$E,5,FALSE))</f>
        <v/>
      </c>
      <c r="C60" s="214"/>
      <c r="D60" s="214"/>
      <c r="E60" s="221"/>
      <c r="F60" s="223"/>
      <c r="G60" s="221"/>
      <c r="H60" s="214"/>
      <c r="I60" s="214"/>
      <c r="J60" s="209" t="str">
        <f>IF(ISERROR(VLOOKUP(CONCATENATE($J$48,"_",I60),選手名簿!$A:$E,5,FALSE))=TRUE,"",VLOOKUP(CONCATENATE($J$48,"_",I60),選手名簿!$A:$E,5,FALSE))</f>
        <v/>
      </c>
      <c r="K60" s="226"/>
      <c r="L60" s="190"/>
      <c r="M60" s="199"/>
      <c r="N60" s="209" t="str">
        <f>IF(ISERROR(VLOOKUP(CONCATENATE($N$48,"_",O60),選手名簿!$A:$E,5,FALSE))=TRUE,"",VLOOKUP(CONCATENATE($N$48,"_",O60),選手名簿!$A:$E,5,FALSE))</f>
        <v/>
      </c>
      <c r="O60" s="214"/>
      <c r="P60" s="214"/>
      <c r="Q60" s="221"/>
      <c r="R60" s="223"/>
      <c r="S60" s="221"/>
      <c r="T60" s="214"/>
      <c r="U60" s="214"/>
      <c r="V60" s="209" t="str">
        <f>IF(ISERROR(VLOOKUP(CONCATENATE($V$48,"_",U60),選手名簿!$A:$E,5,FALSE))=TRUE,"",VLOOKUP(CONCATENATE($V$48,"_",U60),選手名簿!$A:$E,5,FALSE))</f>
        <v/>
      </c>
      <c r="W60" s="226"/>
      <c r="Y60" s="58"/>
      <c r="Z60" s="713" t="str">
        <f>$N$7</f>
        <v>G</v>
      </c>
      <c r="AA60" s="713"/>
      <c r="AB60" s="713"/>
      <c r="AC60" s="713" t="str">
        <f>$O$7</f>
        <v>ティエラフットボールクラブＵ－１２</v>
      </c>
      <c r="AD60" s="713"/>
      <c r="AE60" s="713"/>
      <c r="AF60" s="713"/>
      <c r="AG60" s="713"/>
      <c r="AH60" s="713"/>
      <c r="AI60" s="713"/>
      <c r="AJ60" s="713"/>
      <c r="AK60" s="713"/>
      <c r="AL60" s="713"/>
      <c r="AM60" s="713"/>
      <c r="AN60" s="713"/>
      <c r="AO60" s="713"/>
      <c r="AP60" s="713" t="str">
        <f>$V$7</f>
        <v>中津</v>
      </c>
      <c r="AQ60" s="713"/>
      <c r="AR60" s="713"/>
      <c r="AS60" s="713"/>
    </row>
    <row r="61" spans="1:67" x14ac:dyDescent="0.25">
      <c r="A61" s="199"/>
      <c r="B61" s="209" t="str">
        <f>IF(ISERROR(VLOOKUP(CONCATENATE($B$48,"_",C61),選手名簿!$A:$E,5,FALSE))=TRUE,"",VLOOKUP(CONCATENATE($B$48,"_",C61),選手名簿!$A:$E,5,FALSE))</f>
        <v/>
      </c>
      <c r="C61" s="214"/>
      <c r="D61" s="214"/>
      <c r="E61" s="221"/>
      <c r="F61" s="223"/>
      <c r="G61" s="221"/>
      <c r="H61" s="214"/>
      <c r="I61" s="214"/>
      <c r="J61" s="209" t="str">
        <f>IF(ISERROR(VLOOKUP(CONCATENATE($J$48,"_",I61),選手名簿!$A:$E,5,FALSE))=TRUE,"",VLOOKUP(CONCATENATE($J$48,"_",I61),選手名簿!$A:$E,5,FALSE))</f>
        <v/>
      </c>
      <c r="K61" s="226"/>
      <c r="L61" s="190"/>
      <c r="M61" s="199"/>
      <c r="N61" s="209" t="str">
        <f>IF(ISERROR(VLOOKUP(CONCATENATE($N$48,"_",O61),選手名簿!$A:$E,5,FALSE))=TRUE,"",VLOOKUP(CONCATENATE($N$48,"_",O61),選手名簿!$A:$E,5,FALSE))</f>
        <v/>
      </c>
      <c r="O61" s="214"/>
      <c r="P61" s="214"/>
      <c r="Q61" s="221"/>
      <c r="R61" s="223"/>
      <c r="S61" s="221"/>
      <c r="T61" s="214"/>
      <c r="U61" s="214"/>
      <c r="V61" s="209" t="str">
        <f>IF(ISERROR(VLOOKUP(CONCATENATE($V$48,"_",U61),選手名簿!$A:$E,5,FALSE))=TRUE,"",VLOOKUP(CONCATENATE($V$48,"_",U61),選手名簿!$A:$E,5,FALSE))</f>
        <v/>
      </c>
      <c r="W61" s="226"/>
      <c r="Y61" s="58"/>
      <c r="Z61" s="713"/>
      <c r="AA61" s="713"/>
      <c r="AB61" s="713"/>
      <c r="AC61" s="713"/>
      <c r="AD61" s="713"/>
      <c r="AE61" s="713"/>
      <c r="AF61" s="713"/>
      <c r="AG61" s="713"/>
      <c r="AH61" s="713"/>
      <c r="AI61" s="713"/>
      <c r="AJ61" s="713"/>
      <c r="AK61" s="713"/>
      <c r="AL61" s="713"/>
      <c r="AM61" s="713"/>
      <c r="AN61" s="713"/>
      <c r="AO61" s="713"/>
      <c r="AP61" s="713"/>
      <c r="AQ61" s="713"/>
      <c r="AR61" s="713"/>
      <c r="AS61" s="713"/>
    </row>
    <row r="62" spans="1:67" x14ac:dyDescent="0.25">
      <c r="A62" s="199"/>
      <c r="B62" s="209" t="str">
        <f>IF(ISERROR(VLOOKUP(CONCATENATE($B$48,"_",C62),選手名簿!$A:$E,5,FALSE))=TRUE,"",VLOOKUP(CONCATENATE($B$48,"_",C62),選手名簿!$A:$E,5,FALSE))</f>
        <v/>
      </c>
      <c r="C62" s="214"/>
      <c r="D62" s="214"/>
      <c r="E62" s="221"/>
      <c r="F62" s="223"/>
      <c r="G62" s="221"/>
      <c r="H62" s="214"/>
      <c r="I62" s="214"/>
      <c r="J62" s="209" t="str">
        <f>IF(ISERROR(VLOOKUP(CONCATENATE($J$48,"_",I62),選手名簿!$A:$E,5,FALSE))=TRUE,"",VLOOKUP(CONCATENATE($J$48,"_",I62),選手名簿!$A:$E,5,FALSE))</f>
        <v/>
      </c>
      <c r="K62" s="226"/>
      <c r="L62" s="190"/>
      <c r="M62" s="199"/>
      <c r="N62" s="209" t="str">
        <f>IF(ISERROR(VLOOKUP(CONCATENATE($N$48,"_",O62),選手名簿!$A:$E,5,FALSE))=TRUE,"",VLOOKUP(CONCATENATE($N$48,"_",O62),選手名簿!$A:$E,5,FALSE))</f>
        <v/>
      </c>
      <c r="O62" s="214"/>
      <c r="P62" s="214"/>
      <c r="Q62" s="221"/>
      <c r="R62" s="223"/>
      <c r="S62" s="221"/>
      <c r="T62" s="214"/>
      <c r="U62" s="214"/>
      <c r="V62" s="209" t="str">
        <f>IF(ISERROR(VLOOKUP(CONCATENATE($V$48,"_",U62),選手名簿!$A:$E,5,FALSE))=TRUE,"",VLOOKUP(CONCATENATE($V$48,"_",U62),選手名簿!$A:$E,5,FALSE))</f>
        <v/>
      </c>
      <c r="W62" s="226"/>
      <c r="Y62" s="58"/>
      <c r="Z62" s="713" t="str">
        <f>$N$8</f>
        <v>H</v>
      </c>
      <c r="AA62" s="713"/>
      <c r="AB62" s="713"/>
      <c r="AC62" s="713" t="str">
        <f>$O$8</f>
        <v>大分トリニータタートルズ</v>
      </c>
      <c r="AD62" s="713"/>
      <c r="AE62" s="713"/>
      <c r="AF62" s="713"/>
      <c r="AG62" s="713"/>
      <c r="AH62" s="713"/>
      <c r="AI62" s="713"/>
      <c r="AJ62" s="713"/>
      <c r="AK62" s="713"/>
      <c r="AL62" s="713"/>
      <c r="AM62" s="713"/>
      <c r="AN62" s="713"/>
      <c r="AO62" s="713"/>
      <c r="AP62" s="713" t="str">
        <f>$V$8</f>
        <v>大分</v>
      </c>
      <c r="AQ62" s="713"/>
      <c r="AR62" s="713"/>
      <c r="AS62" s="713"/>
    </row>
    <row r="63" spans="1:67" x14ac:dyDescent="0.25">
      <c r="A63" s="200"/>
      <c r="B63" s="210" t="str">
        <f>IF(ISERROR(VLOOKUP(CONCATENATE($B$48,"_",C63),選手名簿!$A:$E,5,FALSE))=TRUE,"",VLOOKUP(CONCATENATE($B$48,"_",C63),選手名簿!$A:$E,5,FALSE))</f>
        <v/>
      </c>
      <c r="C63" s="215"/>
      <c r="D63" s="215"/>
      <c r="E63" s="222"/>
      <c r="F63" s="224"/>
      <c r="G63" s="222"/>
      <c r="H63" s="215"/>
      <c r="I63" s="215"/>
      <c r="J63" s="210" t="str">
        <f>IF(ISERROR(VLOOKUP(CONCATENATE($J$48,"_",I63),選手名簿!$A:$E,5,FALSE))=TRUE,"",VLOOKUP(CONCATENATE($J$48,"_",I63),選手名簿!$A:$E,5,FALSE))</f>
        <v/>
      </c>
      <c r="K63" s="227"/>
      <c r="L63" s="190"/>
      <c r="M63" s="200"/>
      <c r="N63" s="210" t="str">
        <f>IF(ISERROR(VLOOKUP(CONCATENATE($N$48,"_",O63),選手名簿!$A:$E,5,FALSE))=TRUE,"",VLOOKUP(CONCATENATE($N$48,"_",O63),選手名簿!$A:$E,5,FALSE))</f>
        <v/>
      </c>
      <c r="O63" s="215"/>
      <c r="P63" s="215"/>
      <c r="Q63" s="222"/>
      <c r="R63" s="224"/>
      <c r="S63" s="222"/>
      <c r="T63" s="215"/>
      <c r="U63" s="215"/>
      <c r="V63" s="210" t="str">
        <f>IF(ISERROR(VLOOKUP(CONCATENATE($V$48,"_",U63),選手名簿!$A:$E,5,FALSE))=TRUE,"",VLOOKUP(CONCATENATE($V$48,"_",U63),選手名簿!$A:$E,5,FALSE))</f>
        <v/>
      </c>
      <c r="W63" s="227"/>
      <c r="Y63" s="58"/>
      <c r="Z63" s="713"/>
      <c r="AA63" s="713"/>
      <c r="AB63" s="713"/>
      <c r="AC63" s="713"/>
      <c r="AD63" s="713"/>
      <c r="AE63" s="713"/>
      <c r="AF63" s="713"/>
      <c r="AG63" s="713"/>
      <c r="AH63" s="713"/>
      <c r="AI63" s="713"/>
      <c r="AJ63" s="713"/>
      <c r="AK63" s="713"/>
      <c r="AL63" s="713"/>
      <c r="AM63" s="713"/>
      <c r="AN63" s="713"/>
      <c r="AO63" s="713"/>
      <c r="AP63" s="713"/>
      <c r="AQ63" s="713"/>
      <c r="AR63" s="713"/>
      <c r="AS63" s="713"/>
    </row>
    <row r="64" spans="1:67" ht="18.75" customHeight="1" x14ac:dyDescent="0.25">
      <c r="A64" s="190"/>
      <c r="B64" s="190"/>
      <c r="C64" s="190"/>
      <c r="D64" s="190"/>
      <c r="E64" s="190"/>
      <c r="F64" s="190"/>
      <c r="G64" s="190"/>
      <c r="H64" s="190"/>
      <c r="I64" s="190"/>
      <c r="J64" s="190"/>
      <c r="K64" s="190"/>
      <c r="L64" s="190"/>
      <c r="M64" s="190"/>
      <c r="N64" s="190"/>
      <c r="O64" s="190"/>
      <c r="P64" s="190"/>
      <c r="Q64" s="190"/>
      <c r="R64" s="190"/>
      <c r="S64" s="190"/>
      <c r="T64" s="190"/>
      <c r="U64" s="190"/>
      <c r="V64" s="190"/>
      <c r="Y64" s="190"/>
      <c r="Z64" s="713" t="str">
        <f>$N$9</f>
        <v>I</v>
      </c>
      <c r="AA64" s="713"/>
      <c r="AB64" s="713"/>
      <c r="AC64" s="713" t="str">
        <f>$O$9</f>
        <v>リノスフットボールクラブ　Ｕ－１２</v>
      </c>
      <c r="AD64" s="713"/>
      <c r="AE64" s="713"/>
      <c r="AF64" s="713"/>
      <c r="AG64" s="713"/>
      <c r="AH64" s="713"/>
      <c r="AI64" s="713"/>
      <c r="AJ64" s="713"/>
      <c r="AK64" s="713"/>
      <c r="AL64" s="713"/>
      <c r="AM64" s="713"/>
      <c r="AN64" s="713"/>
      <c r="AO64" s="713"/>
      <c r="AP64" s="713" t="str">
        <f>$V$9</f>
        <v>大分</v>
      </c>
      <c r="AQ64" s="713"/>
      <c r="AR64" s="713"/>
      <c r="AS64" s="713"/>
    </row>
    <row r="65" spans="25:67" x14ac:dyDescent="0.25">
      <c r="Z65" s="713"/>
      <c r="AA65" s="713"/>
      <c r="AB65" s="713"/>
      <c r="AC65" s="713"/>
      <c r="AD65" s="713"/>
      <c r="AE65" s="713"/>
      <c r="AF65" s="713"/>
      <c r="AG65" s="713"/>
      <c r="AH65" s="713"/>
      <c r="AI65" s="713"/>
      <c r="AJ65" s="713"/>
      <c r="AK65" s="713"/>
      <c r="AL65" s="713"/>
      <c r="AM65" s="713"/>
      <c r="AN65" s="713"/>
      <c r="AO65" s="713"/>
      <c r="AP65" s="713"/>
      <c r="AQ65" s="713"/>
      <c r="AR65" s="713"/>
      <c r="AS65" s="713"/>
    </row>
    <row r="70" spans="25:67" ht="18.75" customHeight="1" x14ac:dyDescent="0.25"/>
    <row r="71" spans="25:67" ht="18.75" customHeight="1" x14ac:dyDescent="0.25"/>
    <row r="72" spans="25:67" ht="18.75" customHeight="1" x14ac:dyDescent="0.25">
      <c r="Y72" s="954" t="str">
        <f>$Y$6</f>
        <v>パート</v>
      </c>
      <c r="Z72" s="955"/>
      <c r="AA72" s="955"/>
      <c r="AB72" s="955"/>
      <c r="AC72" s="955" t="str">
        <f>$AB$58</f>
        <v>2次リーグ　Cパート</v>
      </c>
      <c r="AD72" s="955"/>
      <c r="AE72" s="956"/>
      <c r="AF72" s="945" t="str">
        <f>$Y$78</f>
        <v>ティエラフットボールクラブＵ－１２</v>
      </c>
      <c r="AG72" s="945"/>
      <c r="AH72" s="945"/>
      <c r="AI72" s="945"/>
      <c r="AJ72" s="945"/>
      <c r="AK72" s="945" t="str">
        <f>$Y$84</f>
        <v>大分トリニータタートルズ</v>
      </c>
      <c r="AL72" s="945"/>
      <c r="AM72" s="945"/>
      <c r="AN72" s="945"/>
      <c r="AO72" s="945"/>
      <c r="AP72" s="945" t="str">
        <f>$Y$90</f>
        <v>リノスフットボールクラブ　Ｕ－１２</v>
      </c>
      <c r="AQ72" s="945"/>
      <c r="AR72" s="945"/>
      <c r="AS72" s="945"/>
      <c r="AT72" s="945"/>
      <c r="AU72" s="945" t="s">
        <v>1535</v>
      </c>
      <c r="AV72" s="945"/>
      <c r="AW72" s="944" t="s">
        <v>2060</v>
      </c>
      <c r="AX72" s="945"/>
      <c r="AY72" s="944" t="s">
        <v>1208</v>
      </c>
      <c r="AZ72" s="945"/>
      <c r="BA72" s="945" t="s">
        <v>1727</v>
      </c>
      <c r="BB72" s="945"/>
      <c r="BC72" s="945" t="s">
        <v>2005</v>
      </c>
      <c r="BD72" s="945"/>
      <c r="BE72" s="945" t="s">
        <v>2006</v>
      </c>
      <c r="BF72" s="945"/>
      <c r="BG72" s="945" t="s">
        <v>1768</v>
      </c>
      <c r="BH72" s="945"/>
      <c r="BI72" s="944" t="s">
        <v>698</v>
      </c>
      <c r="BJ72" s="945"/>
      <c r="BK72" s="944" t="s">
        <v>1100</v>
      </c>
      <c r="BL72" s="945"/>
      <c r="BM72" s="944" t="s">
        <v>502</v>
      </c>
      <c r="BN72" s="945"/>
      <c r="BO72" s="947" t="s">
        <v>2127</v>
      </c>
    </row>
    <row r="73" spans="25:67" ht="18.75" customHeight="1" x14ac:dyDescent="0.25">
      <c r="Y73" s="905"/>
      <c r="Z73" s="906"/>
      <c r="AA73" s="906"/>
      <c r="AB73" s="906"/>
      <c r="AC73" s="906"/>
      <c r="AD73" s="906"/>
      <c r="AE73" s="957"/>
      <c r="AF73" s="946"/>
      <c r="AG73" s="946"/>
      <c r="AH73" s="946"/>
      <c r="AI73" s="946"/>
      <c r="AJ73" s="946"/>
      <c r="AK73" s="946"/>
      <c r="AL73" s="946"/>
      <c r="AM73" s="946"/>
      <c r="AN73" s="946"/>
      <c r="AO73" s="946"/>
      <c r="AP73" s="946"/>
      <c r="AQ73" s="946"/>
      <c r="AR73" s="946"/>
      <c r="AS73" s="946"/>
      <c r="AT73" s="946"/>
      <c r="AU73" s="946"/>
      <c r="AV73" s="946"/>
      <c r="AW73" s="946"/>
      <c r="AX73" s="946"/>
      <c r="AY73" s="946"/>
      <c r="AZ73" s="946"/>
      <c r="BA73" s="946"/>
      <c r="BB73" s="946"/>
      <c r="BC73" s="946"/>
      <c r="BD73" s="946"/>
      <c r="BE73" s="946"/>
      <c r="BF73" s="946"/>
      <c r="BG73" s="946"/>
      <c r="BH73" s="946"/>
      <c r="BI73" s="946"/>
      <c r="BJ73" s="946"/>
      <c r="BK73" s="946"/>
      <c r="BL73" s="946"/>
      <c r="BM73" s="946"/>
      <c r="BN73" s="946"/>
      <c r="BO73" s="948"/>
    </row>
    <row r="74" spans="25:67" ht="18.75" customHeight="1" x14ac:dyDescent="0.25">
      <c r="Y74" s="905"/>
      <c r="Z74" s="906"/>
      <c r="AA74" s="906"/>
      <c r="AB74" s="906"/>
      <c r="AC74" s="906"/>
      <c r="AD74" s="906"/>
      <c r="AE74" s="957"/>
      <c r="AF74" s="946"/>
      <c r="AG74" s="946"/>
      <c r="AH74" s="946"/>
      <c r="AI74" s="946"/>
      <c r="AJ74" s="946"/>
      <c r="AK74" s="946"/>
      <c r="AL74" s="946"/>
      <c r="AM74" s="946"/>
      <c r="AN74" s="946"/>
      <c r="AO74" s="946"/>
      <c r="AP74" s="946"/>
      <c r="AQ74" s="946"/>
      <c r="AR74" s="946"/>
      <c r="AS74" s="946"/>
      <c r="AT74" s="946"/>
      <c r="AU74" s="946"/>
      <c r="AV74" s="946"/>
      <c r="AW74" s="946"/>
      <c r="AX74" s="946"/>
      <c r="AY74" s="946"/>
      <c r="AZ74" s="946"/>
      <c r="BA74" s="946"/>
      <c r="BB74" s="946"/>
      <c r="BC74" s="946"/>
      <c r="BD74" s="946"/>
      <c r="BE74" s="946"/>
      <c r="BF74" s="946"/>
      <c r="BG74" s="946"/>
      <c r="BH74" s="946"/>
      <c r="BI74" s="946"/>
      <c r="BJ74" s="946"/>
      <c r="BK74" s="946"/>
      <c r="BL74" s="946"/>
      <c r="BM74" s="946"/>
      <c r="BN74" s="946"/>
      <c r="BO74" s="948"/>
    </row>
    <row r="75" spans="25:67" ht="19.5" customHeight="1" x14ac:dyDescent="0.25">
      <c r="Y75" s="905"/>
      <c r="Z75" s="906"/>
      <c r="AA75" s="906"/>
      <c r="AB75" s="906"/>
      <c r="AC75" s="906"/>
      <c r="AD75" s="906"/>
      <c r="AE75" s="957"/>
      <c r="AF75" s="946"/>
      <c r="AG75" s="946"/>
      <c r="AH75" s="946"/>
      <c r="AI75" s="946"/>
      <c r="AJ75" s="946"/>
      <c r="AK75" s="946"/>
      <c r="AL75" s="946"/>
      <c r="AM75" s="946"/>
      <c r="AN75" s="946"/>
      <c r="AO75" s="946"/>
      <c r="AP75" s="946"/>
      <c r="AQ75" s="946"/>
      <c r="AR75" s="946"/>
      <c r="AS75" s="946"/>
      <c r="AT75" s="946"/>
      <c r="AU75" s="946"/>
      <c r="AV75" s="946"/>
      <c r="AW75" s="946"/>
      <c r="AX75" s="946"/>
      <c r="AY75" s="946"/>
      <c r="AZ75" s="946"/>
      <c r="BA75" s="946"/>
      <c r="BB75" s="946"/>
      <c r="BC75" s="946"/>
      <c r="BD75" s="946"/>
      <c r="BE75" s="946"/>
      <c r="BF75" s="946"/>
      <c r="BG75" s="946"/>
      <c r="BH75" s="946"/>
      <c r="BI75" s="946"/>
      <c r="BJ75" s="946"/>
      <c r="BK75" s="946"/>
      <c r="BL75" s="946"/>
      <c r="BM75" s="946"/>
      <c r="BN75" s="946"/>
      <c r="BO75" s="948"/>
    </row>
    <row r="76" spans="25:67" ht="19.5" customHeight="1" x14ac:dyDescent="0.25">
      <c r="Y76" s="905"/>
      <c r="Z76" s="906"/>
      <c r="AA76" s="906"/>
      <c r="AB76" s="906"/>
      <c r="AC76" s="906"/>
      <c r="AD76" s="906"/>
      <c r="AE76" s="957"/>
      <c r="AF76" s="946"/>
      <c r="AG76" s="946"/>
      <c r="AH76" s="946"/>
      <c r="AI76" s="946"/>
      <c r="AJ76" s="946"/>
      <c r="AK76" s="946"/>
      <c r="AL76" s="946"/>
      <c r="AM76" s="946"/>
      <c r="AN76" s="946"/>
      <c r="AO76" s="946"/>
      <c r="AP76" s="946"/>
      <c r="AQ76" s="946"/>
      <c r="AR76" s="946"/>
      <c r="AS76" s="946"/>
      <c r="AT76" s="946"/>
      <c r="AU76" s="946"/>
      <c r="AV76" s="946"/>
      <c r="AW76" s="946"/>
      <c r="AX76" s="946"/>
      <c r="AY76" s="946"/>
      <c r="AZ76" s="946"/>
      <c r="BA76" s="946"/>
      <c r="BB76" s="946"/>
      <c r="BC76" s="946"/>
      <c r="BD76" s="946"/>
      <c r="BE76" s="946"/>
      <c r="BF76" s="946"/>
      <c r="BG76" s="946"/>
      <c r="BH76" s="946"/>
      <c r="BI76" s="946"/>
      <c r="BJ76" s="946"/>
      <c r="BK76" s="946"/>
      <c r="BL76" s="946"/>
      <c r="BM76" s="946"/>
      <c r="BN76" s="946"/>
      <c r="BO76" s="948"/>
    </row>
    <row r="77" spans="25:67" ht="18.75" customHeight="1" x14ac:dyDescent="0.25">
      <c r="Y77" s="941"/>
      <c r="Z77" s="936"/>
      <c r="AA77" s="936"/>
      <c r="AB77" s="936"/>
      <c r="AC77" s="936"/>
      <c r="AD77" s="936"/>
      <c r="AE77" s="958"/>
      <c r="AF77" s="946"/>
      <c r="AG77" s="946"/>
      <c r="AH77" s="946"/>
      <c r="AI77" s="946"/>
      <c r="AJ77" s="946"/>
      <c r="AK77" s="946"/>
      <c r="AL77" s="946"/>
      <c r="AM77" s="946"/>
      <c r="AN77" s="946"/>
      <c r="AO77" s="946"/>
      <c r="AP77" s="946"/>
      <c r="AQ77" s="946"/>
      <c r="AR77" s="946"/>
      <c r="AS77" s="946"/>
      <c r="AT77" s="946"/>
      <c r="AU77" s="946"/>
      <c r="AV77" s="946"/>
      <c r="AW77" s="946"/>
      <c r="AX77" s="946"/>
      <c r="AY77" s="946"/>
      <c r="AZ77" s="946"/>
      <c r="BA77" s="946"/>
      <c r="BB77" s="946"/>
      <c r="BC77" s="946"/>
      <c r="BD77" s="946"/>
      <c r="BE77" s="946"/>
      <c r="BF77" s="946"/>
      <c r="BG77" s="946"/>
      <c r="BH77" s="946"/>
      <c r="BI77" s="946"/>
      <c r="BJ77" s="946"/>
      <c r="BK77" s="946"/>
      <c r="BL77" s="946"/>
      <c r="BM77" s="946"/>
      <c r="BN77" s="946"/>
      <c r="BO77" s="949"/>
    </row>
    <row r="78" spans="25:67" ht="18.75" customHeight="1" x14ac:dyDescent="0.25">
      <c r="Y78" s="939" t="str">
        <f>$AC$60</f>
        <v>ティエラフットボールクラブＵ－１２</v>
      </c>
      <c r="Z78" s="940"/>
      <c r="AA78" s="940"/>
      <c r="AB78" s="940"/>
      <c r="AC78" s="940"/>
      <c r="AD78" s="940" t="s">
        <v>242</v>
      </c>
      <c r="AE78" s="940"/>
      <c r="AF78" s="950"/>
      <c r="AG78" s="942"/>
      <c r="AH78" s="942"/>
      <c r="AI78" s="942"/>
      <c r="AJ78" s="951"/>
      <c r="AK78" s="923" t="str">
        <f>IF(AK82="","",IF(AK82&gt;AN82,"○",IF(AK82&lt;AN82,"●",IF(AK80&gt;AN80,"△",IF(AK80&lt;AN80,"▲")))))</f>
        <v>○</v>
      </c>
      <c r="AL78" s="924"/>
      <c r="AM78" s="924"/>
      <c r="AN78" s="924"/>
      <c r="AO78" s="925"/>
      <c r="AP78" s="923" t="str">
        <f>IF(AP82="","",IF(AP82&gt;AS82,"○",IF(AP82&lt;AS82,"●",IF(AP80&gt;AS80,"△",IF(AP80&lt;AS80,"▲")))))</f>
        <v>○</v>
      </c>
      <c r="AQ78" s="924"/>
      <c r="AR78" s="924"/>
      <c r="AS78" s="924"/>
      <c r="AT78" s="925"/>
      <c r="AU78" s="903">
        <f>COUNTIF($AF$78:$AT$79,"○")</f>
        <v>2</v>
      </c>
      <c r="AV78" s="903"/>
      <c r="AW78" s="903">
        <f>COUNTIF($AF$78:$AT$79,"△")</f>
        <v>0</v>
      </c>
      <c r="AX78" s="903"/>
      <c r="AY78" s="903">
        <f>COUNTIF($AF$78:$AT$79,"▲")</f>
        <v>0</v>
      </c>
      <c r="AZ78" s="903"/>
      <c r="BA78" s="903">
        <f>COUNTIF($AF$78:$AT$79,"●")</f>
        <v>0</v>
      </c>
      <c r="BB78" s="903"/>
      <c r="BC78" s="903">
        <f>SUM($AK$82,$AP$82)</f>
        <v>5</v>
      </c>
      <c r="BD78" s="903"/>
      <c r="BE78" s="903">
        <f>SUM($AN$82,$AS$82)</f>
        <v>3</v>
      </c>
      <c r="BF78" s="903"/>
      <c r="BG78" s="903">
        <f>($AU$78*3)+($AW$78*2)+($AY$78*1)</f>
        <v>6</v>
      </c>
      <c r="BH78" s="903"/>
      <c r="BI78" s="910">
        <f>RANK($BG$78,$BG$78:$BH$95)</f>
        <v>1</v>
      </c>
      <c r="BJ78" s="910"/>
      <c r="BK78" s="903">
        <f>$BC$78-$BE$78</f>
        <v>2</v>
      </c>
      <c r="BL78" s="903"/>
      <c r="BM78" s="910">
        <f>RANK($BK$78,$BK$78:$BL$95)</f>
        <v>1</v>
      </c>
      <c r="BN78" s="910"/>
      <c r="BO78" s="912"/>
    </row>
    <row r="79" spans="25:67" ht="18.75" customHeight="1" x14ac:dyDescent="0.25">
      <c r="Y79" s="905"/>
      <c r="Z79" s="906"/>
      <c r="AA79" s="906"/>
      <c r="AB79" s="906"/>
      <c r="AC79" s="906"/>
      <c r="AD79" s="906"/>
      <c r="AE79" s="906"/>
      <c r="AF79" s="929"/>
      <c r="AG79" s="930"/>
      <c r="AH79" s="930"/>
      <c r="AI79" s="930"/>
      <c r="AJ79" s="931"/>
      <c r="AK79" s="917"/>
      <c r="AL79" s="918"/>
      <c r="AM79" s="918"/>
      <c r="AN79" s="918"/>
      <c r="AO79" s="920"/>
      <c r="AP79" s="917"/>
      <c r="AQ79" s="918"/>
      <c r="AR79" s="918"/>
      <c r="AS79" s="918"/>
      <c r="AT79" s="920"/>
      <c r="AU79" s="903"/>
      <c r="AV79" s="903"/>
      <c r="AW79" s="903"/>
      <c r="AX79" s="903"/>
      <c r="AY79" s="903"/>
      <c r="AZ79" s="903"/>
      <c r="BA79" s="903"/>
      <c r="BB79" s="903"/>
      <c r="BC79" s="903"/>
      <c r="BD79" s="903"/>
      <c r="BE79" s="903"/>
      <c r="BF79" s="903"/>
      <c r="BG79" s="903"/>
      <c r="BH79" s="903"/>
      <c r="BI79" s="910"/>
      <c r="BJ79" s="910"/>
      <c r="BK79" s="903"/>
      <c r="BL79" s="903"/>
      <c r="BM79" s="910"/>
      <c r="BN79" s="910"/>
      <c r="BO79" s="913"/>
    </row>
    <row r="80" spans="25:67" ht="18.75" customHeight="1" x14ac:dyDescent="0.25">
      <c r="Y80" s="905"/>
      <c r="Z80" s="906"/>
      <c r="AA80" s="906"/>
      <c r="AB80" s="906"/>
      <c r="AC80" s="906"/>
      <c r="AD80" s="906"/>
      <c r="AE80" s="906"/>
      <c r="AF80" s="929"/>
      <c r="AG80" s="930"/>
      <c r="AH80" s="930"/>
      <c r="AI80" s="930"/>
      <c r="AJ80" s="931"/>
      <c r="AK80" s="915" t="str">
        <f>IF($Q$14="","",$Q$14)</f>
        <v/>
      </c>
      <c r="AL80" s="916"/>
      <c r="AM80" s="916" t="s">
        <v>2011</v>
      </c>
      <c r="AN80" s="916" t="str">
        <f>IF($S$14="","",$S$14)</f>
        <v/>
      </c>
      <c r="AO80" s="919"/>
      <c r="AP80" s="915" t="str">
        <f>IF($S$50="","",$S$50)</f>
        <v/>
      </c>
      <c r="AQ80" s="916"/>
      <c r="AR80" s="916" t="s">
        <v>2011</v>
      </c>
      <c r="AS80" s="916" t="str">
        <f>IF($Q$50="","",$Q$50)</f>
        <v/>
      </c>
      <c r="AT80" s="919"/>
      <c r="AU80" s="903"/>
      <c r="AV80" s="903"/>
      <c r="AW80" s="903"/>
      <c r="AX80" s="903"/>
      <c r="AY80" s="903"/>
      <c r="AZ80" s="903"/>
      <c r="BA80" s="903"/>
      <c r="BB80" s="903"/>
      <c r="BC80" s="903"/>
      <c r="BD80" s="903"/>
      <c r="BE80" s="903"/>
      <c r="BF80" s="903"/>
      <c r="BG80" s="903"/>
      <c r="BH80" s="903"/>
      <c r="BI80" s="910"/>
      <c r="BJ80" s="910"/>
      <c r="BK80" s="903"/>
      <c r="BL80" s="903"/>
      <c r="BM80" s="910"/>
      <c r="BN80" s="910"/>
      <c r="BO80" s="913"/>
    </row>
    <row r="81" spans="25:67" ht="19.5" customHeight="1" x14ac:dyDescent="0.25">
      <c r="Y81" s="905"/>
      <c r="Z81" s="906"/>
      <c r="AA81" s="906"/>
      <c r="AB81" s="906"/>
      <c r="AC81" s="906"/>
      <c r="AD81" s="906" t="s">
        <v>2010</v>
      </c>
      <c r="AE81" s="906"/>
      <c r="AF81" s="929"/>
      <c r="AG81" s="930"/>
      <c r="AH81" s="930"/>
      <c r="AI81" s="930"/>
      <c r="AJ81" s="931"/>
      <c r="AK81" s="917"/>
      <c r="AL81" s="918"/>
      <c r="AM81" s="918"/>
      <c r="AN81" s="918"/>
      <c r="AO81" s="920"/>
      <c r="AP81" s="917"/>
      <c r="AQ81" s="918"/>
      <c r="AR81" s="918"/>
      <c r="AS81" s="918"/>
      <c r="AT81" s="920"/>
      <c r="AU81" s="903"/>
      <c r="AV81" s="903"/>
      <c r="AW81" s="903"/>
      <c r="AX81" s="903"/>
      <c r="AY81" s="903"/>
      <c r="AZ81" s="903"/>
      <c r="BA81" s="903"/>
      <c r="BB81" s="903"/>
      <c r="BC81" s="903"/>
      <c r="BD81" s="903"/>
      <c r="BE81" s="903"/>
      <c r="BF81" s="903"/>
      <c r="BG81" s="903"/>
      <c r="BH81" s="903"/>
      <c r="BI81" s="910"/>
      <c r="BJ81" s="910"/>
      <c r="BK81" s="903"/>
      <c r="BL81" s="903"/>
      <c r="BM81" s="910"/>
      <c r="BN81" s="910"/>
      <c r="BO81" s="913"/>
    </row>
    <row r="82" spans="25:67" ht="18.75" customHeight="1" x14ac:dyDescent="0.25">
      <c r="Y82" s="905"/>
      <c r="Z82" s="906"/>
      <c r="AA82" s="906"/>
      <c r="AB82" s="906"/>
      <c r="AC82" s="906"/>
      <c r="AD82" s="906"/>
      <c r="AE82" s="906"/>
      <c r="AF82" s="929"/>
      <c r="AG82" s="930"/>
      <c r="AH82" s="930"/>
      <c r="AI82" s="930"/>
      <c r="AJ82" s="931"/>
      <c r="AK82" s="915">
        <f>$O$12</f>
        <v>4</v>
      </c>
      <c r="AL82" s="916"/>
      <c r="AM82" s="916" t="s">
        <v>2011</v>
      </c>
      <c r="AN82" s="916">
        <f>$U$12</f>
        <v>3</v>
      </c>
      <c r="AO82" s="919"/>
      <c r="AP82" s="915">
        <f>$U$48</f>
        <v>1</v>
      </c>
      <c r="AQ82" s="916"/>
      <c r="AR82" s="916" t="s">
        <v>2011</v>
      </c>
      <c r="AS82" s="916">
        <f>$O$48</f>
        <v>0</v>
      </c>
      <c r="AT82" s="919"/>
      <c r="AU82" s="903"/>
      <c r="AV82" s="903"/>
      <c r="AW82" s="903"/>
      <c r="AX82" s="903"/>
      <c r="AY82" s="903"/>
      <c r="AZ82" s="903"/>
      <c r="BA82" s="903"/>
      <c r="BB82" s="903"/>
      <c r="BC82" s="903"/>
      <c r="BD82" s="903"/>
      <c r="BE82" s="903"/>
      <c r="BF82" s="903"/>
      <c r="BG82" s="903"/>
      <c r="BH82" s="903"/>
      <c r="BI82" s="910"/>
      <c r="BJ82" s="910"/>
      <c r="BK82" s="903"/>
      <c r="BL82" s="903"/>
      <c r="BM82" s="910"/>
      <c r="BN82" s="910"/>
      <c r="BO82" s="913"/>
    </row>
    <row r="83" spans="25:67" ht="18.75" customHeight="1" x14ac:dyDescent="0.25">
      <c r="Y83" s="941"/>
      <c r="Z83" s="936"/>
      <c r="AA83" s="936"/>
      <c r="AB83" s="936"/>
      <c r="AC83" s="936"/>
      <c r="AD83" s="936"/>
      <c r="AE83" s="936"/>
      <c r="AF83" s="952"/>
      <c r="AG83" s="943"/>
      <c r="AH83" s="943"/>
      <c r="AI83" s="943"/>
      <c r="AJ83" s="953"/>
      <c r="AK83" s="937"/>
      <c r="AL83" s="560"/>
      <c r="AM83" s="560"/>
      <c r="AN83" s="560"/>
      <c r="AO83" s="938"/>
      <c r="AP83" s="937"/>
      <c r="AQ83" s="560"/>
      <c r="AR83" s="560"/>
      <c r="AS83" s="560"/>
      <c r="AT83" s="938"/>
      <c r="AU83" s="903"/>
      <c r="AV83" s="903"/>
      <c r="AW83" s="903"/>
      <c r="AX83" s="903"/>
      <c r="AY83" s="903"/>
      <c r="AZ83" s="903"/>
      <c r="BA83" s="903"/>
      <c r="BB83" s="903"/>
      <c r="BC83" s="903"/>
      <c r="BD83" s="903"/>
      <c r="BE83" s="903"/>
      <c r="BF83" s="903"/>
      <c r="BG83" s="903"/>
      <c r="BH83" s="903"/>
      <c r="BI83" s="910"/>
      <c r="BJ83" s="910"/>
      <c r="BK83" s="903"/>
      <c r="BL83" s="903"/>
      <c r="BM83" s="910"/>
      <c r="BN83" s="910"/>
      <c r="BO83" s="935"/>
    </row>
    <row r="84" spans="25:67" ht="18.75" customHeight="1" x14ac:dyDescent="0.25">
      <c r="Y84" s="939" t="str">
        <f>$AC$62</f>
        <v>大分トリニータタートルズ</v>
      </c>
      <c r="Z84" s="940"/>
      <c r="AA84" s="940"/>
      <c r="AB84" s="940"/>
      <c r="AC84" s="940"/>
      <c r="AD84" s="940" t="s">
        <v>242</v>
      </c>
      <c r="AE84" s="940"/>
      <c r="AF84" s="923" t="str">
        <f>IF(AF88="","",IF(AF88&gt;AI88,"○",IF(AF88&lt;AI88,"●",IF(AF86&gt;AI86,"△",IF(AF86&lt;AI86,"▲")))))</f>
        <v>●</v>
      </c>
      <c r="AG84" s="924"/>
      <c r="AH84" s="924"/>
      <c r="AI84" s="924"/>
      <c r="AJ84" s="925"/>
      <c r="AK84" s="942"/>
      <c r="AL84" s="942"/>
      <c r="AM84" s="942"/>
      <c r="AN84" s="942"/>
      <c r="AO84" s="942"/>
      <c r="AP84" s="923" t="str">
        <f>IF(AP88="","",IF(AP88&gt;AS88,"○",IF(AP88&lt;AS88,"●",IF(AP86&gt;AS86,"△",IF(AP86&lt;AS86,"▲")))))</f>
        <v>●</v>
      </c>
      <c r="AQ84" s="924"/>
      <c r="AR84" s="924"/>
      <c r="AS84" s="924"/>
      <c r="AT84" s="925"/>
      <c r="AU84" s="903">
        <f>COUNTIF($AF$84:$AT$85,"○")</f>
        <v>0</v>
      </c>
      <c r="AV84" s="903"/>
      <c r="AW84" s="903">
        <f>COUNTIF($AF$84:$AT$85,"△")</f>
        <v>0</v>
      </c>
      <c r="AX84" s="903"/>
      <c r="AY84" s="903">
        <f>COUNTIF($AF$84:$AT$85,"▲")</f>
        <v>0</v>
      </c>
      <c r="AZ84" s="903"/>
      <c r="BA84" s="903">
        <f>COUNTIF($AF$84:$AT$85,"●")</f>
        <v>2</v>
      </c>
      <c r="BB84" s="903"/>
      <c r="BC84" s="903">
        <f>SUM($AF$88,$AP$88)</f>
        <v>3</v>
      </c>
      <c r="BD84" s="903"/>
      <c r="BE84" s="903">
        <f>SUM($AI$88,$AS$88)</f>
        <v>5</v>
      </c>
      <c r="BF84" s="903"/>
      <c r="BG84" s="903">
        <f>($AU$84*3)+($AW$84*2)+($AY$84*1)</f>
        <v>0</v>
      </c>
      <c r="BH84" s="903"/>
      <c r="BI84" s="910">
        <f>RANK($BG$84,$BG$78:$BH$95)</f>
        <v>3</v>
      </c>
      <c r="BJ84" s="910"/>
      <c r="BK84" s="903">
        <f>$BC$84-$BE$84</f>
        <v>-2</v>
      </c>
      <c r="BL84" s="903"/>
      <c r="BM84" s="910">
        <f>RANK($BK$84,$BK$78:$BL$95)</f>
        <v>3</v>
      </c>
      <c r="BN84" s="910"/>
      <c r="BO84" s="912"/>
    </row>
    <row r="85" spans="25:67" ht="18.75" customHeight="1" x14ac:dyDescent="0.25">
      <c r="Y85" s="905"/>
      <c r="Z85" s="906"/>
      <c r="AA85" s="906"/>
      <c r="AB85" s="906"/>
      <c r="AC85" s="906"/>
      <c r="AD85" s="906"/>
      <c r="AE85" s="906"/>
      <c r="AF85" s="917"/>
      <c r="AG85" s="918"/>
      <c r="AH85" s="918"/>
      <c r="AI85" s="918"/>
      <c r="AJ85" s="920"/>
      <c r="AK85" s="930"/>
      <c r="AL85" s="930"/>
      <c r="AM85" s="930"/>
      <c r="AN85" s="930"/>
      <c r="AO85" s="930"/>
      <c r="AP85" s="917"/>
      <c r="AQ85" s="918"/>
      <c r="AR85" s="918"/>
      <c r="AS85" s="918"/>
      <c r="AT85" s="920"/>
      <c r="AU85" s="903"/>
      <c r="AV85" s="903"/>
      <c r="AW85" s="903"/>
      <c r="AX85" s="903"/>
      <c r="AY85" s="903"/>
      <c r="AZ85" s="903"/>
      <c r="BA85" s="903"/>
      <c r="BB85" s="903"/>
      <c r="BC85" s="903"/>
      <c r="BD85" s="903"/>
      <c r="BE85" s="903"/>
      <c r="BF85" s="903"/>
      <c r="BG85" s="903"/>
      <c r="BH85" s="903"/>
      <c r="BI85" s="910"/>
      <c r="BJ85" s="910"/>
      <c r="BK85" s="903"/>
      <c r="BL85" s="903"/>
      <c r="BM85" s="910"/>
      <c r="BN85" s="910"/>
      <c r="BO85" s="913"/>
    </row>
    <row r="86" spans="25:67" ht="19.5" customHeight="1" x14ac:dyDescent="0.25">
      <c r="Y86" s="905"/>
      <c r="Z86" s="906"/>
      <c r="AA86" s="906"/>
      <c r="AB86" s="906"/>
      <c r="AC86" s="906"/>
      <c r="AD86" s="906"/>
      <c r="AE86" s="906"/>
      <c r="AF86" s="915" t="str">
        <f>AN80</f>
        <v/>
      </c>
      <c r="AG86" s="916"/>
      <c r="AH86" s="916" t="s">
        <v>2011</v>
      </c>
      <c r="AI86" s="916" t="str">
        <f>AK80</f>
        <v/>
      </c>
      <c r="AJ86" s="919"/>
      <c r="AK86" s="930"/>
      <c r="AL86" s="930"/>
      <c r="AM86" s="930"/>
      <c r="AN86" s="930"/>
      <c r="AO86" s="930"/>
      <c r="AP86" s="915" t="str">
        <f>IF($Q$32="","",$Q$32)</f>
        <v/>
      </c>
      <c r="AQ86" s="916"/>
      <c r="AR86" s="916" t="s">
        <v>2011</v>
      </c>
      <c r="AS86" s="916" t="str">
        <f>IF($S$32="","",$S$32)</f>
        <v/>
      </c>
      <c r="AT86" s="919"/>
      <c r="AU86" s="903"/>
      <c r="AV86" s="903"/>
      <c r="AW86" s="903"/>
      <c r="AX86" s="903"/>
      <c r="AY86" s="903"/>
      <c r="AZ86" s="903"/>
      <c r="BA86" s="903"/>
      <c r="BB86" s="903"/>
      <c r="BC86" s="903"/>
      <c r="BD86" s="903"/>
      <c r="BE86" s="903"/>
      <c r="BF86" s="903"/>
      <c r="BG86" s="903"/>
      <c r="BH86" s="903"/>
      <c r="BI86" s="910"/>
      <c r="BJ86" s="910"/>
      <c r="BK86" s="903"/>
      <c r="BL86" s="903"/>
      <c r="BM86" s="910"/>
      <c r="BN86" s="910"/>
      <c r="BO86" s="913"/>
    </row>
    <row r="87" spans="25:67" ht="19.5" customHeight="1" x14ac:dyDescent="0.25">
      <c r="Y87" s="905"/>
      <c r="Z87" s="906"/>
      <c r="AA87" s="906"/>
      <c r="AB87" s="906"/>
      <c r="AC87" s="906"/>
      <c r="AD87" s="906" t="s">
        <v>2010</v>
      </c>
      <c r="AE87" s="906"/>
      <c r="AF87" s="917"/>
      <c r="AG87" s="918"/>
      <c r="AH87" s="918"/>
      <c r="AI87" s="918"/>
      <c r="AJ87" s="920"/>
      <c r="AK87" s="930"/>
      <c r="AL87" s="930"/>
      <c r="AM87" s="930"/>
      <c r="AN87" s="930"/>
      <c r="AO87" s="930"/>
      <c r="AP87" s="917"/>
      <c r="AQ87" s="918"/>
      <c r="AR87" s="918"/>
      <c r="AS87" s="918"/>
      <c r="AT87" s="920"/>
      <c r="AU87" s="903"/>
      <c r="AV87" s="903"/>
      <c r="AW87" s="903"/>
      <c r="AX87" s="903"/>
      <c r="AY87" s="903"/>
      <c r="AZ87" s="903"/>
      <c r="BA87" s="903"/>
      <c r="BB87" s="903"/>
      <c r="BC87" s="903"/>
      <c r="BD87" s="903"/>
      <c r="BE87" s="903"/>
      <c r="BF87" s="903"/>
      <c r="BG87" s="903"/>
      <c r="BH87" s="903"/>
      <c r="BI87" s="910"/>
      <c r="BJ87" s="910"/>
      <c r="BK87" s="903"/>
      <c r="BL87" s="903"/>
      <c r="BM87" s="910"/>
      <c r="BN87" s="910"/>
      <c r="BO87" s="913"/>
    </row>
    <row r="88" spans="25:67" ht="18.75" customHeight="1" x14ac:dyDescent="0.25">
      <c r="Y88" s="905"/>
      <c r="Z88" s="906"/>
      <c r="AA88" s="906"/>
      <c r="AB88" s="906"/>
      <c r="AC88" s="906"/>
      <c r="AD88" s="906"/>
      <c r="AE88" s="906"/>
      <c r="AF88" s="915">
        <f>AN82</f>
        <v>3</v>
      </c>
      <c r="AG88" s="916"/>
      <c r="AH88" s="916" t="s">
        <v>2011</v>
      </c>
      <c r="AI88" s="916">
        <f>AK82</f>
        <v>4</v>
      </c>
      <c r="AJ88" s="919"/>
      <c r="AK88" s="930"/>
      <c r="AL88" s="930"/>
      <c r="AM88" s="930"/>
      <c r="AN88" s="930"/>
      <c r="AO88" s="930"/>
      <c r="AP88" s="915">
        <f>$O$30</f>
        <v>0</v>
      </c>
      <c r="AQ88" s="916"/>
      <c r="AR88" s="916" t="s">
        <v>2011</v>
      </c>
      <c r="AS88" s="916">
        <f>$U$30</f>
        <v>1</v>
      </c>
      <c r="AT88" s="919"/>
      <c r="AU88" s="903"/>
      <c r="AV88" s="903"/>
      <c r="AW88" s="903"/>
      <c r="AX88" s="903"/>
      <c r="AY88" s="903"/>
      <c r="AZ88" s="903"/>
      <c r="BA88" s="903"/>
      <c r="BB88" s="903"/>
      <c r="BC88" s="903"/>
      <c r="BD88" s="903"/>
      <c r="BE88" s="903"/>
      <c r="BF88" s="903"/>
      <c r="BG88" s="903"/>
      <c r="BH88" s="903"/>
      <c r="BI88" s="910"/>
      <c r="BJ88" s="910"/>
      <c r="BK88" s="903"/>
      <c r="BL88" s="903"/>
      <c r="BM88" s="910"/>
      <c r="BN88" s="910"/>
      <c r="BO88" s="913"/>
    </row>
    <row r="89" spans="25:67" ht="18.75" customHeight="1" x14ac:dyDescent="0.25">
      <c r="Y89" s="941"/>
      <c r="Z89" s="936"/>
      <c r="AA89" s="936"/>
      <c r="AB89" s="936"/>
      <c r="AC89" s="936"/>
      <c r="AD89" s="936"/>
      <c r="AE89" s="936"/>
      <c r="AF89" s="937"/>
      <c r="AG89" s="560"/>
      <c r="AH89" s="560"/>
      <c r="AI89" s="560"/>
      <c r="AJ89" s="938"/>
      <c r="AK89" s="943"/>
      <c r="AL89" s="943"/>
      <c r="AM89" s="943"/>
      <c r="AN89" s="943"/>
      <c r="AO89" s="943"/>
      <c r="AP89" s="937"/>
      <c r="AQ89" s="560"/>
      <c r="AR89" s="560"/>
      <c r="AS89" s="560"/>
      <c r="AT89" s="938"/>
      <c r="AU89" s="903"/>
      <c r="AV89" s="903"/>
      <c r="AW89" s="903"/>
      <c r="AX89" s="903"/>
      <c r="AY89" s="903"/>
      <c r="AZ89" s="903"/>
      <c r="BA89" s="903"/>
      <c r="BB89" s="903"/>
      <c r="BC89" s="903"/>
      <c r="BD89" s="903"/>
      <c r="BE89" s="903"/>
      <c r="BF89" s="903"/>
      <c r="BG89" s="903"/>
      <c r="BH89" s="903"/>
      <c r="BI89" s="910"/>
      <c r="BJ89" s="910"/>
      <c r="BK89" s="903"/>
      <c r="BL89" s="903"/>
      <c r="BM89" s="910"/>
      <c r="BN89" s="910"/>
      <c r="BO89" s="935"/>
    </row>
    <row r="90" spans="25:67" ht="19.5" customHeight="1" x14ac:dyDescent="0.25">
      <c r="Y90" s="905" t="str">
        <f>$AC$64</f>
        <v>リノスフットボールクラブ　Ｕ－１２</v>
      </c>
      <c r="Z90" s="906"/>
      <c r="AA90" s="906"/>
      <c r="AB90" s="906"/>
      <c r="AC90" s="906"/>
      <c r="AD90" s="906" t="s">
        <v>242</v>
      </c>
      <c r="AE90" s="906"/>
      <c r="AF90" s="923" t="str">
        <f>IF(AF94="","",IF(AF94&gt;AI94,"○",IF(AF94&lt;AI94,"●",IF(AF92&gt;AI92,"△",IF(AF92&lt;AI92,"▲")))))</f>
        <v>●</v>
      </c>
      <c r="AG90" s="924"/>
      <c r="AH90" s="924"/>
      <c r="AI90" s="924"/>
      <c r="AJ90" s="925"/>
      <c r="AK90" s="923" t="str">
        <f>IF(AK94="","",IF(AK94&gt;AN94,"○",IF(AK94&lt;AN94,"●",IF(AK92&gt;AN92,"△",IF(AK92&lt;AN92,"▲")))))</f>
        <v>○</v>
      </c>
      <c r="AL90" s="924"/>
      <c r="AM90" s="924"/>
      <c r="AN90" s="924"/>
      <c r="AO90" s="925"/>
      <c r="AP90" s="926"/>
      <c r="AQ90" s="927"/>
      <c r="AR90" s="927"/>
      <c r="AS90" s="927"/>
      <c r="AT90" s="928"/>
      <c r="AU90" s="903">
        <f>COUNTIF($AF$90:$AT$91,"○")</f>
        <v>1</v>
      </c>
      <c r="AV90" s="903"/>
      <c r="AW90" s="902">
        <f>COUNTIF($AF$90:$AT$91,"△")</f>
        <v>0</v>
      </c>
      <c r="AX90" s="902"/>
      <c r="AY90" s="902">
        <f>COUNTIF($AF$90:$AT$91,"▲")</f>
        <v>0</v>
      </c>
      <c r="AZ90" s="902"/>
      <c r="BA90" s="902">
        <f>COUNTIF($AF$90:$AT$91,"●")</f>
        <v>1</v>
      </c>
      <c r="BB90" s="902"/>
      <c r="BC90" s="902">
        <f>SUM($AF$94,$AK$94)</f>
        <v>1</v>
      </c>
      <c r="BD90" s="902"/>
      <c r="BE90" s="902">
        <f>SUM($AI$94,$AN$94)</f>
        <v>1</v>
      </c>
      <c r="BF90" s="902"/>
      <c r="BG90" s="902">
        <f>($AU$90*3)+($AW$90*2)+($AY$90*1)</f>
        <v>3</v>
      </c>
      <c r="BH90" s="902"/>
      <c r="BI90" s="909">
        <f>RANK($BG$90,$BG$78:$BH$95)</f>
        <v>2</v>
      </c>
      <c r="BJ90" s="909"/>
      <c r="BK90" s="902">
        <f>$BC$90-$BE$90</f>
        <v>0</v>
      </c>
      <c r="BL90" s="902"/>
      <c r="BM90" s="909">
        <f>RANK($BK$90,$BK$78:$BL$95)</f>
        <v>2</v>
      </c>
      <c r="BN90" s="909"/>
      <c r="BO90" s="912"/>
    </row>
    <row r="91" spans="25:67" ht="19.5" customHeight="1" x14ac:dyDescent="0.25">
      <c r="Y91" s="905"/>
      <c r="Z91" s="906"/>
      <c r="AA91" s="906"/>
      <c r="AB91" s="906"/>
      <c r="AC91" s="906"/>
      <c r="AD91" s="906"/>
      <c r="AE91" s="906"/>
      <c r="AF91" s="917"/>
      <c r="AG91" s="918"/>
      <c r="AH91" s="918"/>
      <c r="AI91" s="918"/>
      <c r="AJ91" s="920"/>
      <c r="AK91" s="917"/>
      <c r="AL91" s="918"/>
      <c r="AM91" s="918"/>
      <c r="AN91" s="918"/>
      <c r="AO91" s="920"/>
      <c r="AP91" s="929"/>
      <c r="AQ91" s="930"/>
      <c r="AR91" s="930"/>
      <c r="AS91" s="930"/>
      <c r="AT91" s="931"/>
      <c r="AU91" s="903"/>
      <c r="AV91" s="903"/>
      <c r="AW91" s="903"/>
      <c r="AX91" s="903"/>
      <c r="AY91" s="903"/>
      <c r="AZ91" s="903"/>
      <c r="BA91" s="903"/>
      <c r="BB91" s="903"/>
      <c r="BC91" s="903"/>
      <c r="BD91" s="903"/>
      <c r="BE91" s="903"/>
      <c r="BF91" s="903"/>
      <c r="BG91" s="903"/>
      <c r="BH91" s="903"/>
      <c r="BI91" s="910"/>
      <c r="BJ91" s="910"/>
      <c r="BK91" s="903"/>
      <c r="BL91" s="903"/>
      <c r="BM91" s="910"/>
      <c r="BN91" s="910"/>
      <c r="BO91" s="913"/>
    </row>
    <row r="92" spans="25:67" ht="18.75" customHeight="1" x14ac:dyDescent="0.25">
      <c r="Y92" s="905"/>
      <c r="Z92" s="906"/>
      <c r="AA92" s="906"/>
      <c r="AB92" s="906"/>
      <c r="AC92" s="906"/>
      <c r="AD92" s="906"/>
      <c r="AE92" s="906"/>
      <c r="AF92" s="915" t="str">
        <f>AS80</f>
        <v/>
      </c>
      <c r="AG92" s="916"/>
      <c r="AH92" s="916" t="s">
        <v>2011</v>
      </c>
      <c r="AI92" s="916" t="str">
        <f>AP80</f>
        <v/>
      </c>
      <c r="AJ92" s="919"/>
      <c r="AK92" s="915" t="str">
        <f>AS86</f>
        <v/>
      </c>
      <c r="AL92" s="916"/>
      <c r="AM92" s="916" t="s">
        <v>2011</v>
      </c>
      <c r="AN92" s="916" t="str">
        <f>AP86</f>
        <v/>
      </c>
      <c r="AO92" s="919"/>
      <c r="AP92" s="929"/>
      <c r="AQ92" s="930"/>
      <c r="AR92" s="930"/>
      <c r="AS92" s="930"/>
      <c r="AT92" s="931"/>
      <c r="AU92" s="903"/>
      <c r="AV92" s="903"/>
      <c r="AW92" s="903"/>
      <c r="AX92" s="903"/>
      <c r="AY92" s="903"/>
      <c r="AZ92" s="903"/>
      <c r="BA92" s="903"/>
      <c r="BB92" s="903"/>
      <c r="BC92" s="903"/>
      <c r="BD92" s="903"/>
      <c r="BE92" s="903"/>
      <c r="BF92" s="903"/>
      <c r="BG92" s="903"/>
      <c r="BH92" s="903"/>
      <c r="BI92" s="910"/>
      <c r="BJ92" s="910"/>
      <c r="BK92" s="903"/>
      <c r="BL92" s="903"/>
      <c r="BM92" s="910"/>
      <c r="BN92" s="910"/>
      <c r="BO92" s="913"/>
    </row>
    <row r="93" spans="25:67" ht="18.75" customHeight="1" x14ac:dyDescent="0.25">
      <c r="Y93" s="905"/>
      <c r="Z93" s="906"/>
      <c r="AA93" s="906"/>
      <c r="AB93" s="906"/>
      <c r="AC93" s="906"/>
      <c r="AD93" s="906" t="s">
        <v>2010</v>
      </c>
      <c r="AE93" s="906"/>
      <c r="AF93" s="917"/>
      <c r="AG93" s="918"/>
      <c r="AH93" s="918"/>
      <c r="AI93" s="918"/>
      <c r="AJ93" s="920"/>
      <c r="AK93" s="917"/>
      <c r="AL93" s="918"/>
      <c r="AM93" s="918"/>
      <c r="AN93" s="918"/>
      <c r="AO93" s="920"/>
      <c r="AP93" s="929"/>
      <c r="AQ93" s="930"/>
      <c r="AR93" s="930"/>
      <c r="AS93" s="930"/>
      <c r="AT93" s="931"/>
      <c r="AU93" s="903"/>
      <c r="AV93" s="903"/>
      <c r="AW93" s="903"/>
      <c r="AX93" s="903"/>
      <c r="AY93" s="903"/>
      <c r="AZ93" s="903"/>
      <c r="BA93" s="903"/>
      <c r="BB93" s="903"/>
      <c r="BC93" s="903"/>
      <c r="BD93" s="903"/>
      <c r="BE93" s="903"/>
      <c r="BF93" s="903"/>
      <c r="BG93" s="903"/>
      <c r="BH93" s="903"/>
      <c r="BI93" s="910"/>
      <c r="BJ93" s="910"/>
      <c r="BK93" s="903"/>
      <c r="BL93" s="903"/>
      <c r="BM93" s="910"/>
      <c r="BN93" s="910"/>
      <c r="BO93" s="913"/>
    </row>
    <row r="94" spans="25:67" ht="18.75" customHeight="1" x14ac:dyDescent="0.25">
      <c r="Y94" s="905"/>
      <c r="Z94" s="906"/>
      <c r="AA94" s="906"/>
      <c r="AB94" s="906"/>
      <c r="AC94" s="906"/>
      <c r="AD94" s="906"/>
      <c r="AE94" s="906"/>
      <c r="AF94" s="915">
        <f>AS82</f>
        <v>0</v>
      </c>
      <c r="AG94" s="916"/>
      <c r="AH94" s="916" t="s">
        <v>2011</v>
      </c>
      <c r="AI94" s="916">
        <f>AP82</f>
        <v>1</v>
      </c>
      <c r="AJ94" s="919"/>
      <c r="AK94" s="915">
        <f>AS88</f>
        <v>1</v>
      </c>
      <c r="AL94" s="916"/>
      <c r="AM94" s="916" t="s">
        <v>2011</v>
      </c>
      <c r="AN94" s="916">
        <f>AP88</f>
        <v>0</v>
      </c>
      <c r="AO94" s="919"/>
      <c r="AP94" s="929"/>
      <c r="AQ94" s="930"/>
      <c r="AR94" s="930"/>
      <c r="AS94" s="930"/>
      <c r="AT94" s="931"/>
      <c r="AU94" s="903"/>
      <c r="AV94" s="903"/>
      <c r="AW94" s="903"/>
      <c r="AX94" s="903"/>
      <c r="AY94" s="903"/>
      <c r="AZ94" s="903"/>
      <c r="BA94" s="903"/>
      <c r="BB94" s="903"/>
      <c r="BC94" s="903"/>
      <c r="BD94" s="903"/>
      <c r="BE94" s="903"/>
      <c r="BF94" s="903"/>
      <c r="BG94" s="903"/>
      <c r="BH94" s="903"/>
      <c r="BI94" s="910"/>
      <c r="BJ94" s="910"/>
      <c r="BK94" s="903"/>
      <c r="BL94" s="903"/>
      <c r="BM94" s="910"/>
      <c r="BN94" s="910"/>
      <c r="BO94" s="913"/>
    </row>
    <row r="95" spans="25:67" ht="19.5" customHeight="1" x14ac:dyDescent="0.25">
      <c r="Y95" s="907"/>
      <c r="Z95" s="908"/>
      <c r="AA95" s="908"/>
      <c r="AB95" s="908"/>
      <c r="AC95" s="908"/>
      <c r="AD95" s="908"/>
      <c r="AE95" s="908"/>
      <c r="AF95" s="921"/>
      <c r="AG95" s="565"/>
      <c r="AH95" s="565"/>
      <c r="AI95" s="565"/>
      <c r="AJ95" s="922"/>
      <c r="AK95" s="921"/>
      <c r="AL95" s="565"/>
      <c r="AM95" s="565"/>
      <c r="AN95" s="565"/>
      <c r="AO95" s="922"/>
      <c r="AP95" s="932"/>
      <c r="AQ95" s="933"/>
      <c r="AR95" s="933"/>
      <c r="AS95" s="933"/>
      <c r="AT95" s="934"/>
      <c r="AU95" s="904"/>
      <c r="AV95" s="904"/>
      <c r="AW95" s="904"/>
      <c r="AX95" s="904"/>
      <c r="AY95" s="904"/>
      <c r="AZ95" s="904"/>
      <c r="BA95" s="904"/>
      <c r="BB95" s="904"/>
      <c r="BC95" s="904"/>
      <c r="BD95" s="904"/>
      <c r="BE95" s="904"/>
      <c r="BF95" s="904"/>
      <c r="BG95" s="904"/>
      <c r="BH95" s="904"/>
      <c r="BI95" s="911"/>
      <c r="BJ95" s="911"/>
      <c r="BK95" s="904"/>
      <c r="BL95" s="904"/>
      <c r="BM95" s="911"/>
      <c r="BN95" s="911"/>
      <c r="BO95" s="914"/>
    </row>
    <row r="97" spans="25:58" x14ac:dyDescent="0.25">
      <c r="Y97" s="891" t="s">
        <v>2125</v>
      </c>
      <c r="Z97" s="891"/>
      <c r="AA97" s="891"/>
      <c r="AB97" s="891"/>
      <c r="AC97" s="891"/>
      <c r="AD97" s="891"/>
      <c r="AE97" s="891"/>
      <c r="AF97" s="891"/>
      <c r="AG97" s="891"/>
      <c r="AH97" s="891"/>
      <c r="AI97" s="891"/>
      <c r="AJ97" s="891"/>
      <c r="AK97" s="891"/>
      <c r="AL97" s="891"/>
      <c r="AM97" s="891"/>
      <c r="AN97" s="891"/>
      <c r="AO97" s="891"/>
      <c r="AP97" s="891"/>
      <c r="AQ97" s="891"/>
      <c r="AR97" s="891"/>
      <c r="AS97" s="891"/>
      <c r="AT97" s="891"/>
      <c r="AU97" s="891"/>
      <c r="AV97" s="891"/>
      <c r="AW97" s="891"/>
      <c r="AX97" s="891"/>
      <c r="AY97" s="891"/>
      <c r="AZ97" s="891"/>
      <c r="BA97" s="891"/>
      <c r="BB97" s="891"/>
      <c r="BC97" s="891"/>
      <c r="BD97" s="891"/>
      <c r="BE97" s="891"/>
      <c r="BF97" s="891"/>
    </row>
    <row r="98" spans="25:58" x14ac:dyDescent="0.25">
      <c r="Y98" s="891"/>
      <c r="Z98" s="891"/>
      <c r="AA98" s="891"/>
      <c r="AB98" s="891"/>
      <c r="AC98" s="891"/>
      <c r="AD98" s="891"/>
      <c r="AE98" s="891"/>
      <c r="AF98" s="891"/>
      <c r="AG98" s="891"/>
      <c r="AH98" s="891"/>
      <c r="AI98" s="891"/>
      <c r="AJ98" s="891"/>
      <c r="AK98" s="891"/>
      <c r="AL98" s="891"/>
      <c r="AM98" s="891"/>
      <c r="AN98" s="891"/>
      <c r="AO98" s="891"/>
      <c r="AP98" s="891"/>
      <c r="AQ98" s="891"/>
      <c r="AR98" s="891"/>
      <c r="AS98" s="891"/>
      <c r="AT98" s="891"/>
      <c r="AU98" s="891"/>
      <c r="AV98" s="891"/>
      <c r="AW98" s="891"/>
      <c r="AX98" s="891"/>
      <c r="AY98" s="891"/>
      <c r="AZ98" s="891"/>
      <c r="BA98" s="891"/>
      <c r="BB98" s="891"/>
      <c r="BC98" s="891"/>
      <c r="BD98" s="891"/>
      <c r="BE98" s="891"/>
      <c r="BF98" s="891"/>
    </row>
    <row r="99" spans="25:58" x14ac:dyDescent="0.25">
      <c r="Y99" s="892" t="s">
        <v>2013</v>
      </c>
      <c r="Z99" s="893"/>
      <c r="AA99" s="896" t="s">
        <v>159</v>
      </c>
      <c r="AB99" s="232" t="s">
        <v>408</v>
      </c>
      <c r="AC99" s="231"/>
      <c r="AD99" s="898" t="s">
        <v>2060</v>
      </c>
      <c r="AE99" s="232" t="s">
        <v>2015</v>
      </c>
      <c r="AF99" s="231"/>
      <c r="AG99" s="898" t="s">
        <v>1208</v>
      </c>
      <c r="AH99" s="232" t="s">
        <v>2126</v>
      </c>
      <c r="AI99" s="231"/>
      <c r="AJ99" s="900" t="s">
        <v>1727</v>
      </c>
      <c r="AK99" s="234" t="s">
        <v>2016</v>
      </c>
    </row>
    <row r="100" spans="25:58" x14ac:dyDescent="0.25">
      <c r="Y100" s="894"/>
      <c r="Z100" s="895"/>
      <c r="AA100" s="897"/>
      <c r="AB100" s="233">
        <v>3</v>
      </c>
      <c r="AC100" s="230"/>
      <c r="AD100" s="899"/>
      <c r="AE100" s="233">
        <v>2</v>
      </c>
      <c r="AF100" s="230"/>
      <c r="AG100" s="899"/>
      <c r="AH100" s="233">
        <v>1</v>
      </c>
      <c r="AI100" s="230"/>
      <c r="AJ100" s="901"/>
      <c r="AK100" s="235">
        <v>0</v>
      </c>
    </row>
  </sheetData>
  <mergeCells count="441">
    <mergeCell ref="A1:I1"/>
    <mergeCell ref="J1:K1"/>
    <mergeCell ref="M1:U1"/>
    <mergeCell ref="V1:W1"/>
    <mergeCell ref="Y1:BG1"/>
    <mergeCell ref="BI1:BO1"/>
    <mergeCell ref="A2:K2"/>
    <mergeCell ref="M2:W2"/>
    <mergeCell ref="Y2:BG2"/>
    <mergeCell ref="D4:K4"/>
    <mergeCell ref="P4:W4"/>
    <mergeCell ref="Y4:AA4"/>
    <mergeCell ref="AB4:AG4"/>
    <mergeCell ref="AI4:AW4"/>
    <mergeCell ref="Y6:AA6"/>
    <mergeCell ref="AB6:AG6"/>
    <mergeCell ref="C7:I7"/>
    <mergeCell ref="J7:K7"/>
    <mergeCell ref="O7:U7"/>
    <mergeCell ref="V7:W7"/>
    <mergeCell ref="Z7:AB7"/>
    <mergeCell ref="AC7:AO7"/>
    <mergeCell ref="AP7:AS7"/>
    <mergeCell ref="C8:I8"/>
    <mergeCell ref="J8:K8"/>
    <mergeCell ref="O8:U8"/>
    <mergeCell ref="V8:W8"/>
    <mergeCell ref="Z8:AB8"/>
    <mergeCell ref="AC8:AO8"/>
    <mergeCell ref="AP8:AS8"/>
    <mergeCell ref="C9:I9"/>
    <mergeCell ref="J9:K9"/>
    <mergeCell ref="O9:U9"/>
    <mergeCell ref="V9:W9"/>
    <mergeCell ref="Z9:AB9"/>
    <mergeCell ref="AC9:AO9"/>
    <mergeCell ref="AP9:AS9"/>
    <mergeCell ref="B15:F15"/>
    <mergeCell ref="G15:I15"/>
    <mergeCell ref="J15:K15"/>
    <mergeCell ref="N15:R15"/>
    <mergeCell ref="S15:U15"/>
    <mergeCell ref="V15:W15"/>
    <mergeCell ref="B16:F16"/>
    <mergeCell ref="G16:I16"/>
    <mergeCell ref="J16:K16"/>
    <mergeCell ref="N16:R16"/>
    <mergeCell ref="S16:U16"/>
    <mergeCell ref="V16:W16"/>
    <mergeCell ref="B17:F17"/>
    <mergeCell ref="G17:I17"/>
    <mergeCell ref="J17:K17"/>
    <mergeCell ref="N17:R17"/>
    <mergeCell ref="S17:U17"/>
    <mergeCell ref="V17:W17"/>
    <mergeCell ref="E18:F18"/>
    <mergeCell ref="G18:I18"/>
    <mergeCell ref="J18:K18"/>
    <mergeCell ref="Q18:R18"/>
    <mergeCell ref="S18:U18"/>
    <mergeCell ref="V18:W18"/>
    <mergeCell ref="E19:F19"/>
    <mergeCell ref="G19:I19"/>
    <mergeCell ref="J19:K19"/>
    <mergeCell ref="Q19:R19"/>
    <mergeCell ref="S19:U19"/>
    <mergeCell ref="V19:W19"/>
    <mergeCell ref="E20:F20"/>
    <mergeCell ref="G20:I20"/>
    <mergeCell ref="J20:K20"/>
    <mergeCell ref="Q20:R20"/>
    <mergeCell ref="S20:U20"/>
    <mergeCell ref="V20:W20"/>
    <mergeCell ref="E21:F21"/>
    <mergeCell ref="G21:I21"/>
    <mergeCell ref="J21:K21"/>
    <mergeCell ref="Q21:R21"/>
    <mergeCell ref="S21:U21"/>
    <mergeCell ref="V21:W21"/>
    <mergeCell ref="B33:F33"/>
    <mergeCell ref="G33:I33"/>
    <mergeCell ref="J33:K33"/>
    <mergeCell ref="N33:R33"/>
    <mergeCell ref="S33:U33"/>
    <mergeCell ref="V33:W33"/>
    <mergeCell ref="H30:H32"/>
    <mergeCell ref="I30:I32"/>
    <mergeCell ref="J30:J32"/>
    <mergeCell ref="M30:M32"/>
    <mergeCell ref="N30:N32"/>
    <mergeCell ref="O30:O32"/>
    <mergeCell ref="P30:P32"/>
    <mergeCell ref="T30:T32"/>
    <mergeCell ref="U30:U32"/>
    <mergeCell ref="V30:V32"/>
    <mergeCell ref="B34:F34"/>
    <mergeCell ref="G34:I34"/>
    <mergeCell ref="J34:K34"/>
    <mergeCell ref="N34:R34"/>
    <mergeCell ref="S34:U34"/>
    <mergeCell ref="V34:W34"/>
    <mergeCell ref="B35:F35"/>
    <mergeCell ref="G35:I35"/>
    <mergeCell ref="J35:K35"/>
    <mergeCell ref="N35:R35"/>
    <mergeCell ref="S35:U35"/>
    <mergeCell ref="V35:W35"/>
    <mergeCell ref="E36:F36"/>
    <mergeCell ref="G36:I36"/>
    <mergeCell ref="J36:K36"/>
    <mergeCell ref="Q36:R36"/>
    <mergeCell ref="S36:U36"/>
    <mergeCell ref="V36:W36"/>
    <mergeCell ref="E37:F37"/>
    <mergeCell ref="G37:I37"/>
    <mergeCell ref="J37:K37"/>
    <mergeCell ref="Q37:R37"/>
    <mergeCell ref="S37:U37"/>
    <mergeCell ref="V37:W37"/>
    <mergeCell ref="E38:F38"/>
    <mergeCell ref="G38:I38"/>
    <mergeCell ref="J38:K38"/>
    <mergeCell ref="Q38:R38"/>
    <mergeCell ref="S38:U38"/>
    <mergeCell ref="V38:W38"/>
    <mergeCell ref="E39:F39"/>
    <mergeCell ref="G39:I39"/>
    <mergeCell ref="J39:K39"/>
    <mergeCell ref="Q39:R39"/>
    <mergeCell ref="S39:U39"/>
    <mergeCell ref="V39:W39"/>
    <mergeCell ref="B51:F51"/>
    <mergeCell ref="G51:I51"/>
    <mergeCell ref="J51:K51"/>
    <mergeCell ref="N51:R51"/>
    <mergeCell ref="S51:U51"/>
    <mergeCell ref="V51:W51"/>
    <mergeCell ref="B52:F52"/>
    <mergeCell ref="G52:I52"/>
    <mergeCell ref="J52:K52"/>
    <mergeCell ref="N52:R52"/>
    <mergeCell ref="S52:U52"/>
    <mergeCell ref="V52:W52"/>
    <mergeCell ref="B53:F53"/>
    <mergeCell ref="G53:I53"/>
    <mergeCell ref="J53:K53"/>
    <mergeCell ref="N53:R53"/>
    <mergeCell ref="S53:U53"/>
    <mergeCell ref="V53:W53"/>
    <mergeCell ref="E54:F54"/>
    <mergeCell ref="G54:I54"/>
    <mergeCell ref="J54:K54"/>
    <mergeCell ref="Q54:R54"/>
    <mergeCell ref="S54:U54"/>
    <mergeCell ref="V54:W54"/>
    <mergeCell ref="E55:F55"/>
    <mergeCell ref="G55:I55"/>
    <mergeCell ref="J55:K55"/>
    <mergeCell ref="Q55:R55"/>
    <mergeCell ref="S55:U55"/>
    <mergeCell ref="V55:W55"/>
    <mergeCell ref="E56:F56"/>
    <mergeCell ref="G56:I56"/>
    <mergeCell ref="J56:K56"/>
    <mergeCell ref="Q56:R56"/>
    <mergeCell ref="S56:U56"/>
    <mergeCell ref="V56:W56"/>
    <mergeCell ref="E57:F57"/>
    <mergeCell ref="G57:I57"/>
    <mergeCell ref="J57:K57"/>
    <mergeCell ref="Q57:R57"/>
    <mergeCell ref="S57:U57"/>
    <mergeCell ref="V57:W57"/>
    <mergeCell ref="A12:A14"/>
    <mergeCell ref="B12:B14"/>
    <mergeCell ref="C12:C14"/>
    <mergeCell ref="D12:D14"/>
    <mergeCell ref="H12:H14"/>
    <mergeCell ref="I12:I14"/>
    <mergeCell ref="J12:J14"/>
    <mergeCell ref="M12:M14"/>
    <mergeCell ref="N12:N14"/>
    <mergeCell ref="O12:O14"/>
    <mergeCell ref="P12:P14"/>
    <mergeCell ref="T12:T14"/>
    <mergeCell ref="U12:U14"/>
    <mergeCell ref="V12:V14"/>
    <mergeCell ref="A30:A32"/>
    <mergeCell ref="B30:B32"/>
    <mergeCell ref="C30:C32"/>
    <mergeCell ref="D30:D32"/>
    <mergeCell ref="Y15:AB20"/>
    <mergeCell ref="AC15:AE20"/>
    <mergeCell ref="AF15:AJ20"/>
    <mergeCell ref="AK15:AO20"/>
    <mergeCell ref="AP15:AT20"/>
    <mergeCell ref="AU15:AV20"/>
    <mergeCell ref="AW15:AX20"/>
    <mergeCell ref="AY15:AZ20"/>
    <mergeCell ref="BA15:BB20"/>
    <mergeCell ref="BC15:BD20"/>
    <mergeCell ref="BE15:BF20"/>
    <mergeCell ref="BG15:BH20"/>
    <mergeCell ref="BI15:BJ20"/>
    <mergeCell ref="BK15:BL20"/>
    <mergeCell ref="BM15:BN20"/>
    <mergeCell ref="BO15:BO20"/>
    <mergeCell ref="Y21:AC26"/>
    <mergeCell ref="AD21:AE23"/>
    <mergeCell ref="AF21:AJ26"/>
    <mergeCell ref="AK21:AO22"/>
    <mergeCell ref="AP21:AT22"/>
    <mergeCell ref="AU21:AV26"/>
    <mergeCell ref="AW21:AX26"/>
    <mergeCell ref="AY21:AZ26"/>
    <mergeCell ref="BA21:BB26"/>
    <mergeCell ref="BC21:BD26"/>
    <mergeCell ref="BE21:BF26"/>
    <mergeCell ref="BG21:BH26"/>
    <mergeCell ref="BI21:BJ26"/>
    <mergeCell ref="BK21:BL26"/>
    <mergeCell ref="BM21:BN26"/>
    <mergeCell ref="BO21:BO26"/>
    <mergeCell ref="AK23:AL24"/>
    <mergeCell ref="AM23:AM24"/>
    <mergeCell ref="AN23:AO24"/>
    <mergeCell ref="AP23:AQ24"/>
    <mergeCell ref="AR23:AR24"/>
    <mergeCell ref="AS23:AT24"/>
    <mergeCell ref="AD24:AE26"/>
    <mergeCell ref="AK25:AL26"/>
    <mergeCell ref="AM25:AM26"/>
    <mergeCell ref="AN25:AO26"/>
    <mergeCell ref="AP25:AQ26"/>
    <mergeCell ref="AR25:AR26"/>
    <mergeCell ref="AS25:AT26"/>
    <mergeCell ref="Y27:AC32"/>
    <mergeCell ref="AD27:AE29"/>
    <mergeCell ref="AF27:AJ28"/>
    <mergeCell ref="AK27:AO32"/>
    <mergeCell ref="AP27:AT28"/>
    <mergeCell ref="AU27:AV32"/>
    <mergeCell ref="AW27:AX32"/>
    <mergeCell ref="AY27:AZ32"/>
    <mergeCell ref="BA27:BB32"/>
    <mergeCell ref="AD30:AE32"/>
    <mergeCell ref="BC27:BD32"/>
    <mergeCell ref="BE27:BF32"/>
    <mergeCell ref="BG27:BH32"/>
    <mergeCell ref="BI27:BJ32"/>
    <mergeCell ref="BK27:BL32"/>
    <mergeCell ref="BM27:BN32"/>
    <mergeCell ref="BO27:BO32"/>
    <mergeCell ref="AF29:AG30"/>
    <mergeCell ref="AH29:AH30"/>
    <mergeCell ref="AI29:AJ30"/>
    <mergeCell ref="AP29:AQ30"/>
    <mergeCell ref="AR29:AR30"/>
    <mergeCell ref="AS29:AT30"/>
    <mergeCell ref="AF31:AG32"/>
    <mergeCell ref="AH31:AH32"/>
    <mergeCell ref="AI31:AJ32"/>
    <mergeCell ref="AP31:AQ32"/>
    <mergeCell ref="AR31:AR32"/>
    <mergeCell ref="AS31:AT32"/>
    <mergeCell ref="Y33:AC38"/>
    <mergeCell ref="AD33:AE35"/>
    <mergeCell ref="AF33:AJ34"/>
    <mergeCell ref="AK33:AO34"/>
    <mergeCell ref="AP33:AT38"/>
    <mergeCell ref="AU33:AV38"/>
    <mergeCell ref="AW33:AX38"/>
    <mergeCell ref="AY33:AZ38"/>
    <mergeCell ref="BA33:BB38"/>
    <mergeCell ref="AD36:AE38"/>
    <mergeCell ref="BC33:BD38"/>
    <mergeCell ref="BE33:BF38"/>
    <mergeCell ref="BG33:BH38"/>
    <mergeCell ref="BI33:BJ38"/>
    <mergeCell ref="BK33:BL38"/>
    <mergeCell ref="BM33:BN38"/>
    <mergeCell ref="BO33:BO38"/>
    <mergeCell ref="AF35:AG36"/>
    <mergeCell ref="AH35:AH36"/>
    <mergeCell ref="AI35:AJ36"/>
    <mergeCell ref="AK35:AL36"/>
    <mergeCell ref="AM35:AM36"/>
    <mergeCell ref="AN35:AO36"/>
    <mergeCell ref="AF37:AG38"/>
    <mergeCell ref="AH37:AH38"/>
    <mergeCell ref="AI37:AJ38"/>
    <mergeCell ref="AK37:AL38"/>
    <mergeCell ref="AM37:AM38"/>
    <mergeCell ref="AN37:AO38"/>
    <mergeCell ref="Y40:BF41"/>
    <mergeCell ref="Y42:Z43"/>
    <mergeCell ref="AA42:AA43"/>
    <mergeCell ref="AD42:AD43"/>
    <mergeCell ref="AG42:AG43"/>
    <mergeCell ref="AJ42:AJ43"/>
    <mergeCell ref="A48:A50"/>
    <mergeCell ref="B48:B50"/>
    <mergeCell ref="C48:C50"/>
    <mergeCell ref="D48:D50"/>
    <mergeCell ref="H48:H50"/>
    <mergeCell ref="I48:I50"/>
    <mergeCell ref="J48:J50"/>
    <mergeCell ref="M48:M50"/>
    <mergeCell ref="N48:N50"/>
    <mergeCell ref="O48:O50"/>
    <mergeCell ref="P48:P50"/>
    <mergeCell ref="T48:T50"/>
    <mergeCell ref="U48:U50"/>
    <mergeCell ref="V48:V50"/>
    <mergeCell ref="Y48:BG49"/>
    <mergeCell ref="BI48:BO49"/>
    <mergeCell ref="Y50:BG51"/>
    <mergeCell ref="Y54:AA55"/>
    <mergeCell ref="AB54:AG55"/>
    <mergeCell ref="AH54:AH55"/>
    <mergeCell ref="AI54:AW55"/>
    <mergeCell ref="Y58:AA59"/>
    <mergeCell ref="AB58:AG59"/>
    <mergeCell ref="Z60:AB61"/>
    <mergeCell ref="AC60:AO61"/>
    <mergeCell ref="AP60:AS61"/>
    <mergeCell ref="Z62:AB63"/>
    <mergeCell ref="AC62:AO63"/>
    <mergeCell ref="AP62:AS63"/>
    <mergeCell ref="Z64:AB65"/>
    <mergeCell ref="AC64:AO65"/>
    <mergeCell ref="AP64:AS65"/>
    <mergeCell ref="Y72:AB77"/>
    <mergeCell ref="AC72:AE77"/>
    <mergeCell ref="AF72:AJ77"/>
    <mergeCell ref="AK72:AO77"/>
    <mergeCell ref="AP72:AT77"/>
    <mergeCell ref="AU72:AV77"/>
    <mergeCell ref="AW72:AX77"/>
    <mergeCell ref="AY72:AZ77"/>
    <mergeCell ref="BA72:BB77"/>
    <mergeCell ref="BC72:BD77"/>
    <mergeCell ref="BE72:BF77"/>
    <mergeCell ref="BG72:BH77"/>
    <mergeCell ref="BI72:BJ77"/>
    <mergeCell ref="BK72:BL77"/>
    <mergeCell ref="BM72:BN77"/>
    <mergeCell ref="BO72:BO77"/>
    <mergeCell ref="Y78:AC83"/>
    <mergeCell ref="AD78:AE80"/>
    <mergeCell ref="AF78:AJ83"/>
    <mergeCell ref="AK78:AO79"/>
    <mergeCell ref="AP78:AT79"/>
    <mergeCell ref="AU78:AV83"/>
    <mergeCell ref="AW78:AX83"/>
    <mergeCell ref="AY78:AZ83"/>
    <mergeCell ref="BA78:BB83"/>
    <mergeCell ref="BC78:BD83"/>
    <mergeCell ref="BE78:BF83"/>
    <mergeCell ref="BG78:BH83"/>
    <mergeCell ref="BI78:BJ83"/>
    <mergeCell ref="BK78:BL83"/>
    <mergeCell ref="BM78:BN83"/>
    <mergeCell ref="BO78:BO83"/>
    <mergeCell ref="AK80:AL81"/>
    <mergeCell ref="AM80:AM81"/>
    <mergeCell ref="AN80:AO81"/>
    <mergeCell ref="AP80:AQ81"/>
    <mergeCell ref="AR80:AR81"/>
    <mergeCell ref="AS80:AT81"/>
    <mergeCell ref="AD81:AE83"/>
    <mergeCell ref="AK82:AL83"/>
    <mergeCell ref="AM82:AM83"/>
    <mergeCell ref="AN82:AO83"/>
    <mergeCell ref="AP82:AQ83"/>
    <mergeCell ref="AR82:AR83"/>
    <mergeCell ref="AS82:AT83"/>
    <mergeCell ref="Y84:AC89"/>
    <mergeCell ref="AD84:AE86"/>
    <mergeCell ref="AF84:AJ85"/>
    <mergeCell ref="AK84:AO89"/>
    <mergeCell ref="AP84:AT85"/>
    <mergeCell ref="BM84:BN89"/>
    <mergeCell ref="BO84:BO89"/>
    <mergeCell ref="AF86:AG87"/>
    <mergeCell ref="AH86:AH87"/>
    <mergeCell ref="AI86:AJ87"/>
    <mergeCell ref="AP86:AQ87"/>
    <mergeCell ref="AR86:AR87"/>
    <mergeCell ref="AS86:AT87"/>
    <mergeCell ref="AD87:AE89"/>
    <mergeCell ref="AF88:AG89"/>
    <mergeCell ref="AH88:AH89"/>
    <mergeCell ref="AI88:AJ89"/>
    <mergeCell ref="AP88:AQ89"/>
    <mergeCell ref="AR88:AR89"/>
    <mergeCell ref="AS88:AT89"/>
    <mergeCell ref="AU84:AV89"/>
    <mergeCell ref="AW84:AX89"/>
    <mergeCell ref="AY84:AZ89"/>
    <mergeCell ref="BA84:BB89"/>
    <mergeCell ref="BC84:BD89"/>
    <mergeCell ref="BE84:BF89"/>
    <mergeCell ref="BG84:BH89"/>
    <mergeCell ref="BI84:BJ89"/>
    <mergeCell ref="BK84:BL89"/>
    <mergeCell ref="BI90:BJ95"/>
    <mergeCell ref="BK90:BL95"/>
    <mergeCell ref="BM90:BN95"/>
    <mergeCell ref="BO90:BO95"/>
    <mergeCell ref="AF92:AG93"/>
    <mergeCell ref="AH92:AH93"/>
    <mergeCell ref="AI92:AJ93"/>
    <mergeCell ref="AK92:AL93"/>
    <mergeCell ref="AM92:AM93"/>
    <mergeCell ref="AN92:AO93"/>
    <mergeCell ref="AF94:AG95"/>
    <mergeCell ref="AH94:AH95"/>
    <mergeCell ref="AI94:AJ95"/>
    <mergeCell ref="AK94:AL95"/>
    <mergeCell ref="AM94:AM95"/>
    <mergeCell ref="AN94:AO95"/>
    <mergeCell ref="AF90:AJ91"/>
    <mergeCell ref="AK90:AO91"/>
    <mergeCell ref="AP90:AT95"/>
    <mergeCell ref="AU90:AV95"/>
    <mergeCell ref="AW90:AX95"/>
    <mergeCell ref="AY90:AZ95"/>
    <mergeCell ref="BA90:BB95"/>
    <mergeCell ref="Y97:BF98"/>
    <mergeCell ref="Y99:Z100"/>
    <mergeCell ref="AA99:AA100"/>
    <mergeCell ref="AD99:AD100"/>
    <mergeCell ref="AG99:AG100"/>
    <mergeCell ref="AJ99:AJ100"/>
    <mergeCell ref="BC90:BD95"/>
    <mergeCell ref="BE90:BF95"/>
    <mergeCell ref="BG90:BH95"/>
    <mergeCell ref="Y90:AC95"/>
    <mergeCell ref="AD90:AE92"/>
    <mergeCell ref="AD93:AE95"/>
  </mergeCells>
  <phoneticPr fontId="29"/>
  <printOptions horizontalCentered="1" verticalCentered="1"/>
  <pageMargins left="0" right="0" top="0" bottom="0" header="0.51181102362204722" footer="0.51181102362204722"/>
  <pageSetup paperSize="9" scale="42" orientation="landscape" r:id="rId1"/>
  <headerFooter alignWithMargins="0"/>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00000000-0002-0000-0E00-000000000000}">
          <x14:formula1>
            <xm:f>審判員!$I$1:$I$17</xm:f>
          </x14:formula1>
          <xm:sqref>E23:E27 E41:E45 E59:E63 G23:G27 G41:G45 G59:G63 Q23:Q27 Q41:Q45 Q59:Q63 S23:S27 S41:S45 S59:S63</xm:sqref>
        </x14:dataValidation>
        <x14:dataValidation type="list" allowBlank="1" showInputMessage="1" showErrorMessage="1" xr:uid="{00000000-0002-0000-0E00-000001000000}">
          <x14:formula1>
            <xm:f>審判員!$G$1:$G$3</xm:f>
          </x14:formula1>
          <xm:sqref>A23:A27 K23:K27 A41:A45 K41:K45 A59:A63 K59:K63 M23:M27 W41:W45 W59:W63 M59:M63 W23:W27 M41:M45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CCFFFF"/>
    <pageSetUpPr fitToPage="1"/>
  </sheetPr>
  <dimension ref="A1:BO100"/>
  <sheetViews>
    <sheetView view="pageBreakPreview" zoomScale="50" zoomScaleNormal="40" zoomScaleSheetLayoutView="50" workbookViewId="0">
      <selection activeCell="A3" sqref="A3"/>
    </sheetView>
  </sheetViews>
  <sheetFormatPr defaultColWidth="9" defaultRowHeight="18.75" x14ac:dyDescent="0.25"/>
  <cols>
    <col min="1" max="1" width="19.46484375" style="66" customWidth="1"/>
    <col min="2" max="2" width="39.86328125" style="66" customWidth="1"/>
    <col min="3" max="3" width="10.73046875" style="66" customWidth="1"/>
    <col min="4" max="4" width="4.46484375" style="66" customWidth="1"/>
    <col min="5" max="5" width="10.3984375" style="66" customWidth="1"/>
    <col min="6" max="6" width="5.73046875" style="66" bestFit="1" customWidth="1"/>
    <col min="7" max="7" width="10.3984375" style="66" customWidth="1"/>
    <col min="8" max="8" width="4.46484375" style="66" customWidth="1"/>
    <col min="9" max="9" width="10.73046875" style="66" bestFit="1" customWidth="1"/>
    <col min="10" max="10" width="39.86328125" style="66" customWidth="1"/>
    <col min="11" max="11" width="15.73046875" style="66" customWidth="1"/>
    <col min="12" max="12" width="3.46484375" style="66" customWidth="1"/>
    <col min="13" max="13" width="19.46484375" style="66" customWidth="1"/>
    <col min="14" max="14" width="39.86328125" style="66" customWidth="1"/>
    <col min="15" max="15" width="10.73046875" style="66" customWidth="1"/>
    <col min="16" max="16" width="4.46484375" style="66" customWidth="1"/>
    <col min="17" max="17" width="10.3984375" style="66" customWidth="1"/>
    <col min="18" max="18" width="5.73046875" style="66" bestFit="1" customWidth="1"/>
    <col min="19" max="19" width="10.3984375" style="66" customWidth="1"/>
    <col min="20" max="20" width="4.46484375" style="66" customWidth="1"/>
    <col min="21" max="21" width="10.73046875" style="66" customWidth="1"/>
    <col min="22" max="22" width="39.86328125" style="66" customWidth="1"/>
    <col min="23" max="23" width="15.73046875" style="66" customWidth="1"/>
    <col min="24" max="24" width="9" style="66"/>
    <col min="25" max="59" width="5.86328125" style="66" customWidth="1"/>
    <col min="60" max="16384" width="9" style="66"/>
  </cols>
  <sheetData>
    <row r="1" spans="1:67" ht="27.75" x14ac:dyDescent="0.25">
      <c r="A1" s="959" t="str">
        <f>抽選会資料!A1</f>
        <v>OFA 第 57 回大分県U-12サッカー大会　兼　KYFA 九州U-12サッカー大会大分県大会</v>
      </c>
      <c r="B1" s="959"/>
      <c r="C1" s="959"/>
      <c r="D1" s="959"/>
      <c r="E1" s="959"/>
      <c r="F1" s="959"/>
      <c r="G1" s="959"/>
      <c r="H1" s="959"/>
      <c r="I1" s="959"/>
      <c r="J1" s="959" t="s">
        <v>2002</v>
      </c>
      <c r="K1" s="959"/>
      <c r="L1" s="228"/>
      <c r="M1" s="959" t="str">
        <f>抽選会資料!A1</f>
        <v>OFA 第 57 回大分県U-12サッカー大会　兼　KYFA 九州U-12サッカー大会大分県大会</v>
      </c>
      <c r="N1" s="959"/>
      <c r="O1" s="959"/>
      <c r="P1" s="959"/>
      <c r="Q1" s="959"/>
      <c r="R1" s="959"/>
      <c r="S1" s="959"/>
      <c r="T1" s="959"/>
      <c r="U1" s="959"/>
      <c r="V1" s="959" t="s">
        <v>2002</v>
      </c>
      <c r="W1" s="959"/>
      <c r="Y1" s="959" t="str">
        <f>$A$1</f>
        <v>OFA 第 57 回大分県U-12サッカー大会　兼　KYFA 九州U-12サッカー大会大分県大会</v>
      </c>
      <c r="Z1" s="959"/>
      <c r="AA1" s="959"/>
      <c r="AB1" s="959"/>
      <c r="AC1" s="959"/>
      <c r="AD1" s="959"/>
      <c r="AE1" s="959"/>
      <c r="AF1" s="959"/>
      <c r="AG1" s="959"/>
      <c r="AH1" s="959"/>
      <c r="AI1" s="959"/>
      <c r="AJ1" s="959"/>
      <c r="AK1" s="959"/>
      <c r="AL1" s="959"/>
      <c r="AM1" s="959"/>
      <c r="AN1" s="959"/>
      <c r="AO1" s="959"/>
      <c r="AP1" s="959"/>
      <c r="AQ1" s="959"/>
      <c r="AR1" s="959"/>
      <c r="AS1" s="959"/>
      <c r="AT1" s="959"/>
      <c r="AU1" s="959"/>
      <c r="AV1" s="959"/>
      <c r="AW1" s="959"/>
      <c r="AX1" s="959"/>
      <c r="AY1" s="959"/>
      <c r="AZ1" s="959"/>
      <c r="BA1" s="959"/>
      <c r="BB1" s="959"/>
      <c r="BC1" s="959"/>
      <c r="BD1" s="959"/>
      <c r="BE1" s="959"/>
      <c r="BF1" s="959"/>
      <c r="BG1" s="959"/>
      <c r="BI1" s="959" t="str">
        <f>$J$1</f>
        <v>２次リーグ結果　報告用紙</v>
      </c>
      <c r="BJ1" s="959"/>
      <c r="BK1" s="959"/>
      <c r="BL1" s="959"/>
      <c r="BM1" s="959"/>
      <c r="BN1" s="959"/>
      <c r="BO1" s="959"/>
    </row>
    <row r="2" spans="1:67" ht="37.5" customHeight="1" x14ac:dyDescent="0.25">
      <c r="A2" s="959" t="s">
        <v>1962</v>
      </c>
      <c r="B2" s="959"/>
      <c r="C2" s="959"/>
      <c r="D2" s="959"/>
      <c r="E2" s="959"/>
      <c r="F2" s="959"/>
      <c r="G2" s="959"/>
      <c r="H2" s="959"/>
      <c r="I2" s="959"/>
      <c r="J2" s="959"/>
      <c r="K2" s="959"/>
      <c r="L2" s="189"/>
      <c r="M2" s="959" t="s">
        <v>1962</v>
      </c>
      <c r="N2" s="959"/>
      <c r="O2" s="959"/>
      <c r="P2" s="959"/>
      <c r="Q2" s="959"/>
      <c r="R2" s="959"/>
      <c r="S2" s="959"/>
      <c r="T2" s="959"/>
      <c r="U2" s="959"/>
      <c r="V2" s="959"/>
      <c r="W2" s="959"/>
      <c r="Y2" s="959" t="s">
        <v>1962</v>
      </c>
      <c r="Z2" s="959"/>
      <c r="AA2" s="959"/>
      <c r="AB2" s="959"/>
      <c r="AC2" s="959"/>
      <c r="AD2" s="959"/>
      <c r="AE2" s="959"/>
      <c r="AF2" s="959"/>
      <c r="AG2" s="959"/>
      <c r="AH2" s="959"/>
      <c r="AI2" s="959"/>
      <c r="AJ2" s="959"/>
      <c r="AK2" s="959"/>
      <c r="AL2" s="959"/>
      <c r="AM2" s="959"/>
      <c r="AN2" s="959"/>
      <c r="AO2" s="959"/>
      <c r="AP2" s="959"/>
      <c r="AQ2" s="959"/>
      <c r="AR2" s="959"/>
      <c r="AS2" s="959"/>
      <c r="AT2" s="959"/>
      <c r="AU2" s="959"/>
      <c r="AV2" s="959"/>
      <c r="AW2" s="959"/>
      <c r="AX2" s="959"/>
      <c r="AY2" s="959"/>
      <c r="AZ2" s="959"/>
      <c r="BA2" s="959"/>
      <c r="BB2" s="959"/>
      <c r="BC2" s="959"/>
      <c r="BD2" s="959"/>
      <c r="BE2" s="959"/>
      <c r="BF2" s="959"/>
      <c r="BG2" s="959"/>
    </row>
    <row r="3" spans="1:67" ht="37.5" customHeight="1" x14ac:dyDescent="0.25">
      <c r="A3" s="189"/>
      <c r="B3" s="189"/>
      <c r="C3" s="189"/>
      <c r="D3" s="189"/>
      <c r="E3" s="189"/>
      <c r="F3" s="189"/>
      <c r="G3" s="189"/>
      <c r="H3" s="189"/>
      <c r="I3" s="189"/>
      <c r="J3" s="189"/>
      <c r="K3" s="189"/>
      <c r="L3" s="189"/>
      <c r="M3" s="189"/>
      <c r="N3" s="189"/>
      <c r="O3" s="189"/>
      <c r="P3" s="189"/>
      <c r="Q3" s="189"/>
      <c r="R3" s="189"/>
      <c r="S3" s="189"/>
      <c r="T3" s="189"/>
      <c r="U3" s="189"/>
      <c r="V3" s="189"/>
      <c r="W3" s="189"/>
      <c r="Y3" s="189"/>
      <c r="Z3" s="189"/>
      <c r="AA3" s="189"/>
      <c r="AB3" s="189"/>
      <c r="AC3" s="189"/>
      <c r="AD3" s="189"/>
      <c r="AE3" s="189"/>
      <c r="AF3" s="189"/>
      <c r="AG3" s="189"/>
      <c r="AH3" s="189"/>
      <c r="AI3" s="189"/>
    </row>
    <row r="4" spans="1:67" ht="37.5" customHeight="1" x14ac:dyDescent="0.25">
      <c r="A4" s="58" t="s">
        <v>487</v>
      </c>
      <c r="B4" s="201" t="str">
        <f>組み合わせ!BF6</f>
        <v>佐伯</v>
      </c>
      <c r="C4" s="58" t="s">
        <v>659</v>
      </c>
      <c r="D4" s="961" t="str">
        <f>VLOOKUP(B4,抽選会資料!$B$55:$F$63,2,FALSE)</f>
        <v>佐伯市総合運動公園人工芝グラウンド</v>
      </c>
      <c r="E4" s="961"/>
      <c r="F4" s="961"/>
      <c r="G4" s="961"/>
      <c r="H4" s="961"/>
      <c r="I4" s="961"/>
      <c r="J4" s="961"/>
      <c r="K4" s="961"/>
      <c r="L4" s="68"/>
      <c r="M4" s="58" t="s">
        <v>487</v>
      </c>
      <c r="N4" s="201" t="str">
        <f>組み合わせ!BF6</f>
        <v>佐伯</v>
      </c>
      <c r="O4" s="58" t="s">
        <v>659</v>
      </c>
      <c r="P4" s="961" t="str">
        <f>VLOOKUP(N4,抽選会資料!$B$55:$F$63,2,FALSE)</f>
        <v>佐伯市総合運動公園人工芝グラウンド</v>
      </c>
      <c r="Q4" s="961"/>
      <c r="R4" s="961"/>
      <c r="S4" s="961"/>
      <c r="T4" s="961"/>
      <c r="U4" s="961"/>
      <c r="V4" s="961"/>
      <c r="W4" s="961"/>
      <c r="X4" s="39"/>
      <c r="Y4" s="590" t="s">
        <v>487</v>
      </c>
      <c r="Z4" s="590"/>
      <c r="AA4" s="590"/>
      <c r="AB4" s="960" t="str">
        <f>$B$4</f>
        <v>佐伯</v>
      </c>
      <c r="AC4" s="960"/>
      <c r="AD4" s="960"/>
      <c r="AE4" s="960"/>
      <c r="AF4" s="960"/>
      <c r="AG4" s="960"/>
      <c r="AH4" s="58" t="s">
        <v>659</v>
      </c>
      <c r="AI4" s="961" t="str">
        <f>$D$4</f>
        <v>佐伯市総合運動公園人工芝グラウンド</v>
      </c>
      <c r="AJ4" s="961"/>
      <c r="AK4" s="961"/>
      <c r="AL4" s="961"/>
      <c r="AM4" s="961"/>
      <c r="AN4" s="961"/>
      <c r="AO4" s="961"/>
      <c r="AP4" s="961"/>
      <c r="AQ4" s="961"/>
      <c r="AR4" s="961"/>
      <c r="AS4" s="961"/>
      <c r="AT4" s="961"/>
      <c r="AU4" s="961"/>
      <c r="AV4" s="961"/>
      <c r="AW4" s="961"/>
    </row>
    <row r="5" spans="1:67" ht="37.5" customHeight="1" x14ac:dyDescent="0.25">
      <c r="A5" s="190"/>
      <c r="B5" s="190"/>
      <c r="C5" s="190"/>
      <c r="D5" s="190"/>
      <c r="E5" s="190"/>
      <c r="F5" s="190"/>
      <c r="G5" s="190"/>
      <c r="H5" s="190"/>
      <c r="I5" s="190"/>
      <c r="J5" s="190"/>
      <c r="K5" s="190"/>
      <c r="L5" s="190"/>
      <c r="M5" s="190"/>
      <c r="N5" s="190"/>
      <c r="O5" s="190"/>
      <c r="P5" s="190"/>
      <c r="Q5" s="190"/>
      <c r="R5" s="190"/>
      <c r="S5" s="190"/>
      <c r="T5" s="190"/>
      <c r="U5" s="190"/>
      <c r="V5" s="190"/>
      <c r="W5" s="190"/>
      <c r="Y5" s="190"/>
      <c r="Z5" s="190"/>
      <c r="AA5" s="190"/>
    </row>
    <row r="6" spans="1:67" ht="37.5" customHeight="1" x14ac:dyDescent="0.25">
      <c r="A6" s="58" t="s">
        <v>430</v>
      </c>
      <c r="B6" s="201" t="str">
        <f>組み合わせ!AR33</f>
        <v>2次リーグ　Bパート</v>
      </c>
      <c r="C6" s="58"/>
      <c r="D6" s="58"/>
      <c r="M6" s="58" t="s">
        <v>430</v>
      </c>
      <c r="N6" s="201" t="str">
        <f>組み合わせ!DL33</f>
        <v>2次リーグ　Dパート</v>
      </c>
      <c r="O6" s="229"/>
      <c r="P6" s="229"/>
      <c r="Y6" s="590" t="s">
        <v>430</v>
      </c>
      <c r="Z6" s="590"/>
      <c r="AA6" s="590"/>
      <c r="AB6" s="962" t="str">
        <f>$B$6</f>
        <v>2次リーグ　Bパート</v>
      </c>
      <c r="AC6" s="962"/>
      <c r="AD6" s="962"/>
      <c r="AE6" s="962"/>
      <c r="AF6" s="962"/>
      <c r="AG6" s="962"/>
    </row>
    <row r="7" spans="1:67" ht="37.5" customHeight="1" x14ac:dyDescent="0.25">
      <c r="A7" s="58"/>
      <c r="B7" s="202" t="str">
        <f>組み合わせ!$AR$36</f>
        <v>D</v>
      </c>
      <c r="C7" s="998" t="str">
        <f>組み合わせ!$AV$36</f>
        <v>弥生少年サッカークラブ</v>
      </c>
      <c r="D7" s="998"/>
      <c r="E7" s="998"/>
      <c r="F7" s="998"/>
      <c r="G7" s="998"/>
      <c r="H7" s="998"/>
      <c r="I7" s="998"/>
      <c r="J7" s="998" t="str">
        <f>HLOOKUP(C7,組み合わせ!$B$49:$EO$86,31,FALSE)</f>
        <v>佐伯</v>
      </c>
      <c r="K7" s="999"/>
      <c r="M7" s="229"/>
      <c r="N7" s="202" t="str">
        <f>組み合わせ!$DL$36</f>
        <v>J</v>
      </c>
      <c r="O7" s="998" t="str">
        <f>組み合わせ!$DP$36</f>
        <v>滝尾下郡サッカースポーツ少年団</v>
      </c>
      <c r="P7" s="998"/>
      <c r="Q7" s="998"/>
      <c r="R7" s="998"/>
      <c r="S7" s="998"/>
      <c r="T7" s="998"/>
      <c r="U7" s="998"/>
      <c r="V7" s="998" t="str">
        <f>HLOOKUP(O7,組み合わせ!$B$49:$EO$86,31,FALSE)</f>
        <v>大分</v>
      </c>
      <c r="W7" s="999"/>
      <c r="Y7" s="58"/>
      <c r="Z7" s="713" t="str">
        <f>+B7</f>
        <v>D</v>
      </c>
      <c r="AA7" s="713"/>
      <c r="AB7" s="713"/>
      <c r="AC7" s="713" t="str">
        <f>$C$7</f>
        <v>弥生少年サッカークラブ</v>
      </c>
      <c r="AD7" s="713"/>
      <c r="AE7" s="713"/>
      <c r="AF7" s="713"/>
      <c r="AG7" s="713"/>
      <c r="AH7" s="713"/>
      <c r="AI7" s="713"/>
      <c r="AJ7" s="713"/>
      <c r="AK7" s="713"/>
      <c r="AL7" s="713"/>
      <c r="AM7" s="713"/>
      <c r="AN7" s="713"/>
      <c r="AO7" s="713"/>
      <c r="AP7" s="713" t="str">
        <f>$J$7</f>
        <v>佐伯</v>
      </c>
      <c r="AQ7" s="713"/>
      <c r="AR7" s="713"/>
      <c r="AS7" s="713"/>
    </row>
    <row r="8" spans="1:67" ht="37.5" customHeight="1" x14ac:dyDescent="0.25">
      <c r="A8" s="58"/>
      <c r="B8" s="203" t="str">
        <f>組み合わせ!$AR$38</f>
        <v>E</v>
      </c>
      <c r="C8" s="549" t="str">
        <f>組み合わせ!$AV$38</f>
        <v>アトレチコエラン横瀬</v>
      </c>
      <c r="D8" s="549"/>
      <c r="E8" s="549"/>
      <c r="F8" s="549"/>
      <c r="G8" s="549"/>
      <c r="H8" s="549"/>
      <c r="I8" s="549"/>
      <c r="J8" s="549" t="str">
        <f>HLOOKUP(C8,組み合わせ!$B$49:$EO$86,31,FALSE)</f>
        <v>大分</v>
      </c>
      <c r="K8" s="995"/>
      <c r="M8" s="229"/>
      <c r="N8" s="203" t="str">
        <f>組み合わせ!$DL$38</f>
        <v>K</v>
      </c>
      <c r="O8" s="549" t="str">
        <f>組み合わせ!$DP$38</f>
        <v>戸次吉野ＳＳＳ</v>
      </c>
      <c r="P8" s="549"/>
      <c r="Q8" s="549"/>
      <c r="R8" s="549"/>
      <c r="S8" s="549"/>
      <c r="T8" s="549"/>
      <c r="U8" s="549"/>
      <c r="V8" s="549" t="str">
        <f>HLOOKUP(O8,組み合わせ!$B$49:$EO$86,31,FALSE)</f>
        <v>大分</v>
      </c>
      <c r="W8" s="995"/>
      <c r="Y8" s="58"/>
      <c r="Z8" s="713" t="str">
        <f>+B8</f>
        <v>E</v>
      </c>
      <c r="AA8" s="713"/>
      <c r="AB8" s="713"/>
      <c r="AC8" s="713" t="str">
        <f>$C$8</f>
        <v>アトレチコエラン横瀬</v>
      </c>
      <c r="AD8" s="713"/>
      <c r="AE8" s="713"/>
      <c r="AF8" s="713"/>
      <c r="AG8" s="713"/>
      <c r="AH8" s="713"/>
      <c r="AI8" s="713"/>
      <c r="AJ8" s="713"/>
      <c r="AK8" s="713"/>
      <c r="AL8" s="713"/>
      <c r="AM8" s="713"/>
      <c r="AN8" s="713"/>
      <c r="AO8" s="713"/>
      <c r="AP8" s="713" t="str">
        <f>$J$8</f>
        <v>大分</v>
      </c>
      <c r="AQ8" s="713"/>
      <c r="AR8" s="713"/>
      <c r="AS8" s="713"/>
    </row>
    <row r="9" spans="1:67" ht="37.5" customHeight="1" x14ac:dyDescent="0.25">
      <c r="A9" s="190"/>
      <c r="B9" s="204" t="str">
        <f>組み合わせ!$AR$40</f>
        <v>F</v>
      </c>
      <c r="C9" s="996" t="str">
        <f>組み合わせ!$AV$40</f>
        <v>カティオーラフットボールクラブＵ－１２</v>
      </c>
      <c r="D9" s="996"/>
      <c r="E9" s="996"/>
      <c r="F9" s="996"/>
      <c r="G9" s="996"/>
      <c r="H9" s="996"/>
      <c r="I9" s="996"/>
      <c r="J9" s="996" t="str">
        <f>HLOOKUP(C9,組み合わせ!$B$49:$EO$86,31,FALSE)</f>
        <v>大分</v>
      </c>
      <c r="K9" s="997"/>
      <c r="L9" s="190"/>
      <c r="M9" s="190"/>
      <c r="N9" s="204" t="str">
        <f>組み合わせ!$DL$40</f>
        <v>L</v>
      </c>
      <c r="O9" s="996" t="str">
        <f>組み合わせ!$DP$40</f>
        <v>四日市南ＳＳＣ</v>
      </c>
      <c r="P9" s="996"/>
      <c r="Q9" s="996"/>
      <c r="R9" s="996"/>
      <c r="S9" s="996"/>
      <c r="T9" s="996"/>
      <c r="U9" s="996"/>
      <c r="V9" s="996" t="str">
        <f>HLOOKUP(O9,組み合わせ!$B$49:$EO$86,31,FALSE)</f>
        <v>宇佐高田</v>
      </c>
      <c r="W9" s="997"/>
      <c r="Y9" s="190"/>
      <c r="Z9" s="713" t="str">
        <f>+B9</f>
        <v>F</v>
      </c>
      <c r="AA9" s="713"/>
      <c r="AB9" s="713"/>
      <c r="AC9" s="713" t="str">
        <f>$C$9</f>
        <v>カティオーラフットボールクラブＵ－１２</v>
      </c>
      <c r="AD9" s="713"/>
      <c r="AE9" s="713"/>
      <c r="AF9" s="713"/>
      <c r="AG9" s="713"/>
      <c r="AH9" s="713"/>
      <c r="AI9" s="713"/>
      <c r="AJ9" s="713"/>
      <c r="AK9" s="713"/>
      <c r="AL9" s="713"/>
      <c r="AM9" s="713"/>
      <c r="AN9" s="713"/>
      <c r="AO9" s="713"/>
      <c r="AP9" s="713" t="str">
        <f>$J$9</f>
        <v>大分</v>
      </c>
      <c r="AQ9" s="713"/>
      <c r="AR9" s="713"/>
      <c r="AS9" s="713"/>
    </row>
    <row r="10" spans="1:67" ht="37.5" customHeight="1" x14ac:dyDescent="0.25">
      <c r="A10" s="191" t="s">
        <v>497</v>
      </c>
      <c r="B10" s="189"/>
      <c r="C10" s="189"/>
      <c r="D10" s="189"/>
      <c r="E10" s="189"/>
      <c r="F10" s="189"/>
      <c r="G10" s="189"/>
      <c r="H10" s="189"/>
      <c r="I10" s="189"/>
      <c r="J10" s="189"/>
      <c r="K10" s="189"/>
      <c r="L10" s="189"/>
      <c r="M10" s="191" t="s">
        <v>637</v>
      </c>
      <c r="N10" s="189"/>
      <c r="O10" s="189"/>
      <c r="P10" s="189"/>
      <c r="Q10" s="189"/>
      <c r="R10" s="189"/>
      <c r="S10" s="189"/>
      <c r="T10" s="189"/>
      <c r="U10" s="189"/>
      <c r="V10" s="189"/>
      <c r="W10" s="189"/>
    </row>
    <row r="12" spans="1:67" ht="18.75" customHeight="1" x14ac:dyDescent="0.25">
      <c r="A12" s="963" t="s">
        <v>789</v>
      </c>
      <c r="B12" s="964" t="str">
        <f>C7</f>
        <v>弥生少年サッカークラブ</v>
      </c>
      <c r="C12" s="966">
        <f>IF(E12="","",SUM(E12:E13))</f>
        <v>1</v>
      </c>
      <c r="D12" s="940" t="s">
        <v>336</v>
      </c>
      <c r="E12" s="217">
        <v>0</v>
      </c>
      <c r="F12" s="217" t="s">
        <v>61</v>
      </c>
      <c r="G12" s="217">
        <v>1</v>
      </c>
      <c r="H12" s="940" t="s">
        <v>339</v>
      </c>
      <c r="I12" s="966">
        <f>IF(G12="","",SUM(G12:G13))</f>
        <v>1</v>
      </c>
      <c r="J12" s="968" t="str">
        <f>C8</f>
        <v>アトレチコエラン横瀬</v>
      </c>
      <c r="K12" s="190"/>
      <c r="L12" s="190"/>
      <c r="M12" s="969" t="s">
        <v>791</v>
      </c>
      <c r="N12" s="972" t="str">
        <f>O7</f>
        <v>滝尾下郡サッカースポーツ少年団</v>
      </c>
      <c r="O12" s="966">
        <f>IF(Q12="","",SUM(Q12:Q13))</f>
        <v>2</v>
      </c>
      <c r="P12" s="940" t="s">
        <v>336</v>
      </c>
      <c r="Q12" s="217">
        <v>1</v>
      </c>
      <c r="R12" s="217" t="s">
        <v>61</v>
      </c>
      <c r="S12" s="217">
        <v>0</v>
      </c>
      <c r="T12" s="940" t="s">
        <v>339</v>
      </c>
      <c r="U12" s="966">
        <f>IF(S12="","",SUM(S12:S13))</f>
        <v>1</v>
      </c>
      <c r="V12" s="968" t="str">
        <f>O8</f>
        <v>戸次吉野ＳＳＳ</v>
      </c>
    </row>
    <row r="13" spans="1:67" ht="18.75" customHeight="1" x14ac:dyDescent="0.25">
      <c r="A13" s="946"/>
      <c r="B13" s="965"/>
      <c r="C13" s="967"/>
      <c r="D13" s="906"/>
      <c r="E13" s="190">
        <v>1</v>
      </c>
      <c r="F13" s="190" t="s">
        <v>126</v>
      </c>
      <c r="G13" s="190">
        <v>0</v>
      </c>
      <c r="H13" s="906"/>
      <c r="I13" s="967"/>
      <c r="J13" s="957"/>
      <c r="K13" s="190"/>
      <c r="L13" s="190"/>
      <c r="M13" s="970"/>
      <c r="N13" s="973"/>
      <c r="O13" s="967"/>
      <c r="P13" s="906"/>
      <c r="Q13" s="190">
        <v>1</v>
      </c>
      <c r="R13" s="190" t="s">
        <v>126</v>
      </c>
      <c r="S13" s="190">
        <v>1</v>
      </c>
      <c r="T13" s="906"/>
      <c r="U13" s="967"/>
      <c r="V13" s="957"/>
    </row>
    <row r="14" spans="1:67" ht="19.5" customHeight="1" x14ac:dyDescent="0.25">
      <c r="A14" s="946"/>
      <c r="B14" s="980"/>
      <c r="C14" s="967"/>
      <c r="D14" s="906"/>
      <c r="E14" s="190"/>
      <c r="F14" s="190" t="s">
        <v>407</v>
      </c>
      <c r="G14" s="190"/>
      <c r="H14" s="906"/>
      <c r="I14" s="967"/>
      <c r="J14" s="958"/>
      <c r="K14" s="190"/>
      <c r="L14" s="190"/>
      <c r="M14" s="971"/>
      <c r="N14" s="974"/>
      <c r="O14" s="975"/>
      <c r="P14" s="908"/>
      <c r="Q14" s="190"/>
      <c r="R14" s="190" t="s">
        <v>407</v>
      </c>
      <c r="S14" s="190"/>
      <c r="T14" s="908"/>
      <c r="U14" s="975"/>
      <c r="V14" s="976"/>
    </row>
    <row r="15" spans="1:67" ht="18.75" customHeight="1" x14ac:dyDescent="0.25">
      <c r="A15" s="192" t="s">
        <v>2463</v>
      </c>
      <c r="B15" s="989" t="s">
        <v>15289</v>
      </c>
      <c r="C15" s="989"/>
      <c r="D15" s="989"/>
      <c r="E15" s="989"/>
      <c r="F15" s="989"/>
      <c r="G15" s="990" t="s">
        <v>2464</v>
      </c>
      <c r="H15" s="990"/>
      <c r="I15" s="990"/>
      <c r="J15" s="991" t="s">
        <v>15288</v>
      </c>
      <c r="K15" s="991"/>
      <c r="L15" s="190"/>
      <c r="M15" s="192" t="s">
        <v>2463</v>
      </c>
      <c r="N15" s="989" t="s">
        <v>15299</v>
      </c>
      <c r="O15" s="989"/>
      <c r="P15" s="989"/>
      <c r="Q15" s="989"/>
      <c r="R15" s="989"/>
      <c r="S15" s="990" t="s">
        <v>2464</v>
      </c>
      <c r="T15" s="990"/>
      <c r="U15" s="990"/>
      <c r="V15" s="991" t="s">
        <v>15288</v>
      </c>
      <c r="W15" s="991"/>
      <c r="Y15" s="954" t="str">
        <f>$Y$6</f>
        <v>パート</v>
      </c>
      <c r="Z15" s="955"/>
      <c r="AA15" s="955"/>
      <c r="AB15" s="955"/>
      <c r="AC15" s="955" t="str">
        <f>$AB$6</f>
        <v>2次リーグ　Bパート</v>
      </c>
      <c r="AD15" s="955"/>
      <c r="AE15" s="956"/>
      <c r="AF15" s="945" t="str">
        <f>$Y$21</f>
        <v>弥生少年サッカークラブ</v>
      </c>
      <c r="AG15" s="945"/>
      <c r="AH15" s="945"/>
      <c r="AI15" s="945"/>
      <c r="AJ15" s="945"/>
      <c r="AK15" s="945" t="str">
        <f>$Y$27</f>
        <v>アトレチコエラン横瀬</v>
      </c>
      <c r="AL15" s="945"/>
      <c r="AM15" s="945"/>
      <c r="AN15" s="945"/>
      <c r="AO15" s="945"/>
      <c r="AP15" s="945" t="str">
        <f>$Y$33</f>
        <v>カティオーラフットボールクラブＵ－１２</v>
      </c>
      <c r="AQ15" s="945"/>
      <c r="AR15" s="945"/>
      <c r="AS15" s="945"/>
      <c r="AT15" s="945"/>
      <c r="AU15" s="945" t="s">
        <v>1535</v>
      </c>
      <c r="AV15" s="945"/>
      <c r="AW15" s="944" t="s">
        <v>2060</v>
      </c>
      <c r="AX15" s="945"/>
      <c r="AY15" s="944" t="s">
        <v>1208</v>
      </c>
      <c r="AZ15" s="945"/>
      <c r="BA15" s="945" t="s">
        <v>1727</v>
      </c>
      <c r="BB15" s="945"/>
      <c r="BC15" s="945" t="s">
        <v>2005</v>
      </c>
      <c r="BD15" s="945"/>
      <c r="BE15" s="945" t="s">
        <v>2006</v>
      </c>
      <c r="BF15" s="945"/>
      <c r="BG15" s="945" t="s">
        <v>1768</v>
      </c>
      <c r="BH15" s="945"/>
      <c r="BI15" s="944" t="s">
        <v>698</v>
      </c>
      <c r="BJ15" s="945"/>
      <c r="BK15" s="944" t="s">
        <v>1100</v>
      </c>
      <c r="BL15" s="945"/>
      <c r="BM15" s="944" t="s">
        <v>502</v>
      </c>
      <c r="BN15" s="945"/>
      <c r="BO15" s="947" t="s">
        <v>2127</v>
      </c>
    </row>
    <row r="16" spans="1:67" x14ac:dyDescent="0.25">
      <c r="A16" s="193" t="s">
        <v>2465</v>
      </c>
      <c r="B16" s="992" t="s">
        <v>15289</v>
      </c>
      <c r="C16" s="992"/>
      <c r="D16" s="992"/>
      <c r="E16" s="992"/>
      <c r="F16" s="992"/>
      <c r="G16" s="983" t="s">
        <v>2464</v>
      </c>
      <c r="H16" s="984"/>
      <c r="I16" s="985"/>
      <c r="J16" s="993" t="s">
        <v>15288</v>
      </c>
      <c r="K16" s="993"/>
      <c r="L16" s="190"/>
      <c r="M16" s="193" t="s">
        <v>2465</v>
      </c>
      <c r="N16" s="992" t="s">
        <v>15299</v>
      </c>
      <c r="O16" s="992"/>
      <c r="P16" s="992"/>
      <c r="Q16" s="992"/>
      <c r="R16" s="992"/>
      <c r="S16" s="983" t="s">
        <v>2464</v>
      </c>
      <c r="T16" s="984"/>
      <c r="U16" s="985"/>
      <c r="V16" s="993" t="s">
        <v>15288</v>
      </c>
      <c r="W16" s="993"/>
      <c r="Y16" s="905"/>
      <c r="Z16" s="906"/>
      <c r="AA16" s="906"/>
      <c r="AB16" s="906"/>
      <c r="AC16" s="906"/>
      <c r="AD16" s="906"/>
      <c r="AE16" s="957"/>
      <c r="AF16" s="946"/>
      <c r="AG16" s="946"/>
      <c r="AH16" s="946"/>
      <c r="AI16" s="946"/>
      <c r="AJ16" s="946"/>
      <c r="AK16" s="946"/>
      <c r="AL16" s="946"/>
      <c r="AM16" s="946"/>
      <c r="AN16" s="946"/>
      <c r="AO16" s="946"/>
      <c r="AP16" s="946"/>
      <c r="AQ16" s="946"/>
      <c r="AR16" s="946"/>
      <c r="AS16" s="946"/>
      <c r="AT16" s="946"/>
      <c r="AU16" s="946"/>
      <c r="AV16" s="946"/>
      <c r="AW16" s="946"/>
      <c r="AX16" s="946"/>
      <c r="AY16" s="946"/>
      <c r="AZ16" s="946"/>
      <c r="BA16" s="946"/>
      <c r="BB16" s="946"/>
      <c r="BC16" s="946"/>
      <c r="BD16" s="946"/>
      <c r="BE16" s="946"/>
      <c r="BF16" s="946"/>
      <c r="BG16" s="946"/>
      <c r="BH16" s="946"/>
      <c r="BI16" s="946"/>
      <c r="BJ16" s="946"/>
      <c r="BK16" s="946"/>
      <c r="BL16" s="946"/>
      <c r="BM16" s="946"/>
      <c r="BN16" s="946"/>
      <c r="BO16" s="948"/>
    </row>
    <row r="17" spans="1:67" x14ac:dyDescent="0.25">
      <c r="A17" s="194" t="s">
        <v>2466</v>
      </c>
      <c r="B17" s="982" t="s">
        <v>15290</v>
      </c>
      <c r="C17" s="982"/>
      <c r="D17" s="982"/>
      <c r="E17" s="982"/>
      <c r="F17" s="982"/>
      <c r="G17" s="983" t="s">
        <v>2464</v>
      </c>
      <c r="H17" s="984"/>
      <c r="I17" s="985"/>
      <c r="J17" s="986" t="s">
        <v>15288</v>
      </c>
      <c r="K17" s="986"/>
      <c r="L17" s="190"/>
      <c r="M17" s="194" t="s">
        <v>2466</v>
      </c>
      <c r="N17" s="982" t="s">
        <v>15300</v>
      </c>
      <c r="O17" s="982"/>
      <c r="P17" s="982"/>
      <c r="Q17" s="982"/>
      <c r="R17" s="982"/>
      <c r="S17" s="983" t="s">
        <v>2464</v>
      </c>
      <c r="T17" s="984"/>
      <c r="U17" s="985"/>
      <c r="V17" s="986" t="s">
        <v>15288</v>
      </c>
      <c r="W17" s="986"/>
      <c r="Y17" s="905"/>
      <c r="Z17" s="906"/>
      <c r="AA17" s="906"/>
      <c r="AB17" s="906"/>
      <c r="AC17" s="906"/>
      <c r="AD17" s="906"/>
      <c r="AE17" s="957"/>
      <c r="AF17" s="946"/>
      <c r="AG17" s="946"/>
      <c r="AH17" s="946"/>
      <c r="AI17" s="946"/>
      <c r="AJ17" s="946"/>
      <c r="AK17" s="946"/>
      <c r="AL17" s="946"/>
      <c r="AM17" s="946"/>
      <c r="AN17" s="946"/>
      <c r="AO17" s="946"/>
      <c r="AP17" s="946"/>
      <c r="AQ17" s="946"/>
      <c r="AR17" s="946"/>
      <c r="AS17" s="946"/>
      <c r="AT17" s="946"/>
      <c r="AU17" s="946"/>
      <c r="AV17" s="946"/>
      <c r="AW17" s="946"/>
      <c r="AX17" s="946"/>
      <c r="AY17" s="946"/>
      <c r="AZ17" s="946"/>
      <c r="BA17" s="946"/>
      <c r="BB17" s="946"/>
      <c r="BC17" s="946"/>
      <c r="BD17" s="946"/>
      <c r="BE17" s="946"/>
      <c r="BF17" s="946"/>
      <c r="BG17" s="946"/>
      <c r="BH17" s="946"/>
      <c r="BI17" s="946"/>
      <c r="BJ17" s="946"/>
      <c r="BK17" s="946"/>
      <c r="BL17" s="946"/>
      <c r="BM17" s="946"/>
      <c r="BN17" s="946"/>
      <c r="BO17" s="948"/>
    </row>
    <row r="18" spans="1:67" x14ac:dyDescent="0.25">
      <c r="A18" s="195" t="s">
        <v>609</v>
      </c>
      <c r="B18" s="205" t="str">
        <f>IF(ISERROR(VLOOKUP(G18,審判員!$A:$C,2,FALSE))=TRUE,"",VLOOKUP(G18,審判員!$A:$C,2,FALSE))</f>
        <v>金田　智朗</v>
      </c>
      <c r="C18" s="211">
        <f>IF(ISERROR(VLOOKUP(G18,審判員!$A:$C,3,FALSE))=TRUE,"",VLOOKUP(G18,審判員!$A:$C,3,FALSE))</f>
        <v>3</v>
      </c>
      <c r="D18" s="218" t="s">
        <v>612</v>
      </c>
      <c r="E18" s="955" t="s">
        <v>201</v>
      </c>
      <c r="F18" s="955"/>
      <c r="G18" s="955" t="s">
        <v>15198</v>
      </c>
      <c r="H18" s="955"/>
      <c r="I18" s="955"/>
      <c r="J18" s="987" t="s">
        <v>788</v>
      </c>
      <c r="K18" s="988"/>
      <c r="L18" s="190"/>
      <c r="M18" s="195" t="s">
        <v>609</v>
      </c>
      <c r="N18" s="205" t="str">
        <f>IF(ISERROR(VLOOKUP(S18,審判員!$A:$C,2,FALSE))=TRUE,"",VLOOKUP(S18,審判員!$A:$C,2,FALSE))</f>
        <v>白江　直樹</v>
      </c>
      <c r="O18" s="211">
        <f>IF(ISERROR(VLOOKUP(S18,審判員!$A:$C,3,FALSE))=TRUE,"",VLOOKUP(S18,審判員!$A:$C,3,FALSE))</f>
        <v>3</v>
      </c>
      <c r="P18" s="218" t="s">
        <v>612</v>
      </c>
      <c r="Q18" s="955" t="s">
        <v>201</v>
      </c>
      <c r="R18" s="955"/>
      <c r="S18" s="955" t="s">
        <v>15301</v>
      </c>
      <c r="T18" s="955"/>
      <c r="U18" s="955"/>
      <c r="V18" s="987" t="s">
        <v>788</v>
      </c>
      <c r="W18" s="988"/>
      <c r="Y18" s="905"/>
      <c r="Z18" s="906"/>
      <c r="AA18" s="906"/>
      <c r="AB18" s="906"/>
      <c r="AC18" s="906"/>
      <c r="AD18" s="906"/>
      <c r="AE18" s="957"/>
      <c r="AF18" s="946"/>
      <c r="AG18" s="946"/>
      <c r="AH18" s="946"/>
      <c r="AI18" s="946"/>
      <c r="AJ18" s="946"/>
      <c r="AK18" s="946"/>
      <c r="AL18" s="946"/>
      <c r="AM18" s="946"/>
      <c r="AN18" s="946"/>
      <c r="AO18" s="946"/>
      <c r="AP18" s="946"/>
      <c r="AQ18" s="946"/>
      <c r="AR18" s="946"/>
      <c r="AS18" s="946"/>
      <c r="AT18" s="946"/>
      <c r="AU18" s="946"/>
      <c r="AV18" s="946"/>
      <c r="AW18" s="946"/>
      <c r="AX18" s="946"/>
      <c r="AY18" s="946"/>
      <c r="AZ18" s="946"/>
      <c r="BA18" s="946"/>
      <c r="BB18" s="946"/>
      <c r="BC18" s="946"/>
      <c r="BD18" s="946"/>
      <c r="BE18" s="946"/>
      <c r="BF18" s="946"/>
      <c r="BG18" s="946"/>
      <c r="BH18" s="946"/>
      <c r="BI18" s="946"/>
      <c r="BJ18" s="946"/>
      <c r="BK18" s="946"/>
      <c r="BL18" s="946"/>
      <c r="BM18" s="946"/>
      <c r="BN18" s="946"/>
      <c r="BO18" s="948"/>
    </row>
    <row r="19" spans="1:67" x14ac:dyDescent="0.25">
      <c r="A19" s="196" t="s">
        <v>704</v>
      </c>
      <c r="B19" s="206" t="str">
        <f>IF(ISERROR(VLOOKUP(G19,審判員!$A:$C,2,FALSE))=TRUE,"",VLOOKUP(G19,審判員!$A:$C,2,FALSE))</f>
        <v>清松　隆浩</v>
      </c>
      <c r="C19" s="212">
        <f>IF(ISERROR(VLOOKUP(G19,審判員!$A:$C,3,FALSE))=TRUE,"",VLOOKUP(G19,審判員!$A:$C,3,FALSE))</f>
        <v>3</v>
      </c>
      <c r="D19" s="219" t="s">
        <v>612</v>
      </c>
      <c r="E19" s="906" t="s">
        <v>1286</v>
      </c>
      <c r="F19" s="906"/>
      <c r="G19" s="906" t="s">
        <v>15291</v>
      </c>
      <c r="H19" s="906"/>
      <c r="I19" s="906"/>
      <c r="J19" s="891" t="str">
        <f>N12</f>
        <v>滝尾下郡サッカースポーツ少年団</v>
      </c>
      <c r="K19" s="981"/>
      <c r="L19" s="190"/>
      <c r="M19" s="196" t="s">
        <v>704</v>
      </c>
      <c r="N19" s="206" t="str">
        <f>IF(ISERROR(VLOOKUP(S19,審判員!$A:$C,2,FALSE))=TRUE,"",VLOOKUP(S19,審判員!$A:$C,2,FALSE))</f>
        <v>五十川　文明</v>
      </c>
      <c r="O19" s="212">
        <f>IF(ISERROR(VLOOKUP(S19,審判員!$A:$C,3,FALSE))=TRUE,"",VLOOKUP(S19,審判員!$A:$C,3,FALSE))</f>
        <v>3</v>
      </c>
      <c r="P19" s="219" t="s">
        <v>612</v>
      </c>
      <c r="Q19" s="906" t="s">
        <v>1286</v>
      </c>
      <c r="R19" s="906"/>
      <c r="S19" s="906" t="s">
        <v>15243</v>
      </c>
      <c r="T19" s="906"/>
      <c r="U19" s="906"/>
      <c r="V19" s="891" t="str">
        <f>B12</f>
        <v>弥生少年サッカークラブ</v>
      </c>
      <c r="W19" s="981"/>
      <c r="Y19" s="905"/>
      <c r="Z19" s="906"/>
      <c r="AA19" s="906"/>
      <c r="AB19" s="906"/>
      <c r="AC19" s="906"/>
      <c r="AD19" s="906"/>
      <c r="AE19" s="957"/>
      <c r="AF19" s="946"/>
      <c r="AG19" s="946"/>
      <c r="AH19" s="946"/>
      <c r="AI19" s="946"/>
      <c r="AJ19" s="946"/>
      <c r="AK19" s="946"/>
      <c r="AL19" s="946"/>
      <c r="AM19" s="946"/>
      <c r="AN19" s="946"/>
      <c r="AO19" s="946"/>
      <c r="AP19" s="946"/>
      <c r="AQ19" s="946"/>
      <c r="AR19" s="946"/>
      <c r="AS19" s="946"/>
      <c r="AT19" s="946"/>
      <c r="AU19" s="946"/>
      <c r="AV19" s="946"/>
      <c r="AW19" s="946"/>
      <c r="AX19" s="946"/>
      <c r="AY19" s="946"/>
      <c r="AZ19" s="946"/>
      <c r="BA19" s="946"/>
      <c r="BB19" s="946"/>
      <c r="BC19" s="946"/>
      <c r="BD19" s="946"/>
      <c r="BE19" s="946"/>
      <c r="BF19" s="946"/>
      <c r="BG19" s="946"/>
      <c r="BH19" s="946"/>
      <c r="BI19" s="946"/>
      <c r="BJ19" s="946"/>
      <c r="BK19" s="946"/>
      <c r="BL19" s="946"/>
      <c r="BM19" s="946"/>
      <c r="BN19" s="946"/>
      <c r="BO19" s="948"/>
    </row>
    <row r="20" spans="1:67" x14ac:dyDescent="0.25">
      <c r="A20" s="196" t="s">
        <v>2007</v>
      </c>
      <c r="B20" s="206" t="str">
        <f>IF(ISERROR(VLOOKUP(G20,審判員!$A:$C,2,FALSE))=TRUE,"",VLOOKUP(G20,審判員!$A:$C,2,FALSE))</f>
        <v>高倉　遥樹</v>
      </c>
      <c r="C20" s="212">
        <f>IF(ISERROR(VLOOKUP(G20,審判員!$A:$C,3,FALSE))=TRUE,"",VLOOKUP(G20,審判員!$A:$C,3,FALSE))</f>
        <v>3</v>
      </c>
      <c r="D20" s="219" t="s">
        <v>612</v>
      </c>
      <c r="E20" s="906" t="s">
        <v>1286</v>
      </c>
      <c r="F20" s="906"/>
      <c r="G20" s="906" t="s">
        <v>15248</v>
      </c>
      <c r="H20" s="906"/>
      <c r="I20" s="906"/>
      <c r="J20" s="891" t="str">
        <f>V12</f>
        <v>戸次吉野ＳＳＳ</v>
      </c>
      <c r="K20" s="981"/>
      <c r="L20" s="190"/>
      <c r="M20" s="196" t="s">
        <v>2007</v>
      </c>
      <c r="N20" s="206" t="str">
        <f>IF(ISERROR(VLOOKUP(S20,審判員!$A:$C,2,FALSE))=TRUE,"",VLOOKUP(S20,審判員!$A:$C,2,FALSE))</f>
        <v>江良　信司</v>
      </c>
      <c r="O20" s="212">
        <f>IF(ISERROR(VLOOKUP(S20,審判員!$A:$C,3,FALSE))=TRUE,"",VLOOKUP(S20,審判員!$A:$C,3,FALSE))</f>
        <v>3</v>
      </c>
      <c r="P20" s="219" t="s">
        <v>612</v>
      </c>
      <c r="Q20" s="906" t="s">
        <v>1286</v>
      </c>
      <c r="R20" s="906"/>
      <c r="S20" s="906" t="s">
        <v>15211</v>
      </c>
      <c r="T20" s="906"/>
      <c r="U20" s="906"/>
      <c r="V20" s="891" t="str">
        <f>J12</f>
        <v>アトレチコエラン横瀬</v>
      </c>
      <c r="W20" s="981"/>
      <c r="Y20" s="941"/>
      <c r="Z20" s="936"/>
      <c r="AA20" s="936"/>
      <c r="AB20" s="936"/>
      <c r="AC20" s="936"/>
      <c r="AD20" s="936"/>
      <c r="AE20" s="958"/>
      <c r="AF20" s="946"/>
      <c r="AG20" s="946"/>
      <c r="AH20" s="946"/>
      <c r="AI20" s="946"/>
      <c r="AJ20" s="946"/>
      <c r="AK20" s="946"/>
      <c r="AL20" s="946"/>
      <c r="AM20" s="946"/>
      <c r="AN20" s="946"/>
      <c r="AO20" s="946"/>
      <c r="AP20" s="946"/>
      <c r="AQ20" s="946"/>
      <c r="AR20" s="946"/>
      <c r="AS20" s="946"/>
      <c r="AT20" s="946"/>
      <c r="AU20" s="946"/>
      <c r="AV20" s="946"/>
      <c r="AW20" s="946"/>
      <c r="AX20" s="946"/>
      <c r="AY20" s="946"/>
      <c r="AZ20" s="946"/>
      <c r="BA20" s="946"/>
      <c r="BB20" s="946"/>
      <c r="BC20" s="946"/>
      <c r="BD20" s="946"/>
      <c r="BE20" s="946"/>
      <c r="BF20" s="946"/>
      <c r="BG20" s="946"/>
      <c r="BH20" s="946"/>
      <c r="BI20" s="946"/>
      <c r="BJ20" s="946"/>
      <c r="BK20" s="946"/>
      <c r="BL20" s="946"/>
      <c r="BM20" s="946"/>
      <c r="BN20" s="946"/>
      <c r="BO20" s="949"/>
    </row>
    <row r="21" spans="1:67" ht="18.75" customHeight="1" x14ac:dyDescent="0.25">
      <c r="A21" s="197" t="s">
        <v>2008</v>
      </c>
      <c r="B21" s="207" t="str">
        <f>IF(ISERROR(VLOOKUP(G21,審判員!$A:$C,2,FALSE))=TRUE,"",VLOOKUP(G21,審判員!$A:$C,2,FALSE))</f>
        <v>戸髙　博秋</v>
      </c>
      <c r="C21" s="213">
        <f>IF(ISERROR(VLOOKUP(G21,審判員!$A:$C,3,FALSE))=TRUE,"",VLOOKUP(G21,審判員!$A:$C,3,FALSE))</f>
        <v>3</v>
      </c>
      <c r="D21" s="220" t="s">
        <v>612</v>
      </c>
      <c r="E21" s="977" t="s">
        <v>1286</v>
      </c>
      <c r="F21" s="977"/>
      <c r="G21" s="977" t="s">
        <v>15292</v>
      </c>
      <c r="H21" s="977"/>
      <c r="I21" s="977"/>
      <c r="J21" s="978" t="s">
        <v>788</v>
      </c>
      <c r="K21" s="979"/>
      <c r="L21" s="190"/>
      <c r="M21" s="197" t="s">
        <v>2008</v>
      </c>
      <c r="N21" s="207" t="str">
        <f>IF(ISERROR(VLOOKUP(S21,審判員!$A:$C,2,FALSE))=TRUE,"",VLOOKUP(S21,審判員!$A:$C,2,FALSE))</f>
        <v>竹嶋　仁</v>
      </c>
      <c r="O21" s="213">
        <f>IF(ISERROR(VLOOKUP(S21,審判員!$A:$C,3,FALSE))=TRUE,"",VLOOKUP(S21,審判員!$A:$C,3,FALSE))</f>
        <v>3</v>
      </c>
      <c r="P21" s="220" t="s">
        <v>612</v>
      </c>
      <c r="Q21" s="977" t="s">
        <v>1286</v>
      </c>
      <c r="R21" s="977"/>
      <c r="S21" s="977" t="s">
        <v>15302</v>
      </c>
      <c r="T21" s="977"/>
      <c r="U21" s="977"/>
      <c r="V21" s="978" t="s">
        <v>788</v>
      </c>
      <c r="W21" s="979"/>
      <c r="Y21" s="939" t="str">
        <f>$AC$7</f>
        <v>弥生少年サッカークラブ</v>
      </c>
      <c r="Z21" s="940"/>
      <c r="AA21" s="940"/>
      <c r="AB21" s="940"/>
      <c r="AC21" s="940"/>
      <c r="AD21" s="940" t="s">
        <v>242</v>
      </c>
      <c r="AE21" s="940"/>
      <c r="AF21" s="950"/>
      <c r="AG21" s="942"/>
      <c r="AH21" s="942"/>
      <c r="AI21" s="942"/>
      <c r="AJ21" s="951"/>
      <c r="AK21" s="923" t="b">
        <f>IF(AK25="","",IF(AK25&gt;AN25,"○",IF(AK25&lt;AN25,"●",IF(AK23&gt;AN23,"△",IF(AK23&lt;AN23,"▲")))))</f>
        <v>0</v>
      </c>
      <c r="AL21" s="924"/>
      <c r="AM21" s="924"/>
      <c r="AN21" s="924"/>
      <c r="AO21" s="925"/>
      <c r="AP21" s="923" t="b">
        <f>IF(AP25="","",IF(AP25&gt;AS25,"○",IF(AP25&lt;AS25,"●",IF(AP23&gt;AS23,"△",IF(AP23&lt;AS23,"▲")))))</f>
        <v>0</v>
      </c>
      <c r="AQ21" s="924"/>
      <c r="AR21" s="924"/>
      <c r="AS21" s="924"/>
      <c r="AT21" s="925"/>
      <c r="AU21" s="903">
        <f>COUNTIF($AF$21:$AT$22,"○")</f>
        <v>0</v>
      </c>
      <c r="AV21" s="903"/>
      <c r="AW21" s="903">
        <f>COUNTIF($AF$21:$AT$22,"△")</f>
        <v>0</v>
      </c>
      <c r="AX21" s="903"/>
      <c r="AY21" s="903">
        <f>COUNTIF($AF$21:$AT$22,"▲")</f>
        <v>0</v>
      </c>
      <c r="AZ21" s="903"/>
      <c r="BA21" s="903">
        <f>COUNTIF($AF$21:$AT$22,"●")</f>
        <v>0</v>
      </c>
      <c r="BB21" s="903"/>
      <c r="BC21" s="903">
        <f>SUM($AK$25,$AP$25)</f>
        <v>1</v>
      </c>
      <c r="BD21" s="903"/>
      <c r="BE21" s="903">
        <f>SUM($AN$25,$AS$25)</f>
        <v>1</v>
      </c>
      <c r="BF21" s="903"/>
      <c r="BG21" s="903">
        <f>($AU$21*3)+($AW$21*2)+($AY$21*1)</f>
        <v>0</v>
      </c>
      <c r="BH21" s="903"/>
      <c r="BI21" s="910">
        <f>RANK($BG$21,$BG$21:$BH$38)</f>
        <v>2</v>
      </c>
      <c r="BJ21" s="910"/>
      <c r="BK21" s="903">
        <f>$BC$21-$BE$21</f>
        <v>0</v>
      </c>
      <c r="BL21" s="903"/>
      <c r="BM21" s="910">
        <f>RANK($BK$21,$BK$21:$BL$38)</f>
        <v>2</v>
      </c>
      <c r="BN21" s="910"/>
      <c r="BO21" s="912"/>
    </row>
    <row r="22" spans="1:67" ht="18.75" customHeight="1" x14ac:dyDescent="0.25">
      <c r="A22" s="198" t="s">
        <v>469</v>
      </c>
      <c r="B22" s="208" t="s">
        <v>606</v>
      </c>
      <c r="C22" s="208" t="s">
        <v>234</v>
      </c>
      <c r="D22" s="208" t="s">
        <v>272</v>
      </c>
      <c r="E22" s="208" t="s">
        <v>750</v>
      </c>
      <c r="F22" s="223"/>
      <c r="G22" s="208" t="s">
        <v>750</v>
      </c>
      <c r="H22" s="208" t="s">
        <v>272</v>
      </c>
      <c r="I22" s="208" t="s">
        <v>234</v>
      </c>
      <c r="J22" s="208" t="s">
        <v>606</v>
      </c>
      <c r="K22" s="225" t="s">
        <v>469</v>
      </c>
      <c r="L22" s="190"/>
      <c r="M22" s="198" t="s">
        <v>469</v>
      </c>
      <c r="N22" s="208" t="s">
        <v>606</v>
      </c>
      <c r="O22" s="208" t="s">
        <v>234</v>
      </c>
      <c r="P22" s="208" t="s">
        <v>272</v>
      </c>
      <c r="Q22" s="208" t="s">
        <v>750</v>
      </c>
      <c r="R22" s="223"/>
      <c r="S22" s="208" t="s">
        <v>750</v>
      </c>
      <c r="T22" s="208" t="s">
        <v>272</v>
      </c>
      <c r="U22" s="208" t="s">
        <v>234</v>
      </c>
      <c r="V22" s="208" t="s">
        <v>606</v>
      </c>
      <c r="W22" s="225" t="s">
        <v>469</v>
      </c>
      <c r="Y22" s="905"/>
      <c r="Z22" s="906"/>
      <c r="AA22" s="906"/>
      <c r="AB22" s="906"/>
      <c r="AC22" s="906"/>
      <c r="AD22" s="906"/>
      <c r="AE22" s="906"/>
      <c r="AF22" s="929"/>
      <c r="AG22" s="930"/>
      <c r="AH22" s="930"/>
      <c r="AI22" s="930"/>
      <c r="AJ22" s="931"/>
      <c r="AK22" s="917"/>
      <c r="AL22" s="918"/>
      <c r="AM22" s="918"/>
      <c r="AN22" s="918"/>
      <c r="AO22" s="920"/>
      <c r="AP22" s="917"/>
      <c r="AQ22" s="918"/>
      <c r="AR22" s="918"/>
      <c r="AS22" s="918"/>
      <c r="AT22" s="920"/>
      <c r="AU22" s="903"/>
      <c r="AV22" s="903"/>
      <c r="AW22" s="903"/>
      <c r="AX22" s="903"/>
      <c r="AY22" s="903"/>
      <c r="AZ22" s="903"/>
      <c r="BA22" s="903"/>
      <c r="BB22" s="903"/>
      <c r="BC22" s="903"/>
      <c r="BD22" s="903"/>
      <c r="BE22" s="903"/>
      <c r="BF22" s="903"/>
      <c r="BG22" s="903"/>
      <c r="BH22" s="903"/>
      <c r="BI22" s="910"/>
      <c r="BJ22" s="910"/>
      <c r="BK22" s="903"/>
      <c r="BL22" s="903"/>
      <c r="BM22" s="910"/>
      <c r="BN22" s="910"/>
      <c r="BO22" s="913"/>
    </row>
    <row r="23" spans="1:67" ht="18.75" customHeight="1" x14ac:dyDescent="0.25">
      <c r="A23" s="199" t="s">
        <v>579</v>
      </c>
      <c r="B23" s="209" t="str">
        <f>IF(ISERROR(VLOOKUP(CONCATENATE($B$12,"_",C23),選手名簿!$A:$E,5,FALSE))=TRUE,"",VLOOKUP(CONCATENATE($B$12,"_",C23),選手名簿!$A:$E,5,FALSE))</f>
        <v>狩生　健太</v>
      </c>
      <c r="C23" s="214">
        <v>1</v>
      </c>
      <c r="D23" s="214">
        <v>38</v>
      </c>
      <c r="E23" s="221" t="s">
        <v>749</v>
      </c>
      <c r="F23" s="223"/>
      <c r="G23" s="221"/>
      <c r="H23" s="214"/>
      <c r="I23" s="214"/>
      <c r="J23" s="206" t="str">
        <f>IF(ISERROR(VLOOKUP(CONCATENATE($J$12,"_",I23),選手名簿!$A:$E,5,FALSE))=TRUE,"",VLOOKUP(CONCATENATE($J$12,"_",I23),選手名簿!$A:$E,5,FALSE))</f>
        <v/>
      </c>
      <c r="K23" s="226"/>
      <c r="L23" s="190"/>
      <c r="M23" s="199"/>
      <c r="N23" s="209" t="str">
        <f>IF(ISERROR(VLOOKUP(CONCATENATE($N$12,"_",O23),選手名簿!$A:$E,5,FALSE))=TRUE,"",VLOOKUP(CONCATENATE($N$12,"_",O23),選手名簿!$A:$E,5,FALSE))</f>
        <v/>
      </c>
      <c r="O23" s="214"/>
      <c r="P23" s="214"/>
      <c r="Q23" s="221"/>
      <c r="R23" s="223"/>
      <c r="S23" s="221"/>
      <c r="T23" s="214"/>
      <c r="U23" s="214"/>
      <c r="V23" s="206" t="str">
        <f>IF(ISERROR(VLOOKUP(CONCATENATE($V$12,"_",U23),選手名簿!$A:$E,5,FALSE))=TRUE,"",VLOOKUP(CONCATENATE($V$12,"_",U23),選手名簿!$A:$E,5,FALSE))</f>
        <v/>
      </c>
      <c r="W23" s="226"/>
      <c r="Y23" s="905"/>
      <c r="Z23" s="906"/>
      <c r="AA23" s="906"/>
      <c r="AB23" s="906"/>
      <c r="AC23" s="906"/>
      <c r="AD23" s="906"/>
      <c r="AE23" s="906"/>
      <c r="AF23" s="929"/>
      <c r="AG23" s="930"/>
      <c r="AH23" s="930"/>
      <c r="AI23" s="930"/>
      <c r="AJ23" s="931"/>
      <c r="AK23" s="915" t="str">
        <f>IF($E$14="","",$E$14)</f>
        <v/>
      </c>
      <c r="AL23" s="916"/>
      <c r="AM23" s="916" t="s">
        <v>2011</v>
      </c>
      <c r="AN23" s="916" t="str">
        <f>IF($G$14="","",$G$14)</f>
        <v/>
      </c>
      <c r="AO23" s="919"/>
      <c r="AP23" s="915" t="str">
        <f>IF($G$50="","",$G$50)</f>
        <v/>
      </c>
      <c r="AQ23" s="916"/>
      <c r="AR23" s="916" t="s">
        <v>2011</v>
      </c>
      <c r="AS23" s="916" t="str">
        <f>IF($E$50="","",$E$50)</f>
        <v/>
      </c>
      <c r="AT23" s="919"/>
      <c r="AU23" s="903"/>
      <c r="AV23" s="903"/>
      <c r="AW23" s="903"/>
      <c r="AX23" s="903"/>
      <c r="AY23" s="903"/>
      <c r="AZ23" s="903"/>
      <c r="BA23" s="903"/>
      <c r="BB23" s="903"/>
      <c r="BC23" s="903"/>
      <c r="BD23" s="903"/>
      <c r="BE23" s="903"/>
      <c r="BF23" s="903"/>
      <c r="BG23" s="903"/>
      <c r="BH23" s="903"/>
      <c r="BI23" s="910"/>
      <c r="BJ23" s="910"/>
      <c r="BK23" s="903"/>
      <c r="BL23" s="903"/>
      <c r="BM23" s="910"/>
      <c r="BN23" s="910"/>
      <c r="BO23" s="913"/>
    </row>
    <row r="24" spans="1:67" ht="18.75" customHeight="1" x14ac:dyDescent="0.25">
      <c r="A24" s="199"/>
      <c r="B24" s="209" t="str">
        <f>IF(ISERROR(VLOOKUP(CONCATENATE($B$12,"_",C24),選手名簿!$A:$E,5,FALSE))=TRUE,"",VLOOKUP(CONCATENATE($B$12,"_",C24),選手名簿!$A:$E,5,FALSE))</f>
        <v/>
      </c>
      <c r="C24" s="214"/>
      <c r="D24" s="214"/>
      <c r="E24" s="221"/>
      <c r="F24" s="223"/>
      <c r="G24" s="221"/>
      <c r="H24" s="214"/>
      <c r="I24" s="214"/>
      <c r="J24" s="209" t="str">
        <f>IF(ISERROR(VLOOKUP(CONCATENATE($J$12,"_",I24),選手名簿!$A:$E,5,FALSE))=TRUE,"",VLOOKUP(CONCATENATE($J$12,"_",I24),選手名簿!$A:$E,5,FALSE))</f>
        <v/>
      </c>
      <c r="K24" s="226"/>
      <c r="L24" s="190"/>
      <c r="M24" s="199"/>
      <c r="N24" s="209" t="str">
        <f>IF(ISERROR(VLOOKUP(CONCATENATE($N$12,"_",O24),選手名簿!$A:$E,5,FALSE))=TRUE,"",VLOOKUP(CONCATENATE($N$12,"_",O24),選手名簿!$A:$E,5,FALSE))</f>
        <v/>
      </c>
      <c r="O24" s="214"/>
      <c r="P24" s="214"/>
      <c r="Q24" s="221"/>
      <c r="R24" s="223"/>
      <c r="S24" s="221"/>
      <c r="T24" s="214"/>
      <c r="U24" s="214"/>
      <c r="V24" s="209" t="str">
        <f>IF(ISERROR(VLOOKUP(CONCATENATE($V$12,"_",U24),選手名簿!$A:$E,5,FALSE))=TRUE,"",VLOOKUP(CONCATENATE($V$12,"_",U24),選手名簿!$A:$E,5,FALSE))</f>
        <v/>
      </c>
      <c r="W24" s="226"/>
      <c r="Y24" s="905"/>
      <c r="Z24" s="906"/>
      <c r="AA24" s="906"/>
      <c r="AB24" s="906"/>
      <c r="AC24" s="906"/>
      <c r="AD24" s="906" t="s">
        <v>2010</v>
      </c>
      <c r="AE24" s="906"/>
      <c r="AF24" s="929"/>
      <c r="AG24" s="930"/>
      <c r="AH24" s="930"/>
      <c r="AI24" s="930"/>
      <c r="AJ24" s="931"/>
      <c r="AK24" s="917"/>
      <c r="AL24" s="918"/>
      <c r="AM24" s="918"/>
      <c r="AN24" s="918"/>
      <c r="AO24" s="920"/>
      <c r="AP24" s="917"/>
      <c r="AQ24" s="918"/>
      <c r="AR24" s="918"/>
      <c r="AS24" s="918"/>
      <c r="AT24" s="920"/>
      <c r="AU24" s="903"/>
      <c r="AV24" s="903"/>
      <c r="AW24" s="903"/>
      <c r="AX24" s="903"/>
      <c r="AY24" s="903"/>
      <c r="AZ24" s="903"/>
      <c r="BA24" s="903"/>
      <c r="BB24" s="903"/>
      <c r="BC24" s="903"/>
      <c r="BD24" s="903"/>
      <c r="BE24" s="903"/>
      <c r="BF24" s="903"/>
      <c r="BG24" s="903"/>
      <c r="BH24" s="903"/>
      <c r="BI24" s="910"/>
      <c r="BJ24" s="910"/>
      <c r="BK24" s="903"/>
      <c r="BL24" s="903"/>
      <c r="BM24" s="910"/>
      <c r="BN24" s="910"/>
      <c r="BO24" s="913"/>
    </row>
    <row r="25" spans="1:67" ht="18.75" customHeight="1" x14ac:dyDescent="0.25">
      <c r="A25" s="199"/>
      <c r="B25" s="209" t="str">
        <f>IF(ISERROR(VLOOKUP(CONCATENATE($B$12,"_",C25),選手名簿!$A:$E,5,FALSE))=TRUE,"",VLOOKUP(CONCATENATE($B$12,"_",C25),選手名簿!$A:$E,5,FALSE))</f>
        <v/>
      </c>
      <c r="C25" s="214"/>
      <c r="D25" s="214"/>
      <c r="E25" s="221"/>
      <c r="F25" s="223"/>
      <c r="G25" s="221"/>
      <c r="H25" s="214"/>
      <c r="I25" s="214"/>
      <c r="J25" s="209" t="str">
        <f>IF(ISERROR(VLOOKUP(CONCATENATE($J$12,"_",I25),選手名簿!$A:$E,5,FALSE))=TRUE,"",VLOOKUP(CONCATENATE($J$12,"_",I25),選手名簿!$A:$E,5,FALSE))</f>
        <v/>
      </c>
      <c r="K25" s="226"/>
      <c r="L25" s="190"/>
      <c r="M25" s="199"/>
      <c r="N25" s="209" t="str">
        <f>IF(ISERROR(VLOOKUP(CONCATENATE($N$12,"_",O25),選手名簿!$A:$E,5,FALSE))=TRUE,"",VLOOKUP(CONCATENATE($N$12,"_",O25),選手名簿!$A:$E,5,FALSE))</f>
        <v/>
      </c>
      <c r="O25" s="214"/>
      <c r="P25" s="214"/>
      <c r="Q25" s="221"/>
      <c r="R25" s="223"/>
      <c r="S25" s="221"/>
      <c r="T25" s="214"/>
      <c r="U25" s="214"/>
      <c r="V25" s="209" t="str">
        <f>IF(ISERROR(VLOOKUP(CONCATENATE($V$12,"_",U25),選手名簿!$A:$E,5,FALSE))=TRUE,"",VLOOKUP(CONCATENATE($V$12,"_",U25),選手名簿!$A:$E,5,FALSE))</f>
        <v/>
      </c>
      <c r="W25" s="226"/>
      <c r="Y25" s="905"/>
      <c r="Z25" s="906"/>
      <c r="AA25" s="906"/>
      <c r="AB25" s="906"/>
      <c r="AC25" s="906"/>
      <c r="AD25" s="906"/>
      <c r="AE25" s="906"/>
      <c r="AF25" s="929"/>
      <c r="AG25" s="930"/>
      <c r="AH25" s="930"/>
      <c r="AI25" s="930"/>
      <c r="AJ25" s="931"/>
      <c r="AK25" s="915">
        <f>$C$12</f>
        <v>1</v>
      </c>
      <c r="AL25" s="916"/>
      <c r="AM25" s="916" t="s">
        <v>2011</v>
      </c>
      <c r="AN25" s="916">
        <f>$I$12</f>
        <v>1</v>
      </c>
      <c r="AO25" s="919"/>
      <c r="AP25" s="915">
        <f>$I$48</f>
        <v>0</v>
      </c>
      <c r="AQ25" s="916"/>
      <c r="AR25" s="916" t="s">
        <v>2011</v>
      </c>
      <c r="AS25" s="916">
        <f>$C$48</f>
        <v>0</v>
      </c>
      <c r="AT25" s="919"/>
      <c r="AU25" s="903"/>
      <c r="AV25" s="903"/>
      <c r="AW25" s="903"/>
      <c r="AX25" s="903"/>
      <c r="AY25" s="903"/>
      <c r="AZ25" s="903"/>
      <c r="BA25" s="903"/>
      <c r="BB25" s="903"/>
      <c r="BC25" s="903"/>
      <c r="BD25" s="903"/>
      <c r="BE25" s="903"/>
      <c r="BF25" s="903"/>
      <c r="BG25" s="903"/>
      <c r="BH25" s="903"/>
      <c r="BI25" s="910"/>
      <c r="BJ25" s="910"/>
      <c r="BK25" s="903"/>
      <c r="BL25" s="903"/>
      <c r="BM25" s="910"/>
      <c r="BN25" s="910"/>
      <c r="BO25" s="913"/>
    </row>
    <row r="26" spans="1:67" ht="18.75" customHeight="1" x14ac:dyDescent="0.25">
      <c r="A26" s="199"/>
      <c r="B26" s="209" t="str">
        <f>IF(ISERROR(VLOOKUP(CONCATENATE($B$12,"_",C26),選手名簿!$A:$E,5,FALSE))=TRUE,"",VLOOKUP(CONCATENATE($B$12,"_",C26),選手名簿!$A:$E,5,FALSE))</f>
        <v/>
      </c>
      <c r="C26" s="214"/>
      <c r="D26" s="214"/>
      <c r="E26" s="221"/>
      <c r="F26" s="223"/>
      <c r="G26" s="221"/>
      <c r="H26" s="214"/>
      <c r="I26" s="214"/>
      <c r="J26" s="209" t="str">
        <f>IF(ISERROR(VLOOKUP(CONCATENATE($J$12,"_",I26),選手名簿!$A:$E,5,FALSE))=TRUE,"",VLOOKUP(CONCATENATE($J$12,"_",I26),選手名簿!$A:$E,5,FALSE))</f>
        <v/>
      </c>
      <c r="K26" s="226"/>
      <c r="L26" s="190"/>
      <c r="M26" s="199"/>
      <c r="N26" s="209" t="str">
        <f>IF(ISERROR(VLOOKUP(CONCATENATE($N$12,"_",O26),選手名簿!$A:$E,5,FALSE))=TRUE,"",VLOOKUP(CONCATENATE($N$12,"_",O26),選手名簿!$A:$E,5,FALSE))</f>
        <v/>
      </c>
      <c r="O26" s="214"/>
      <c r="P26" s="214"/>
      <c r="Q26" s="221"/>
      <c r="R26" s="223"/>
      <c r="S26" s="221"/>
      <c r="T26" s="214"/>
      <c r="U26" s="214"/>
      <c r="V26" s="209" t="str">
        <f>IF(ISERROR(VLOOKUP(CONCATENATE($V$12,"_",U26),選手名簿!$A:$E,5,FALSE))=TRUE,"",VLOOKUP(CONCATENATE($V$12,"_",U26),選手名簿!$A:$E,5,FALSE))</f>
        <v/>
      </c>
      <c r="W26" s="226"/>
      <c r="Y26" s="941"/>
      <c r="Z26" s="936"/>
      <c r="AA26" s="936"/>
      <c r="AB26" s="936"/>
      <c r="AC26" s="936"/>
      <c r="AD26" s="936"/>
      <c r="AE26" s="936"/>
      <c r="AF26" s="952"/>
      <c r="AG26" s="943"/>
      <c r="AH26" s="943"/>
      <c r="AI26" s="943"/>
      <c r="AJ26" s="953"/>
      <c r="AK26" s="937"/>
      <c r="AL26" s="560"/>
      <c r="AM26" s="560"/>
      <c r="AN26" s="560"/>
      <c r="AO26" s="938"/>
      <c r="AP26" s="937"/>
      <c r="AQ26" s="560"/>
      <c r="AR26" s="560"/>
      <c r="AS26" s="560"/>
      <c r="AT26" s="938"/>
      <c r="AU26" s="903"/>
      <c r="AV26" s="903"/>
      <c r="AW26" s="903"/>
      <c r="AX26" s="903"/>
      <c r="AY26" s="903"/>
      <c r="AZ26" s="903"/>
      <c r="BA26" s="903"/>
      <c r="BB26" s="903"/>
      <c r="BC26" s="903"/>
      <c r="BD26" s="903"/>
      <c r="BE26" s="903"/>
      <c r="BF26" s="903"/>
      <c r="BG26" s="903"/>
      <c r="BH26" s="903"/>
      <c r="BI26" s="910"/>
      <c r="BJ26" s="910"/>
      <c r="BK26" s="903"/>
      <c r="BL26" s="903"/>
      <c r="BM26" s="910"/>
      <c r="BN26" s="910"/>
      <c r="BO26" s="935"/>
    </row>
    <row r="27" spans="1:67" ht="18.75" customHeight="1" x14ac:dyDescent="0.25">
      <c r="A27" s="200"/>
      <c r="B27" s="210" t="str">
        <f>IF(ISERROR(VLOOKUP(CONCATENATE($B$12,"_",C27),選手名簿!$A:$E,5,FALSE))=TRUE,"",VLOOKUP(CONCATENATE($B$12,"_",C27),選手名簿!$A:$E,5,FALSE))</f>
        <v/>
      </c>
      <c r="C27" s="215"/>
      <c r="D27" s="215"/>
      <c r="E27" s="222"/>
      <c r="F27" s="224"/>
      <c r="G27" s="222"/>
      <c r="H27" s="215"/>
      <c r="I27" s="215"/>
      <c r="J27" s="210" t="str">
        <f>IF(ISERROR(VLOOKUP(CONCATENATE($J$12,"_",I27),選手名簿!$A:$E,5,FALSE))=TRUE,"",VLOOKUP(CONCATENATE($J$12,"_",I27),選手名簿!$A:$E,5,FALSE))</f>
        <v/>
      </c>
      <c r="K27" s="227"/>
      <c r="L27" s="190"/>
      <c r="M27" s="200"/>
      <c r="N27" s="210" t="str">
        <f>IF(ISERROR(VLOOKUP(CONCATENATE($N$12,"_",O27),選手名簿!$A:$E,5,FALSE))=TRUE,"",VLOOKUP(CONCATENATE($N$12,"_",O27),選手名簿!$A:$E,5,FALSE))</f>
        <v/>
      </c>
      <c r="O27" s="215"/>
      <c r="P27" s="215"/>
      <c r="Q27" s="222"/>
      <c r="R27" s="224"/>
      <c r="S27" s="222"/>
      <c r="T27" s="215"/>
      <c r="U27" s="215"/>
      <c r="V27" s="210" t="str">
        <f>IF(ISERROR(VLOOKUP(CONCATENATE($V$12,"_",U27),選手名簿!$A:$E,5,FALSE))=TRUE,"",VLOOKUP(CONCATENATE($V$12,"_",U27),選手名簿!$A:$E,5,FALSE))</f>
        <v/>
      </c>
      <c r="W27" s="227"/>
      <c r="Y27" s="939" t="str">
        <f>$AC$8</f>
        <v>アトレチコエラン横瀬</v>
      </c>
      <c r="Z27" s="940"/>
      <c r="AA27" s="940"/>
      <c r="AB27" s="940"/>
      <c r="AC27" s="940"/>
      <c r="AD27" s="940" t="s">
        <v>242</v>
      </c>
      <c r="AE27" s="940"/>
      <c r="AF27" s="923" t="b">
        <f>IF(AF31="","",IF(AF31&gt;AI31,"○",IF(AF31&lt;AI31,"●",IF(AF29&gt;AI29,"△",IF(AF29&lt;AI29,"▲")))))</f>
        <v>0</v>
      </c>
      <c r="AG27" s="924"/>
      <c r="AH27" s="924"/>
      <c r="AI27" s="924"/>
      <c r="AJ27" s="925"/>
      <c r="AK27" s="942"/>
      <c r="AL27" s="942"/>
      <c r="AM27" s="942"/>
      <c r="AN27" s="942"/>
      <c r="AO27" s="942"/>
      <c r="AP27" s="923" t="str">
        <f>IF(AP31="","",IF(AP31&gt;AS31,"○",IF(AP31&lt;AS31,"●",IF(AP29&gt;AS29,"△",IF(AP29&lt;AS29,"▲")))))</f>
        <v>●</v>
      </c>
      <c r="AQ27" s="924"/>
      <c r="AR27" s="924"/>
      <c r="AS27" s="924"/>
      <c r="AT27" s="925"/>
      <c r="AU27" s="903">
        <f>COUNTIF($AF$27:$AT$28,"○")</f>
        <v>0</v>
      </c>
      <c r="AV27" s="903"/>
      <c r="AW27" s="903">
        <f>COUNTIF($AF$27:$AT$28,"△")</f>
        <v>0</v>
      </c>
      <c r="AX27" s="903"/>
      <c r="AY27" s="903">
        <f>COUNTIF($AF$27:$AT$28,"▲")</f>
        <v>0</v>
      </c>
      <c r="AZ27" s="903"/>
      <c r="BA27" s="903">
        <f>COUNTIF($AF$27:$AT$28,"●")</f>
        <v>1</v>
      </c>
      <c r="BB27" s="903"/>
      <c r="BC27" s="903">
        <f>SUM($AF$31,$AP$31)</f>
        <v>2</v>
      </c>
      <c r="BD27" s="903"/>
      <c r="BE27" s="903">
        <f>SUM($AI$31,$AS$31)</f>
        <v>5</v>
      </c>
      <c r="BF27" s="903"/>
      <c r="BG27" s="903">
        <f>($AU$27*3)+($AW$27*2)+($AY$27*1)</f>
        <v>0</v>
      </c>
      <c r="BH27" s="903"/>
      <c r="BI27" s="910">
        <f>RANK($BG$27,$BG$21:$BH$38)</f>
        <v>2</v>
      </c>
      <c r="BJ27" s="910"/>
      <c r="BK27" s="903">
        <f>$BC$27-$BE$27</f>
        <v>-3</v>
      </c>
      <c r="BL27" s="903"/>
      <c r="BM27" s="910">
        <f>RANK($BK$27,$BK$21:$BL$38)</f>
        <v>3</v>
      </c>
      <c r="BN27" s="910"/>
      <c r="BO27" s="912"/>
    </row>
    <row r="28" spans="1:67" ht="18.75" customHeight="1" x14ac:dyDescent="0.25">
      <c r="A28" s="190"/>
      <c r="B28" s="190"/>
      <c r="C28" s="190"/>
      <c r="D28" s="190"/>
      <c r="E28" s="190"/>
      <c r="F28" s="190"/>
      <c r="G28" s="190"/>
      <c r="H28" s="190"/>
      <c r="I28" s="190"/>
      <c r="J28" s="190"/>
      <c r="K28" s="190"/>
      <c r="L28" s="190"/>
      <c r="M28" s="190"/>
      <c r="N28" s="190"/>
      <c r="O28" s="190"/>
      <c r="P28" s="190"/>
      <c r="Q28" s="190"/>
      <c r="R28" s="190"/>
      <c r="S28" s="190"/>
      <c r="T28" s="190"/>
      <c r="U28" s="190"/>
      <c r="V28" s="190"/>
      <c r="Y28" s="905"/>
      <c r="Z28" s="906"/>
      <c r="AA28" s="906"/>
      <c r="AB28" s="906"/>
      <c r="AC28" s="906"/>
      <c r="AD28" s="906"/>
      <c r="AE28" s="906"/>
      <c r="AF28" s="917"/>
      <c r="AG28" s="918"/>
      <c r="AH28" s="918"/>
      <c r="AI28" s="918"/>
      <c r="AJ28" s="920"/>
      <c r="AK28" s="930"/>
      <c r="AL28" s="930"/>
      <c r="AM28" s="930"/>
      <c r="AN28" s="930"/>
      <c r="AO28" s="930"/>
      <c r="AP28" s="917"/>
      <c r="AQ28" s="918"/>
      <c r="AR28" s="918"/>
      <c r="AS28" s="918"/>
      <c r="AT28" s="920"/>
      <c r="AU28" s="903"/>
      <c r="AV28" s="903"/>
      <c r="AW28" s="903"/>
      <c r="AX28" s="903"/>
      <c r="AY28" s="903"/>
      <c r="AZ28" s="903"/>
      <c r="BA28" s="903"/>
      <c r="BB28" s="903"/>
      <c r="BC28" s="903"/>
      <c r="BD28" s="903"/>
      <c r="BE28" s="903"/>
      <c r="BF28" s="903"/>
      <c r="BG28" s="903"/>
      <c r="BH28" s="903"/>
      <c r="BI28" s="910"/>
      <c r="BJ28" s="910"/>
      <c r="BK28" s="903"/>
      <c r="BL28" s="903"/>
      <c r="BM28" s="910"/>
      <c r="BN28" s="910"/>
      <c r="BO28" s="913"/>
    </row>
    <row r="29" spans="1:67" ht="18.75" customHeight="1" x14ac:dyDescent="0.25">
      <c r="A29" s="190"/>
      <c r="B29" s="190"/>
      <c r="C29" s="190"/>
      <c r="D29" s="190"/>
      <c r="E29" s="190"/>
      <c r="F29" s="190"/>
      <c r="G29" s="190"/>
      <c r="H29" s="190"/>
      <c r="I29" s="190"/>
      <c r="J29" s="190"/>
      <c r="K29" s="190"/>
      <c r="L29" s="190"/>
      <c r="M29" s="190"/>
      <c r="N29" s="190"/>
      <c r="O29" s="190"/>
      <c r="P29" s="190"/>
      <c r="Q29" s="190"/>
      <c r="R29" s="190"/>
      <c r="S29" s="190"/>
      <c r="T29" s="190"/>
      <c r="U29" s="190"/>
      <c r="V29" s="190"/>
      <c r="Y29" s="905"/>
      <c r="Z29" s="906"/>
      <c r="AA29" s="906"/>
      <c r="AB29" s="906"/>
      <c r="AC29" s="906"/>
      <c r="AD29" s="906"/>
      <c r="AE29" s="906"/>
      <c r="AF29" s="915" t="str">
        <f>AN23</f>
        <v/>
      </c>
      <c r="AG29" s="916"/>
      <c r="AH29" s="916" t="s">
        <v>2011</v>
      </c>
      <c r="AI29" s="916" t="str">
        <f>AK23</f>
        <v/>
      </c>
      <c r="AJ29" s="919"/>
      <c r="AK29" s="930"/>
      <c r="AL29" s="930"/>
      <c r="AM29" s="930"/>
      <c r="AN29" s="930"/>
      <c r="AO29" s="930"/>
      <c r="AP29" s="915" t="str">
        <f>IF($E$32="","",$E$32)</f>
        <v/>
      </c>
      <c r="AQ29" s="916"/>
      <c r="AR29" s="916" t="s">
        <v>2011</v>
      </c>
      <c r="AS29" s="916" t="str">
        <f>IF($G$32="","",$G$32)</f>
        <v/>
      </c>
      <c r="AT29" s="919"/>
      <c r="AU29" s="903"/>
      <c r="AV29" s="903"/>
      <c r="AW29" s="903"/>
      <c r="AX29" s="903"/>
      <c r="AY29" s="903"/>
      <c r="AZ29" s="903"/>
      <c r="BA29" s="903"/>
      <c r="BB29" s="903"/>
      <c r="BC29" s="903"/>
      <c r="BD29" s="903"/>
      <c r="BE29" s="903"/>
      <c r="BF29" s="903"/>
      <c r="BG29" s="903"/>
      <c r="BH29" s="903"/>
      <c r="BI29" s="910"/>
      <c r="BJ29" s="910"/>
      <c r="BK29" s="903"/>
      <c r="BL29" s="903"/>
      <c r="BM29" s="910"/>
      <c r="BN29" s="910"/>
      <c r="BO29" s="913"/>
    </row>
    <row r="30" spans="1:67" ht="18.75" customHeight="1" x14ac:dyDescent="0.25">
      <c r="A30" s="963" t="s">
        <v>1217</v>
      </c>
      <c r="B30" s="964" t="str">
        <f>C8</f>
        <v>アトレチコエラン横瀬</v>
      </c>
      <c r="C30" s="966">
        <f>IF(E30="","",SUM(E30:E31))</f>
        <v>1</v>
      </c>
      <c r="D30" s="940" t="s">
        <v>336</v>
      </c>
      <c r="E30" s="217">
        <v>1</v>
      </c>
      <c r="F30" s="217" t="s">
        <v>61</v>
      </c>
      <c r="G30" s="217">
        <v>3</v>
      </c>
      <c r="H30" s="940" t="s">
        <v>339</v>
      </c>
      <c r="I30" s="966">
        <f>IF(G30="","",SUM(G30:G31))</f>
        <v>4</v>
      </c>
      <c r="J30" s="968" t="str">
        <f>C9</f>
        <v>カティオーラフットボールクラブＵ－１２</v>
      </c>
      <c r="K30" s="190"/>
      <c r="L30" s="190"/>
      <c r="M30" s="969" t="s">
        <v>2018</v>
      </c>
      <c r="N30" s="964" t="str">
        <f>O8</f>
        <v>戸次吉野ＳＳＳ</v>
      </c>
      <c r="O30" s="966">
        <f>IF(Q30="","",SUM(Q30:Q31))</f>
        <v>0</v>
      </c>
      <c r="P30" s="940" t="s">
        <v>336</v>
      </c>
      <c r="Q30" s="217">
        <v>0</v>
      </c>
      <c r="R30" s="217" t="s">
        <v>61</v>
      </c>
      <c r="S30" s="217">
        <v>2</v>
      </c>
      <c r="T30" s="940" t="s">
        <v>339</v>
      </c>
      <c r="U30" s="966">
        <f>IF(S30="","",SUM(S30:S31))</f>
        <v>3</v>
      </c>
      <c r="V30" s="968" t="str">
        <f>O9</f>
        <v>四日市南ＳＳＣ</v>
      </c>
      <c r="Y30" s="905"/>
      <c r="Z30" s="906"/>
      <c r="AA30" s="906"/>
      <c r="AB30" s="906"/>
      <c r="AC30" s="906"/>
      <c r="AD30" s="906" t="s">
        <v>2010</v>
      </c>
      <c r="AE30" s="906"/>
      <c r="AF30" s="917"/>
      <c r="AG30" s="918"/>
      <c r="AH30" s="918"/>
      <c r="AI30" s="918"/>
      <c r="AJ30" s="920"/>
      <c r="AK30" s="930"/>
      <c r="AL30" s="930"/>
      <c r="AM30" s="930"/>
      <c r="AN30" s="930"/>
      <c r="AO30" s="930"/>
      <c r="AP30" s="917"/>
      <c r="AQ30" s="918"/>
      <c r="AR30" s="918"/>
      <c r="AS30" s="918"/>
      <c r="AT30" s="920"/>
      <c r="AU30" s="903"/>
      <c r="AV30" s="903"/>
      <c r="AW30" s="903"/>
      <c r="AX30" s="903"/>
      <c r="AY30" s="903"/>
      <c r="AZ30" s="903"/>
      <c r="BA30" s="903"/>
      <c r="BB30" s="903"/>
      <c r="BC30" s="903"/>
      <c r="BD30" s="903"/>
      <c r="BE30" s="903"/>
      <c r="BF30" s="903"/>
      <c r="BG30" s="903"/>
      <c r="BH30" s="903"/>
      <c r="BI30" s="910"/>
      <c r="BJ30" s="910"/>
      <c r="BK30" s="903"/>
      <c r="BL30" s="903"/>
      <c r="BM30" s="910"/>
      <c r="BN30" s="910"/>
      <c r="BO30" s="913"/>
    </row>
    <row r="31" spans="1:67" ht="18.75" customHeight="1" x14ac:dyDescent="0.25">
      <c r="A31" s="946"/>
      <c r="B31" s="965"/>
      <c r="C31" s="967"/>
      <c r="D31" s="906"/>
      <c r="E31" s="190">
        <v>0</v>
      </c>
      <c r="F31" s="190" t="s">
        <v>126</v>
      </c>
      <c r="G31" s="190">
        <v>1</v>
      </c>
      <c r="H31" s="906"/>
      <c r="I31" s="967"/>
      <c r="J31" s="957"/>
      <c r="K31" s="190"/>
      <c r="L31" s="190"/>
      <c r="M31" s="970"/>
      <c r="N31" s="965"/>
      <c r="O31" s="967"/>
      <c r="P31" s="906"/>
      <c r="Q31" s="190">
        <v>0</v>
      </c>
      <c r="R31" s="190" t="s">
        <v>126</v>
      </c>
      <c r="S31" s="190">
        <v>1</v>
      </c>
      <c r="T31" s="906"/>
      <c r="U31" s="967"/>
      <c r="V31" s="957"/>
      <c r="Y31" s="905"/>
      <c r="Z31" s="906"/>
      <c r="AA31" s="906"/>
      <c r="AB31" s="906"/>
      <c r="AC31" s="906"/>
      <c r="AD31" s="906"/>
      <c r="AE31" s="906"/>
      <c r="AF31" s="915">
        <f>AN25</f>
        <v>1</v>
      </c>
      <c r="AG31" s="916"/>
      <c r="AH31" s="916" t="s">
        <v>2011</v>
      </c>
      <c r="AI31" s="916">
        <f>AK25</f>
        <v>1</v>
      </c>
      <c r="AJ31" s="919"/>
      <c r="AK31" s="930"/>
      <c r="AL31" s="930"/>
      <c r="AM31" s="930"/>
      <c r="AN31" s="930"/>
      <c r="AO31" s="930"/>
      <c r="AP31" s="915">
        <f>$C$30</f>
        <v>1</v>
      </c>
      <c r="AQ31" s="916"/>
      <c r="AR31" s="916" t="s">
        <v>2011</v>
      </c>
      <c r="AS31" s="916">
        <f>$I$30</f>
        <v>4</v>
      </c>
      <c r="AT31" s="919"/>
      <c r="AU31" s="903"/>
      <c r="AV31" s="903"/>
      <c r="AW31" s="903"/>
      <c r="AX31" s="903"/>
      <c r="AY31" s="903"/>
      <c r="AZ31" s="903"/>
      <c r="BA31" s="903"/>
      <c r="BB31" s="903"/>
      <c r="BC31" s="903"/>
      <c r="BD31" s="903"/>
      <c r="BE31" s="903"/>
      <c r="BF31" s="903"/>
      <c r="BG31" s="903"/>
      <c r="BH31" s="903"/>
      <c r="BI31" s="910"/>
      <c r="BJ31" s="910"/>
      <c r="BK31" s="903"/>
      <c r="BL31" s="903"/>
      <c r="BM31" s="910"/>
      <c r="BN31" s="910"/>
      <c r="BO31" s="913"/>
    </row>
    <row r="32" spans="1:67" ht="18.75" customHeight="1" x14ac:dyDescent="0.25">
      <c r="A32" s="946"/>
      <c r="B32" s="965"/>
      <c r="C32" s="967"/>
      <c r="D32" s="906"/>
      <c r="E32" s="190"/>
      <c r="F32" s="190" t="s">
        <v>407</v>
      </c>
      <c r="G32" s="190"/>
      <c r="H32" s="906"/>
      <c r="I32" s="967"/>
      <c r="J32" s="957"/>
      <c r="K32" s="190"/>
      <c r="L32" s="190"/>
      <c r="M32" s="971"/>
      <c r="N32" s="994"/>
      <c r="O32" s="975"/>
      <c r="P32" s="908"/>
      <c r="Q32" s="190"/>
      <c r="R32" s="190" t="s">
        <v>407</v>
      </c>
      <c r="S32" s="190"/>
      <c r="T32" s="908"/>
      <c r="U32" s="975"/>
      <c r="V32" s="976"/>
      <c r="Y32" s="941"/>
      <c r="Z32" s="936"/>
      <c r="AA32" s="936"/>
      <c r="AB32" s="936"/>
      <c r="AC32" s="936"/>
      <c r="AD32" s="936"/>
      <c r="AE32" s="936"/>
      <c r="AF32" s="937"/>
      <c r="AG32" s="560"/>
      <c r="AH32" s="560"/>
      <c r="AI32" s="560"/>
      <c r="AJ32" s="938"/>
      <c r="AK32" s="943"/>
      <c r="AL32" s="943"/>
      <c r="AM32" s="943"/>
      <c r="AN32" s="943"/>
      <c r="AO32" s="943"/>
      <c r="AP32" s="937"/>
      <c r="AQ32" s="560"/>
      <c r="AR32" s="560"/>
      <c r="AS32" s="560"/>
      <c r="AT32" s="938"/>
      <c r="AU32" s="903"/>
      <c r="AV32" s="903"/>
      <c r="AW32" s="903"/>
      <c r="AX32" s="903"/>
      <c r="AY32" s="903"/>
      <c r="AZ32" s="903"/>
      <c r="BA32" s="903"/>
      <c r="BB32" s="903"/>
      <c r="BC32" s="903"/>
      <c r="BD32" s="903"/>
      <c r="BE32" s="903"/>
      <c r="BF32" s="903"/>
      <c r="BG32" s="903"/>
      <c r="BH32" s="903"/>
      <c r="BI32" s="910"/>
      <c r="BJ32" s="910"/>
      <c r="BK32" s="903"/>
      <c r="BL32" s="903"/>
      <c r="BM32" s="910"/>
      <c r="BN32" s="910"/>
      <c r="BO32" s="935"/>
    </row>
    <row r="33" spans="1:67" ht="18.75" customHeight="1" x14ac:dyDescent="0.25">
      <c r="A33" s="192" t="s">
        <v>2463</v>
      </c>
      <c r="B33" s="989" t="s">
        <v>15289</v>
      </c>
      <c r="C33" s="989"/>
      <c r="D33" s="989"/>
      <c r="E33" s="989"/>
      <c r="F33" s="989"/>
      <c r="G33" s="990" t="s">
        <v>2464</v>
      </c>
      <c r="H33" s="990"/>
      <c r="I33" s="990"/>
      <c r="J33" s="991" t="s">
        <v>15288</v>
      </c>
      <c r="K33" s="991"/>
      <c r="L33" s="190"/>
      <c r="M33" s="192" t="s">
        <v>2463</v>
      </c>
      <c r="N33" s="989" t="s">
        <v>15299</v>
      </c>
      <c r="O33" s="989"/>
      <c r="P33" s="989"/>
      <c r="Q33" s="989"/>
      <c r="R33" s="989"/>
      <c r="S33" s="990" t="s">
        <v>2464</v>
      </c>
      <c r="T33" s="990"/>
      <c r="U33" s="990"/>
      <c r="V33" s="991" t="s">
        <v>15288</v>
      </c>
      <c r="W33" s="991"/>
      <c r="Y33" s="905" t="str">
        <f>$AC$9</f>
        <v>カティオーラフットボールクラブＵ－１２</v>
      </c>
      <c r="Z33" s="906"/>
      <c r="AA33" s="906"/>
      <c r="AB33" s="906"/>
      <c r="AC33" s="906"/>
      <c r="AD33" s="906" t="s">
        <v>242</v>
      </c>
      <c r="AE33" s="906"/>
      <c r="AF33" s="923" t="b">
        <f>IF(AF37="","",IF(AF37&gt;AI37,"○",IF(AF37&lt;AI37,"●",IF(AF35&gt;AI35,"△",IF(AF35&lt;AI35,"▲")))))</f>
        <v>0</v>
      </c>
      <c r="AG33" s="924"/>
      <c r="AH33" s="924"/>
      <c r="AI33" s="924"/>
      <c r="AJ33" s="925"/>
      <c r="AK33" s="923" t="str">
        <f>IF(AK37="","",IF(AK37&gt;AN37,"○",IF(AK37&lt;AN37,"●",IF(AK35&gt;AN35,"△",IF(AK35&lt;AN35,"▲")))))</f>
        <v>○</v>
      </c>
      <c r="AL33" s="924"/>
      <c r="AM33" s="924"/>
      <c r="AN33" s="924"/>
      <c r="AO33" s="925"/>
      <c r="AP33" s="926"/>
      <c r="AQ33" s="927"/>
      <c r="AR33" s="927"/>
      <c r="AS33" s="927"/>
      <c r="AT33" s="928"/>
      <c r="AU33" s="903">
        <f>COUNTIF($AF$33:$AT$34,"○")</f>
        <v>1</v>
      </c>
      <c r="AV33" s="903"/>
      <c r="AW33" s="902">
        <f>COUNTIF($AF$33:$AT$34,"△")</f>
        <v>0</v>
      </c>
      <c r="AX33" s="902"/>
      <c r="AY33" s="902">
        <f>COUNTIF($AF$33:$AT$34,"▲")</f>
        <v>0</v>
      </c>
      <c r="AZ33" s="902"/>
      <c r="BA33" s="902">
        <f>COUNTIF($AF$33:$AT$34,"●")</f>
        <v>0</v>
      </c>
      <c r="BB33" s="902"/>
      <c r="BC33" s="902">
        <f>SUM($AF$37,$AK$37)</f>
        <v>4</v>
      </c>
      <c r="BD33" s="902"/>
      <c r="BE33" s="902">
        <f>SUM($AI$37,$AN$37)</f>
        <v>1</v>
      </c>
      <c r="BF33" s="902"/>
      <c r="BG33" s="902">
        <f>($AU$33*3)+($AW$33*2)+($AY$33*1)</f>
        <v>3</v>
      </c>
      <c r="BH33" s="902"/>
      <c r="BI33" s="909">
        <f>RANK($BG$33,$BG$21:$BH$38)</f>
        <v>1</v>
      </c>
      <c r="BJ33" s="909"/>
      <c r="BK33" s="902">
        <f>$BC$33-$BE$33</f>
        <v>3</v>
      </c>
      <c r="BL33" s="902"/>
      <c r="BM33" s="909">
        <f>RANK($BK$33,$BK$21:$BL$38)</f>
        <v>1</v>
      </c>
      <c r="BN33" s="909"/>
      <c r="BO33" s="912"/>
    </row>
    <row r="34" spans="1:67" ht="18.75" customHeight="1" x14ac:dyDescent="0.25">
      <c r="A34" s="193" t="s">
        <v>2465</v>
      </c>
      <c r="B34" s="992" t="s">
        <v>15289</v>
      </c>
      <c r="C34" s="992"/>
      <c r="D34" s="992"/>
      <c r="E34" s="992"/>
      <c r="F34" s="992"/>
      <c r="G34" s="983" t="s">
        <v>2464</v>
      </c>
      <c r="H34" s="984"/>
      <c r="I34" s="985"/>
      <c r="J34" s="993" t="s">
        <v>15288</v>
      </c>
      <c r="K34" s="993"/>
      <c r="L34" s="190"/>
      <c r="M34" s="193" t="s">
        <v>2465</v>
      </c>
      <c r="N34" s="992" t="s">
        <v>15299</v>
      </c>
      <c r="O34" s="992"/>
      <c r="P34" s="992"/>
      <c r="Q34" s="992"/>
      <c r="R34" s="992"/>
      <c r="S34" s="983" t="s">
        <v>2464</v>
      </c>
      <c r="T34" s="984"/>
      <c r="U34" s="985"/>
      <c r="V34" s="993" t="s">
        <v>15288</v>
      </c>
      <c r="W34" s="993"/>
      <c r="Y34" s="905"/>
      <c r="Z34" s="906"/>
      <c r="AA34" s="906"/>
      <c r="AB34" s="906"/>
      <c r="AC34" s="906"/>
      <c r="AD34" s="906"/>
      <c r="AE34" s="906"/>
      <c r="AF34" s="917"/>
      <c r="AG34" s="918"/>
      <c r="AH34" s="918"/>
      <c r="AI34" s="918"/>
      <c r="AJ34" s="920"/>
      <c r="AK34" s="917"/>
      <c r="AL34" s="918"/>
      <c r="AM34" s="918"/>
      <c r="AN34" s="918"/>
      <c r="AO34" s="920"/>
      <c r="AP34" s="929"/>
      <c r="AQ34" s="930"/>
      <c r="AR34" s="930"/>
      <c r="AS34" s="930"/>
      <c r="AT34" s="931"/>
      <c r="AU34" s="903"/>
      <c r="AV34" s="903"/>
      <c r="AW34" s="903"/>
      <c r="AX34" s="903"/>
      <c r="AY34" s="903"/>
      <c r="AZ34" s="903"/>
      <c r="BA34" s="903"/>
      <c r="BB34" s="903"/>
      <c r="BC34" s="903"/>
      <c r="BD34" s="903"/>
      <c r="BE34" s="903"/>
      <c r="BF34" s="903"/>
      <c r="BG34" s="903"/>
      <c r="BH34" s="903"/>
      <c r="BI34" s="910"/>
      <c r="BJ34" s="910"/>
      <c r="BK34" s="903"/>
      <c r="BL34" s="903"/>
      <c r="BM34" s="910"/>
      <c r="BN34" s="910"/>
      <c r="BO34" s="913"/>
    </row>
    <row r="35" spans="1:67" ht="18.75" customHeight="1" x14ac:dyDescent="0.25">
      <c r="A35" s="194" t="s">
        <v>2466</v>
      </c>
      <c r="B35" s="982" t="s">
        <v>15290</v>
      </c>
      <c r="C35" s="982"/>
      <c r="D35" s="982"/>
      <c r="E35" s="982"/>
      <c r="F35" s="982"/>
      <c r="G35" s="983" t="s">
        <v>2464</v>
      </c>
      <c r="H35" s="984"/>
      <c r="I35" s="985"/>
      <c r="J35" s="986" t="s">
        <v>15288</v>
      </c>
      <c r="K35" s="986"/>
      <c r="L35" s="190"/>
      <c r="M35" s="194" t="s">
        <v>2466</v>
      </c>
      <c r="N35" s="982" t="s">
        <v>15300</v>
      </c>
      <c r="O35" s="982"/>
      <c r="P35" s="982"/>
      <c r="Q35" s="982"/>
      <c r="R35" s="982"/>
      <c r="S35" s="983" t="s">
        <v>2464</v>
      </c>
      <c r="T35" s="984"/>
      <c r="U35" s="985"/>
      <c r="V35" s="986" t="s">
        <v>15288</v>
      </c>
      <c r="W35" s="986"/>
      <c r="Y35" s="905"/>
      <c r="Z35" s="906"/>
      <c r="AA35" s="906"/>
      <c r="AB35" s="906"/>
      <c r="AC35" s="906"/>
      <c r="AD35" s="906"/>
      <c r="AE35" s="906"/>
      <c r="AF35" s="915" t="str">
        <f>AS23</f>
        <v/>
      </c>
      <c r="AG35" s="916"/>
      <c r="AH35" s="916" t="s">
        <v>2011</v>
      </c>
      <c r="AI35" s="916" t="str">
        <f>AP23</f>
        <v/>
      </c>
      <c r="AJ35" s="919"/>
      <c r="AK35" s="915" t="str">
        <f>AS29</f>
        <v/>
      </c>
      <c r="AL35" s="916"/>
      <c r="AM35" s="916" t="s">
        <v>2011</v>
      </c>
      <c r="AN35" s="916" t="str">
        <f>AP29</f>
        <v/>
      </c>
      <c r="AO35" s="919"/>
      <c r="AP35" s="929"/>
      <c r="AQ35" s="930"/>
      <c r="AR35" s="930"/>
      <c r="AS35" s="930"/>
      <c r="AT35" s="931"/>
      <c r="AU35" s="903"/>
      <c r="AV35" s="903"/>
      <c r="AW35" s="903"/>
      <c r="AX35" s="903"/>
      <c r="AY35" s="903"/>
      <c r="AZ35" s="903"/>
      <c r="BA35" s="903"/>
      <c r="BB35" s="903"/>
      <c r="BC35" s="903"/>
      <c r="BD35" s="903"/>
      <c r="BE35" s="903"/>
      <c r="BF35" s="903"/>
      <c r="BG35" s="903"/>
      <c r="BH35" s="903"/>
      <c r="BI35" s="910"/>
      <c r="BJ35" s="910"/>
      <c r="BK35" s="903"/>
      <c r="BL35" s="903"/>
      <c r="BM35" s="910"/>
      <c r="BN35" s="910"/>
      <c r="BO35" s="913"/>
    </row>
    <row r="36" spans="1:67" ht="18.75" customHeight="1" x14ac:dyDescent="0.25">
      <c r="A36" s="195" t="s">
        <v>609</v>
      </c>
      <c r="B36" s="205" t="str">
        <f>IF(ISERROR(VLOOKUP(G36,審判員!$A:$C,2,FALSE))=TRUE,"",VLOOKUP(G36,審判員!$A:$C,2,FALSE))</f>
        <v>内山田　光史</v>
      </c>
      <c r="C36" s="211">
        <f>IF(ISERROR(VLOOKUP(G36,審判員!$A:$C,3,FALSE))=TRUE,"",VLOOKUP(G36,審判員!$A:$C,3,FALSE))</f>
        <v>3</v>
      </c>
      <c r="D36" s="218" t="s">
        <v>612</v>
      </c>
      <c r="E36" s="955" t="s">
        <v>201</v>
      </c>
      <c r="F36" s="955"/>
      <c r="G36" s="955" t="s">
        <v>15310</v>
      </c>
      <c r="H36" s="955"/>
      <c r="I36" s="955"/>
      <c r="J36" s="987" t="s">
        <v>788</v>
      </c>
      <c r="K36" s="988"/>
      <c r="L36" s="190"/>
      <c r="M36" s="195" t="s">
        <v>609</v>
      </c>
      <c r="N36" s="205" t="str">
        <f>IF(ISERROR(VLOOKUP(S36,審判員!$A:$C,2,FALSE))=TRUE,"",VLOOKUP(S36,審判員!$A:$C,2,FALSE))</f>
        <v>白江　直樹</v>
      </c>
      <c r="O36" s="211">
        <f>IF(ISERROR(VLOOKUP(S36,審判員!$A:$C,3,FALSE))=TRUE,"",VLOOKUP(S36,審判員!$A:$C,3,FALSE))</f>
        <v>3</v>
      </c>
      <c r="P36" s="218" t="s">
        <v>612</v>
      </c>
      <c r="Q36" s="955" t="s">
        <v>201</v>
      </c>
      <c r="R36" s="955"/>
      <c r="S36" s="955" t="s">
        <v>15301</v>
      </c>
      <c r="T36" s="955"/>
      <c r="U36" s="955"/>
      <c r="V36" s="987" t="s">
        <v>788</v>
      </c>
      <c r="W36" s="988"/>
      <c r="Y36" s="905"/>
      <c r="Z36" s="906"/>
      <c r="AA36" s="906"/>
      <c r="AB36" s="906"/>
      <c r="AC36" s="906"/>
      <c r="AD36" s="906" t="s">
        <v>2010</v>
      </c>
      <c r="AE36" s="906"/>
      <c r="AF36" s="917"/>
      <c r="AG36" s="918"/>
      <c r="AH36" s="918"/>
      <c r="AI36" s="918"/>
      <c r="AJ36" s="920"/>
      <c r="AK36" s="917"/>
      <c r="AL36" s="918"/>
      <c r="AM36" s="918"/>
      <c r="AN36" s="918"/>
      <c r="AO36" s="920"/>
      <c r="AP36" s="929"/>
      <c r="AQ36" s="930"/>
      <c r="AR36" s="930"/>
      <c r="AS36" s="930"/>
      <c r="AT36" s="931"/>
      <c r="AU36" s="903"/>
      <c r="AV36" s="903"/>
      <c r="AW36" s="903"/>
      <c r="AX36" s="903"/>
      <c r="AY36" s="903"/>
      <c r="AZ36" s="903"/>
      <c r="BA36" s="903"/>
      <c r="BB36" s="903"/>
      <c r="BC36" s="903"/>
      <c r="BD36" s="903"/>
      <c r="BE36" s="903"/>
      <c r="BF36" s="903"/>
      <c r="BG36" s="903"/>
      <c r="BH36" s="903"/>
      <c r="BI36" s="910"/>
      <c r="BJ36" s="910"/>
      <c r="BK36" s="903"/>
      <c r="BL36" s="903"/>
      <c r="BM36" s="910"/>
      <c r="BN36" s="910"/>
      <c r="BO36" s="913"/>
    </row>
    <row r="37" spans="1:67" ht="18.75" customHeight="1" x14ac:dyDescent="0.25">
      <c r="A37" s="196" t="s">
        <v>704</v>
      </c>
      <c r="B37" s="206" t="str">
        <f>IF(ISERROR(VLOOKUP(G37,審判員!$A:$C,2,FALSE))=TRUE,"",VLOOKUP(G37,審判員!$A:$C,2,FALSE))</f>
        <v>高倉　遥樹</v>
      </c>
      <c r="C37" s="212">
        <f>IF(ISERROR(VLOOKUP(G37,審判員!$A:$C,3,FALSE))=TRUE,"",VLOOKUP(G37,審判員!$A:$C,3,FALSE))</f>
        <v>3</v>
      </c>
      <c r="D37" s="219" t="s">
        <v>612</v>
      </c>
      <c r="E37" s="906" t="s">
        <v>1286</v>
      </c>
      <c r="F37" s="906"/>
      <c r="G37" s="906" t="s">
        <v>15248</v>
      </c>
      <c r="H37" s="906"/>
      <c r="I37" s="906"/>
      <c r="J37" s="891" t="str">
        <f>N30</f>
        <v>戸次吉野ＳＳＳ</v>
      </c>
      <c r="K37" s="981"/>
      <c r="L37" s="190"/>
      <c r="M37" s="196" t="s">
        <v>704</v>
      </c>
      <c r="N37" s="206" t="str">
        <f>IF(ISERROR(VLOOKUP(S37,審判員!$A:$C,2,FALSE))=TRUE,"",VLOOKUP(S37,審判員!$A:$C,2,FALSE))</f>
        <v>江良　信司</v>
      </c>
      <c r="O37" s="212">
        <f>IF(ISERROR(VLOOKUP(S37,審判員!$A:$C,3,FALSE))=TRUE,"",VLOOKUP(S37,審判員!$A:$C,3,FALSE))</f>
        <v>3</v>
      </c>
      <c r="P37" s="219" t="s">
        <v>612</v>
      </c>
      <c r="Q37" s="906" t="s">
        <v>1286</v>
      </c>
      <c r="R37" s="906"/>
      <c r="S37" s="906" t="s">
        <v>15211</v>
      </c>
      <c r="T37" s="906"/>
      <c r="U37" s="906"/>
      <c r="V37" s="891" t="str">
        <f>B30</f>
        <v>アトレチコエラン横瀬</v>
      </c>
      <c r="W37" s="981"/>
      <c r="Y37" s="905"/>
      <c r="Z37" s="906"/>
      <c r="AA37" s="906"/>
      <c r="AB37" s="906"/>
      <c r="AC37" s="906"/>
      <c r="AD37" s="906"/>
      <c r="AE37" s="906"/>
      <c r="AF37" s="915">
        <f>AS25</f>
        <v>0</v>
      </c>
      <c r="AG37" s="916"/>
      <c r="AH37" s="916" t="s">
        <v>2011</v>
      </c>
      <c r="AI37" s="916">
        <f>AP25</f>
        <v>0</v>
      </c>
      <c r="AJ37" s="919"/>
      <c r="AK37" s="915">
        <f>AS31</f>
        <v>4</v>
      </c>
      <c r="AL37" s="916"/>
      <c r="AM37" s="916" t="s">
        <v>2011</v>
      </c>
      <c r="AN37" s="916">
        <f>AP31</f>
        <v>1</v>
      </c>
      <c r="AO37" s="919"/>
      <c r="AP37" s="929"/>
      <c r="AQ37" s="930"/>
      <c r="AR37" s="930"/>
      <c r="AS37" s="930"/>
      <c r="AT37" s="931"/>
      <c r="AU37" s="903"/>
      <c r="AV37" s="903"/>
      <c r="AW37" s="903"/>
      <c r="AX37" s="903"/>
      <c r="AY37" s="903"/>
      <c r="AZ37" s="903"/>
      <c r="BA37" s="903"/>
      <c r="BB37" s="903"/>
      <c r="BC37" s="903"/>
      <c r="BD37" s="903"/>
      <c r="BE37" s="903"/>
      <c r="BF37" s="903"/>
      <c r="BG37" s="903"/>
      <c r="BH37" s="903"/>
      <c r="BI37" s="910"/>
      <c r="BJ37" s="910"/>
      <c r="BK37" s="903"/>
      <c r="BL37" s="903"/>
      <c r="BM37" s="910"/>
      <c r="BN37" s="910"/>
      <c r="BO37" s="913"/>
    </row>
    <row r="38" spans="1:67" ht="19.5" customHeight="1" x14ac:dyDescent="0.25">
      <c r="A38" s="196" t="s">
        <v>2007</v>
      </c>
      <c r="B38" s="206" t="str">
        <f>IF(ISERROR(VLOOKUP(G38,審判員!$A:$C,2,FALSE))=TRUE,"",VLOOKUP(G38,審判員!$A:$C,2,FALSE))</f>
        <v>中園　健太郎</v>
      </c>
      <c r="C38" s="212">
        <f>IF(ISERROR(VLOOKUP(G38,審判員!$A:$C,3,FALSE))=TRUE,"",VLOOKUP(G38,審判員!$A:$C,3,FALSE))</f>
        <v>2</v>
      </c>
      <c r="D38" s="219" t="s">
        <v>612</v>
      </c>
      <c r="E38" s="906" t="s">
        <v>1286</v>
      </c>
      <c r="F38" s="906"/>
      <c r="G38" s="906" t="s">
        <v>15177</v>
      </c>
      <c r="H38" s="906"/>
      <c r="I38" s="906"/>
      <c r="J38" s="891" t="str">
        <f>V30</f>
        <v>四日市南ＳＳＣ</v>
      </c>
      <c r="K38" s="981"/>
      <c r="L38" s="190"/>
      <c r="M38" s="196" t="s">
        <v>2007</v>
      </c>
      <c r="N38" s="206" t="str">
        <f>IF(ISERROR(VLOOKUP(S38,審判員!$A:$C,2,FALSE))=TRUE,"",VLOOKUP(S38,審判員!$A:$C,2,FALSE))</f>
        <v>菊地　玄</v>
      </c>
      <c r="O38" s="212">
        <f>IF(ISERROR(VLOOKUP(S38,審判員!$A:$C,3,FALSE))=TRUE,"",VLOOKUP(S38,審判員!$A:$C,3,FALSE))</f>
        <v>3</v>
      </c>
      <c r="P38" s="219" t="s">
        <v>612</v>
      </c>
      <c r="Q38" s="906" t="s">
        <v>1286</v>
      </c>
      <c r="R38" s="906"/>
      <c r="S38" s="906" t="s">
        <v>15311</v>
      </c>
      <c r="T38" s="906"/>
      <c r="U38" s="906"/>
      <c r="V38" s="891" t="str">
        <f>J30</f>
        <v>カティオーラフットボールクラブＵ－１２</v>
      </c>
      <c r="W38" s="981"/>
      <c r="Y38" s="907"/>
      <c r="Z38" s="908"/>
      <c r="AA38" s="908"/>
      <c r="AB38" s="908"/>
      <c r="AC38" s="908"/>
      <c r="AD38" s="908"/>
      <c r="AE38" s="908"/>
      <c r="AF38" s="921"/>
      <c r="AG38" s="565"/>
      <c r="AH38" s="565"/>
      <c r="AI38" s="565"/>
      <c r="AJ38" s="922"/>
      <c r="AK38" s="921"/>
      <c r="AL38" s="565"/>
      <c r="AM38" s="565"/>
      <c r="AN38" s="565"/>
      <c r="AO38" s="922"/>
      <c r="AP38" s="932"/>
      <c r="AQ38" s="933"/>
      <c r="AR38" s="933"/>
      <c r="AS38" s="933"/>
      <c r="AT38" s="934"/>
      <c r="AU38" s="904"/>
      <c r="AV38" s="904"/>
      <c r="AW38" s="904"/>
      <c r="AX38" s="904"/>
      <c r="AY38" s="904"/>
      <c r="AZ38" s="904"/>
      <c r="BA38" s="904"/>
      <c r="BB38" s="904"/>
      <c r="BC38" s="904"/>
      <c r="BD38" s="904"/>
      <c r="BE38" s="904"/>
      <c r="BF38" s="904"/>
      <c r="BG38" s="904"/>
      <c r="BH38" s="904"/>
      <c r="BI38" s="911"/>
      <c r="BJ38" s="911"/>
      <c r="BK38" s="904"/>
      <c r="BL38" s="904"/>
      <c r="BM38" s="911"/>
      <c r="BN38" s="911"/>
      <c r="BO38" s="914"/>
    </row>
    <row r="39" spans="1:67" x14ac:dyDescent="0.25">
      <c r="A39" s="197" t="s">
        <v>2008</v>
      </c>
      <c r="B39" s="207" t="str">
        <f>IF(ISERROR(VLOOKUP(G39,審判員!$A:$C,2,FALSE))=TRUE,"",VLOOKUP(G39,審判員!$A:$C,2,FALSE))</f>
        <v>戸髙　博秋</v>
      </c>
      <c r="C39" s="213">
        <f>IF(ISERROR(VLOOKUP(G39,審判員!$A:$C,3,FALSE))=TRUE,"",VLOOKUP(G39,審判員!$A:$C,3,FALSE))</f>
        <v>3</v>
      </c>
      <c r="D39" s="220" t="s">
        <v>612</v>
      </c>
      <c r="E39" s="977" t="s">
        <v>1286</v>
      </c>
      <c r="F39" s="977"/>
      <c r="G39" s="977" t="s">
        <v>15292</v>
      </c>
      <c r="H39" s="977"/>
      <c r="I39" s="977"/>
      <c r="J39" s="978" t="s">
        <v>788</v>
      </c>
      <c r="K39" s="979"/>
      <c r="L39" s="190"/>
      <c r="M39" s="197" t="s">
        <v>2008</v>
      </c>
      <c r="N39" s="207" t="str">
        <f>IF(ISERROR(VLOOKUP(S39,審判員!$A:$C,2,FALSE))=TRUE,"",VLOOKUP(S39,審判員!$A:$C,2,FALSE))</f>
        <v>竹嶋　仁</v>
      </c>
      <c r="O39" s="213">
        <f>IF(ISERROR(VLOOKUP(S39,審判員!$A:$C,3,FALSE))=TRUE,"",VLOOKUP(S39,審判員!$A:$C,3,FALSE))</f>
        <v>3</v>
      </c>
      <c r="P39" s="220" t="s">
        <v>612</v>
      </c>
      <c r="Q39" s="977" t="s">
        <v>1286</v>
      </c>
      <c r="R39" s="977"/>
      <c r="S39" s="977" t="s">
        <v>15302</v>
      </c>
      <c r="T39" s="977"/>
      <c r="U39" s="977"/>
      <c r="V39" s="978" t="s">
        <v>788</v>
      </c>
      <c r="W39" s="979"/>
    </row>
    <row r="40" spans="1:67" x14ac:dyDescent="0.25">
      <c r="A40" s="198" t="s">
        <v>469</v>
      </c>
      <c r="B40" s="208" t="s">
        <v>606</v>
      </c>
      <c r="C40" s="208" t="s">
        <v>234</v>
      </c>
      <c r="D40" s="208" t="s">
        <v>272</v>
      </c>
      <c r="E40" s="208" t="s">
        <v>750</v>
      </c>
      <c r="F40" s="223"/>
      <c r="G40" s="208" t="s">
        <v>750</v>
      </c>
      <c r="H40" s="208" t="s">
        <v>272</v>
      </c>
      <c r="I40" s="208" t="s">
        <v>234</v>
      </c>
      <c r="J40" s="208" t="s">
        <v>606</v>
      </c>
      <c r="K40" s="225" t="s">
        <v>469</v>
      </c>
      <c r="L40" s="190"/>
      <c r="M40" s="198" t="s">
        <v>469</v>
      </c>
      <c r="N40" s="208" t="s">
        <v>606</v>
      </c>
      <c r="O40" s="208" t="s">
        <v>234</v>
      </c>
      <c r="P40" s="208" t="s">
        <v>272</v>
      </c>
      <c r="Q40" s="208" t="s">
        <v>750</v>
      </c>
      <c r="R40" s="223"/>
      <c r="S40" s="208" t="s">
        <v>750</v>
      </c>
      <c r="T40" s="208" t="s">
        <v>272</v>
      </c>
      <c r="U40" s="208" t="s">
        <v>234</v>
      </c>
      <c r="V40" s="208" t="s">
        <v>606</v>
      </c>
      <c r="W40" s="225" t="s">
        <v>469</v>
      </c>
      <c r="Y40" s="891" t="s">
        <v>2125</v>
      </c>
      <c r="Z40" s="891"/>
      <c r="AA40" s="891"/>
      <c r="AB40" s="891"/>
      <c r="AC40" s="891"/>
      <c r="AD40" s="891"/>
      <c r="AE40" s="891"/>
      <c r="AF40" s="891"/>
      <c r="AG40" s="891"/>
      <c r="AH40" s="891"/>
      <c r="AI40" s="891"/>
      <c r="AJ40" s="891"/>
      <c r="AK40" s="891"/>
      <c r="AL40" s="891"/>
      <c r="AM40" s="891"/>
      <c r="AN40" s="891"/>
      <c r="AO40" s="891"/>
      <c r="AP40" s="891"/>
      <c r="AQ40" s="891"/>
      <c r="AR40" s="891"/>
      <c r="AS40" s="891"/>
      <c r="AT40" s="891"/>
      <c r="AU40" s="891"/>
      <c r="AV40" s="891"/>
      <c r="AW40" s="891"/>
      <c r="AX40" s="891"/>
      <c r="AY40" s="891"/>
      <c r="AZ40" s="891"/>
      <c r="BA40" s="891"/>
      <c r="BB40" s="891"/>
      <c r="BC40" s="891"/>
      <c r="BD40" s="891"/>
      <c r="BE40" s="891"/>
      <c r="BF40" s="891"/>
    </row>
    <row r="41" spans="1:67" x14ac:dyDescent="0.25">
      <c r="A41" s="199" t="s">
        <v>579</v>
      </c>
      <c r="B41" s="209" t="str">
        <f>IF(ISERROR(VLOOKUP(CONCATENATE($B$30,"_",C41),選手名簿!$A:$E,5,FALSE))=TRUE,"",VLOOKUP(CONCATENATE($B$30,"_",C41),選手名簿!$A:$E,5,FALSE))</f>
        <v>丸田　恵也</v>
      </c>
      <c r="C41" s="214">
        <v>9</v>
      </c>
      <c r="D41" s="214">
        <v>39</v>
      </c>
      <c r="E41" s="221" t="s">
        <v>749</v>
      </c>
      <c r="F41" s="223"/>
      <c r="G41" s="221"/>
      <c r="H41" s="214"/>
      <c r="I41" s="214"/>
      <c r="J41" s="209" t="str">
        <f>IF(ISERROR(VLOOKUP(CONCATENATE($J$30,"_",I41),選手名簿!$A:$E,5,FALSE))=TRUE,"",VLOOKUP(CONCATENATE($J$30,"_",I41),選手名簿!$A:$E,5,FALSE))</f>
        <v/>
      </c>
      <c r="K41" s="226"/>
      <c r="L41" s="190"/>
      <c r="M41" s="199"/>
      <c r="N41" s="209" t="str">
        <f>IF(ISERROR(VLOOKUP(CONCATENATE($N$30,"_",O41),選手名簿!$A:$E,5,FALSE))=TRUE,"",VLOOKUP(CONCATENATE($N$30,"_",O41),選手名簿!$A:$E,5,FALSE))</f>
        <v/>
      </c>
      <c r="O41" s="214"/>
      <c r="P41" s="214"/>
      <c r="Q41" s="221"/>
      <c r="R41" s="223"/>
      <c r="S41" s="221"/>
      <c r="T41" s="214"/>
      <c r="U41" s="214"/>
      <c r="V41" s="206" t="str">
        <f>IF(ISERROR(VLOOKUP(CONCATENATE($V$30,"_",U41),選手名簿!$A:$E,5,FALSE))=TRUE,"",VLOOKUP(CONCATENATE($V$30,"_",U41),選手名簿!$A:$E,5,FALSE))</f>
        <v/>
      </c>
      <c r="W41" s="226"/>
      <c r="Y41" s="891"/>
      <c r="Z41" s="891"/>
      <c r="AA41" s="891"/>
      <c r="AB41" s="891"/>
      <c r="AC41" s="891"/>
      <c r="AD41" s="891"/>
      <c r="AE41" s="891"/>
      <c r="AF41" s="891"/>
      <c r="AG41" s="891"/>
      <c r="AH41" s="891"/>
      <c r="AI41" s="891"/>
      <c r="AJ41" s="891"/>
      <c r="AK41" s="891"/>
      <c r="AL41" s="891"/>
      <c r="AM41" s="891"/>
      <c r="AN41" s="891"/>
      <c r="AO41" s="891"/>
      <c r="AP41" s="891"/>
      <c r="AQ41" s="891"/>
      <c r="AR41" s="891"/>
      <c r="AS41" s="891"/>
      <c r="AT41" s="891"/>
      <c r="AU41" s="891"/>
      <c r="AV41" s="891"/>
      <c r="AW41" s="891"/>
      <c r="AX41" s="891"/>
      <c r="AY41" s="891"/>
      <c r="AZ41" s="891"/>
      <c r="BA41" s="891"/>
      <c r="BB41" s="891"/>
      <c r="BC41" s="891"/>
      <c r="BD41" s="891"/>
      <c r="BE41" s="891"/>
      <c r="BF41" s="891"/>
    </row>
    <row r="42" spans="1:67" ht="18.75" customHeight="1" x14ac:dyDescent="0.25">
      <c r="A42" s="199"/>
      <c r="B42" s="209" t="str">
        <f>IF(ISERROR(VLOOKUP(CONCATENATE($B$30,"_",C42),選手名簿!$A:$E,5,FALSE))=TRUE,"",VLOOKUP(CONCATENATE($B$30,"_",C42),選手名簿!$A:$E,5,FALSE))</f>
        <v/>
      </c>
      <c r="C42" s="214"/>
      <c r="D42" s="214"/>
      <c r="E42" s="221"/>
      <c r="F42" s="223"/>
      <c r="G42" s="221"/>
      <c r="H42" s="214"/>
      <c r="I42" s="214"/>
      <c r="J42" s="209" t="str">
        <f>IF(ISERROR(VLOOKUP(CONCATENATE($J$30,"_",I42),選手名簿!$A:$E,5,FALSE))=TRUE,"",VLOOKUP(CONCATENATE($J$30,"_",I42),選手名簿!$A:$E,5,FALSE))</f>
        <v/>
      </c>
      <c r="K42" s="226"/>
      <c r="L42" s="190"/>
      <c r="M42" s="199"/>
      <c r="N42" s="209" t="str">
        <f>IF(ISERROR(VLOOKUP(CONCATENATE($N$30,"_",O42),選手名簿!$A:$E,5,FALSE))=TRUE,"",VLOOKUP(CONCATENATE($N$30,"_",O42),選手名簿!$A:$E,5,FALSE))</f>
        <v/>
      </c>
      <c r="O42" s="214"/>
      <c r="P42" s="214"/>
      <c r="Q42" s="221"/>
      <c r="R42" s="223"/>
      <c r="S42" s="221"/>
      <c r="T42" s="214"/>
      <c r="U42" s="214"/>
      <c r="V42" s="209" t="str">
        <f>IF(ISERROR(VLOOKUP(CONCATENATE($V$30,"_",U42),選手名簿!$A:$E,5,FALSE))=TRUE,"",VLOOKUP(CONCATENATE($V$30,"_",U42),選手名簿!$A:$E,5,FALSE))</f>
        <v/>
      </c>
      <c r="W42" s="226"/>
      <c r="Y42" s="892" t="s">
        <v>2013</v>
      </c>
      <c r="Z42" s="893"/>
      <c r="AA42" s="896" t="s">
        <v>159</v>
      </c>
      <c r="AB42" s="232" t="s">
        <v>408</v>
      </c>
      <c r="AC42" s="231"/>
      <c r="AD42" s="898" t="s">
        <v>2060</v>
      </c>
      <c r="AE42" s="232" t="s">
        <v>2015</v>
      </c>
      <c r="AF42" s="231"/>
      <c r="AG42" s="898" t="s">
        <v>1208</v>
      </c>
      <c r="AH42" s="232" t="s">
        <v>2126</v>
      </c>
      <c r="AI42" s="231"/>
      <c r="AJ42" s="900" t="s">
        <v>1727</v>
      </c>
      <c r="AK42" s="234" t="s">
        <v>2016</v>
      </c>
    </row>
    <row r="43" spans="1:67" ht="19.5" customHeight="1" x14ac:dyDescent="0.25">
      <c r="A43" s="199"/>
      <c r="B43" s="209" t="str">
        <f>IF(ISERROR(VLOOKUP(CONCATENATE($B$30,"_",C43),選手名簿!$A:$E,5,FALSE))=TRUE,"",VLOOKUP(CONCATENATE($B$30,"_",C43),選手名簿!$A:$E,5,FALSE))</f>
        <v/>
      </c>
      <c r="C43" s="214"/>
      <c r="D43" s="214"/>
      <c r="E43" s="221"/>
      <c r="F43" s="223"/>
      <c r="G43" s="221"/>
      <c r="H43" s="214"/>
      <c r="I43" s="214"/>
      <c r="J43" s="209" t="str">
        <f>IF(ISERROR(VLOOKUP(CONCATENATE($J$30,"_",I43),選手名簿!$A:$E,5,FALSE))=TRUE,"",VLOOKUP(CONCATENATE($J$30,"_",I43),選手名簿!$A:$E,5,FALSE))</f>
        <v/>
      </c>
      <c r="K43" s="226"/>
      <c r="L43" s="190"/>
      <c r="M43" s="199"/>
      <c r="N43" s="209" t="str">
        <f>IF(ISERROR(VLOOKUP(CONCATENATE($N$30,"_",O43),選手名簿!$A:$E,5,FALSE))=TRUE,"",VLOOKUP(CONCATENATE($N$30,"_",O43),選手名簿!$A:$E,5,FALSE))</f>
        <v/>
      </c>
      <c r="O43" s="214"/>
      <c r="P43" s="214"/>
      <c r="Q43" s="221"/>
      <c r="R43" s="223"/>
      <c r="S43" s="221"/>
      <c r="T43" s="214"/>
      <c r="U43" s="214"/>
      <c r="V43" s="209" t="str">
        <f>IF(ISERROR(VLOOKUP(CONCATENATE($V$30,"_",U43),選手名簿!$A:$E,5,FALSE))=TRUE,"",VLOOKUP(CONCATENATE($V$30,"_",U43),選手名簿!$A:$E,5,FALSE))</f>
        <v/>
      </c>
      <c r="W43" s="226"/>
      <c r="Y43" s="894"/>
      <c r="Z43" s="895"/>
      <c r="AA43" s="897"/>
      <c r="AB43" s="233">
        <v>3</v>
      </c>
      <c r="AC43" s="230"/>
      <c r="AD43" s="899"/>
      <c r="AE43" s="233">
        <v>2</v>
      </c>
      <c r="AF43" s="230"/>
      <c r="AG43" s="899"/>
      <c r="AH43" s="233">
        <v>1</v>
      </c>
      <c r="AI43" s="230"/>
      <c r="AJ43" s="901"/>
      <c r="AK43" s="235">
        <v>0</v>
      </c>
    </row>
    <row r="44" spans="1:67" ht="19.5" customHeight="1" x14ac:dyDescent="0.25">
      <c r="A44" s="199"/>
      <c r="B44" s="209" t="str">
        <f>IF(ISERROR(VLOOKUP(CONCATENATE($B$30,"_",C44),選手名簿!$A:$E,5,FALSE))=TRUE,"",VLOOKUP(CONCATENATE($B$30,"_",C44),選手名簿!$A:$E,5,FALSE))</f>
        <v/>
      </c>
      <c r="C44" s="214"/>
      <c r="D44" s="214"/>
      <c r="E44" s="221"/>
      <c r="F44" s="223"/>
      <c r="G44" s="221"/>
      <c r="H44" s="214"/>
      <c r="I44" s="214"/>
      <c r="J44" s="209" t="str">
        <f>IF(ISERROR(VLOOKUP(CONCATENATE($J$30,"_",I44),選手名簿!$A:$E,5,FALSE))=TRUE,"",VLOOKUP(CONCATENATE($J$30,"_",I44),選手名簿!$A:$E,5,FALSE))</f>
        <v/>
      </c>
      <c r="K44" s="226"/>
      <c r="L44" s="190"/>
      <c r="M44" s="199"/>
      <c r="N44" s="209" t="str">
        <f>IF(ISERROR(VLOOKUP(CONCATENATE($N$30,"_",O44),選手名簿!$A:$E,5,FALSE))=TRUE,"",VLOOKUP(CONCATENATE($N$30,"_",O44),選手名簿!$A:$E,5,FALSE))</f>
        <v/>
      </c>
      <c r="O44" s="214"/>
      <c r="P44" s="214"/>
      <c r="Q44" s="221"/>
      <c r="R44" s="223"/>
      <c r="S44" s="221"/>
      <c r="T44" s="214"/>
      <c r="U44" s="214"/>
      <c r="V44" s="209" t="str">
        <f>IF(ISERROR(VLOOKUP(CONCATENATE($V$30,"_",U44),選手名簿!$A:$E,5,FALSE))=TRUE,"",VLOOKUP(CONCATENATE($V$30,"_",U44),選手名簿!$A:$E,5,FALSE))</f>
        <v/>
      </c>
      <c r="W44" s="226"/>
    </row>
    <row r="45" spans="1:67" x14ac:dyDescent="0.25">
      <c r="A45" s="200"/>
      <c r="B45" s="210" t="str">
        <f>IF(ISERROR(VLOOKUP(CONCATENATE($B$30,"_",C45),選手名簿!$A:$E,5,FALSE))=TRUE,"",VLOOKUP(CONCATENATE($B$30,"_",C45),選手名簿!$A:$E,5,FALSE))</f>
        <v/>
      </c>
      <c r="C45" s="215"/>
      <c r="D45" s="215"/>
      <c r="E45" s="222"/>
      <c r="F45" s="224"/>
      <c r="G45" s="222"/>
      <c r="H45" s="215"/>
      <c r="I45" s="215"/>
      <c r="J45" s="210" t="str">
        <f>IF(ISERROR(VLOOKUP(CONCATENATE($J$30,"_",I45),選手名簿!$A:$E,5,FALSE))=TRUE,"",VLOOKUP(CONCATENATE($J$30,"_",I45),選手名簿!$A:$E,5,FALSE))</f>
        <v/>
      </c>
      <c r="K45" s="227"/>
      <c r="L45" s="190"/>
      <c r="M45" s="200"/>
      <c r="N45" s="210" t="str">
        <f>IF(ISERROR(VLOOKUP(CONCATENATE($N$30,"_",O45),選手名簿!$A:$E,5,FALSE))=TRUE,"",VLOOKUP(CONCATENATE($N$30,"_",O45),選手名簿!$A:$E,5,FALSE))</f>
        <v/>
      </c>
      <c r="O45" s="215"/>
      <c r="P45" s="215"/>
      <c r="Q45" s="222"/>
      <c r="R45" s="224"/>
      <c r="S45" s="222"/>
      <c r="T45" s="215"/>
      <c r="U45" s="215"/>
      <c r="V45" s="210" t="str">
        <f>IF(ISERROR(VLOOKUP(CONCATENATE($V$30,"_",U45),選手名簿!$A:$E,5,FALSE))=TRUE,"",VLOOKUP(CONCATENATE($V$30,"_",U45),選手名簿!$A:$E,5,FALSE))</f>
        <v/>
      </c>
      <c r="W45" s="227"/>
    </row>
    <row r="46" spans="1:67" x14ac:dyDescent="0.25">
      <c r="A46" s="190"/>
      <c r="B46" s="190"/>
      <c r="C46" s="190"/>
      <c r="D46" s="190"/>
      <c r="E46" s="190"/>
      <c r="F46" s="190"/>
      <c r="G46" s="190"/>
      <c r="H46" s="190"/>
      <c r="I46" s="190"/>
      <c r="J46" s="190"/>
      <c r="K46" s="190"/>
      <c r="L46" s="190"/>
      <c r="M46" s="190"/>
      <c r="N46" s="190"/>
      <c r="O46" s="190"/>
      <c r="P46" s="190"/>
      <c r="Q46" s="190"/>
      <c r="R46" s="190"/>
      <c r="S46" s="190"/>
      <c r="T46" s="190"/>
      <c r="U46" s="190"/>
      <c r="V46" s="190"/>
    </row>
    <row r="47" spans="1:67" x14ac:dyDescent="0.25">
      <c r="A47" s="190"/>
      <c r="B47" s="190"/>
      <c r="C47" s="190"/>
      <c r="D47" s="190"/>
      <c r="E47" s="190"/>
      <c r="F47" s="190"/>
      <c r="G47" s="190"/>
      <c r="H47" s="190"/>
      <c r="I47" s="190"/>
      <c r="J47" s="190"/>
      <c r="K47" s="190"/>
      <c r="L47" s="190"/>
      <c r="M47" s="190"/>
      <c r="N47" s="190"/>
      <c r="O47" s="190"/>
      <c r="P47" s="190"/>
      <c r="Q47" s="190"/>
      <c r="R47" s="190"/>
      <c r="S47" s="190"/>
      <c r="T47" s="190"/>
      <c r="U47" s="190"/>
      <c r="V47" s="190"/>
    </row>
    <row r="48" spans="1:67" ht="18.75" customHeight="1" x14ac:dyDescent="0.25">
      <c r="A48" s="963" t="s">
        <v>1703</v>
      </c>
      <c r="B48" s="964" t="str">
        <f>C9</f>
        <v>カティオーラフットボールクラブＵ－１２</v>
      </c>
      <c r="C48" s="966">
        <f>IF(E48="","",SUM(E48:E49))</f>
        <v>0</v>
      </c>
      <c r="D48" s="940" t="s">
        <v>336</v>
      </c>
      <c r="E48" s="217">
        <v>0</v>
      </c>
      <c r="F48" s="217" t="s">
        <v>61</v>
      </c>
      <c r="G48" s="217">
        <v>0</v>
      </c>
      <c r="H48" s="940" t="s">
        <v>339</v>
      </c>
      <c r="I48" s="966">
        <f>IF(G48="","",SUM(G48:G49))</f>
        <v>0</v>
      </c>
      <c r="J48" s="968" t="str">
        <f>C7</f>
        <v>弥生少年サッカークラブ</v>
      </c>
      <c r="K48" s="190"/>
      <c r="M48" s="969" t="s">
        <v>1596</v>
      </c>
      <c r="N48" s="972" t="str">
        <f>O9</f>
        <v>四日市南ＳＳＣ</v>
      </c>
      <c r="O48" s="966">
        <f>IF(Q48="","",SUM(Q48:Q49))</f>
        <v>2</v>
      </c>
      <c r="P48" s="940" t="s">
        <v>336</v>
      </c>
      <c r="Q48" s="217">
        <v>1</v>
      </c>
      <c r="R48" s="217" t="s">
        <v>61</v>
      </c>
      <c r="S48" s="217">
        <v>0</v>
      </c>
      <c r="T48" s="940" t="s">
        <v>339</v>
      </c>
      <c r="U48" s="966">
        <f>IF(S48="","",SUM(S48:S49))</f>
        <v>0</v>
      </c>
      <c r="V48" s="968" t="str">
        <f>O7</f>
        <v>滝尾下郡サッカースポーツ少年団</v>
      </c>
      <c r="Y48" s="959" t="str">
        <f>$Y$1</f>
        <v>OFA 第 57 回大分県U-12サッカー大会　兼　KYFA 九州U-12サッカー大会大分県大会</v>
      </c>
      <c r="Z48" s="959"/>
      <c r="AA48" s="959"/>
      <c r="AB48" s="959"/>
      <c r="AC48" s="959"/>
      <c r="AD48" s="959"/>
      <c r="AE48" s="959"/>
      <c r="AF48" s="959"/>
      <c r="AG48" s="959"/>
      <c r="AH48" s="959"/>
      <c r="AI48" s="959"/>
      <c r="AJ48" s="959"/>
      <c r="AK48" s="959"/>
      <c r="AL48" s="959"/>
      <c r="AM48" s="959"/>
      <c r="AN48" s="959"/>
      <c r="AO48" s="959"/>
      <c r="AP48" s="959"/>
      <c r="AQ48" s="959"/>
      <c r="AR48" s="959"/>
      <c r="AS48" s="959"/>
      <c r="AT48" s="959"/>
      <c r="AU48" s="959"/>
      <c r="AV48" s="959"/>
      <c r="AW48" s="959"/>
      <c r="AX48" s="959"/>
      <c r="AY48" s="959"/>
      <c r="AZ48" s="959"/>
      <c r="BA48" s="959"/>
      <c r="BB48" s="959"/>
      <c r="BC48" s="959"/>
      <c r="BD48" s="959"/>
      <c r="BE48" s="959"/>
      <c r="BF48" s="959"/>
      <c r="BG48" s="959"/>
      <c r="BI48" s="959" t="str">
        <f>$BI$1</f>
        <v>２次リーグ結果　報告用紙</v>
      </c>
      <c r="BJ48" s="959"/>
      <c r="BK48" s="959"/>
      <c r="BL48" s="959"/>
      <c r="BM48" s="959"/>
      <c r="BN48" s="959"/>
      <c r="BO48" s="959"/>
    </row>
    <row r="49" spans="1:67" ht="18.75" customHeight="1" x14ac:dyDescent="0.25">
      <c r="A49" s="946"/>
      <c r="B49" s="965"/>
      <c r="C49" s="967"/>
      <c r="D49" s="906"/>
      <c r="E49" s="190">
        <v>0</v>
      </c>
      <c r="F49" s="190" t="s">
        <v>126</v>
      </c>
      <c r="G49" s="190">
        <v>0</v>
      </c>
      <c r="H49" s="906"/>
      <c r="I49" s="967"/>
      <c r="J49" s="957"/>
      <c r="K49" s="190"/>
      <c r="M49" s="970"/>
      <c r="N49" s="973"/>
      <c r="O49" s="967"/>
      <c r="P49" s="906"/>
      <c r="Q49" s="190">
        <v>1</v>
      </c>
      <c r="R49" s="190" t="s">
        <v>126</v>
      </c>
      <c r="S49" s="190">
        <v>0</v>
      </c>
      <c r="T49" s="906"/>
      <c r="U49" s="967"/>
      <c r="V49" s="957"/>
      <c r="Y49" s="959"/>
      <c r="Z49" s="959"/>
      <c r="AA49" s="959"/>
      <c r="AB49" s="959"/>
      <c r="AC49" s="959"/>
      <c r="AD49" s="959"/>
      <c r="AE49" s="959"/>
      <c r="AF49" s="959"/>
      <c r="AG49" s="959"/>
      <c r="AH49" s="959"/>
      <c r="AI49" s="959"/>
      <c r="AJ49" s="959"/>
      <c r="AK49" s="959"/>
      <c r="AL49" s="959"/>
      <c r="AM49" s="959"/>
      <c r="AN49" s="959"/>
      <c r="AO49" s="959"/>
      <c r="AP49" s="959"/>
      <c r="AQ49" s="959"/>
      <c r="AR49" s="959"/>
      <c r="AS49" s="959"/>
      <c r="AT49" s="959"/>
      <c r="AU49" s="959"/>
      <c r="AV49" s="959"/>
      <c r="AW49" s="959"/>
      <c r="AX49" s="959"/>
      <c r="AY49" s="959"/>
      <c r="AZ49" s="959"/>
      <c r="BA49" s="959"/>
      <c r="BB49" s="959"/>
      <c r="BC49" s="959"/>
      <c r="BD49" s="959"/>
      <c r="BE49" s="959"/>
      <c r="BF49" s="959"/>
      <c r="BG49" s="959"/>
      <c r="BI49" s="959"/>
      <c r="BJ49" s="959"/>
      <c r="BK49" s="959"/>
      <c r="BL49" s="959"/>
      <c r="BM49" s="959"/>
      <c r="BN49" s="959"/>
      <c r="BO49" s="959"/>
    </row>
    <row r="50" spans="1:67" ht="19.5" customHeight="1" x14ac:dyDescent="0.25">
      <c r="A50" s="946"/>
      <c r="B50" s="965"/>
      <c r="C50" s="967"/>
      <c r="D50" s="906"/>
      <c r="E50" s="190"/>
      <c r="F50" s="190" t="s">
        <v>407</v>
      </c>
      <c r="G50" s="190"/>
      <c r="H50" s="906"/>
      <c r="I50" s="967"/>
      <c r="J50" s="957"/>
      <c r="K50" s="190"/>
      <c r="M50" s="971"/>
      <c r="N50" s="974"/>
      <c r="O50" s="975"/>
      <c r="P50" s="908"/>
      <c r="Q50" s="190"/>
      <c r="R50" s="190" t="s">
        <v>407</v>
      </c>
      <c r="S50" s="190"/>
      <c r="T50" s="908"/>
      <c r="U50" s="975"/>
      <c r="V50" s="976"/>
      <c r="Y50" s="959" t="s">
        <v>1962</v>
      </c>
      <c r="Z50" s="959"/>
      <c r="AA50" s="959"/>
      <c r="AB50" s="959"/>
      <c r="AC50" s="959"/>
      <c r="AD50" s="959"/>
      <c r="AE50" s="959"/>
      <c r="AF50" s="959"/>
      <c r="AG50" s="959"/>
      <c r="AH50" s="959"/>
      <c r="AI50" s="959"/>
      <c r="AJ50" s="959"/>
      <c r="AK50" s="959"/>
      <c r="AL50" s="959"/>
      <c r="AM50" s="959"/>
      <c r="AN50" s="959"/>
      <c r="AO50" s="959"/>
      <c r="AP50" s="959"/>
      <c r="AQ50" s="959"/>
      <c r="AR50" s="959"/>
      <c r="AS50" s="959"/>
      <c r="AT50" s="959"/>
      <c r="AU50" s="959"/>
      <c r="AV50" s="959"/>
      <c r="AW50" s="959"/>
      <c r="AX50" s="959"/>
      <c r="AY50" s="959"/>
      <c r="AZ50" s="959"/>
      <c r="BA50" s="959"/>
      <c r="BB50" s="959"/>
      <c r="BC50" s="959"/>
      <c r="BD50" s="959"/>
      <c r="BE50" s="959"/>
      <c r="BF50" s="959"/>
      <c r="BG50" s="959"/>
    </row>
    <row r="51" spans="1:67" ht="18.75" customHeight="1" x14ac:dyDescent="0.25">
      <c r="A51" s="192" t="s">
        <v>2463</v>
      </c>
      <c r="B51" s="989" t="s">
        <v>15289</v>
      </c>
      <c r="C51" s="989"/>
      <c r="D51" s="989"/>
      <c r="E51" s="989"/>
      <c r="F51" s="989"/>
      <c r="G51" s="990" t="s">
        <v>2464</v>
      </c>
      <c r="H51" s="990"/>
      <c r="I51" s="990"/>
      <c r="J51" s="991" t="s">
        <v>15288</v>
      </c>
      <c r="K51" s="991"/>
      <c r="M51" s="192" t="s">
        <v>2463</v>
      </c>
      <c r="N51" s="989" t="s">
        <v>15299</v>
      </c>
      <c r="O51" s="989"/>
      <c r="P51" s="989"/>
      <c r="Q51" s="989"/>
      <c r="R51" s="989"/>
      <c r="S51" s="990" t="s">
        <v>2464</v>
      </c>
      <c r="T51" s="990"/>
      <c r="U51" s="990"/>
      <c r="V51" s="991" t="s">
        <v>15288</v>
      </c>
      <c r="W51" s="991"/>
      <c r="Y51" s="959"/>
      <c r="Z51" s="959"/>
      <c r="AA51" s="959"/>
      <c r="AB51" s="959"/>
      <c r="AC51" s="959"/>
      <c r="AD51" s="959"/>
      <c r="AE51" s="959"/>
      <c r="AF51" s="959"/>
      <c r="AG51" s="959"/>
      <c r="AH51" s="959"/>
      <c r="AI51" s="959"/>
      <c r="AJ51" s="959"/>
      <c r="AK51" s="959"/>
      <c r="AL51" s="959"/>
      <c r="AM51" s="959"/>
      <c r="AN51" s="959"/>
      <c r="AO51" s="959"/>
      <c r="AP51" s="959"/>
      <c r="AQ51" s="959"/>
      <c r="AR51" s="959"/>
      <c r="AS51" s="959"/>
      <c r="AT51" s="959"/>
      <c r="AU51" s="959"/>
      <c r="AV51" s="959"/>
      <c r="AW51" s="959"/>
      <c r="AX51" s="959"/>
      <c r="AY51" s="959"/>
      <c r="AZ51" s="959"/>
      <c r="BA51" s="959"/>
      <c r="BB51" s="959"/>
      <c r="BC51" s="959"/>
      <c r="BD51" s="959"/>
      <c r="BE51" s="959"/>
      <c r="BF51" s="959"/>
      <c r="BG51" s="959"/>
    </row>
    <row r="52" spans="1:67" ht="18.75" customHeight="1" x14ac:dyDescent="0.25">
      <c r="A52" s="193" t="s">
        <v>2465</v>
      </c>
      <c r="B52" s="992" t="s">
        <v>15289</v>
      </c>
      <c r="C52" s="992"/>
      <c r="D52" s="992"/>
      <c r="E52" s="992"/>
      <c r="F52" s="992"/>
      <c r="G52" s="983" t="s">
        <v>2464</v>
      </c>
      <c r="H52" s="984"/>
      <c r="I52" s="985"/>
      <c r="J52" s="993" t="s">
        <v>15288</v>
      </c>
      <c r="K52" s="993"/>
      <c r="M52" s="193" t="s">
        <v>2465</v>
      </c>
      <c r="N52" s="992" t="s">
        <v>15299</v>
      </c>
      <c r="O52" s="992"/>
      <c r="P52" s="992"/>
      <c r="Q52" s="992"/>
      <c r="R52" s="992"/>
      <c r="S52" s="983" t="s">
        <v>2464</v>
      </c>
      <c r="T52" s="984"/>
      <c r="U52" s="985"/>
      <c r="V52" s="993" t="s">
        <v>15288</v>
      </c>
      <c r="W52" s="993"/>
      <c r="Y52" s="189"/>
      <c r="Z52" s="189"/>
      <c r="AA52" s="189"/>
      <c r="AB52" s="189"/>
      <c r="AC52" s="189"/>
      <c r="AD52" s="189"/>
      <c r="AE52" s="189"/>
      <c r="AF52" s="189"/>
      <c r="AG52" s="189"/>
      <c r="AH52" s="189"/>
      <c r="AI52" s="189"/>
      <c r="AJ52" s="189"/>
      <c r="AK52" s="189"/>
      <c r="AL52" s="189"/>
      <c r="AM52" s="189"/>
      <c r="AN52" s="189"/>
      <c r="AO52" s="189"/>
      <c r="AP52" s="189"/>
      <c r="AQ52" s="189"/>
      <c r="AR52" s="189"/>
      <c r="AS52" s="189"/>
      <c r="AT52" s="189"/>
      <c r="AU52" s="189"/>
      <c r="AV52" s="189"/>
      <c r="AW52" s="189"/>
      <c r="AX52" s="189"/>
      <c r="AY52" s="189"/>
      <c r="AZ52" s="189"/>
      <c r="BA52" s="189"/>
      <c r="BB52" s="189"/>
      <c r="BC52" s="189"/>
      <c r="BD52" s="189"/>
      <c r="BE52" s="189"/>
      <c r="BF52" s="189"/>
      <c r="BG52" s="189"/>
    </row>
    <row r="53" spans="1:67" ht="18.75" customHeight="1" x14ac:dyDescent="0.25">
      <c r="A53" s="194" t="s">
        <v>2466</v>
      </c>
      <c r="B53" s="982" t="s">
        <v>15290</v>
      </c>
      <c r="C53" s="982"/>
      <c r="D53" s="982"/>
      <c r="E53" s="982"/>
      <c r="F53" s="982"/>
      <c r="G53" s="983" t="s">
        <v>2464</v>
      </c>
      <c r="H53" s="984"/>
      <c r="I53" s="985"/>
      <c r="J53" s="986" t="s">
        <v>15288</v>
      </c>
      <c r="K53" s="986"/>
      <c r="M53" s="194" t="s">
        <v>2466</v>
      </c>
      <c r="N53" s="982" t="s">
        <v>15300</v>
      </c>
      <c r="O53" s="982"/>
      <c r="P53" s="982"/>
      <c r="Q53" s="982"/>
      <c r="R53" s="982"/>
      <c r="S53" s="983" t="s">
        <v>2464</v>
      </c>
      <c r="T53" s="984"/>
      <c r="U53" s="985"/>
      <c r="V53" s="986" t="s">
        <v>15288</v>
      </c>
      <c r="W53" s="986"/>
      <c r="Y53" s="189"/>
      <c r="Z53" s="189"/>
      <c r="AA53" s="189"/>
      <c r="AB53" s="189"/>
      <c r="AC53" s="189"/>
      <c r="AD53" s="189"/>
      <c r="AE53" s="189"/>
      <c r="AF53" s="189"/>
      <c r="AG53" s="189"/>
      <c r="AH53" s="189"/>
      <c r="AI53" s="189"/>
    </row>
    <row r="54" spans="1:67" x14ac:dyDescent="0.25">
      <c r="A54" s="195" t="s">
        <v>609</v>
      </c>
      <c r="B54" s="205" t="str">
        <f>IF(ISERROR(VLOOKUP(G54,審判員!$A:$C,2,FALSE))=TRUE,"",VLOOKUP(G54,審判員!$A:$C,2,FALSE))</f>
        <v>内山田　光史</v>
      </c>
      <c r="C54" s="211">
        <f>IF(ISERROR(VLOOKUP(G54,審判員!$A:$C,3,FALSE))=TRUE,"",VLOOKUP(G54,審判員!$A:$C,3,FALSE))</f>
        <v>3</v>
      </c>
      <c r="D54" s="218" t="s">
        <v>612</v>
      </c>
      <c r="E54" s="955" t="s">
        <v>201</v>
      </c>
      <c r="F54" s="955"/>
      <c r="G54" s="955" t="s">
        <v>15310</v>
      </c>
      <c r="H54" s="955"/>
      <c r="I54" s="955"/>
      <c r="J54" s="987" t="s">
        <v>788</v>
      </c>
      <c r="K54" s="988"/>
      <c r="L54" s="190"/>
      <c r="M54" s="195" t="s">
        <v>609</v>
      </c>
      <c r="N54" s="205" t="str">
        <f>IF(ISERROR(VLOOKUP(S54,審判員!$A:$C,2,FALSE))=TRUE,"",VLOOKUP(S54,審判員!$A:$C,2,FALSE))</f>
        <v>江藤　雅章</v>
      </c>
      <c r="O54" s="211">
        <f>IF(ISERROR(VLOOKUP(S54,審判員!$A:$C,3,FALSE))=TRUE,"",VLOOKUP(S54,審判員!$A:$C,3,FALSE))</f>
        <v>3</v>
      </c>
      <c r="P54" s="218" t="s">
        <v>612</v>
      </c>
      <c r="Q54" s="955" t="s">
        <v>201</v>
      </c>
      <c r="R54" s="955"/>
      <c r="S54" s="955" t="s">
        <v>15318</v>
      </c>
      <c r="T54" s="955"/>
      <c r="U54" s="955"/>
      <c r="V54" s="987" t="s">
        <v>788</v>
      </c>
      <c r="W54" s="988"/>
      <c r="Y54" s="590" t="s">
        <v>487</v>
      </c>
      <c r="Z54" s="590"/>
      <c r="AA54" s="590"/>
      <c r="AB54" s="960" t="str">
        <f>$N$4</f>
        <v>佐伯</v>
      </c>
      <c r="AC54" s="960"/>
      <c r="AD54" s="960"/>
      <c r="AE54" s="960"/>
      <c r="AF54" s="960"/>
      <c r="AG54" s="960"/>
      <c r="AH54" s="590" t="s">
        <v>659</v>
      </c>
      <c r="AI54" s="961" t="str">
        <f>$P$4</f>
        <v>佐伯市総合運動公園人工芝グラウンド</v>
      </c>
      <c r="AJ54" s="961"/>
      <c r="AK54" s="961"/>
      <c r="AL54" s="961"/>
      <c r="AM54" s="961"/>
      <c r="AN54" s="961"/>
      <c r="AO54" s="961"/>
      <c r="AP54" s="961"/>
      <c r="AQ54" s="961"/>
      <c r="AR54" s="961"/>
      <c r="AS54" s="961"/>
      <c r="AT54" s="961"/>
      <c r="AU54" s="961"/>
      <c r="AV54" s="961"/>
      <c r="AW54" s="961"/>
    </row>
    <row r="55" spans="1:67" x14ac:dyDescent="0.25">
      <c r="A55" s="196" t="s">
        <v>704</v>
      </c>
      <c r="B55" s="206" t="str">
        <f>IF(ISERROR(VLOOKUP(G55,審判員!$A:$C,2,FALSE))=TRUE,"",VLOOKUP(G55,審判員!$A:$C,2,FALSE))</f>
        <v>中園　健太郎</v>
      </c>
      <c r="C55" s="212">
        <f>IF(ISERROR(VLOOKUP(G55,審判員!$A:$C,3,FALSE))=TRUE,"",VLOOKUP(G55,審判員!$A:$C,3,FALSE))</f>
        <v>2</v>
      </c>
      <c r="D55" s="219" t="s">
        <v>612</v>
      </c>
      <c r="E55" s="906" t="s">
        <v>1286</v>
      </c>
      <c r="F55" s="906"/>
      <c r="G55" s="906" t="s">
        <v>15177</v>
      </c>
      <c r="H55" s="906"/>
      <c r="I55" s="906"/>
      <c r="J55" s="891" t="str">
        <f>N48</f>
        <v>四日市南ＳＳＣ</v>
      </c>
      <c r="K55" s="981"/>
      <c r="L55" s="190"/>
      <c r="M55" s="196" t="s">
        <v>704</v>
      </c>
      <c r="N55" s="206" t="str">
        <f>IF(ISERROR(VLOOKUP(S55,審判員!$A:$C,2,FALSE))=TRUE,"",VLOOKUP(S55,審判員!$A:$C,2,FALSE))</f>
        <v>菊地　玄</v>
      </c>
      <c r="O55" s="212">
        <f>IF(ISERROR(VLOOKUP(S55,審判員!$A:$C,3,FALSE))=TRUE,"",VLOOKUP(S55,審判員!$A:$C,3,FALSE))</f>
        <v>3</v>
      </c>
      <c r="P55" s="219" t="s">
        <v>612</v>
      </c>
      <c r="Q55" s="906" t="s">
        <v>1286</v>
      </c>
      <c r="R55" s="906"/>
      <c r="S55" s="906" t="s">
        <v>15311</v>
      </c>
      <c r="T55" s="906"/>
      <c r="U55" s="906"/>
      <c r="V55" s="891" t="str">
        <f>B48</f>
        <v>カティオーラフットボールクラブＵ－１２</v>
      </c>
      <c r="W55" s="981"/>
      <c r="Y55" s="590"/>
      <c r="Z55" s="590"/>
      <c r="AA55" s="590"/>
      <c r="AB55" s="960"/>
      <c r="AC55" s="960"/>
      <c r="AD55" s="960"/>
      <c r="AE55" s="960"/>
      <c r="AF55" s="960"/>
      <c r="AG55" s="960"/>
      <c r="AH55" s="590"/>
      <c r="AI55" s="961"/>
      <c r="AJ55" s="961"/>
      <c r="AK55" s="961"/>
      <c r="AL55" s="961"/>
      <c r="AM55" s="961"/>
      <c r="AN55" s="961"/>
      <c r="AO55" s="961"/>
      <c r="AP55" s="961"/>
      <c r="AQ55" s="961"/>
      <c r="AR55" s="961"/>
      <c r="AS55" s="961"/>
      <c r="AT55" s="961"/>
      <c r="AU55" s="961"/>
      <c r="AV55" s="961"/>
      <c r="AW55" s="961"/>
    </row>
    <row r="56" spans="1:67" x14ac:dyDescent="0.25">
      <c r="A56" s="196" t="s">
        <v>2007</v>
      </c>
      <c r="B56" s="206" t="str">
        <f>IF(ISERROR(VLOOKUP(G56,審判員!$A:$C,2,FALSE))=TRUE,"",VLOOKUP(G56,審判員!$A:$C,2,FALSE))</f>
        <v>田上　和広</v>
      </c>
      <c r="C56" s="212">
        <f>IF(ISERROR(VLOOKUP(G56,審判員!$A:$C,3,FALSE))=TRUE,"",VLOOKUP(G56,審判員!$A:$C,3,FALSE))</f>
        <v>3</v>
      </c>
      <c r="D56" s="219" t="s">
        <v>612</v>
      </c>
      <c r="E56" s="906" t="s">
        <v>1286</v>
      </c>
      <c r="F56" s="906"/>
      <c r="G56" s="906" t="s">
        <v>15314</v>
      </c>
      <c r="H56" s="906"/>
      <c r="I56" s="906"/>
      <c r="J56" s="891" t="str">
        <f>V48</f>
        <v>滝尾下郡サッカースポーツ少年団</v>
      </c>
      <c r="K56" s="981"/>
      <c r="L56" s="190"/>
      <c r="M56" s="196" t="s">
        <v>2007</v>
      </c>
      <c r="N56" s="206" t="str">
        <f>IF(ISERROR(VLOOKUP(S56,審判員!$A:$C,2,FALSE))=TRUE,"",VLOOKUP(S56,審判員!$A:$C,2,FALSE))</f>
        <v>五十川　文明</v>
      </c>
      <c r="O56" s="212">
        <f>IF(ISERROR(VLOOKUP(S56,審判員!$A:$C,3,FALSE))=TRUE,"",VLOOKUP(S56,審判員!$A:$C,3,FALSE))</f>
        <v>3</v>
      </c>
      <c r="P56" s="219" t="s">
        <v>612</v>
      </c>
      <c r="Q56" s="906" t="s">
        <v>1286</v>
      </c>
      <c r="R56" s="906"/>
      <c r="S56" s="906" t="s">
        <v>15243</v>
      </c>
      <c r="T56" s="906"/>
      <c r="U56" s="906"/>
      <c r="V56" s="891" t="str">
        <f>J48</f>
        <v>弥生少年サッカークラブ</v>
      </c>
      <c r="W56" s="981"/>
      <c r="Y56" s="58"/>
      <c r="Z56" s="58"/>
      <c r="AA56" s="58"/>
      <c r="AB56" s="58"/>
      <c r="AC56" s="58"/>
      <c r="AD56" s="58"/>
      <c r="AE56" s="58"/>
      <c r="AF56" s="58"/>
      <c r="AG56" s="58"/>
      <c r="AH56" s="58"/>
      <c r="AI56" s="216"/>
      <c r="AJ56" s="216"/>
      <c r="AK56" s="216"/>
      <c r="AL56" s="216"/>
      <c r="AM56" s="216"/>
      <c r="AN56" s="216"/>
      <c r="AO56" s="216"/>
      <c r="AP56" s="216"/>
      <c r="AQ56" s="216"/>
      <c r="AR56" s="216"/>
      <c r="AS56" s="216"/>
      <c r="AT56" s="216"/>
      <c r="AU56" s="216"/>
      <c r="AV56" s="216"/>
      <c r="AW56" s="216"/>
    </row>
    <row r="57" spans="1:67" x14ac:dyDescent="0.25">
      <c r="A57" s="197" t="s">
        <v>2008</v>
      </c>
      <c r="B57" s="207" t="str">
        <f>IF(ISERROR(VLOOKUP(G57,審判員!$A:$C,2,FALSE))=TRUE,"",VLOOKUP(G57,審判員!$A:$C,2,FALSE))</f>
        <v>戸髙　博秋</v>
      </c>
      <c r="C57" s="213">
        <f>IF(ISERROR(VLOOKUP(G57,審判員!$A:$C,3,FALSE))=TRUE,"",VLOOKUP(G57,審判員!$A:$C,3,FALSE))</f>
        <v>3</v>
      </c>
      <c r="D57" s="220" t="s">
        <v>612</v>
      </c>
      <c r="E57" s="977" t="s">
        <v>1286</v>
      </c>
      <c r="F57" s="977"/>
      <c r="G57" s="977" t="s">
        <v>15292</v>
      </c>
      <c r="H57" s="977"/>
      <c r="I57" s="977"/>
      <c r="J57" s="978" t="s">
        <v>788</v>
      </c>
      <c r="K57" s="979"/>
      <c r="L57" s="190"/>
      <c r="M57" s="197" t="s">
        <v>2008</v>
      </c>
      <c r="N57" s="207" t="str">
        <f>IF(ISERROR(VLOOKUP(S57,審判員!$A:$C,2,FALSE))=TRUE,"",VLOOKUP(S57,審判員!$A:$C,2,FALSE))</f>
        <v>竹嶋　仁</v>
      </c>
      <c r="O57" s="213">
        <f>IF(ISERROR(VLOOKUP(S57,審判員!$A:$C,3,FALSE))=TRUE,"",VLOOKUP(S57,審判員!$A:$C,3,FALSE))</f>
        <v>3</v>
      </c>
      <c r="P57" s="220" t="s">
        <v>612</v>
      </c>
      <c r="Q57" s="977" t="s">
        <v>1286</v>
      </c>
      <c r="R57" s="977"/>
      <c r="S57" s="977" t="s">
        <v>15302</v>
      </c>
      <c r="T57" s="977"/>
      <c r="U57" s="977"/>
      <c r="V57" s="978" t="s">
        <v>788</v>
      </c>
      <c r="W57" s="979"/>
      <c r="Y57" s="190"/>
      <c r="Z57" s="190"/>
      <c r="AA57" s="190"/>
    </row>
    <row r="58" spans="1:67" x14ac:dyDescent="0.25">
      <c r="A58" s="198" t="s">
        <v>469</v>
      </c>
      <c r="B58" s="208" t="s">
        <v>606</v>
      </c>
      <c r="C58" s="208" t="s">
        <v>234</v>
      </c>
      <c r="D58" s="208" t="s">
        <v>272</v>
      </c>
      <c r="E58" s="208" t="s">
        <v>750</v>
      </c>
      <c r="F58" s="223"/>
      <c r="G58" s="208" t="s">
        <v>750</v>
      </c>
      <c r="H58" s="208" t="s">
        <v>272</v>
      </c>
      <c r="I58" s="208" t="s">
        <v>234</v>
      </c>
      <c r="J58" s="208" t="s">
        <v>606</v>
      </c>
      <c r="K58" s="225" t="s">
        <v>469</v>
      </c>
      <c r="L58" s="190"/>
      <c r="M58" s="198" t="s">
        <v>469</v>
      </c>
      <c r="N58" s="208" t="s">
        <v>606</v>
      </c>
      <c r="O58" s="208" t="s">
        <v>234</v>
      </c>
      <c r="P58" s="208" t="s">
        <v>272</v>
      </c>
      <c r="Q58" s="208" t="s">
        <v>750</v>
      </c>
      <c r="R58" s="223"/>
      <c r="S58" s="208" t="s">
        <v>750</v>
      </c>
      <c r="T58" s="208" t="s">
        <v>272</v>
      </c>
      <c r="U58" s="208" t="s">
        <v>234</v>
      </c>
      <c r="V58" s="208" t="s">
        <v>606</v>
      </c>
      <c r="W58" s="225" t="s">
        <v>469</v>
      </c>
      <c r="Y58" s="590" t="s">
        <v>430</v>
      </c>
      <c r="Z58" s="590"/>
      <c r="AA58" s="590"/>
      <c r="AB58" s="960" t="str">
        <f>$N$6</f>
        <v>2次リーグ　Dパート</v>
      </c>
      <c r="AC58" s="960"/>
      <c r="AD58" s="960"/>
      <c r="AE58" s="960"/>
      <c r="AF58" s="960"/>
      <c r="AG58" s="960"/>
    </row>
    <row r="59" spans="1:67" x14ac:dyDescent="0.25">
      <c r="A59" s="199"/>
      <c r="B59" s="209" t="str">
        <f>IF(ISERROR(VLOOKUP(CONCATENATE($B$48,"_",C59),選手名簿!$A:$E,5,FALSE))=TRUE,"",VLOOKUP(CONCATENATE($B$48,"_",C59),選手名簿!$A:$E,5,FALSE))</f>
        <v/>
      </c>
      <c r="C59" s="214"/>
      <c r="D59" s="214"/>
      <c r="E59" s="221"/>
      <c r="F59" s="223"/>
      <c r="G59" s="221"/>
      <c r="H59" s="214"/>
      <c r="I59" s="214"/>
      <c r="J59" s="209" t="str">
        <f>IF(ISERROR(VLOOKUP(CONCATENATE($J$48,"_",I59),選手名簿!$A:$E,5,FALSE))=TRUE,"",VLOOKUP(CONCATENATE($J$48,"_",I59),選手名簿!$A:$E,5,FALSE))</f>
        <v/>
      </c>
      <c r="K59" s="226"/>
      <c r="L59" s="190"/>
      <c r="M59" s="199"/>
      <c r="N59" s="209" t="str">
        <f>IF(ISERROR(VLOOKUP(CONCATENATE($N$48,"_",O59),選手名簿!$A:$E,5,FALSE))=TRUE,"",VLOOKUP(CONCATENATE($N$48,"_",O59),選手名簿!$A:$E,5,FALSE))</f>
        <v/>
      </c>
      <c r="O59" s="214"/>
      <c r="P59" s="214"/>
      <c r="Q59" s="221"/>
      <c r="R59" s="223"/>
      <c r="S59" s="221"/>
      <c r="T59" s="214"/>
      <c r="U59" s="214"/>
      <c r="V59" s="206" t="str">
        <f>IF(ISERROR(VLOOKUP(CONCATENATE($V$48,"_",U59),選手名簿!$A:$E,5,FALSE))=TRUE,"",VLOOKUP(CONCATENATE($V$48,"_",U59),選手名簿!$A:$E,5,FALSE))</f>
        <v/>
      </c>
      <c r="W59" s="226"/>
      <c r="Y59" s="590"/>
      <c r="Z59" s="590"/>
      <c r="AA59" s="590"/>
      <c r="AB59" s="962"/>
      <c r="AC59" s="962"/>
      <c r="AD59" s="962"/>
      <c r="AE59" s="962"/>
      <c r="AF59" s="962"/>
      <c r="AG59" s="962"/>
    </row>
    <row r="60" spans="1:67" x14ac:dyDescent="0.25">
      <c r="A60" s="199"/>
      <c r="B60" s="209" t="str">
        <f>IF(ISERROR(VLOOKUP(CONCATENATE($B$48,"_",C60),選手名簿!$A:$E,5,FALSE))=TRUE,"",VLOOKUP(CONCATENATE($B$48,"_",C60),選手名簿!$A:$E,5,FALSE))</f>
        <v/>
      </c>
      <c r="C60" s="214"/>
      <c r="D60" s="214"/>
      <c r="E60" s="221"/>
      <c r="F60" s="223"/>
      <c r="G60" s="221"/>
      <c r="H60" s="214"/>
      <c r="I60" s="214"/>
      <c r="J60" s="209" t="str">
        <f>IF(ISERROR(VLOOKUP(CONCATENATE($J$48,"_",I60),選手名簿!$A:$E,5,FALSE))=TRUE,"",VLOOKUP(CONCATENATE($J$48,"_",I60),選手名簿!$A:$E,5,FALSE))</f>
        <v/>
      </c>
      <c r="K60" s="226"/>
      <c r="L60" s="190"/>
      <c r="M60" s="199"/>
      <c r="N60" s="209" t="str">
        <f>IF(ISERROR(VLOOKUP(CONCATENATE($N$48,"_",O60),選手名簿!$A:$E,5,FALSE))=TRUE,"",VLOOKUP(CONCATENATE($N$48,"_",O60),選手名簿!$A:$E,5,FALSE))</f>
        <v/>
      </c>
      <c r="O60" s="214"/>
      <c r="P60" s="214"/>
      <c r="Q60" s="221"/>
      <c r="R60" s="223"/>
      <c r="S60" s="221"/>
      <c r="T60" s="214"/>
      <c r="U60" s="214"/>
      <c r="V60" s="209" t="str">
        <f>IF(ISERROR(VLOOKUP(CONCATENATE($V$48,"_",U60),選手名簿!$A:$E,5,FALSE))=TRUE,"",VLOOKUP(CONCATENATE($V$48,"_",U60),選手名簿!$A:$E,5,FALSE))</f>
        <v/>
      </c>
      <c r="W60" s="226"/>
      <c r="Y60" s="58"/>
      <c r="Z60" s="713" t="str">
        <f>$N$7</f>
        <v>J</v>
      </c>
      <c r="AA60" s="713"/>
      <c r="AB60" s="713"/>
      <c r="AC60" s="713" t="str">
        <f>$O$7</f>
        <v>滝尾下郡サッカースポーツ少年団</v>
      </c>
      <c r="AD60" s="713"/>
      <c r="AE60" s="713"/>
      <c r="AF60" s="713"/>
      <c r="AG60" s="713"/>
      <c r="AH60" s="713"/>
      <c r="AI60" s="713"/>
      <c r="AJ60" s="713"/>
      <c r="AK60" s="713"/>
      <c r="AL60" s="713"/>
      <c r="AM60" s="713"/>
      <c r="AN60" s="713"/>
      <c r="AO60" s="713"/>
      <c r="AP60" s="713" t="str">
        <f>$V$7</f>
        <v>大分</v>
      </c>
      <c r="AQ60" s="713"/>
      <c r="AR60" s="713"/>
      <c r="AS60" s="713"/>
    </row>
    <row r="61" spans="1:67" x14ac:dyDescent="0.25">
      <c r="A61" s="199"/>
      <c r="B61" s="209" t="str">
        <f>IF(ISERROR(VLOOKUP(CONCATENATE($B$48,"_",C61),選手名簿!$A:$E,5,FALSE))=TRUE,"",VLOOKUP(CONCATENATE($B$48,"_",C61),選手名簿!$A:$E,5,FALSE))</f>
        <v/>
      </c>
      <c r="C61" s="214"/>
      <c r="D61" s="214"/>
      <c r="E61" s="221"/>
      <c r="F61" s="223"/>
      <c r="G61" s="221"/>
      <c r="H61" s="214"/>
      <c r="I61" s="214"/>
      <c r="J61" s="209" t="str">
        <f>IF(ISERROR(VLOOKUP(CONCATENATE($J$48,"_",I61),選手名簿!$A:$E,5,FALSE))=TRUE,"",VLOOKUP(CONCATENATE($J$48,"_",I61),選手名簿!$A:$E,5,FALSE))</f>
        <v/>
      </c>
      <c r="K61" s="226"/>
      <c r="L61" s="190"/>
      <c r="M61" s="199"/>
      <c r="N61" s="209" t="str">
        <f>IF(ISERROR(VLOOKUP(CONCATENATE($N$48,"_",O61),選手名簿!$A:$E,5,FALSE))=TRUE,"",VLOOKUP(CONCATENATE($N$48,"_",O61),選手名簿!$A:$E,5,FALSE))</f>
        <v/>
      </c>
      <c r="O61" s="214"/>
      <c r="P61" s="214"/>
      <c r="Q61" s="221"/>
      <c r="R61" s="223"/>
      <c r="S61" s="221"/>
      <c r="T61" s="214"/>
      <c r="U61" s="214"/>
      <c r="V61" s="209" t="str">
        <f>IF(ISERROR(VLOOKUP(CONCATENATE($V$48,"_",U61),選手名簿!$A:$E,5,FALSE))=TRUE,"",VLOOKUP(CONCATENATE($V$48,"_",U61),選手名簿!$A:$E,5,FALSE))</f>
        <v/>
      </c>
      <c r="W61" s="226"/>
      <c r="Y61" s="58"/>
      <c r="Z61" s="713"/>
      <c r="AA61" s="713"/>
      <c r="AB61" s="713"/>
      <c r="AC61" s="713"/>
      <c r="AD61" s="713"/>
      <c r="AE61" s="713"/>
      <c r="AF61" s="713"/>
      <c r="AG61" s="713"/>
      <c r="AH61" s="713"/>
      <c r="AI61" s="713"/>
      <c r="AJ61" s="713"/>
      <c r="AK61" s="713"/>
      <c r="AL61" s="713"/>
      <c r="AM61" s="713"/>
      <c r="AN61" s="713"/>
      <c r="AO61" s="713"/>
      <c r="AP61" s="713"/>
      <c r="AQ61" s="713"/>
      <c r="AR61" s="713"/>
      <c r="AS61" s="713"/>
    </row>
    <row r="62" spans="1:67" x14ac:dyDescent="0.25">
      <c r="A62" s="199"/>
      <c r="B62" s="209" t="str">
        <f>IF(ISERROR(VLOOKUP(CONCATENATE($B$48,"_",C62),選手名簿!$A:$E,5,FALSE))=TRUE,"",VLOOKUP(CONCATENATE($B$48,"_",C62),選手名簿!$A:$E,5,FALSE))</f>
        <v/>
      </c>
      <c r="C62" s="214"/>
      <c r="D62" s="214"/>
      <c r="E62" s="221"/>
      <c r="F62" s="223"/>
      <c r="G62" s="221"/>
      <c r="H62" s="214"/>
      <c r="I62" s="214"/>
      <c r="J62" s="209" t="str">
        <f>IF(ISERROR(VLOOKUP(CONCATENATE($J$48,"_",I62),選手名簿!$A:$E,5,FALSE))=TRUE,"",VLOOKUP(CONCATENATE($J$48,"_",I62),選手名簿!$A:$E,5,FALSE))</f>
        <v/>
      </c>
      <c r="K62" s="226"/>
      <c r="L62" s="190"/>
      <c r="M62" s="199"/>
      <c r="N62" s="209" t="str">
        <f>IF(ISERROR(VLOOKUP(CONCATENATE($N$48,"_",O62),選手名簿!$A:$E,5,FALSE))=TRUE,"",VLOOKUP(CONCATENATE($N$48,"_",O62),選手名簿!$A:$E,5,FALSE))</f>
        <v/>
      </c>
      <c r="O62" s="214"/>
      <c r="P62" s="214"/>
      <c r="Q62" s="221"/>
      <c r="R62" s="223"/>
      <c r="S62" s="221"/>
      <c r="T62" s="214"/>
      <c r="U62" s="214"/>
      <c r="V62" s="209" t="str">
        <f>IF(ISERROR(VLOOKUP(CONCATENATE($V$48,"_",U62),選手名簿!$A:$E,5,FALSE))=TRUE,"",VLOOKUP(CONCATENATE($V$48,"_",U62),選手名簿!$A:$E,5,FALSE))</f>
        <v/>
      </c>
      <c r="W62" s="226"/>
      <c r="Y62" s="58"/>
      <c r="Z62" s="713" t="str">
        <f>$N$8</f>
        <v>K</v>
      </c>
      <c r="AA62" s="713"/>
      <c r="AB62" s="713"/>
      <c r="AC62" s="713" t="str">
        <f>$O$8</f>
        <v>戸次吉野ＳＳＳ</v>
      </c>
      <c r="AD62" s="713"/>
      <c r="AE62" s="713"/>
      <c r="AF62" s="713"/>
      <c r="AG62" s="713"/>
      <c r="AH62" s="713"/>
      <c r="AI62" s="713"/>
      <c r="AJ62" s="713"/>
      <c r="AK62" s="713"/>
      <c r="AL62" s="713"/>
      <c r="AM62" s="713"/>
      <c r="AN62" s="713"/>
      <c r="AO62" s="713"/>
      <c r="AP62" s="713" t="str">
        <f>$V$8</f>
        <v>大分</v>
      </c>
      <c r="AQ62" s="713"/>
      <c r="AR62" s="713"/>
      <c r="AS62" s="713"/>
    </row>
    <row r="63" spans="1:67" x14ac:dyDescent="0.25">
      <c r="A63" s="200"/>
      <c r="B63" s="210" t="str">
        <f>IF(ISERROR(VLOOKUP(CONCATENATE($B$48,"_",C63),選手名簿!$A:$E,5,FALSE))=TRUE,"",VLOOKUP(CONCATENATE($B$48,"_",C63),選手名簿!$A:$E,5,FALSE))</f>
        <v/>
      </c>
      <c r="C63" s="215"/>
      <c r="D63" s="215"/>
      <c r="E63" s="222"/>
      <c r="F63" s="224"/>
      <c r="G63" s="222"/>
      <c r="H63" s="215"/>
      <c r="I63" s="215"/>
      <c r="J63" s="210" t="str">
        <f>IF(ISERROR(VLOOKUP(CONCATENATE($J$48,"_",I63),選手名簿!$A:$E,5,FALSE))=TRUE,"",VLOOKUP(CONCATENATE($J$48,"_",I63),選手名簿!$A:$E,5,FALSE))</f>
        <v/>
      </c>
      <c r="K63" s="227"/>
      <c r="L63" s="190"/>
      <c r="M63" s="200"/>
      <c r="N63" s="210" t="str">
        <f>IF(ISERROR(VLOOKUP(CONCATENATE($N$48,"_",O63),選手名簿!$A:$E,5,FALSE))=TRUE,"",VLOOKUP(CONCATENATE($N$48,"_",O63),選手名簿!$A:$E,5,FALSE))</f>
        <v/>
      </c>
      <c r="O63" s="215"/>
      <c r="P63" s="215"/>
      <c r="Q63" s="222"/>
      <c r="R63" s="224"/>
      <c r="S63" s="222"/>
      <c r="T63" s="215"/>
      <c r="U63" s="215"/>
      <c r="V63" s="210" t="str">
        <f>IF(ISERROR(VLOOKUP(CONCATENATE($V$48,"_",U63),選手名簿!$A:$E,5,FALSE))=TRUE,"",VLOOKUP(CONCATENATE($V$48,"_",U63),選手名簿!$A:$E,5,FALSE))</f>
        <v/>
      </c>
      <c r="W63" s="227"/>
      <c r="Y63" s="58"/>
      <c r="Z63" s="713"/>
      <c r="AA63" s="713"/>
      <c r="AB63" s="713"/>
      <c r="AC63" s="713"/>
      <c r="AD63" s="713"/>
      <c r="AE63" s="713"/>
      <c r="AF63" s="713"/>
      <c r="AG63" s="713"/>
      <c r="AH63" s="713"/>
      <c r="AI63" s="713"/>
      <c r="AJ63" s="713"/>
      <c r="AK63" s="713"/>
      <c r="AL63" s="713"/>
      <c r="AM63" s="713"/>
      <c r="AN63" s="713"/>
      <c r="AO63" s="713"/>
      <c r="AP63" s="713"/>
      <c r="AQ63" s="713"/>
      <c r="AR63" s="713"/>
      <c r="AS63" s="713"/>
    </row>
    <row r="64" spans="1:67" ht="18.75" customHeight="1" x14ac:dyDescent="0.25">
      <c r="A64" s="190"/>
      <c r="B64" s="190"/>
      <c r="C64" s="190"/>
      <c r="D64" s="190"/>
      <c r="E64" s="190"/>
      <c r="F64" s="190"/>
      <c r="G64" s="190"/>
      <c r="H64" s="190"/>
      <c r="I64" s="190"/>
      <c r="J64" s="190"/>
      <c r="K64" s="190"/>
      <c r="L64" s="190"/>
      <c r="M64" s="190"/>
      <c r="N64" s="190"/>
      <c r="O64" s="190"/>
      <c r="P64" s="190"/>
      <c r="Q64" s="190"/>
      <c r="R64" s="190"/>
      <c r="S64" s="190"/>
      <c r="T64" s="190"/>
      <c r="U64" s="190"/>
      <c r="V64" s="190"/>
      <c r="Y64" s="190"/>
      <c r="Z64" s="713" t="str">
        <f>$N$9</f>
        <v>L</v>
      </c>
      <c r="AA64" s="713"/>
      <c r="AB64" s="713"/>
      <c r="AC64" s="713" t="str">
        <f>$O$9</f>
        <v>四日市南ＳＳＣ</v>
      </c>
      <c r="AD64" s="713"/>
      <c r="AE64" s="713"/>
      <c r="AF64" s="713"/>
      <c r="AG64" s="713"/>
      <c r="AH64" s="713"/>
      <c r="AI64" s="713"/>
      <c r="AJ64" s="713"/>
      <c r="AK64" s="713"/>
      <c r="AL64" s="713"/>
      <c r="AM64" s="713"/>
      <c r="AN64" s="713"/>
      <c r="AO64" s="713"/>
      <c r="AP64" s="713" t="str">
        <f>$V$9</f>
        <v>宇佐高田</v>
      </c>
      <c r="AQ64" s="713"/>
      <c r="AR64" s="713"/>
      <c r="AS64" s="713"/>
    </row>
    <row r="65" spans="25:67" x14ac:dyDescent="0.25">
      <c r="Z65" s="713"/>
      <c r="AA65" s="713"/>
      <c r="AB65" s="713"/>
      <c r="AC65" s="713"/>
      <c r="AD65" s="713"/>
      <c r="AE65" s="713"/>
      <c r="AF65" s="713"/>
      <c r="AG65" s="713"/>
      <c r="AH65" s="713"/>
      <c r="AI65" s="713"/>
      <c r="AJ65" s="713"/>
      <c r="AK65" s="713"/>
      <c r="AL65" s="713"/>
      <c r="AM65" s="713"/>
      <c r="AN65" s="713"/>
      <c r="AO65" s="713"/>
      <c r="AP65" s="713"/>
      <c r="AQ65" s="713"/>
      <c r="AR65" s="713"/>
      <c r="AS65" s="713"/>
    </row>
    <row r="70" spans="25:67" ht="18.75" customHeight="1" x14ac:dyDescent="0.25"/>
    <row r="71" spans="25:67" ht="18.75" customHeight="1" x14ac:dyDescent="0.25"/>
    <row r="72" spans="25:67" ht="18.75" customHeight="1" x14ac:dyDescent="0.25">
      <c r="Y72" s="954" t="str">
        <f>$Y$6</f>
        <v>パート</v>
      </c>
      <c r="Z72" s="955"/>
      <c r="AA72" s="955"/>
      <c r="AB72" s="955"/>
      <c r="AC72" s="955" t="str">
        <f>$AB$58</f>
        <v>2次リーグ　Dパート</v>
      </c>
      <c r="AD72" s="955"/>
      <c r="AE72" s="956"/>
      <c r="AF72" s="945" t="str">
        <f>$Y$78</f>
        <v>滝尾下郡サッカースポーツ少年団</v>
      </c>
      <c r="AG72" s="945"/>
      <c r="AH72" s="945"/>
      <c r="AI72" s="945"/>
      <c r="AJ72" s="945"/>
      <c r="AK72" s="945" t="str">
        <f>$Y$84</f>
        <v>戸次吉野ＳＳＳ</v>
      </c>
      <c r="AL72" s="945"/>
      <c r="AM72" s="945"/>
      <c r="AN72" s="945"/>
      <c r="AO72" s="945"/>
      <c r="AP72" s="945" t="str">
        <f>$Y$90</f>
        <v>四日市南ＳＳＣ</v>
      </c>
      <c r="AQ72" s="945"/>
      <c r="AR72" s="945"/>
      <c r="AS72" s="945"/>
      <c r="AT72" s="945"/>
      <c r="AU72" s="945" t="s">
        <v>1535</v>
      </c>
      <c r="AV72" s="945"/>
      <c r="AW72" s="944" t="s">
        <v>2060</v>
      </c>
      <c r="AX72" s="945"/>
      <c r="AY72" s="944" t="s">
        <v>1208</v>
      </c>
      <c r="AZ72" s="945"/>
      <c r="BA72" s="945" t="s">
        <v>1727</v>
      </c>
      <c r="BB72" s="945"/>
      <c r="BC72" s="945" t="s">
        <v>2005</v>
      </c>
      <c r="BD72" s="945"/>
      <c r="BE72" s="945" t="s">
        <v>2006</v>
      </c>
      <c r="BF72" s="945"/>
      <c r="BG72" s="945" t="s">
        <v>1768</v>
      </c>
      <c r="BH72" s="945"/>
      <c r="BI72" s="944" t="s">
        <v>698</v>
      </c>
      <c r="BJ72" s="945"/>
      <c r="BK72" s="944" t="s">
        <v>1100</v>
      </c>
      <c r="BL72" s="945"/>
      <c r="BM72" s="944" t="s">
        <v>502</v>
      </c>
      <c r="BN72" s="945"/>
      <c r="BO72" s="947" t="s">
        <v>2127</v>
      </c>
    </row>
    <row r="73" spans="25:67" ht="18.75" customHeight="1" x14ac:dyDescent="0.25">
      <c r="Y73" s="905"/>
      <c r="Z73" s="906"/>
      <c r="AA73" s="906"/>
      <c r="AB73" s="906"/>
      <c r="AC73" s="906"/>
      <c r="AD73" s="906"/>
      <c r="AE73" s="957"/>
      <c r="AF73" s="946"/>
      <c r="AG73" s="946"/>
      <c r="AH73" s="946"/>
      <c r="AI73" s="946"/>
      <c r="AJ73" s="946"/>
      <c r="AK73" s="946"/>
      <c r="AL73" s="946"/>
      <c r="AM73" s="946"/>
      <c r="AN73" s="946"/>
      <c r="AO73" s="946"/>
      <c r="AP73" s="946"/>
      <c r="AQ73" s="946"/>
      <c r="AR73" s="946"/>
      <c r="AS73" s="946"/>
      <c r="AT73" s="946"/>
      <c r="AU73" s="946"/>
      <c r="AV73" s="946"/>
      <c r="AW73" s="946"/>
      <c r="AX73" s="946"/>
      <c r="AY73" s="946"/>
      <c r="AZ73" s="946"/>
      <c r="BA73" s="946"/>
      <c r="BB73" s="946"/>
      <c r="BC73" s="946"/>
      <c r="BD73" s="946"/>
      <c r="BE73" s="946"/>
      <c r="BF73" s="946"/>
      <c r="BG73" s="946"/>
      <c r="BH73" s="946"/>
      <c r="BI73" s="946"/>
      <c r="BJ73" s="946"/>
      <c r="BK73" s="946"/>
      <c r="BL73" s="946"/>
      <c r="BM73" s="946"/>
      <c r="BN73" s="946"/>
      <c r="BO73" s="948"/>
    </row>
    <row r="74" spans="25:67" ht="18.75" customHeight="1" x14ac:dyDescent="0.25">
      <c r="Y74" s="905"/>
      <c r="Z74" s="906"/>
      <c r="AA74" s="906"/>
      <c r="AB74" s="906"/>
      <c r="AC74" s="906"/>
      <c r="AD74" s="906"/>
      <c r="AE74" s="957"/>
      <c r="AF74" s="946"/>
      <c r="AG74" s="946"/>
      <c r="AH74" s="946"/>
      <c r="AI74" s="946"/>
      <c r="AJ74" s="946"/>
      <c r="AK74" s="946"/>
      <c r="AL74" s="946"/>
      <c r="AM74" s="946"/>
      <c r="AN74" s="946"/>
      <c r="AO74" s="946"/>
      <c r="AP74" s="946"/>
      <c r="AQ74" s="946"/>
      <c r="AR74" s="946"/>
      <c r="AS74" s="946"/>
      <c r="AT74" s="946"/>
      <c r="AU74" s="946"/>
      <c r="AV74" s="946"/>
      <c r="AW74" s="946"/>
      <c r="AX74" s="946"/>
      <c r="AY74" s="946"/>
      <c r="AZ74" s="946"/>
      <c r="BA74" s="946"/>
      <c r="BB74" s="946"/>
      <c r="BC74" s="946"/>
      <c r="BD74" s="946"/>
      <c r="BE74" s="946"/>
      <c r="BF74" s="946"/>
      <c r="BG74" s="946"/>
      <c r="BH74" s="946"/>
      <c r="BI74" s="946"/>
      <c r="BJ74" s="946"/>
      <c r="BK74" s="946"/>
      <c r="BL74" s="946"/>
      <c r="BM74" s="946"/>
      <c r="BN74" s="946"/>
      <c r="BO74" s="948"/>
    </row>
    <row r="75" spans="25:67" ht="19.5" customHeight="1" x14ac:dyDescent="0.25">
      <c r="Y75" s="905"/>
      <c r="Z75" s="906"/>
      <c r="AA75" s="906"/>
      <c r="AB75" s="906"/>
      <c r="AC75" s="906"/>
      <c r="AD75" s="906"/>
      <c r="AE75" s="957"/>
      <c r="AF75" s="946"/>
      <c r="AG75" s="946"/>
      <c r="AH75" s="946"/>
      <c r="AI75" s="946"/>
      <c r="AJ75" s="946"/>
      <c r="AK75" s="946"/>
      <c r="AL75" s="946"/>
      <c r="AM75" s="946"/>
      <c r="AN75" s="946"/>
      <c r="AO75" s="946"/>
      <c r="AP75" s="946"/>
      <c r="AQ75" s="946"/>
      <c r="AR75" s="946"/>
      <c r="AS75" s="946"/>
      <c r="AT75" s="946"/>
      <c r="AU75" s="946"/>
      <c r="AV75" s="946"/>
      <c r="AW75" s="946"/>
      <c r="AX75" s="946"/>
      <c r="AY75" s="946"/>
      <c r="AZ75" s="946"/>
      <c r="BA75" s="946"/>
      <c r="BB75" s="946"/>
      <c r="BC75" s="946"/>
      <c r="BD75" s="946"/>
      <c r="BE75" s="946"/>
      <c r="BF75" s="946"/>
      <c r="BG75" s="946"/>
      <c r="BH75" s="946"/>
      <c r="BI75" s="946"/>
      <c r="BJ75" s="946"/>
      <c r="BK75" s="946"/>
      <c r="BL75" s="946"/>
      <c r="BM75" s="946"/>
      <c r="BN75" s="946"/>
      <c r="BO75" s="948"/>
    </row>
    <row r="76" spans="25:67" ht="19.5" customHeight="1" x14ac:dyDescent="0.25">
      <c r="Y76" s="905"/>
      <c r="Z76" s="906"/>
      <c r="AA76" s="906"/>
      <c r="AB76" s="906"/>
      <c r="AC76" s="906"/>
      <c r="AD76" s="906"/>
      <c r="AE76" s="957"/>
      <c r="AF76" s="946"/>
      <c r="AG76" s="946"/>
      <c r="AH76" s="946"/>
      <c r="AI76" s="946"/>
      <c r="AJ76" s="946"/>
      <c r="AK76" s="946"/>
      <c r="AL76" s="946"/>
      <c r="AM76" s="946"/>
      <c r="AN76" s="946"/>
      <c r="AO76" s="946"/>
      <c r="AP76" s="946"/>
      <c r="AQ76" s="946"/>
      <c r="AR76" s="946"/>
      <c r="AS76" s="946"/>
      <c r="AT76" s="946"/>
      <c r="AU76" s="946"/>
      <c r="AV76" s="946"/>
      <c r="AW76" s="946"/>
      <c r="AX76" s="946"/>
      <c r="AY76" s="946"/>
      <c r="AZ76" s="946"/>
      <c r="BA76" s="946"/>
      <c r="BB76" s="946"/>
      <c r="BC76" s="946"/>
      <c r="BD76" s="946"/>
      <c r="BE76" s="946"/>
      <c r="BF76" s="946"/>
      <c r="BG76" s="946"/>
      <c r="BH76" s="946"/>
      <c r="BI76" s="946"/>
      <c r="BJ76" s="946"/>
      <c r="BK76" s="946"/>
      <c r="BL76" s="946"/>
      <c r="BM76" s="946"/>
      <c r="BN76" s="946"/>
      <c r="BO76" s="948"/>
    </row>
    <row r="77" spans="25:67" ht="18.75" customHeight="1" x14ac:dyDescent="0.25">
      <c r="Y77" s="941"/>
      <c r="Z77" s="936"/>
      <c r="AA77" s="936"/>
      <c r="AB77" s="936"/>
      <c r="AC77" s="936"/>
      <c r="AD77" s="936"/>
      <c r="AE77" s="958"/>
      <c r="AF77" s="946"/>
      <c r="AG77" s="946"/>
      <c r="AH77" s="946"/>
      <c r="AI77" s="946"/>
      <c r="AJ77" s="946"/>
      <c r="AK77" s="946"/>
      <c r="AL77" s="946"/>
      <c r="AM77" s="946"/>
      <c r="AN77" s="946"/>
      <c r="AO77" s="946"/>
      <c r="AP77" s="946"/>
      <c r="AQ77" s="946"/>
      <c r="AR77" s="946"/>
      <c r="AS77" s="946"/>
      <c r="AT77" s="946"/>
      <c r="AU77" s="946"/>
      <c r="AV77" s="946"/>
      <c r="AW77" s="946"/>
      <c r="AX77" s="946"/>
      <c r="AY77" s="946"/>
      <c r="AZ77" s="946"/>
      <c r="BA77" s="946"/>
      <c r="BB77" s="946"/>
      <c r="BC77" s="946"/>
      <c r="BD77" s="946"/>
      <c r="BE77" s="946"/>
      <c r="BF77" s="946"/>
      <c r="BG77" s="946"/>
      <c r="BH77" s="946"/>
      <c r="BI77" s="946"/>
      <c r="BJ77" s="946"/>
      <c r="BK77" s="946"/>
      <c r="BL77" s="946"/>
      <c r="BM77" s="946"/>
      <c r="BN77" s="946"/>
      <c r="BO77" s="949"/>
    </row>
    <row r="78" spans="25:67" ht="18.75" customHeight="1" x14ac:dyDescent="0.25">
      <c r="Y78" s="939" t="str">
        <f>$AC$60</f>
        <v>滝尾下郡サッカースポーツ少年団</v>
      </c>
      <c r="Z78" s="940"/>
      <c r="AA78" s="940"/>
      <c r="AB78" s="940"/>
      <c r="AC78" s="940"/>
      <c r="AD78" s="940" t="s">
        <v>242</v>
      </c>
      <c r="AE78" s="940"/>
      <c r="AF78" s="950"/>
      <c r="AG78" s="942"/>
      <c r="AH78" s="942"/>
      <c r="AI78" s="942"/>
      <c r="AJ78" s="951"/>
      <c r="AK78" s="923" t="str">
        <f>IF(AK82="","",IF(AK82&gt;AN82,"○",IF(AK82&lt;AN82,"●",IF(AK80&gt;AN80,"△",IF(AK80&lt;AN80,"▲")))))</f>
        <v>○</v>
      </c>
      <c r="AL78" s="924"/>
      <c r="AM78" s="924"/>
      <c r="AN78" s="924"/>
      <c r="AO78" s="925"/>
      <c r="AP78" s="923" t="str">
        <f>IF(AP82="","",IF(AP82&gt;AS82,"○",IF(AP82&lt;AS82,"●",IF(AP80&gt;AS80,"△",IF(AP80&lt;AS80,"▲")))))</f>
        <v>●</v>
      </c>
      <c r="AQ78" s="924"/>
      <c r="AR78" s="924"/>
      <c r="AS78" s="924"/>
      <c r="AT78" s="925"/>
      <c r="AU78" s="903">
        <f>COUNTIF($AF$78:$AT$79,"○")</f>
        <v>1</v>
      </c>
      <c r="AV78" s="903"/>
      <c r="AW78" s="903">
        <f>COUNTIF($AF$78:$AT$79,"△")</f>
        <v>0</v>
      </c>
      <c r="AX78" s="903"/>
      <c r="AY78" s="903">
        <f>COUNTIF($AF$78:$AT$79,"▲")</f>
        <v>0</v>
      </c>
      <c r="AZ78" s="903"/>
      <c r="BA78" s="903">
        <f>COUNTIF($AF$78:$AT$79,"●")</f>
        <v>1</v>
      </c>
      <c r="BB78" s="903"/>
      <c r="BC78" s="903">
        <f>SUM($AK$82,$AP$82)</f>
        <v>2</v>
      </c>
      <c r="BD78" s="903"/>
      <c r="BE78" s="903">
        <f>SUM($AN$82,$AS$82)</f>
        <v>3</v>
      </c>
      <c r="BF78" s="903"/>
      <c r="BG78" s="903">
        <f>($AU$78*3)+($AW$78*2)+($AY$78*1)</f>
        <v>3</v>
      </c>
      <c r="BH78" s="903"/>
      <c r="BI78" s="910">
        <f>RANK($BG$78,$BG$78:$BH$95)</f>
        <v>2</v>
      </c>
      <c r="BJ78" s="910"/>
      <c r="BK78" s="903">
        <f>$BC$78-$BE$78</f>
        <v>-1</v>
      </c>
      <c r="BL78" s="903"/>
      <c r="BM78" s="910">
        <f>RANK($BK$78,$BK$78:$BL$95)</f>
        <v>2</v>
      </c>
      <c r="BN78" s="910"/>
      <c r="BO78" s="912"/>
    </row>
    <row r="79" spans="25:67" ht="18.75" customHeight="1" x14ac:dyDescent="0.25">
      <c r="Y79" s="905"/>
      <c r="Z79" s="906"/>
      <c r="AA79" s="906"/>
      <c r="AB79" s="906"/>
      <c r="AC79" s="906"/>
      <c r="AD79" s="906"/>
      <c r="AE79" s="906"/>
      <c r="AF79" s="929"/>
      <c r="AG79" s="930"/>
      <c r="AH79" s="930"/>
      <c r="AI79" s="930"/>
      <c r="AJ79" s="931"/>
      <c r="AK79" s="917"/>
      <c r="AL79" s="918"/>
      <c r="AM79" s="918"/>
      <c r="AN79" s="918"/>
      <c r="AO79" s="920"/>
      <c r="AP79" s="917"/>
      <c r="AQ79" s="918"/>
      <c r="AR79" s="918"/>
      <c r="AS79" s="918"/>
      <c r="AT79" s="920"/>
      <c r="AU79" s="903"/>
      <c r="AV79" s="903"/>
      <c r="AW79" s="903"/>
      <c r="AX79" s="903"/>
      <c r="AY79" s="903"/>
      <c r="AZ79" s="903"/>
      <c r="BA79" s="903"/>
      <c r="BB79" s="903"/>
      <c r="BC79" s="903"/>
      <c r="BD79" s="903"/>
      <c r="BE79" s="903"/>
      <c r="BF79" s="903"/>
      <c r="BG79" s="903"/>
      <c r="BH79" s="903"/>
      <c r="BI79" s="910"/>
      <c r="BJ79" s="910"/>
      <c r="BK79" s="903"/>
      <c r="BL79" s="903"/>
      <c r="BM79" s="910"/>
      <c r="BN79" s="910"/>
      <c r="BO79" s="913"/>
    </row>
    <row r="80" spans="25:67" ht="18.75" customHeight="1" x14ac:dyDescent="0.25">
      <c r="Y80" s="905"/>
      <c r="Z80" s="906"/>
      <c r="AA80" s="906"/>
      <c r="AB80" s="906"/>
      <c r="AC80" s="906"/>
      <c r="AD80" s="906"/>
      <c r="AE80" s="906"/>
      <c r="AF80" s="929"/>
      <c r="AG80" s="930"/>
      <c r="AH80" s="930"/>
      <c r="AI80" s="930"/>
      <c r="AJ80" s="931"/>
      <c r="AK80" s="915" t="str">
        <f>IF($Q$14="","",$Q$14)</f>
        <v/>
      </c>
      <c r="AL80" s="916"/>
      <c r="AM80" s="916" t="s">
        <v>2011</v>
      </c>
      <c r="AN80" s="916" t="str">
        <f>IF($S$14="","",$S$14)</f>
        <v/>
      </c>
      <c r="AO80" s="919"/>
      <c r="AP80" s="915" t="str">
        <f>IF($S$50="","",$S$50)</f>
        <v/>
      </c>
      <c r="AQ80" s="916"/>
      <c r="AR80" s="916" t="s">
        <v>2011</v>
      </c>
      <c r="AS80" s="916" t="str">
        <f>IF($Q$50="","",$Q$50)</f>
        <v/>
      </c>
      <c r="AT80" s="919"/>
      <c r="AU80" s="903"/>
      <c r="AV80" s="903"/>
      <c r="AW80" s="903"/>
      <c r="AX80" s="903"/>
      <c r="AY80" s="903"/>
      <c r="AZ80" s="903"/>
      <c r="BA80" s="903"/>
      <c r="BB80" s="903"/>
      <c r="BC80" s="903"/>
      <c r="BD80" s="903"/>
      <c r="BE80" s="903"/>
      <c r="BF80" s="903"/>
      <c r="BG80" s="903"/>
      <c r="BH80" s="903"/>
      <c r="BI80" s="910"/>
      <c r="BJ80" s="910"/>
      <c r="BK80" s="903"/>
      <c r="BL80" s="903"/>
      <c r="BM80" s="910"/>
      <c r="BN80" s="910"/>
      <c r="BO80" s="913"/>
    </row>
    <row r="81" spans="25:67" ht="19.5" customHeight="1" x14ac:dyDescent="0.25">
      <c r="Y81" s="905"/>
      <c r="Z81" s="906"/>
      <c r="AA81" s="906"/>
      <c r="AB81" s="906"/>
      <c r="AC81" s="906"/>
      <c r="AD81" s="906" t="s">
        <v>2010</v>
      </c>
      <c r="AE81" s="906"/>
      <c r="AF81" s="929"/>
      <c r="AG81" s="930"/>
      <c r="AH81" s="930"/>
      <c r="AI81" s="930"/>
      <c r="AJ81" s="931"/>
      <c r="AK81" s="917"/>
      <c r="AL81" s="918"/>
      <c r="AM81" s="918"/>
      <c r="AN81" s="918"/>
      <c r="AO81" s="920"/>
      <c r="AP81" s="917"/>
      <c r="AQ81" s="918"/>
      <c r="AR81" s="918"/>
      <c r="AS81" s="918"/>
      <c r="AT81" s="920"/>
      <c r="AU81" s="903"/>
      <c r="AV81" s="903"/>
      <c r="AW81" s="903"/>
      <c r="AX81" s="903"/>
      <c r="AY81" s="903"/>
      <c r="AZ81" s="903"/>
      <c r="BA81" s="903"/>
      <c r="BB81" s="903"/>
      <c r="BC81" s="903"/>
      <c r="BD81" s="903"/>
      <c r="BE81" s="903"/>
      <c r="BF81" s="903"/>
      <c r="BG81" s="903"/>
      <c r="BH81" s="903"/>
      <c r="BI81" s="910"/>
      <c r="BJ81" s="910"/>
      <c r="BK81" s="903"/>
      <c r="BL81" s="903"/>
      <c r="BM81" s="910"/>
      <c r="BN81" s="910"/>
      <c r="BO81" s="913"/>
    </row>
    <row r="82" spans="25:67" ht="18.75" customHeight="1" x14ac:dyDescent="0.25">
      <c r="Y82" s="905"/>
      <c r="Z82" s="906"/>
      <c r="AA82" s="906"/>
      <c r="AB82" s="906"/>
      <c r="AC82" s="906"/>
      <c r="AD82" s="906"/>
      <c r="AE82" s="906"/>
      <c r="AF82" s="929"/>
      <c r="AG82" s="930"/>
      <c r="AH82" s="930"/>
      <c r="AI82" s="930"/>
      <c r="AJ82" s="931"/>
      <c r="AK82" s="915">
        <f>$O$12</f>
        <v>2</v>
      </c>
      <c r="AL82" s="916"/>
      <c r="AM82" s="916" t="s">
        <v>2011</v>
      </c>
      <c r="AN82" s="916">
        <f>$U$12</f>
        <v>1</v>
      </c>
      <c r="AO82" s="919"/>
      <c r="AP82" s="915">
        <f>$U$48</f>
        <v>0</v>
      </c>
      <c r="AQ82" s="916"/>
      <c r="AR82" s="916" t="s">
        <v>2011</v>
      </c>
      <c r="AS82" s="916">
        <f>$O$48</f>
        <v>2</v>
      </c>
      <c r="AT82" s="919"/>
      <c r="AU82" s="903"/>
      <c r="AV82" s="903"/>
      <c r="AW82" s="903"/>
      <c r="AX82" s="903"/>
      <c r="AY82" s="903"/>
      <c r="AZ82" s="903"/>
      <c r="BA82" s="903"/>
      <c r="BB82" s="903"/>
      <c r="BC82" s="903"/>
      <c r="BD82" s="903"/>
      <c r="BE82" s="903"/>
      <c r="BF82" s="903"/>
      <c r="BG82" s="903"/>
      <c r="BH82" s="903"/>
      <c r="BI82" s="910"/>
      <c r="BJ82" s="910"/>
      <c r="BK82" s="903"/>
      <c r="BL82" s="903"/>
      <c r="BM82" s="910"/>
      <c r="BN82" s="910"/>
      <c r="BO82" s="913"/>
    </row>
    <row r="83" spans="25:67" ht="18.75" customHeight="1" x14ac:dyDescent="0.25">
      <c r="Y83" s="941"/>
      <c r="Z83" s="936"/>
      <c r="AA83" s="936"/>
      <c r="AB83" s="936"/>
      <c r="AC83" s="936"/>
      <c r="AD83" s="936"/>
      <c r="AE83" s="936"/>
      <c r="AF83" s="952"/>
      <c r="AG83" s="943"/>
      <c r="AH83" s="943"/>
      <c r="AI83" s="943"/>
      <c r="AJ83" s="953"/>
      <c r="AK83" s="937"/>
      <c r="AL83" s="560"/>
      <c r="AM83" s="560"/>
      <c r="AN83" s="560"/>
      <c r="AO83" s="938"/>
      <c r="AP83" s="937"/>
      <c r="AQ83" s="560"/>
      <c r="AR83" s="560"/>
      <c r="AS83" s="560"/>
      <c r="AT83" s="938"/>
      <c r="AU83" s="903"/>
      <c r="AV83" s="903"/>
      <c r="AW83" s="903"/>
      <c r="AX83" s="903"/>
      <c r="AY83" s="903"/>
      <c r="AZ83" s="903"/>
      <c r="BA83" s="903"/>
      <c r="BB83" s="903"/>
      <c r="BC83" s="903"/>
      <c r="BD83" s="903"/>
      <c r="BE83" s="903"/>
      <c r="BF83" s="903"/>
      <c r="BG83" s="903"/>
      <c r="BH83" s="903"/>
      <c r="BI83" s="910"/>
      <c r="BJ83" s="910"/>
      <c r="BK83" s="903"/>
      <c r="BL83" s="903"/>
      <c r="BM83" s="910"/>
      <c r="BN83" s="910"/>
      <c r="BO83" s="935"/>
    </row>
    <row r="84" spans="25:67" ht="18.75" customHeight="1" x14ac:dyDescent="0.25">
      <c r="Y84" s="939" t="str">
        <f>$AC$62</f>
        <v>戸次吉野ＳＳＳ</v>
      </c>
      <c r="Z84" s="940"/>
      <c r="AA84" s="940"/>
      <c r="AB84" s="940"/>
      <c r="AC84" s="940"/>
      <c r="AD84" s="940" t="s">
        <v>242</v>
      </c>
      <c r="AE84" s="940"/>
      <c r="AF84" s="923" t="str">
        <f>IF(AF88="","",IF(AF88&gt;AI88,"○",IF(AF88&lt;AI88,"●",IF(AF86&gt;AI86,"△",IF(AF86&lt;AI86,"▲")))))</f>
        <v>●</v>
      </c>
      <c r="AG84" s="924"/>
      <c r="AH84" s="924"/>
      <c r="AI84" s="924"/>
      <c r="AJ84" s="925"/>
      <c r="AK84" s="942"/>
      <c r="AL84" s="942"/>
      <c r="AM84" s="942"/>
      <c r="AN84" s="942"/>
      <c r="AO84" s="942"/>
      <c r="AP84" s="923" t="str">
        <f>IF(AP88="","",IF(AP88&gt;AS88,"○",IF(AP88&lt;AS88,"●",IF(AP86&gt;AS86,"△",IF(AP86&lt;AS86,"▲")))))</f>
        <v>●</v>
      </c>
      <c r="AQ84" s="924"/>
      <c r="AR84" s="924"/>
      <c r="AS84" s="924"/>
      <c r="AT84" s="925"/>
      <c r="AU84" s="903">
        <f>COUNTIF($AF$84:$AT$85,"○")</f>
        <v>0</v>
      </c>
      <c r="AV84" s="903"/>
      <c r="AW84" s="903">
        <f>COUNTIF($AF$84:$AT$85,"△")</f>
        <v>0</v>
      </c>
      <c r="AX84" s="903"/>
      <c r="AY84" s="903">
        <f>COUNTIF($AF$84:$AT$85,"▲")</f>
        <v>0</v>
      </c>
      <c r="AZ84" s="903"/>
      <c r="BA84" s="903">
        <f>COUNTIF($AF$84:$AT$85,"●")</f>
        <v>2</v>
      </c>
      <c r="BB84" s="903"/>
      <c r="BC84" s="903">
        <f>SUM($AF$88,$AP$88)</f>
        <v>1</v>
      </c>
      <c r="BD84" s="903"/>
      <c r="BE84" s="903">
        <f>SUM($AI$88,$AS$88)</f>
        <v>5</v>
      </c>
      <c r="BF84" s="903"/>
      <c r="BG84" s="903">
        <f>($AU$84*3)+($AW$84*2)+($AY$84*1)</f>
        <v>0</v>
      </c>
      <c r="BH84" s="903"/>
      <c r="BI84" s="910">
        <f>RANK($BG$84,$BG$78:$BH$95)</f>
        <v>3</v>
      </c>
      <c r="BJ84" s="910"/>
      <c r="BK84" s="903">
        <f>$BC$84-$BE$84</f>
        <v>-4</v>
      </c>
      <c r="BL84" s="903"/>
      <c r="BM84" s="910">
        <f>RANK($BK$84,$BK$78:$BL$95)</f>
        <v>3</v>
      </c>
      <c r="BN84" s="910"/>
      <c r="BO84" s="912"/>
    </row>
    <row r="85" spans="25:67" ht="18.75" customHeight="1" x14ac:dyDescent="0.25">
      <c r="Y85" s="905"/>
      <c r="Z85" s="906"/>
      <c r="AA85" s="906"/>
      <c r="AB85" s="906"/>
      <c r="AC85" s="906"/>
      <c r="AD85" s="906"/>
      <c r="AE85" s="906"/>
      <c r="AF85" s="917"/>
      <c r="AG85" s="918"/>
      <c r="AH85" s="918"/>
      <c r="AI85" s="918"/>
      <c r="AJ85" s="920"/>
      <c r="AK85" s="930"/>
      <c r="AL85" s="930"/>
      <c r="AM85" s="930"/>
      <c r="AN85" s="930"/>
      <c r="AO85" s="930"/>
      <c r="AP85" s="917"/>
      <c r="AQ85" s="918"/>
      <c r="AR85" s="918"/>
      <c r="AS85" s="918"/>
      <c r="AT85" s="920"/>
      <c r="AU85" s="903"/>
      <c r="AV85" s="903"/>
      <c r="AW85" s="903"/>
      <c r="AX85" s="903"/>
      <c r="AY85" s="903"/>
      <c r="AZ85" s="903"/>
      <c r="BA85" s="903"/>
      <c r="BB85" s="903"/>
      <c r="BC85" s="903"/>
      <c r="BD85" s="903"/>
      <c r="BE85" s="903"/>
      <c r="BF85" s="903"/>
      <c r="BG85" s="903"/>
      <c r="BH85" s="903"/>
      <c r="BI85" s="910"/>
      <c r="BJ85" s="910"/>
      <c r="BK85" s="903"/>
      <c r="BL85" s="903"/>
      <c r="BM85" s="910"/>
      <c r="BN85" s="910"/>
      <c r="BO85" s="913"/>
    </row>
    <row r="86" spans="25:67" ht="19.5" customHeight="1" x14ac:dyDescent="0.25">
      <c r="Y86" s="905"/>
      <c r="Z86" s="906"/>
      <c r="AA86" s="906"/>
      <c r="AB86" s="906"/>
      <c r="AC86" s="906"/>
      <c r="AD86" s="906"/>
      <c r="AE86" s="906"/>
      <c r="AF86" s="915" t="str">
        <f>AN80</f>
        <v/>
      </c>
      <c r="AG86" s="916"/>
      <c r="AH86" s="916" t="s">
        <v>2011</v>
      </c>
      <c r="AI86" s="916" t="str">
        <f>AK80</f>
        <v/>
      </c>
      <c r="AJ86" s="919"/>
      <c r="AK86" s="930"/>
      <c r="AL86" s="930"/>
      <c r="AM86" s="930"/>
      <c r="AN86" s="930"/>
      <c r="AO86" s="930"/>
      <c r="AP86" s="915" t="str">
        <f>IF($Q$32="","",$Q$32)</f>
        <v/>
      </c>
      <c r="AQ86" s="916"/>
      <c r="AR86" s="916" t="s">
        <v>2011</v>
      </c>
      <c r="AS86" s="916" t="str">
        <f>IF($S$32="","",$S$32)</f>
        <v/>
      </c>
      <c r="AT86" s="919"/>
      <c r="AU86" s="903"/>
      <c r="AV86" s="903"/>
      <c r="AW86" s="903"/>
      <c r="AX86" s="903"/>
      <c r="AY86" s="903"/>
      <c r="AZ86" s="903"/>
      <c r="BA86" s="903"/>
      <c r="BB86" s="903"/>
      <c r="BC86" s="903"/>
      <c r="BD86" s="903"/>
      <c r="BE86" s="903"/>
      <c r="BF86" s="903"/>
      <c r="BG86" s="903"/>
      <c r="BH86" s="903"/>
      <c r="BI86" s="910"/>
      <c r="BJ86" s="910"/>
      <c r="BK86" s="903"/>
      <c r="BL86" s="903"/>
      <c r="BM86" s="910"/>
      <c r="BN86" s="910"/>
      <c r="BO86" s="913"/>
    </row>
    <row r="87" spans="25:67" ht="19.5" customHeight="1" x14ac:dyDescent="0.25">
      <c r="Y87" s="905"/>
      <c r="Z87" s="906"/>
      <c r="AA87" s="906"/>
      <c r="AB87" s="906"/>
      <c r="AC87" s="906"/>
      <c r="AD87" s="906" t="s">
        <v>2010</v>
      </c>
      <c r="AE87" s="906"/>
      <c r="AF87" s="917"/>
      <c r="AG87" s="918"/>
      <c r="AH87" s="918"/>
      <c r="AI87" s="918"/>
      <c r="AJ87" s="920"/>
      <c r="AK87" s="930"/>
      <c r="AL87" s="930"/>
      <c r="AM87" s="930"/>
      <c r="AN87" s="930"/>
      <c r="AO87" s="930"/>
      <c r="AP87" s="917"/>
      <c r="AQ87" s="918"/>
      <c r="AR87" s="918"/>
      <c r="AS87" s="918"/>
      <c r="AT87" s="920"/>
      <c r="AU87" s="903"/>
      <c r="AV87" s="903"/>
      <c r="AW87" s="903"/>
      <c r="AX87" s="903"/>
      <c r="AY87" s="903"/>
      <c r="AZ87" s="903"/>
      <c r="BA87" s="903"/>
      <c r="BB87" s="903"/>
      <c r="BC87" s="903"/>
      <c r="BD87" s="903"/>
      <c r="BE87" s="903"/>
      <c r="BF87" s="903"/>
      <c r="BG87" s="903"/>
      <c r="BH87" s="903"/>
      <c r="BI87" s="910"/>
      <c r="BJ87" s="910"/>
      <c r="BK87" s="903"/>
      <c r="BL87" s="903"/>
      <c r="BM87" s="910"/>
      <c r="BN87" s="910"/>
      <c r="BO87" s="913"/>
    </row>
    <row r="88" spans="25:67" ht="18.75" customHeight="1" x14ac:dyDescent="0.25">
      <c r="Y88" s="905"/>
      <c r="Z88" s="906"/>
      <c r="AA88" s="906"/>
      <c r="AB88" s="906"/>
      <c r="AC88" s="906"/>
      <c r="AD88" s="906"/>
      <c r="AE88" s="906"/>
      <c r="AF88" s="915">
        <f>AN82</f>
        <v>1</v>
      </c>
      <c r="AG88" s="916"/>
      <c r="AH88" s="916" t="s">
        <v>2011</v>
      </c>
      <c r="AI88" s="916">
        <f>AK82</f>
        <v>2</v>
      </c>
      <c r="AJ88" s="919"/>
      <c r="AK88" s="930"/>
      <c r="AL88" s="930"/>
      <c r="AM88" s="930"/>
      <c r="AN88" s="930"/>
      <c r="AO88" s="930"/>
      <c r="AP88" s="915">
        <f>$O$30</f>
        <v>0</v>
      </c>
      <c r="AQ88" s="916"/>
      <c r="AR88" s="916" t="s">
        <v>2011</v>
      </c>
      <c r="AS88" s="916">
        <f>$U$30</f>
        <v>3</v>
      </c>
      <c r="AT88" s="919"/>
      <c r="AU88" s="903"/>
      <c r="AV88" s="903"/>
      <c r="AW88" s="903"/>
      <c r="AX88" s="903"/>
      <c r="AY88" s="903"/>
      <c r="AZ88" s="903"/>
      <c r="BA88" s="903"/>
      <c r="BB88" s="903"/>
      <c r="BC88" s="903"/>
      <c r="BD88" s="903"/>
      <c r="BE88" s="903"/>
      <c r="BF88" s="903"/>
      <c r="BG88" s="903"/>
      <c r="BH88" s="903"/>
      <c r="BI88" s="910"/>
      <c r="BJ88" s="910"/>
      <c r="BK88" s="903"/>
      <c r="BL88" s="903"/>
      <c r="BM88" s="910"/>
      <c r="BN88" s="910"/>
      <c r="BO88" s="913"/>
    </row>
    <row r="89" spans="25:67" ht="18.75" customHeight="1" x14ac:dyDescent="0.25">
      <c r="Y89" s="941"/>
      <c r="Z89" s="936"/>
      <c r="AA89" s="936"/>
      <c r="AB89" s="936"/>
      <c r="AC89" s="936"/>
      <c r="AD89" s="936"/>
      <c r="AE89" s="936"/>
      <c r="AF89" s="937"/>
      <c r="AG89" s="560"/>
      <c r="AH89" s="560"/>
      <c r="AI89" s="560"/>
      <c r="AJ89" s="938"/>
      <c r="AK89" s="943"/>
      <c r="AL89" s="943"/>
      <c r="AM89" s="943"/>
      <c r="AN89" s="943"/>
      <c r="AO89" s="943"/>
      <c r="AP89" s="937"/>
      <c r="AQ89" s="560"/>
      <c r="AR89" s="560"/>
      <c r="AS89" s="560"/>
      <c r="AT89" s="938"/>
      <c r="AU89" s="903"/>
      <c r="AV89" s="903"/>
      <c r="AW89" s="903"/>
      <c r="AX89" s="903"/>
      <c r="AY89" s="903"/>
      <c r="AZ89" s="903"/>
      <c r="BA89" s="903"/>
      <c r="BB89" s="903"/>
      <c r="BC89" s="903"/>
      <c r="BD89" s="903"/>
      <c r="BE89" s="903"/>
      <c r="BF89" s="903"/>
      <c r="BG89" s="903"/>
      <c r="BH89" s="903"/>
      <c r="BI89" s="910"/>
      <c r="BJ89" s="910"/>
      <c r="BK89" s="903"/>
      <c r="BL89" s="903"/>
      <c r="BM89" s="910"/>
      <c r="BN89" s="910"/>
      <c r="BO89" s="935"/>
    </row>
    <row r="90" spans="25:67" ht="19.5" customHeight="1" x14ac:dyDescent="0.25">
      <c r="Y90" s="905" t="str">
        <f>$AC$64</f>
        <v>四日市南ＳＳＣ</v>
      </c>
      <c r="Z90" s="906"/>
      <c r="AA90" s="906"/>
      <c r="AB90" s="906"/>
      <c r="AC90" s="906"/>
      <c r="AD90" s="906" t="s">
        <v>242</v>
      </c>
      <c r="AE90" s="906"/>
      <c r="AF90" s="923" t="str">
        <f>IF(AF94="","",IF(AF94&gt;AI94,"○",IF(AF94&lt;AI94,"●",IF(AF92&gt;AI92,"△",IF(AF92&lt;AI92,"▲")))))</f>
        <v>○</v>
      </c>
      <c r="AG90" s="924"/>
      <c r="AH90" s="924"/>
      <c r="AI90" s="924"/>
      <c r="AJ90" s="925"/>
      <c r="AK90" s="923" t="str">
        <f>IF(AK94="","",IF(AK94&gt;AN94,"○",IF(AK94&lt;AN94,"●",IF(AK92&gt;AN92,"△",IF(AK92&lt;AN92,"▲")))))</f>
        <v>○</v>
      </c>
      <c r="AL90" s="924"/>
      <c r="AM90" s="924"/>
      <c r="AN90" s="924"/>
      <c r="AO90" s="925"/>
      <c r="AP90" s="926"/>
      <c r="AQ90" s="927"/>
      <c r="AR90" s="927"/>
      <c r="AS90" s="927"/>
      <c r="AT90" s="928"/>
      <c r="AU90" s="903">
        <f>COUNTIF($AF$90:$AT$91,"○")</f>
        <v>2</v>
      </c>
      <c r="AV90" s="903"/>
      <c r="AW90" s="902">
        <f>COUNTIF($AF$90:$AT$91,"△")</f>
        <v>0</v>
      </c>
      <c r="AX90" s="902"/>
      <c r="AY90" s="902">
        <f>COUNTIF($AF$90:$AT$91,"▲")</f>
        <v>0</v>
      </c>
      <c r="AZ90" s="902"/>
      <c r="BA90" s="902">
        <f>COUNTIF($AF$90:$AT$91,"●")</f>
        <v>0</v>
      </c>
      <c r="BB90" s="902"/>
      <c r="BC90" s="902">
        <f>SUM($AF$94,$AK$94)</f>
        <v>5</v>
      </c>
      <c r="BD90" s="902"/>
      <c r="BE90" s="902">
        <f>SUM($AI$94,$AN$94)</f>
        <v>0</v>
      </c>
      <c r="BF90" s="902"/>
      <c r="BG90" s="902">
        <f>($AU$90*3)+($AW$90*2)+($AY$90*1)</f>
        <v>6</v>
      </c>
      <c r="BH90" s="902"/>
      <c r="BI90" s="909">
        <f>RANK($BG$90,$BG$78:$BH$95)</f>
        <v>1</v>
      </c>
      <c r="BJ90" s="909"/>
      <c r="BK90" s="902">
        <f>$BC$90-$BE$90</f>
        <v>5</v>
      </c>
      <c r="BL90" s="902"/>
      <c r="BM90" s="909">
        <f>RANK($BK$90,$BK$78:$BL$95)</f>
        <v>1</v>
      </c>
      <c r="BN90" s="909"/>
      <c r="BO90" s="912"/>
    </row>
    <row r="91" spans="25:67" ht="19.5" customHeight="1" x14ac:dyDescent="0.25">
      <c r="Y91" s="905"/>
      <c r="Z91" s="906"/>
      <c r="AA91" s="906"/>
      <c r="AB91" s="906"/>
      <c r="AC91" s="906"/>
      <c r="AD91" s="906"/>
      <c r="AE91" s="906"/>
      <c r="AF91" s="917"/>
      <c r="AG91" s="918"/>
      <c r="AH91" s="918"/>
      <c r="AI91" s="918"/>
      <c r="AJ91" s="920"/>
      <c r="AK91" s="917"/>
      <c r="AL91" s="918"/>
      <c r="AM91" s="918"/>
      <c r="AN91" s="918"/>
      <c r="AO91" s="920"/>
      <c r="AP91" s="929"/>
      <c r="AQ91" s="930"/>
      <c r="AR91" s="930"/>
      <c r="AS91" s="930"/>
      <c r="AT91" s="931"/>
      <c r="AU91" s="903"/>
      <c r="AV91" s="903"/>
      <c r="AW91" s="903"/>
      <c r="AX91" s="903"/>
      <c r="AY91" s="903"/>
      <c r="AZ91" s="903"/>
      <c r="BA91" s="903"/>
      <c r="BB91" s="903"/>
      <c r="BC91" s="903"/>
      <c r="BD91" s="903"/>
      <c r="BE91" s="903"/>
      <c r="BF91" s="903"/>
      <c r="BG91" s="903"/>
      <c r="BH91" s="903"/>
      <c r="BI91" s="910"/>
      <c r="BJ91" s="910"/>
      <c r="BK91" s="903"/>
      <c r="BL91" s="903"/>
      <c r="BM91" s="910"/>
      <c r="BN91" s="910"/>
      <c r="BO91" s="913"/>
    </row>
    <row r="92" spans="25:67" ht="18.75" customHeight="1" x14ac:dyDescent="0.25">
      <c r="Y92" s="905"/>
      <c r="Z92" s="906"/>
      <c r="AA92" s="906"/>
      <c r="AB92" s="906"/>
      <c r="AC92" s="906"/>
      <c r="AD92" s="906"/>
      <c r="AE92" s="906"/>
      <c r="AF92" s="915" t="str">
        <f>AS80</f>
        <v/>
      </c>
      <c r="AG92" s="916"/>
      <c r="AH92" s="916" t="s">
        <v>2011</v>
      </c>
      <c r="AI92" s="916" t="str">
        <f>AP80</f>
        <v/>
      </c>
      <c r="AJ92" s="919"/>
      <c r="AK92" s="915" t="str">
        <f>AS86</f>
        <v/>
      </c>
      <c r="AL92" s="916"/>
      <c r="AM92" s="916" t="s">
        <v>2011</v>
      </c>
      <c r="AN92" s="916" t="str">
        <f>AP86</f>
        <v/>
      </c>
      <c r="AO92" s="919"/>
      <c r="AP92" s="929"/>
      <c r="AQ92" s="930"/>
      <c r="AR92" s="930"/>
      <c r="AS92" s="930"/>
      <c r="AT92" s="931"/>
      <c r="AU92" s="903"/>
      <c r="AV92" s="903"/>
      <c r="AW92" s="903"/>
      <c r="AX92" s="903"/>
      <c r="AY92" s="903"/>
      <c r="AZ92" s="903"/>
      <c r="BA92" s="903"/>
      <c r="BB92" s="903"/>
      <c r="BC92" s="903"/>
      <c r="BD92" s="903"/>
      <c r="BE92" s="903"/>
      <c r="BF92" s="903"/>
      <c r="BG92" s="903"/>
      <c r="BH92" s="903"/>
      <c r="BI92" s="910"/>
      <c r="BJ92" s="910"/>
      <c r="BK92" s="903"/>
      <c r="BL92" s="903"/>
      <c r="BM92" s="910"/>
      <c r="BN92" s="910"/>
      <c r="BO92" s="913"/>
    </row>
    <row r="93" spans="25:67" ht="18.75" customHeight="1" x14ac:dyDescent="0.25">
      <c r="Y93" s="905"/>
      <c r="Z93" s="906"/>
      <c r="AA93" s="906"/>
      <c r="AB93" s="906"/>
      <c r="AC93" s="906"/>
      <c r="AD93" s="906" t="s">
        <v>2010</v>
      </c>
      <c r="AE93" s="906"/>
      <c r="AF93" s="917"/>
      <c r="AG93" s="918"/>
      <c r="AH93" s="918"/>
      <c r="AI93" s="918"/>
      <c r="AJ93" s="920"/>
      <c r="AK93" s="917"/>
      <c r="AL93" s="918"/>
      <c r="AM93" s="918"/>
      <c r="AN93" s="918"/>
      <c r="AO93" s="920"/>
      <c r="AP93" s="929"/>
      <c r="AQ93" s="930"/>
      <c r="AR93" s="930"/>
      <c r="AS93" s="930"/>
      <c r="AT93" s="931"/>
      <c r="AU93" s="903"/>
      <c r="AV93" s="903"/>
      <c r="AW93" s="903"/>
      <c r="AX93" s="903"/>
      <c r="AY93" s="903"/>
      <c r="AZ93" s="903"/>
      <c r="BA93" s="903"/>
      <c r="BB93" s="903"/>
      <c r="BC93" s="903"/>
      <c r="BD93" s="903"/>
      <c r="BE93" s="903"/>
      <c r="BF93" s="903"/>
      <c r="BG93" s="903"/>
      <c r="BH93" s="903"/>
      <c r="BI93" s="910"/>
      <c r="BJ93" s="910"/>
      <c r="BK93" s="903"/>
      <c r="BL93" s="903"/>
      <c r="BM93" s="910"/>
      <c r="BN93" s="910"/>
      <c r="BO93" s="913"/>
    </row>
    <row r="94" spans="25:67" ht="18.75" customHeight="1" x14ac:dyDescent="0.25">
      <c r="Y94" s="905"/>
      <c r="Z94" s="906"/>
      <c r="AA94" s="906"/>
      <c r="AB94" s="906"/>
      <c r="AC94" s="906"/>
      <c r="AD94" s="906"/>
      <c r="AE94" s="906"/>
      <c r="AF94" s="915">
        <f>AS82</f>
        <v>2</v>
      </c>
      <c r="AG94" s="916"/>
      <c r="AH94" s="916" t="s">
        <v>2011</v>
      </c>
      <c r="AI94" s="916">
        <f>AP82</f>
        <v>0</v>
      </c>
      <c r="AJ94" s="919"/>
      <c r="AK94" s="915">
        <f>AS88</f>
        <v>3</v>
      </c>
      <c r="AL94" s="916"/>
      <c r="AM94" s="916" t="s">
        <v>2011</v>
      </c>
      <c r="AN94" s="916">
        <f>AP88</f>
        <v>0</v>
      </c>
      <c r="AO94" s="919"/>
      <c r="AP94" s="929"/>
      <c r="AQ94" s="930"/>
      <c r="AR94" s="930"/>
      <c r="AS94" s="930"/>
      <c r="AT94" s="931"/>
      <c r="AU94" s="903"/>
      <c r="AV94" s="903"/>
      <c r="AW94" s="903"/>
      <c r="AX94" s="903"/>
      <c r="AY94" s="903"/>
      <c r="AZ94" s="903"/>
      <c r="BA94" s="903"/>
      <c r="BB94" s="903"/>
      <c r="BC94" s="903"/>
      <c r="BD94" s="903"/>
      <c r="BE94" s="903"/>
      <c r="BF94" s="903"/>
      <c r="BG94" s="903"/>
      <c r="BH94" s="903"/>
      <c r="BI94" s="910"/>
      <c r="BJ94" s="910"/>
      <c r="BK94" s="903"/>
      <c r="BL94" s="903"/>
      <c r="BM94" s="910"/>
      <c r="BN94" s="910"/>
      <c r="BO94" s="913"/>
    </row>
    <row r="95" spans="25:67" ht="19.5" customHeight="1" x14ac:dyDescent="0.25">
      <c r="Y95" s="907"/>
      <c r="Z95" s="908"/>
      <c r="AA95" s="908"/>
      <c r="AB95" s="908"/>
      <c r="AC95" s="908"/>
      <c r="AD95" s="908"/>
      <c r="AE95" s="908"/>
      <c r="AF95" s="921"/>
      <c r="AG95" s="565"/>
      <c r="AH95" s="565"/>
      <c r="AI95" s="565"/>
      <c r="AJ95" s="922"/>
      <c r="AK95" s="921"/>
      <c r="AL95" s="565"/>
      <c r="AM95" s="565"/>
      <c r="AN95" s="565"/>
      <c r="AO95" s="922"/>
      <c r="AP95" s="932"/>
      <c r="AQ95" s="933"/>
      <c r="AR95" s="933"/>
      <c r="AS95" s="933"/>
      <c r="AT95" s="934"/>
      <c r="AU95" s="904"/>
      <c r="AV95" s="904"/>
      <c r="AW95" s="904"/>
      <c r="AX95" s="904"/>
      <c r="AY95" s="904"/>
      <c r="AZ95" s="904"/>
      <c r="BA95" s="904"/>
      <c r="BB95" s="904"/>
      <c r="BC95" s="904"/>
      <c r="BD95" s="904"/>
      <c r="BE95" s="904"/>
      <c r="BF95" s="904"/>
      <c r="BG95" s="904"/>
      <c r="BH95" s="904"/>
      <c r="BI95" s="911"/>
      <c r="BJ95" s="911"/>
      <c r="BK95" s="904"/>
      <c r="BL95" s="904"/>
      <c r="BM95" s="911"/>
      <c r="BN95" s="911"/>
      <c r="BO95" s="914"/>
    </row>
    <row r="97" spans="25:58" x14ac:dyDescent="0.25">
      <c r="Y97" s="891" t="s">
        <v>2125</v>
      </c>
      <c r="Z97" s="891"/>
      <c r="AA97" s="891"/>
      <c r="AB97" s="891"/>
      <c r="AC97" s="891"/>
      <c r="AD97" s="891"/>
      <c r="AE97" s="891"/>
      <c r="AF97" s="891"/>
      <c r="AG97" s="891"/>
      <c r="AH97" s="891"/>
      <c r="AI97" s="891"/>
      <c r="AJ97" s="891"/>
      <c r="AK97" s="891"/>
      <c r="AL97" s="891"/>
      <c r="AM97" s="891"/>
      <c r="AN97" s="891"/>
      <c r="AO97" s="891"/>
      <c r="AP97" s="891"/>
      <c r="AQ97" s="891"/>
      <c r="AR97" s="891"/>
      <c r="AS97" s="891"/>
      <c r="AT97" s="891"/>
      <c r="AU97" s="891"/>
      <c r="AV97" s="891"/>
      <c r="AW97" s="891"/>
      <c r="AX97" s="891"/>
      <c r="AY97" s="891"/>
      <c r="AZ97" s="891"/>
      <c r="BA97" s="891"/>
      <c r="BB97" s="891"/>
      <c r="BC97" s="891"/>
      <c r="BD97" s="891"/>
      <c r="BE97" s="891"/>
      <c r="BF97" s="891"/>
    </row>
    <row r="98" spans="25:58" x14ac:dyDescent="0.25">
      <c r="Y98" s="891"/>
      <c r="Z98" s="891"/>
      <c r="AA98" s="891"/>
      <c r="AB98" s="891"/>
      <c r="AC98" s="891"/>
      <c r="AD98" s="891"/>
      <c r="AE98" s="891"/>
      <c r="AF98" s="891"/>
      <c r="AG98" s="891"/>
      <c r="AH98" s="891"/>
      <c r="AI98" s="891"/>
      <c r="AJ98" s="891"/>
      <c r="AK98" s="891"/>
      <c r="AL98" s="891"/>
      <c r="AM98" s="891"/>
      <c r="AN98" s="891"/>
      <c r="AO98" s="891"/>
      <c r="AP98" s="891"/>
      <c r="AQ98" s="891"/>
      <c r="AR98" s="891"/>
      <c r="AS98" s="891"/>
      <c r="AT98" s="891"/>
      <c r="AU98" s="891"/>
      <c r="AV98" s="891"/>
      <c r="AW98" s="891"/>
      <c r="AX98" s="891"/>
      <c r="AY98" s="891"/>
      <c r="AZ98" s="891"/>
      <c r="BA98" s="891"/>
      <c r="BB98" s="891"/>
      <c r="BC98" s="891"/>
      <c r="BD98" s="891"/>
      <c r="BE98" s="891"/>
      <c r="BF98" s="891"/>
    </row>
    <row r="99" spans="25:58" x14ac:dyDescent="0.25">
      <c r="Y99" s="892" t="s">
        <v>2013</v>
      </c>
      <c r="Z99" s="893"/>
      <c r="AA99" s="896" t="s">
        <v>159</v>
      </c>
      <c r="AB99" s="232" t="s">
        <v>408</v>
      </c>
      <c r="AC99" s="231"/>
      <c r="AD99" s="898" t="s">
        <v>2060</v>
      </c>
      <c r="AE99" s="232" t="s">
        <v>2015</v>
      </c>
      <c r="AF99" s="231"/>
      <c r="AG99" s="898" t="s">
        <v>1208</v>
      </c>
      <c r="AH99" s="232" t="s">
        <v>2126</v>
      </c>
      <c r="AI99" s="231"/>
      <c r="AJ99" s="900" t="s">
        <v>1727</v>
      </c>
      <c r="AK99" s="234" t="s">
        <v>2016</v>
      </c>
    </row>
    <row r="100" spans="25:58" x14ac:dyDescent="0.25">
      <c r="Y100" s="894"/>
      <c r="Z100" s="895"/>
      <c r="AA100" s="897"/>
      <c r="AB100" s="233">
        <v>3</v>
      </c>
      <c r="AC100" s="230"/>
      <c r="AD100" s="899"/>
      <c r="AE100" s="233">
        <v>2</v>
      </c>
      <c r="AF100" s="230"/>
      <c r="AG100" s="899"/>
      <c r="AH100" s="233">
        <v>1</v>
      </c>
      <c r="AI100" s="230"/>
      <c r="AJ100" s="901"/>
      <c r="AK100" s="235">
        <v>0</v>
      </c>
    </row>
  </sheetData>
  <mergeCells count="441">
    <mergeCell ref="A1:I1"/>
    <mergeCell ref="J1:K1"/>
    <mergeCell ref="M1:U1"/>
    <mergeCell ref="V1:W1"/>
    <mergeCell ref="Y1:BG1"/>
    <mergeCell ref="BI1:BO1"/>
    <mergeCell ref="A2:K2"/>
    <mergeCell ref="M2:W2"/>
    <mergeCell ref="Y2:BG2"/>
    <mergeCell ref="D4:K4"/>
    <mergeCell ref="P4:W4"/>
    <mergeCell ref="Y4:AA4"/>
    <mergeCell ref="AB4:AG4"/>
    <mergeCell ref="AI4:AW4"/>
    <mergeCell ref="Y6:AA6"/>
    <mergeCell ref="AB6:AG6"/>
    <mergeCell ref="C7:I7"/>
    <mergeCell ref="J7:K7"/>
    <mergeCell ref="O7:U7"/>
    <mergeCell ref="V7:W7"/>
    <mergeCell ref="Z7:AB7"/>
    <mergeCell ref="AC7:AO7"/>
    <mergeCell ref="AP7:AS7"/>
    <mergeCell ref="C8:I8"/>
    <mergeCell ref="J8:K8"/>
    <mergeCell ref="O8:U8"/>
    <mergeCell ref="V8:W8"/>
    <mergeCell ref="Z8:AB8"/>
    <mergeCell ref="AC8:AO8"/>
    <mergeCell ref="AP8:AS8"/>
    <mergeCell ref="C9:I9"/>
    <mergeCell ref="J9:K9"/>
    <mergeCell ref="O9:U9"/>
    <mergeCell ref="V9:W9"/>
    <mergeCell ref="Z9:AB9"/>
    <mergeCell ref="AC9:AO9"/>
    <mergeCell ref="AP9:AS9"/>
    <mergeCell ref="B15:F15"/>
    <mergeCell ref="G15:I15"/>
    <mergeCell ref="J15:K15"/>
    <mergeCell ref="N15:R15"/>
    <mergeCell ref="S15:U15"/>
    <mergeCell ref="V15:W15"/>
    <mergeCell ref="B16:F16"/>
    <mergeCell ref="G16:I16"/>
    <mergeCell ref="J16:K16"/>
    <mergeCell ref="N16:R16"/>
    <mergeCell ref="S16:U16"/>
    <mergeCell ref="V16:W16"/>
    <mergeCell ref="B17:F17"/>
    <mergeCell ref="G17:I17"/>
    <mergeCell ref="J17:K17"/>
    <mergeCell ref="N17:R17"/>
    <mergeCell ref="S17:U17"/>
    <mergeCell ref="V17:W17"/>
    <mergeCell ref="E18:F18"/>
    <mergeCell ref="G18:I18"/>
    <mergeCell ref="J18:K18"/>
    <mergeCell ref="Q18:R18"/>
    <mergeCell ref="S18:U18"/>
    <mergeCell ref="V18:W18"/>
    <mergeCell ref="E19:F19"/>
    <mergeCell ref="G19:I19"/>
    <mergeCell ref="J19:K19"/>
    <mergeCell ref="Q19:R19"/>
    <mergeCell ref="S19:U19"/>
    <mergeCell ref="V19:W19"/>
    <mergeCell ref="E20:F20"/>
    <mergeCell ref="G20:I20"/>
    <mergeCell ref="J20:K20"/>
    <mergeCell ref="Q20:R20"/>
    <mergeCell ref="S20:U20"/>
    <mergeCell ref="V20:W20"/>
    <mergeCell ref="E21:F21"/>
    <mergeCell ref="G21:I21"/>
    <mergeCell ref="J21:K21"/>
    <mergeCell ref="Q21:R21"/>
    <mergeCell ref="S21:U21"/>
    <mergeCell ref="V21:W21"/>
    <mergeCell ref="B33:F33"/>
    <mergeCell ref="G33:I33"/>
    <mergeCell ref="J33:K33"/>
    <mergeCell ref="N33:R33"/>
    <mergeCell ref="S33:U33"/>
    <mergeCell ref="V33:W33"/>
    <mergeCell ref="H30:H32"/>
    <mergeCell ref="I30:I32"/>
    <mergeCell ref="J30:J32"/>
    <mergeCell ref="M30:M32"/>
    <mergeCell ref="N30:N32"/>
    <mergeCell ref="O30:O32"/>
    <mergeCell ref="P30:P32"/>
    <mergeCell ref="T30:T32"/>
    <mergeCell ref="U30:U32"/>
    <mergeCell ref="V30:V32"/>
    <mergeCell ref="B34:F34"/>
    <mergeCell ref="G34:I34"/>
    <mergeCell ref="J34:K34"/>
    <mergeCell ref="N34:R34"/>
    <mergeCell ref="S34:U34"/>
    <mergeCell ref="V34:W34"/>
    <mergeCell ref="B35:F35"/>
    <mergeCell ref="G35:I35"/>
    <mergeCell ref="J35:K35"/>
    <mergeCell ref="N35:R35"/>
    <mergeCell ref="S35:U35"/>
    <mergeCell ref="V35:W35"/>
    <mergeCell ref="E36:F36"/>
    <mergeCell ref="G36:I36"/>
    <mergeCell ref="J36:K36"/>
    <mergeCell ref="Q36:R36"/>
    <mergeCell ref="S36:U36"/>
    <mergeCell ref="V36:W36"/>
    <mergeCell ref="E37:F37"/>
    <mergeCell ref="G37:I37"/>
    <mergeCell ref="J37:K37"/>
    <mergeCell ref="Q37:R37"/>
    <mergeCell ref="S37:U37"/>
    <mergeCell ref="V37:W37"/>
    <mergeCell ref="E38:F38"/>
    <mergeCell ref="G38:I38"/>
    <mergeCell ref="J38:K38"/>
    <mergeCell ref="Q38:R38"/>
    <mergeCell ref="S38:U38"/>
    <mergeCell ref="V38:W38"/>
    <mergeCell ref="E39:F39"/>
    <mergeCell ref="G39:I39"/>
    <mergeCell ref="J39:K39"/>
    <mergeCell ref="Q39:R39"/>
    <mergeCell ref="S39:U39"/>
    <mergeCell ref="V39:W39"/>
    <mergeCell ref="B51:F51"/>
    <mergeCell ref="G51:I51"/>
    <mergeCell ref="J51:K51"/>
    <mergeCell ref="N51:R51"/>
    <mergeCell ref="S51:U51"/>
    <mergeCell ref="V51:W51"/>
    <mergeCell ref="B52:F52"/>
    <mergeCell ref="G52:I52"/>
    <mergeCell ref="J52:K52"/>
    <mergeCell ref="N52:R52"/>
    <mergeCell ref="S52:U52"/>
    <mergeCell ref="V52:W52"/>
    <mergeCell ref="B53:F53"/>
    <mergeCell ref="G53:I53"/>
    <mergeCell ref="J53:K53"/>
    <mergeCell ref="N53:R53"/>
    <mergeCell ref="S53:U53"/>
    <mergeCell ref="V53:W53"/>
    <mergeCell ref="E54:F54"/>
    <mergeCell ref="G54:I54"/>
    <mergeCell ref="J54:K54"/>
    <mergeCell ref="Q54:R54"/>
    <mergeCell ref="S54:U54"/>
    <mergeCell ref="V54:W54"/>
    <mergeCell ref="E55:F55"/>
    <mergeCell ref="G55:I55"/>
    <mergeCell ref="J55:K55"/>
    <mergeCell ref="Q55:R55"/>
    <mergeCell ref="S55:U55"/>
    <mergeCell ref="V55:W55"/>
    <mergeCell ref="E56:F56"/>
    <mergeCell ref="G56:I56"/>
    <mergeCell ref="J56:K56"/>
    <mergeCell ref="Q56:R56"/>
    <mergeCell ref="S56:U56"/>
    <mergeCell ref="V56:W56"/>
    <mergeCell ref="E57:F57"/>
    <mergeCell ref="G57:I57"/>
    <mergeCell ref="J57:K57"/>
    <mergeCell ref="Q57:R57"/>
    <mergeCell ref="S57:U57"/>
    <mergeCell ref="V57:W57"/>
    <mergeCell ref="A12:A14"/>
    <mergeCell ref="B12:B14"/>
    <mergeCell ref="C12:C14"/>
    <mergeCell ref="D12:D14"/>
    <mergeCell ref="H12:H14"/>
    <mergeCell ref="I12:I14"/>
    <mergeCell ref="J12:J14"/>
    <mergeCell ref="M12:M14"/>
    <mergeCell ref="N12:N14"/>
    <mergeCell ref="O12:O14"/>
    <mergeCell ref="P12:P14"/>
    <mergeCell ref="T12:T14"/>
    <mergeCell ref="U12:U14"/>
    <mergeCell ref="V12:V14"/>
    <mergeCell ref="A30:A32"/>
    <mergeCell ref="B30:B32"/>
    <mergeCell ref="C30:C32"/>
    <mergeCell ref="D30:D32"/>
    <mergeCell ref="Y15:AB20"/>
    <mergeCell ref="AC15:AE20"/>
    <mergeCell ref="AF15:AJ20"/>
    <mergeCell ref="AK15:AO20"/>
    <mergeCell ref="AP15:AT20"/>
    <mergeCell ref="AU15:AV20"/>
    <mergeCell ref="AW15:AX20"/>
    <mergeCell ref="AY15:AZ20"/>
    <mergeCell ref="BA15:BB20"/>
    <mergeCell ref="BC15:BD20"/>
    <mergeCell ref="BE15:BF20"/>
    <mergeCell ref="BG15:BH20"/>
    <mergeCell ref="BI15:BJ20"/>
    <mergeCell ref="BK15:BL20"/>
    <mergeCell ref="BM15:BN20"/>
    <mergeCell ref="BO15:BO20"/>
    <mergeCell ref="Y21:AC26"/>
    <mergeCell ref="AD21:AE23"/>
    <mergeCell ref="AF21:AJ26"/>
    <mergeCell ref="AK21:AO22"/>
    <mergeCell ref="AP21:AT22"/>
    <mergeCell ref="AU21:AV26"/>
    <mergeCell ref="AW21:AX26"/>
    <mergeCell ref="AY21:AZ26"/>
    <mergeCell ref="BA21:BB26"/>
    <mergeCell ref="BC21:BD26"/>
    <mergeCell ref="BE21:BF26"/>
    <mergeCell ref="BG21:BH26"/>
    <mergeCell ref="BI21:BJ26"/>
    <mergeCell ref="BK21:BL26"/>
    <mergeCell ref="BM21:BN26"/>
    <mergeCell ref="BO21:BO26"/>
    <mergeCell ref="AK23:AL24"/>
    <mergeCell ref="AM23:AM24"/>
    <mergeCell ref="AN23:AO24"/>
    <mergeCell ref="AP23:AQ24"/>
    <mergeCell ref="AR23:AR24"/>
    <mergeCell ref="AS23:AT24"/>
    <mergeCell ref="AD24:AE26"/>
    <mergeCell ref="AK25:AL26"/>
    <mergeCell ref="AM25:AM26"/>
    <mergeCell ref="AN25:AO26"/>
    <mergeCell ref="AP25:AQ26"/>
    <mergeCell ref="AR25:AR26"/>
    <mergeCell ref="AS25:AT26"/>
    <mergeCell ref="Y27:AC32"/>
    <mergeCell ref="AD27:AE29"/>
    <mergeCell ref="AF27:AJ28"/>
    <mergeCell ref="AK27:AO32"/>
    <mergeCell ref="AP27:AT28"/>
    <mergeCell ref="AU27:AV32"/>
    <mergeCell ref="AW27:AX32"/>
    <mergeCell ref="AY27:AZ32"/>
    <mergeCell ref="BA27:BB32"/>
    <mergeCell ref="AD30:AE32"/>
    <mergeCell ref="BC27:BD32"/>
    <mergeCell ref="BE27:BF32"/>
    <mergeCell ref="BG27:BH32"/>
    <mergeCell ref="BI27:BJ32"/>
    <mergeCell ref="BK27:BL32"/>
    <mergeCell ref="BM27:BN32"/>
    <mergeCell ref="BO27:BO32"/>
    <mergeCell ref="AF29:AG30"/>
    <mergeCell ref="AH29:AH30"/>
    <mergeCell ref="AI29:AJ30"/>
    <mergeCell ref="AP29:AQ30"/>
    <mergeCell ref="AR29:AR30"/>
    <mergeCell ref="AS29:AT30"/>
    <mergeCell ref="AF31:AG32"/>
    <mergeCell ref="AH31:AH32"/>
    <mergeCell ref="AI31:AJ32"/>
    <mergeCell ref="AP31:AQ32"/>
    <mergeCell ref="AR31:AR32"/>
    <mergeCell ref="AS31:AT32"/>
    <mergeCell ref="Y33:AC38"/>
    <mergeCell ref="AD33:AE35"/>
    <mergeCell ref="AF33:AJ34"/>
    <mergeCell ref="AK33:AO34"/>
    <mergeCell ref="AP33:AT38"/>
    <mergeCell ref="AU33:AV38"/>
    <mergeCell ref="AW33:AX38"/>
    <mergeCell ref="AY33:AZ38"/>
    <mergeCell ref="BA33:BB38"/>
    <mergeCell ref="AD36:AE38"/>
    <mergeCell ref="BC33:BD38"/>
    <mergeCell ref="BE33:BF38"/>
    <mergeCell ref="BG33:BH38"/>
    <mergeCell ref="BI33:BJ38"/>
    <mergeCell ref="BK33:BL38"/>
    <mergeCell ref="BM33:BN38"/>
    <mergeCell ref="BO33:BO38"/>
    <mergeCell ref="AF35:AG36"/>
    <mergeCell ref="AH35:AH36"/>
    <mergeCell ref="AI35:AJ36"/>
    <mergeCell ref="AK35:AL36"/>
    <mergeCell ref="AM35:AM36"/>
    <mergeCell ref="AN35:AO36"/>
    <mergeCell ref="AF37:AG38"/>
    <mergeCell ref="AH37:AH38"/>
    <mergeCell ref="AI37:AJ38"/>
    <mergeCell ref="AK37:AL38"/>
    <mergeCell ref="AM37:AM38"/>
    <mergeCell ref="AN37:AO38"/>
    <mergeCell ref="Y40:BF41"/>
    <mergeCell ref="Y42:Z43"/>
    <mergeCell ref="AA42:AA43"/>
    <mergeCell ref="AD42:AD43"/>
    <mergeCell ref="AG42:AG43"/>
    <mergeCell ref="AJ42:AJ43"/>
    <mergeCell ref="A48:A50"/>
    <mergeCell ref="B48:B50"/>
    <mergeCell ref="C48:C50"/>
    <mergeCell ref="D48:D50"/>
    <mergeCell ref="H48:H50"/>
    <mergeCell ref="I48:I50"/>
    <mergeCell ref="J48:J50"/>
    <mergeCell ref="M48:M50"/>
    <mergeCell ref="N48:N50"/>
    <mergeCell ref="O48:O50"/>
    <mergeCell ref="P48:P50"/>
    <mergeCell ref="T48:T50"/>
    <mergeCell ref="U48:U50"/>
    <mergeCell ref="V48:V50"/>
    <mergeCell ref="Y48:BG49"/>
    <mergeCell ref="BI48:BO49"/>
    <mergeCell ref="Y50:BG51"/>
    <mergeCell ref="Y54:AA55"/>
    <mergeCell ref="AB54:AG55"/>
    <mergeCell ref="AH54:AH55"/>
    <mergeCell ref="AI54:AW55"/>
    <mergeCell ref="Y58:AA59"/>
    <mergeCell ref="AB58:AG59"/>
    <mergeCell ref="Z60:AB61"/>
    <mergeCell ref="AC60:AO61"/>
    <mergeCell ref="AP60:AS61"/>
    <mergeCell ref="Z62:AB63"/>
    <mergeCell ref="AC62:AO63"/>
    <mergeCell ref="AP62:AS63"/>
    <mergeCell ref="Z64:AB65"/>
    <mergeCell ref="AC64:AO65"/>
    <mergeCell ref="AP64:AS65"/>
    <mergeCell ref="Y72:AB77"/>
    <mergeCell ref="AC72:AE77"/>
    <mergeCell ref="AF72:AJ77"/>
    <mergeCell ref="AK72:AO77"/>
    <mergeCell ref="AP72:AT77"/>
    <mergeCell ref="AU72:AV77"/>
    <mergeCell ref="AW72:AX77"/>
    <mergeCell ref="AY72:AZ77"/>
    <mergeCell ref="BA72:BB77"/>
    <mergeCell ref="BC72:BD77"/>
    <mergeCell ref="BE72:BF77"/>
    <mergeCell ref="BG72:BH77"/>
    <mergeCell ref="BI72:BJ77"/>
    <mergeCell ref="BK72:BL77"/>
    <mergeCell ref="BM72:BN77"/>
    <mergeCell ref="BO72:BO77"/>
    <mergeCell ref="Y78:AC83"/>
    <mergeCell ref="AD78:AE80"/>
    <mergeCell ref="AF78:AJ83"/>
    <mergeCell ref="AK78:AO79"/>
    <mergeCell ref="AP78:AT79"/>
    <mergeCell ref="AU78:AV83"/>
    <mergeCell ref="AW78:AX83"/>
    <mergeCell ref="AY78:AZ83"/>
    <mergeCell ref="BA78:BB83"/>
    <mergeCell ref="BC78:BD83"/>
    <mergeCell ref="BE78:BF83"/>
    <mergeCell ref="BG78:BH83"/>
    <mergeCell ref="BI78:BJ83"/>
    <mergeCell ref="BK78:BL83"/>
    <mergeCell ref="BM78:BN83"/>
    <mergeCell ref="BO78:BO83"/>
    <mergeCell ref="AK80:AL81"/>
    <mergeCell ref="AM80:AM81"/>
    <mergeCell ref="AN80:AO81"/>
    <mergeCell ref="AP80:AQ81"/>
    <mergeCell ref="AR80:AR81"/>
    <mergeCell ref="AS80:AT81"/>
    <mergeCell ref="AD81:AE83"/>
    <mergeCell ref="AK82:AL83"/>
    <mergeCell ref="AM82:AM83"/>
    <mergeCell ref="AN82:AO83"/>
    <mergeCell ref="AP82:AQ83"/>
    <mergeCell ref="AR82:AR83"/>
    <mergeCell ref="AS82:AT83"/>
    <mergeCell ref="Y84:AC89"/>
    <mergeCell ref="AD84:AE86"/>
    <mergeCell ref="AF84:AJ85"/>
    <mergeCell ref="AK84:AO89"/>
    <mergeCell ref="AP84:AT85"/>
    <mergeCell ref="BM84:BN89"/>
    <mergeCell ref="BO84:BO89"/>
    <mergeCell ref="AF86:AG87"/>
    <mergeCell ref="AH86:AH87"/>
    <mergeCell ref="AI86:AJ87"/>
    <mergeCell ref="AP86:AQ87"/>
    <mergeCell ref="AR86:AR87"/>
    <mergeCell ref="AS86:AT87"/>
    <mergeCell ref="AD87:AE89"/>
    <mergeCell ref="AF88:AG89"/>
    <mergeCell ref="AH88:AH89"/>
    <mergeCell ref="AI88:AJ89"/>
    <mergeCell ref="AP88:AQ89"/>
    <mergeCell ref="AR88:AR89"/>
    <mergeCell ref="AS88:AT89"/>
    <mergeCell ref="AU84:AV89"/>
    <mergeCell ref="AW84:AX89"/>
    <mergeCell ref="AY84:AZ89"/>
    <mergeCell ref="BA84:BB89"/>
    <mergeCell ref="BC84:BD89"/>
    <mergeCell ref="BE84:BF89"/>
    <mergeCell ref="BG84:BH89"/>
    <mergeCell ref="BI84:BJ89"/>
    <mergeCell ref="BK84:BL89"/>
    <mergeCell ref="BI90:BJ95"/>
    <mergeCell ref="BK90:BL95"/>
    <mergeCell ref="BM90:BN95"/>
    <mergeCell ref="BO90:BO95"/>
    <mergeCell ref="AF92:AG93"/>
    <mergeCell ref="AH92:AH93"/>
    <mergeCell ref="AI92:AJ93"/>
    <mergeCell ref="AK92:AL93"/>
    <mergeCell ref="AM92:AM93"/>
    <mergeCell ref="AN92:AO93"/>
    <mergeCell ref="AF94:AG95"/>
    <mergeCell ref="AH94:AH95"/>
    <mergeCell ref="AI94:AJ95"/>
    <mergeCell ref="AK94:AL95"/>
    <mergeCell ref="AM94:AM95"/>
    <mergeCell ref="AN94:AO95"/>
    <mergeCell ref="AF90:AJ91"/>
    <mergeCell ref="AK90:AO91"/>
    <mergeCell ref="AP90:AT95"/>
    <mergeCell ref="AU90:AV95"/>
    <mergeCell ref="AW90:AX95"/>
    <mergeCell ref="AY90:AZ95"/>
    <mergeCell ref="BA90:BB95"/>
    <mergeCell ref="Y97:BF98"/>
    <mergeCell ref="Y99:Z100"/>
    <mergeCell ref="AA99:AA100"/>
    <mergeCell ref="AD99:AD100"/>
    <mergeCell ref="AG99:AG100"/>
    <mergeCell ref="AJ99:AJ100"/>
    <mergeCell ref="BC90:BD95"/>
    <mergeCell ref="BE90:BF95"/>
    <mergeCell ref="BG90:BH95"/>
    <mergeCell ref="Y90:AC95"/>
    <mergeCell ref="AD90:AE92"/>
    <mergeCell ref="AD93:AE95"/>
  </mergeCells>
  <phoneticPr fontId="29"/>
  <printOptions horizontalCentered="1" verticalCentered="1"/>
  <pageMargins left="0" right="0" top="0" bottom="0" header="0.51181102362204722" footer="0.51181102362204722"/>
  <pageSetup paperSize="9" scale="42"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F00-000000000000}">
          <x14:formula1>
            <xm:f>審判員!$I$1:$I$17</xm:f>
          </x14:formula1>
          <xm:sqref>E23:E27 E41:E45 E59:E63 G23:G27 G41:G45 G59:G63 Q23:Q27 Q41:Q45 Q59:Q63 S23:S27 S41:S45 S59:S63</xm:sqref>
        </x14:dataValidation>
        <x14:dataValidation type="list" allowBlank="1" showInputMessage="1" showErrorMessage="1" xr:uid="{00000000-0002-0000-0F00-000001000000}">
          <x14:formula1>
            <xm:f>審判員!$G$1:$G$3</xm:f>
          </x14:formula1>
          <xm:sqref>A23:A27 K23:K27 A41:A45 K41:K45 A59:A63 K59:K63 M23:M27 W41:W45 W59:W63 M59:M63 W23:W27 M41:M45</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FF99"/>
    <pageSetUpPr fitToPage="1"/>
  </sheetPr>
  <dimension ref="A1:BO129"/>
  <sheetViews>
    <sheetView view="pageBreakPreview" zoomScale="50" zoomScaleNormal="55" zoomScaleSheetLayoutView="50" workbookViewId="0">
      <selection activeCell="A3" sqref="A3"/>
    </sheetView>
  </sheetViews>
  <sheetFormatPr defaultColWidth="9" defaultRowHeight="18.75" x14ac:dyDescent="0.25"/>
  <cols>
    <col min="1" max="1" width="19.46484375" style="66" customWidth="1"/>
    <col min="2" max="2" width="39.86328125" style="66" customWidth="1"/>
    <col min="3" max="3" width="10.73046875" style="66" customWidth="1"/>
    <col min="4" max="4" width="4.46484375" style="66" customWidth="1"/>
    <col min="5" max="5" width="10.3984375" style="66" customWidth="1"/>
    <col min="6" max="6" width="5.73046875" style="66" bestFit="1" customWidth="1"/>
    <col min="7" max="7" width="10.3984375" style="66" customWidth="1"/>
    <col min="8" max="8" width="4.46484375" style="66" customWidth="1"/>
    <col min="9" max="9" width="10.73046875" style="66" bestFit="1" customWidth="1"/>
    <col min="10" max="10" width="39.86328125" style="66" customWidth="1"/>
    <col min="11" max="11" width="15.73046875" style="66" customWidth="1"/>
    <col min="12" max="12" width="3.46484375" style="66" customWidth="1"/>
    <col min="13" max="13" width="19.46484375" style="66" customWidth="1"/>
    <col min="14" max="14" width="39.86328125" style="66" customWidth="1"/>
    <col min="15" max="15" width="10.73046875" style="66" customWidth="1"/>
    <col min="16" max="16" width="4.46484375" style="66" customWidth="1"/>
    <col min="17" max="17" width="10.3984375" style="66" customWidth="1"/>
    <col min="18" max="18" width="5.73046875" style="66" bestFit="1" customWidth="1"/>
    <col min="19" max="19" width="10.3984375" style="66" customWidth="1"/>
    <col min="20" max="20" width="4.46484375" style="66" customWidth="1"/>
    <col min="21" max="21" width="10.73046875" style="66" customWidth="1"/>
    <col min="22" max="22" width="39.86328125" style="66" customWidth="1"/>
    <col min="23" max="23" width="15.73046875" style="66" customWidth="1"/>
    <col min="24" max="24" width="9" style="66"/>
    <col min="25" max="59" width="5.86328125" style="66" customWidth="1"/>
    <col min="60" max="16384" width="9" style="66"/>
  </cols>
  <sheetData>
    <row r="1" spans="1:67" ht="27.75" x14ac:dyDescent="0.25">
      <c r="A1" s="959" t="str">
        <f>抽選会資料!A1</f>
        <v>OFA 第 57 回大分県U-12サッカー大会　兼　KYFA 九州U-12サッカー大会大分県大会</v>
      </c>
      <c r="B1" s="959"/>
      <c r="C1" s="959"/>
      <c r="D1" s="959"/>
      <c r="E1" s="959"/>
      <c r="F1" s="959"/>
      <c r="G1" s="959"/>
      <c r="H1" s="959"/>
      <c r="I1" s="959"/>
      <c r="J1" s="959" t="s">
        <v>279</v>
      </c>
      <c r="K1" s="959"/>
      <c r="L1" s="228"/>
      <c r="M1" s="959" t="str">
        <f>抽選会資料!A1</f>
        <v>OFA 第 57 回大分県U-12サッカー大会　兼　KYFA 九州U-12サッカー大会大分県大会</v>
      </c>
      <c r="N1" s="959"/>
      <c r="O1" s="959"/>
      <c r="P1" s="959"/>
      <c r="Q1" s="959"/>
      <c r="R1" s="959"/>
      <c r="S1" s="959"/>
      <c r="T1" s="959"/>
      <c r="U1" s="959"/>
      <c r="V1" s="959" t="s">
        <v>279</v>
      </c>
      <c r="W1" s="959"/>
      <c r="Y1" s="959" t="str">
        <f>$A$1</f>
        <v>OFA 第 57 回大分県U-12サッカー大会　兼　KYFA 九州U-12サッカー大会大分県大会</v>
      </c>
      <c r="Z1" s="959"/>
      <c r="AA1" s="959"/>
      <c r="AB1" s="959"/>
      <c r="AC1" s="959"/>
      <c r="AD1" s="959"/>
      <c r="AE1" s="959"/>
      <c r="AF1" s="959"/>
      <c r="AG1" s="959"/>
      <c r="AH1" s="959"/>
      <c r="AI1" s="959"/>
      <c r="AJ1" s="959"/>
      <c r="AK1" s="959"/>
      <c r="AL1" s="959"/>
      <c r="AM1" s="959"/>
      <c r="AN1" s="959"/>
      <c r="AO1" s="959"/>
      <c r="AP1" s="959"/>
      <c r="AQ1" s="959"/>
      <c r="AR1" s="959"/>
      <c r="AS1" s="959"/>
      <c r="AT1" s="959"/>
      <c r="AU1" s="959"/>
      <c r="AV1" s="959"/>
      <c r="AW1" s="959"/>
      <c r="AX1" s="959"/>
      <c r="AY1" s="959"/>
      <c r="AZ1" s="959"/>
      <c r="BA1" s="959"/>
      <c r="BB1" s="959"/>
      <c r="BC1" s="959"/>
      <c r="BD1" s="959"/>
      <c r="BE1" s="959"/>
      <c r="BF1" s="959"/>
      <c r="BG1" s="959"/>
      <c r="BI1" s="959" t="str">
        <f>$J$1</f>
        <v>１次リーグ結果　報告用紙</v>
      </c>
      <c r="BJ1" s="959"/>
      <c r="BK1" s="959"/>
      <c r="BL1" s="959"/>
      <c r="BM1" s="959"/>
      <c r="BN1" s="959"/>
      <c r="BO1" s="959"/>
    </row>
    <row r="2" spans="1:67" ht="37.5" customHeight="1" x14ac:dyDescent="0.25">
      <c r="A2" s="959" t="s">
        <v>1962</v>
      </c>
      <c r="B2" s="959"/>
      <c r="C2" s="959"/>
      <c r="D2" s="959"/>
      <c r="E2" s="959"/>
      <c r="F2" s="959"/>
      <c r="G2" s="959"/>
      <c r="H2" s="959"/>
      <c r="I2" s="959"/>
      <c r="J2" s="959"/>
      <c r="K2" s="959"/>
      <c r="L2" s="189"/>
      <c r="M2" s="959" t="s">
        <v>1962</v>
      </c>
      <c r="N2" s="959"/>
      <c r="O2" s="959"/>
      <c r="P2" s="959"/>
      <c r="Q2" s="959"/>
      <c r="R2" s="959"/>
      <c r="S2" s="959"/>
      <c r="T2" s="959"/>
      <c r="U2" s="959"/>
      <c r="V2" s="959"/>
      <c r="W2" s="959"/>
      <c r="Y2" s="959" t="s">
        <v>1962</v>
      </c>
      <c r="Z2" s="959"/>
      <c r="AA2" s="959"/>
      <c r="AB2" s="959"/>
      <c r="AC2" s="959"/>
      <c r="AD2" s="959"/>
      <c r="AE2" s="959"/>
      <c r="AF2" s="959"/>
      <c r="AG2" s="959"/>
      <c r="AH2" s="959"/>
      <c r="AI2" s="959"/>
      <c r="AJ2" s="959"/>
      <c r="AK2" s="959"/>
      <c r="AL2" s="959"/>
      <c r="AM2" s="959"/>
      <c r="AN2" s="959"/>
      <c r="AO2" s="959"/>
      <c r="AP2" s="959"/>
      <c r="AQ2" s="959"/>
      <c r="AR2" s="959"/>
      <c r="AS2" s="959"/>
      <c r="AT2" s="959"/>
      <c r="AU2" s="959"/>
      <c r="AV2" s="959"/>
      <c r="AW2" s="959"/>
      <c r="AX2" s="959"/>
      <c r="AY2" s="959"/>
      <c r="AZ2" s="959"/>
      <c r="BA2" s="959"/>
      <c r="BB2" s="959"/>
      <c r="BC2" s="959"/>
      <c r="BD2" s="959"/>
      <c r="BE2" s="959"/>
      <c r="BF2" s="959"/>
      <c r="BG2" s="959"/>
    </row>
    <row r="3" spans="1:67" ht="37.5" customHeight="1" x14ac:dyDescent="0.25">
      <c r="A3" s="189"/>
      <c r="B3" s="189"/>
      <c r="C3" s="189"/>
      <c r="D3" s="189"/>
      <c r="E3" s="189"/>
      <c r="F3" s="189"/>
      <c r="G3" s="189"/>
      <c r="H3" s="189"/>
      <c r="I3" s="189"/>
      <c r="J3" s="189"/>
      <c r="K3" s="189"/>
      <c r="L3" s="189"/>
      <c r="M3" s="189"/>
      <c r="N3" s="189"/>
      <c r="O3" s="189"/>
      <c r="P3" s="189"/>
      <c r="Q3" s="189"/>
      <c r="R3" s="189"/>
      <c r="S3" s="189"/>
      <c r="T3" s="189"/>
      <c r="U3" s="189"/>
      <c r="V3" s="189"/>
      <c r="W3" s="189"/>
      <c r="Y3" s="189"/>
      <c r="Z3" s="189"/>
      <c r="AA3" s="189"/>
      <c r="AB3" s="189"/>
      <c r="AC3" s="189"/>
      <c r="AD3" s="189"/>
      <c r="AE3" s="189"/>
      <c r="AF3" s="189"/>
      <c r="AG3" s="189"/>
      <c r="AH3" s="189"/>
      <c r="AI3" s="189"/>
    </row>
    <row r="4" spans="1:67" ht="37.5" customHeight="1" x14ac:dyDescent="0.25">
      <c r="A4" s="58" t="s">
        <v>487</v>
      </c>
      <c r="B4" s="201" t="str">
        <f>組み合わせ!D7</f>
        <v>中津</v>
      </c>
      <c r="C4" s="58" t="s">
        <v>659</v>
      </c>
      <c r="D4" s="961" t="str">
        <f>VLOOKUP(B4,抽選会資料!$B$55:$F$63,2,FALSE)</f>
        <v>ディーアクト（D-ACT）スポーツパーク永添(永添運動公園)
人工芝多目的グラウンド</v>
      </c>
      <c r="E4" s="961"/>
      <c r="F4" s="961"/>
      <c r="G4" s="961"/>
      <c r="H4" s="961"/>
      <c r="I4" s="961"/>
      <c r="J4" s="961"/>
      <c r="K4" s="961"/>
      <c r="L4" s="68"/>
      <c r="M4" s="58" t="s">
        <v>487</v>
      </c>
      <c r="N4" s="201" t="str">
        <f>組み合わせ!D7</f>
        <v>中津</v>
      </c>
      <c r="O4" s="58" t="s">
        <v>659</v>
      </c>
      <c r="P4" s="961" t="str">
        <f>VLOOKUP(N4,抽選会資料!$B$55:$F$63,2,FALSE)</f>
        <v>ディーアクト（D-ACT）スポーツパーク永添(永添運動公園)
人工芝多目的グラウンド</v>
      </c>
      <c r="Q4" s="961"/>
      <c r="R4" s="961"/>
      <c r="S4" s="961"/>
      <c r="T4" s="961"/>
      <c r="U4" s="961"/>
      <c r="V4" s="961"/>
      <c r="W4" s="961"/>
      <c r="X4" s="39"/>
      <c r="Y4" s="590" t="s">
        <v>487</v>
      </c>
      <c r="Z4" s="590"/>
      <c r="AA4" s="590"/>
      <c r="AB4" s="960" t="str">
        <f>$B$4</f>
        <v>中津</v>
      </c>
      <c r="AC4" s="960"/>
      <c r="AD4" s="960"/>
      <c r="AE4" s="960"/>
      <c r="AF4" s="960"/>
      <c r="AG4" s="960"/>
      <c r="AH4" s="58" t="s">
        <v>659</v>
      </c>
      <c r="AI4" s="961" t="str">
        <f>$D$4</f>
        <v>ディーアクト（D-ACT）スポーツパーク永添(永添運動公園)
人工芝多目的グラウンド</v>
      </c>
      <c r="AJ4" s="961"/>
      <c r="AK4" s="961"/>
      <c r="AL4" s="961"/>
      <c r="AM4" s="961"/>
      <c r="AN4" s="961"/>
      <c r="AO4" s="961"/>
      <c r="AP4" s="961"/>
      <c r="AQ4" s="961"/>
      <c r="AR4" s="961"/>
      <c r="AS4" s="961"/>
      <c r="AT4" s="961"/>
      <c r="AU4" s="961"/>
      <c r="AV4" s="961"/>
      <c r="AW4" s="961"/>
    </row>
    <row r="5" spans="1:67" ht="37.5" customHeight="1" x14ac:dyDescent="0.25">
      <c r="A5" s="190"/>
      <c r="B5" s="190"/>
      <c r="C5" s="190"/>
      <c r="D5" s="190"/>
      <c r="E5" s="190"/>
      <c r="F5" s="190"/>
      <c r="G5" s="190"/>
      <c r="H5" s="190"/>
      <c r="I5" s="190"/>
      <c r="J5" s="190"/>
      <c r="K5" s="190"/>
      <c r="L5" s="190"/>
      <c r="M5" s="190"/>
      <c r="N5" s="190"/>
      <c r="O5" s="190"/>
      <c r="P5" s="190"/>
      <c r="Q5" s="190"/>
      <c r="R5" s="190"/>
      <c r="S5" s="190"/>
      <c r="T5" s="190"/>
      <c r="U5" s="190"/>
      <c r="V5" s="190"/>
      <c r="W5" s="190"/>
      <c r="Y5" s="190"/>
      <c r="Z5" s="190"/>
      <c r="AA5" s="190"/>
    </row>
    <row r="6" spans="1:67" ht="37.5" customHeight="1" x14ac:dyDescent="0.25">
      <c r="A6" s="58" t="s">
        <v>430</v>
      </c>
      <c r="B6" s="236" t="str">
        <f>VLOOKUP(B4,組み合わせ!$AL$95:$BU$112,13,FALSE)</f>
        <v>A</v>
      </c>
      <c r="C6" s="58"/>
      <c r="D6" s="58"/>
      <c r="M6" s="58" t="s">
        <v>430</v>
      </c>
      <c r="N6" s="236" t="str">
        <f>VLOOKUP(N4,組み合わせ!$AL$95:$BU$112,25,FALSE)</f>
        <v>G</v>
      </c>
      <c r="O6" s="229"/>
      <c r="P6" s="229"/>
      <c r="Y6" s="590" t="s">
        <v>430</v>
      </c>
      <c r="Z6" s="590"/>
      <c r="AA6" s="590"/>
      <c r="AB6" s="962" t="str">
        <f>$B$6</f>
        <v>A</v>
      </c>
      <c r="AC6" s="962"/>
      <c r="AD6" s="962"/>
      <c r="AE6" s="962"/>
      <c r="AF6" s="962"/>
      <c r="AG6" s="962"/>
    </row>
    <row r="7" spans="1:67" ht="37.5" customHeight="1" x14ac:dyDescent="0.25">
      <c r="A7" s="58"/>
      <c r="B7" s="202" t="str">
        <f>CONCATENATE($B$6,1)</f>
        <v>A1</v>
      </c>
      <c r="C7" s="998" t="str">
        <f>HLOOKUP(B7,組み合わせ!$B$48:$EO$86,2,FALSE)</f>
        <v>鶴居ＳＳＳ</v>
      </c>
      <c r="D7" s="998"/>
      <c r="E7" s="998"/>
      <c r="F7" s="998"/>
      <c r="G7" s="998"/>
      <c r="H7" s="998"/>
      <c r="I7" s="998"/>
      <c r="J7" s="998" t="str">
        <f>HLOOKUP(B7,組み合わせ!$B$48:$EO$86,32,FALSE)</f>
        <v>中津</v>
      </c>
      <c r="K7" s="999"/>
      <c r="M7" s="229"/>
      <c r="N7" s="202" t="str">
        <f>CONCATENATE($N$6,1)</f>
        <v>G1</v>
      </c>
      <c r="O7" s="998" t="str">
        <f>HLOOKUP(N7,組み合わせ!$B$48:$EO$86,2,FALSE)</f>
        <v>ティエラフットボールクラブＵ－１２</v>
      </c>
      <c r="P7" s="998"/>
      <c r="Q7" s="998"/>
      <c r="R7" s="998"/>
      <c r="S7" s="998"/>
      <c r="T7" s="998"/>
      <c r="U7" s="998"/>
      <c r="V7" s="998" t="str">
        <f>HLOOKUP(N7,組み合わせ!$B$48:$EO$86,32,FALSE)</f>
        <v>中津</v>
      </c>
      <c r="W7" s="999"/>
      <c r="Y7" s="58"/>
      <c r="Z7" s="713" t="str">
        <f>+B7</f>
        <v>A1</v>
      </c>
      <c r="AA7" s="713"/>
      <c r="AB7" s="713"/>
      <c r="AC7" s="713" t="str">
        <f>$C$7</f>
        <v>鶴居ＳＳＳ</v>
      </c>
      <c r="AD7" s="713"/>
      <c r="AE7" s="713"/>
      <c r="AF7" s="713"/>
      <c r="AG7" s="713"/>
      <c r="AH7" s="713"/>
      <c r="AI7" s="713"/>
      <c r="AJ7" s="713"/>
      <c r="AK7" s="713"/>
      <c r="AL7" s="713"/>
      <c r="AM7" s="713"/>
      <c r="AN7" s="713"/>
      <c r="AO7" s="713"/>
      <c r="AP7" s="713" t="str">
        <f>$J$7</f>
        <v>中津</v>
      </c>
      <c r="AQ7" s="713"/>
      <c r="AR7" s="713"/>
      <c r="AS7" s="713"/>
    </row>
    <row r="8" spans="1:67" ht="37.5" customHeight="1" x14ac:dyDescent="0.25">
      <c r="A8" s="58"/>
      <c r="B8" s="203" t="str">
        <f>CONCATENATE($B$6,2)</f>
        <v>A2</v>
      </c>
      <c r="C8" s="549" t="str">
        <f>HLOOKUP(B8,組み合わせ!$B$48:$EO$86,2,FALSE)</f>
        <v>ドリームキッズフットボールクラブ</v>
      </c>
      <c r="D8" s="549"/>
      <c r="E8" s="549"/>
      <c r="F8" s="549"/>
      <c r="G8" s="549"/>
      <c r="H8" s="549"/>
      <c r="I8" s="549"/>
      <c r="J8" s="549" t="str">
        <f>HLOOKUP(B8,組み合わせ!$B$48:$EO$86,32,FALSE)</f>
        <v>大分</v>
      </c>
      <c r="K8" s="995"/>
      <c r="M8" s="229"/>
      <c r="N8" s="203" t="str">
        <f>CONCATENATE($N$6,2)</f>
        <v>G2</v>
      </c>
      <c r="O8" s="549" t="str">
        <f>HLOOKUP(N8,組み合わせ!$B$48:$EO$86,2,FALSE)</f>
        <v>南大分サッカー少年団</v>
      </c>
      <c r="P8" s="549"/>
      <c r="Q8" s="549"/>
      <c r="R8" s="549"/>
      <c r="S8" s="549"/>
      <c r="T8" s="549"/>
      <c r="U8" s="549"/>
      <c r="V8" s="549" t="str">
        <f>HLOOKUP(N8,組み合わせ!$B$48:$EO$86,32,FALSE)</f>
        <v>大分</v>
      </c>
      <c r="W8" s="995"/>
      <c r="Y8" s="58"/>
      <c r="Z8" s="713" t="str">
        <f>+B8</f>
        <v>A2</v>
      </c>
      <c r="AA8" s="713"/>
      <c r="AB8" s="713"/>
      <c r="AC8" s="713" t="str">
        <f>$C$8</f>
        <v>ドリームキッズフットボールクラブ</v>
      </c>
      <c r="AD8" s="713"/>
      <c r="AE8" s="713"/>
      <c r="AF8" s="713"/>
      <c r="AG8" s="713"/>
      <c r="AH8" s="713"/>
      <c r="AI8" s="713"/>
      <c r="AJ8" s="713"/>
      <c r="AK8" s="713"/>
      <c r="AL8" s="713"/>
      <c r="AM8" s="713"/>
      <c r="AN8" s="713"/>
      <c r="AO8" s="713"/>
      <c r="AP8" s="713" t="str">
        <f>$J$8</f>
        <v>大分</v>
      </c>
      <c r="AQ8" s="713"/>
      <c r="AR8" s="713"/>
      <c r="AS8" s="713"/>
    </row>
    <row r="9" spans="1:67" ht="37.5" customHeight="1" x14ac:dyDescent="0.25">
      <c r="A9" s="190"/>
      <c r="B9" s="204" t="str">
        <f>CONCATENATE($B$6,3)</f>
        <v>A3</v>
      </c>
      <c r="C9" s="996" t="str">
        <f>HLOOKUP(B9,組み合わせ!$B$48:$EO$86,2,FALSE)</f>
        <v>スマイス　セレソン　スポーツクラブ</v>
      </c>
      <c r="D9" s="996"/>
      <c r="E9" s="996"/>
      <c r="F9" s="996"/>
      <c r="G9" s="996"/>
      <c r="H9" s="996"/>
      <c r="I9" s="996"/>
      <c r="J9" s="996" t="str">
        <f>HLOOKUP(B9,組み合わせ!$B$48:$EO$86,32,FALSE)</f>
        <v>大分</v>
      </c>
      <c r="K9" s="997"/>
      <c r="L9" s="190"/>
      <c r="M9" s="190"/>
      <c r="N9" s="204" t="str">
        <f>CONCATENATE($N$6,3)</f>
        <v>G3</v>
      </c>
      <c r="O9" s="996" t="str">
        <f>HLOOKUP(N9,組み合わせ!$B$48:$EO$86,2,FALSE)</f>
        <v>ＦＣ　ＵＮＩＴＥ</v>
      </c>
      <c r="P9" s="996"/>
      <c r="Q9" s="996"/>
      <c r="R9" s="996"/>
      <c r="S9" s="996"/>
      <c r="T9" s="996"/>
      <c r="U9" s="996"/>
      <c r="V9" s="996" t="str">
        <f>HLOOKUP(N9,組み合わせ!$B$48:$EO$86,32,FALSE)</f>
        <v>宇佐高田</v>
      </c>
      <c r="W9" s="997"/>
      <c r="Y9" s="190"/>
      <c r="Z9" s="713" t="str">
        <f>+B9</f>
        <v>A3</v>
      </c>
      <c r="AA9" s="713"/>
      <c r="AB9" s="713"/>
      <c r="AC9" s="713" t="str">
        <f>$C$9</f>
        <v>スマイス　セレソン　スポーツクラブ</v>
      </c>
      <c r="AD9" s="713"/>
      <c r="AE9" s="713"/>
      <c r="AF9" s="713"/>
      <c r="AG9" s="713"/>
      <c r="AH9" s="713"/>
      <c r="AI9" s="713"/>
      <c r="AJ9" s="713"/>
      <c r="AK9" s="713"/>
      <c r="AL9" s="713"/>
      <c r="AM9" s="713"/>
      <c r="AN9" s="713"/>
      <c r="AO9" s="713"/>
      <c r="AP9" s="713" t="str">
        <f>$J$9</f>
        <v>大分</v>
      </c>
      <c r="AQ9" s="713"/>
      <c r="AR9" s="713"/>
      <c r="AS9" s="713"/>
    </row>
    <row r="10" spans="1:67" ht="37.5" customHeight="1" x14ac:dyDescent="0.25">
      <c r="A10" s="191" t="s">
        <v>497</v>
      </c>
      <c r="B10" s="189"/>
      <c r="C10" s="189"/>
      <c r="D10" s="189"/>
      <c r="E10" s="189"/>
      <c r="F10" s="189"/>
      <c r="G10" s="189"/>
      <c r="H10" s="189"/>
      <c r="I10" s="189"/>
      <c r="J10" s="189"/>
      <c r="K10" s="189"/>
      <c r="L10" s="189"/>
      <c r="M10" s="191" t="s">
        <v>637</v>
      </c>
      <c r="N10" s="189"/>
      <c r="O10" s="189"/>
      <c r="P10" s="189"/>
      <c r="Q10" s="189"/>
      <c r="R10" s="189"/>
      <c r="S10" s="189"/>
      <c r="T10" s="189"/>
      <c r="U10" s="189"/>
      <c r="V10" s="189"/>
      <c r="W10" s="189"/>
    </row>
    <row r="12" spans="1:67" ht="18.75" customHeight="1" x14ac:dyDescent="0.25">
      <c r="A12" s="963" t="s">
        <v>789</v>
      </c>
      <c r="B12" s="964" t="str">
        <f>C7</f>
        <v>鶴居ＳＳＳ</v>
      </c>
      <c r="C12" s="966">
        <f>IF(E12="","",SUM(E12:E13))</f>
        <v>0</v>
      </c>
      <c r="D12" s="940" t="s">
        <v>336</v>
      </c>
      <c r="E12" s="217">
        <v>0</v>
      </c>
      <c r="F12" s="217" t="s">
        <v>61</v>
      </c>
      <c r="G12" s="217">
        <v>2</v>
      </c>
      <c r="H12" s="940" t="s">
        <v>339</v>
      </c>
      <c r="I12" s="966">
        <f>IF(G12="","",SUM(G12:G13))</f>
        <v>2</v>
      </c>
      <c r="J12" s="968" t="str">
        <f>C8</f>
        <v>ドリームキッズフットボールクラブ</v>
      </c>
      <c r="K12" s="190"/>
      <c r="L12" s="190"/>
      <c r="M12" s="969" t="s">
        <v>791</v>
      </c>
      <c r="N12" s="972" t="str">
        <f>O7</f>
        <v>ティエラフットボールクラブＵ－１２</v>
      </c>
      <c r="O12" s="966">
        <f>IF(Q12="","",SUM(Q12:Q13))</f>
        <v>2</v>
      </c>
      <c r="P12" s="940" t="s">
        <v>336</v>
      </c>
      <c r="Q12" s="217">
        <v>1</v>
      </c>
      <c r="R12" s="217" t="s">
        <v>61</v>
      </c>
      <c r="S12" s="217">
        <v>0</v>
      </c>
      <c r="T12" s="940" t="s">
        <v>339</v>
      </c>
      <c r="U12" s="966">
        <f>IF(S12="","",SUM(S12:S13))</f>
        <v>0</v>
      </c>
      <c r="V12" s="968" t="str">
        <f>O8</f>
        <v>南大分サッカー少年団</v>
      </c>
    </row>
    <row r="13" spans="1:67" ht="18.75" customHeight="1" x14ac:dyDescent="0.25">
      <c r="A13" s="946"/>
      <c r="B13" s="965"/>
      <c r="C13" s="967"/>
      <c r="D13" s="906"/>
      <c r="E13" s="190">
        <v>0</v>
      </c>
      <c r="F13" s="190" t="s">
        <v>126</v>
      </c>
      <c r="G13" s="190">
        <v>0</v>
      </c>
      <c r="H13" s="906"/>
      <c r="I13" s="967"/>
      <c r="J13" s="957"/>
      <c r="K13" s="190"/>
      <c r="L13" s="190"/>
      <c r="M13" s="970"/>
      <c r="N13" s="973"/>
      <c r="O13" s="967"/>
      <c r="P13" s="906"/>
      <c r="Q13" s="190">
        <v>1</v>
      </c>
      <c r="R13" s="190" t="s">
        <v>126</v>
      </c>
      <c r="S13" s="190">
        <v>0</v>
      </c>
      <c r="T13" s="906"/>
      <c r="U13" s="967"/>
      <c r="V13" s="957"/>
    </row>
    <row r="14" spans="1:67" ht="19.5" customHeight="1" x14ac:dyDescent="0.25">
      <c r="A14" s="946"/>
      <c r="B14" s="980"/>
      <c r="C14" s="967"/>
      <c r="D14" s="906"/>
      <c r="E14" s="190"/>
      <c r="F14" s="190" t="s">
        <v>407</v>
      </c>
      <c r="G14" s="190"/>
      <c r="H14" s="906"/>
      <c r="I14" s="967"/>
      <c r="J14" s="958"/>
      <c r="K14" s="190"/>
      <c r="L14" s="190"/>
      <c r="M14" s="971"/>
      <c r="N14" s="974"/>
      <c r="O14" s="975"/>
      <c r="P14" s="908"/>
      <c r="Q14" s="190"/>
      <c r="R14" s="190" t="s">
        <v>407</v>
      </c>
      <c r="S14" s="190"/>
      <c r="T14" s="908"/>
      <c r="U14" s="975"/>
      <c r="V14" s="976"/>
    </row>
    <row r="15" spans="1:67" ht="18.75" customHeight="1" x14ac:dyDescent="0.25">
      <c r="A15" s="192" t="s">
        <v>2463</v>
      </c>
      <c r="B15" s="989" t="s">
        <v>15166</v>
      </c>
      <c r="C15" s="989"/>
      <c r="D15" s="989"/>
      <c r="E15" s="989"/>
      <c r="F15" s="989"/>
      <c r="G15" s="990" t="s">
        <v>2464</v>
      </c>
      <c r="H15" s="990"/>
      <c r="I15" s="990"/>
      <c r="J15" s="991" t="s">
        <v>15168</v>
      </c>
      <c r="K15" s="991"/>
      <c r="L15" s="190"/>
      <c r="M15" s="192" t="s">
        <v>2463</v>
      </c>
      <c r="N15" s="989" t="s">
        <v>15199</v>
      </c>
      <c r="O15" s="989"/>
      <c r="P15" s="989"/>
      <c r="Q15" s="989"/>
      <c r="R15" s="989"/>
      <c r="S15" s="990" t="s">
        <v>2464</v>
      </c>
      <c r="T15" s="990"/>
      <c r="U15" s="990"/>
      <c r="V15" s="991" t="s">
        <v>15168</v>
      </c>
      <c r="W15" s="991"/>
      <c r="Y15" s="954" t="str">
        <f>$Y$6</f>
        <v>パート</v>
      </c>
      <c r="Z15" s="955"/>
      <c r="AA15" s="955"/>
      <c r="AB15" s="955"/>
      <c r="AC15" s="955" t="str">
        <f>$AB$6</f>
        <v>A</v>
      </c>
      <c r="AD15" s="955"/>
      <c r="AE15" s="956"/>
      <c r="AF15" s="945" t="str">
        <f>$Y$21</f>
        <v>鶴居ＳＳＳ</v>
      </c>
      <c r="AG15" s="945"/>
      <c r="AH15" s="945"/>
      <c r="AI15" s="945"/>
      <c r="AJ15" s="945"/>
      <c r="AK15" s="945" t="str">
        <f>$Y$27</f>
        <v>ドリームキッズフットボールクラブ</v>
      </c>
      <c r="AL15" s="945"/>
      <c r="AM15" s="945"/>
      <c r="AN15" s="945"/>
      <c r="AO15" s="945"/>
      <c r="AP15" s="945" t="str">
        <f>$Y$33</f>
        <v>スマイス　セレソン　スポーツクラブ</v>
      </c>
      <c r="AQ15" s="945"/>
      <c r="AR15" s="945"/>
      <c r="AS15" s="945"/>
      <c r="AT15" s="945"/>
      <c r="AU15" s="945" t="s">
        <v>1535</v>
      </c>
      <c r="AV15" s="945"/>
      <c r="AW15" s="944" t="s">
        <v>2060</v>
      </c>
      <c r="AX15" s="945"/>
      <c r="AY15" s="944" t="s">
        <v>1208</v>
      </c>
      <c r="AZ15" s="945"/>
      <c r="BA15" s="945" t="s">
        <v>1727</v>
      </c>
      <c r="BB15" s="945"/>
      <c r="BC15" s="945" t="s">
        <v>2005</v>
      </c>
      <c r="BD15" s="945"/>
      <c r="BE15" s="945" t="s">
        <v>2006</v>
      </c>
      <c r="BF15" s="945"/>
      <c r="BG15" s="945" t="s">
        <v>1768</v>
      </c>
      <c r="BH15" s="945"/>
      <c r="BI15" s="944" t="s">
        <v>698</v>
      </c>
      <c r="BJ15" s="945"/>
      <c r="BK15" s="944" t="s">
        <v>1100</v>
      </c>
      <c r="BL15" s="945"/>
      <c r="BM15" s="944" t="s">
        <v>502</v>
      </c>
      <c r="BN15" s="945"/>
      <c r="BO15" s="947" t="s">
        <v>2127</v>
      </c>
    </row>
    <row r="16" spans="1:67" x14ac:dyDescent="0.25">
      <c r="A16" s="193" t="s">
        <v>2465</v>
      </c>
      <c r="B16" s="992" t="s">
        <v>15166</v>
      </c>
      <c r="C16" s="992"/>
      <c r="D16" s="992"/>
      <c r="E16" s="992"/>
      <c r="F16" s="992"/>
      <c r="G16" s="983" t="s">
        <v>2464</v>
      </c>
      <c r="H16" s="984"/>
      <c r="I16" s="985"/>
      <c r="J16" s="993" t="s">
        <v>15168</v>
      </c>
      <c r="K16" s="993"/>
      <c r="L16" s="190"/>
      <c r="M16" s="193" t="s">
        <v>2465</v>
      </c>
      <c r="N16" s="992" t="s">
        <v>15199</v>
      </c>
      <c r="O16" s="992"/>
      <c r="P16" s="992"/>
      <c r="Q16" s="992"/>
      <c r="R16" s="992"/>
      <c r="S16" s="983" t="s">
        <v>2464</v>
      </c>
      <c r="T16" s="984"/>
      <c r="U16" s="985"/>
      <c r="V16" s="993" t="s">
        <v>15168</v>
      </c>
      <c r="W16" s="993"/>
      <c r="Y16" s="905"/>
      <c r="Z16" s="906"/>
      <c r="AA16" s="906"/>
      <c r="AB16" s="906"/>
      <c r="AC16" s="906"/>
      <c r="AD16" s="906"/>
      <c r="AE16" s="957"/>
      <c r="AF16" s="946"/>
      <c r="AG16" s="946"/>
      <c r="AH16" s="946"/>
      <c r="AI16" s="946"/>
      <c r="AJ16" s="946"/>
      <c r="AK16" s="946"/>
      <c r="AL16" s="946"/>
      <c r="AM16" s="946"/>
      <c r="AN16" s="946"/>
      <c r="AO16" s="946"/>
      <c r="AP16" s="946"/>
      <c r="AQ16" s="946"/>
      <c r="AR16" s="946"/>
      <c r="AS16" s="946"/>
      <c r="AT16" s="946"/>
      <c r="AU16" s="946"/>
      <c r="AV16" s="946"/>
      <c r="AW16" s="946"/>
      <c r="AX16" s="946"/>
      <c r="AY16" s="946"/>
      <c r="AZ16" s="946"/>
      <c r="BA16" s="946"/>
      <c r="BB16" s="946"/>
      <c r="BC16" s="946"/>
      <c r="BD16" s="946"/>
      <c r="BE16" s="946"/>
      <c r="BF16" s="946"/>
      <c r="BG16" s="946"/>
      <c r="BH16" s="946"/>
      <c r="BI16" s="946"/>
      <c r="BJ16" s="946"/>
      <c r="BK16" s="946"/>
      <c r="BL16" s="946"/>
      <c r="BM16" s="946"/>
      <c r="BN16" s="946"/>
      <c r="BO16" s="948"/>
    </row>
    <row r="17" spans="1:67" x14ac:dyDescent="0.25">
      <c r="A17" s="194" t="s">
        <v>2466</v>
      </c>
      <c r="B17" s="982" t="s">
        <v>15167</v>
      </c>
      <c r="C17" s="982"/>
      <c r="D17" s="982"/>
      <c r="E17" s="982"/>
      <c r="F17" s="982"/>
      <c r="G17" s="983" t="s">
        <v>2464</v>
      </c>
      <c r="H17" s="984"/>
      <c r="I17" s="985"/>
      <c r="J17" s="986" t="s">
        <v>15168</v>
      </c>
      <c r="K17" s="986"/>
      <c r="L17" s="190"/>
      <c r="M17" s="194" t="s">
        <v>2466</v>
      </c>
      <c r="N17" s="982" t="s">
        <v>15200</v>
      </c>
      <c r="O17" s="982"/>
      <c r="P17" s="982"/>
      <c r="Q17" s="982"/>
      <c r="R17" s="982"/>
      <c r="S17" s="983" t="s">
        <v>2464</v>
      </c>
      <c r="T17" s="984"/>
      <c r="U17" s="985"/>
      <c r="V17" s="986" t="s">
        <v>15168</v>
      </c>
      <c r="W17" s="986"/>
      <c r="Y17" s="905"/>
      <c r="Z17" s="906"/>
      <c r="AA17" s="906"/>
      <c r="AB17" s="906"/>
      <c r="AC17" s="906"/>
      <c r="AD17" s="906"/>
      <c r="AE17" s="957"/>
      <c r="AF17" s="946"/>
      <c r="AG17" s="946"/>
      <c r="AH17" s="946"/>
      <c r="AI17" s="946"/>
      <c r="AJ17" s="946"/>
      <c r="AK17" s="946"/>
      <c r="AL17" s="946"/>
      <c r="AM17" s="946"/>
      <c r="AN17" s="946"/>
      <c r="AO17" s="946"/>
      <c r="AP17" s="946"/>
      <c r="AQ17" s="946"/>
      <c r="AR17" s="946"/>
      <c r="AS17" s="946"/>
      <c r="AT17" s="946"/>
      <c r="AU17" s="946"/>
      <c r="AV17" s="946"/>
      <c r="AW17" s="946"/>
      <c r="AX17" s="946"/>
      <c r="AY17" s="946"/>
      <c r="AZ17" s="946"/>
      <c r="BA17" s="946"/>
      <c r="BB17" s="946"/>
      <c r="BC17" s="946"/>
      <c r="BD17" s="946"/>
      <c r="BE17" s="946"/>
      <c r="BF17" s="946"/>
      <c r="BG17" s="946"/>
      <c r="BH17" s="946"/>
      <c r="BI17" s="946"/>
      <c r="BJ17" s="946"/>
      <c r="BK17" s="946"/>
      <c r="BL17" s="946"/>
      <c r="BM17" s="946"/>
      <c r="BN17" s="946"/>
      <c r="BO17" s="948"/>
    </row>
    <row r="18" spans="1:67" x14ac:dyDescent="0.25">
      <c r="A18" s="195" t="s">
        <v>609</v>
      </c>
      <c r="B18" s="205" t="str">
        <f>IF(ISERROR(VLOOKUP(G18,審判員!$A:$C,2,FALSE))=TRUE,"",VLOOKUP(G18,審判員!$A:$C,2,FALSE))</f>
        <v>石川　慎也</v>
      </c>
      <c r="C18" s="211">
        <f>IF(ISERROR(VLOOKUP(G18,審判員!$A:$C,3,FALSE))=TRUE,"",VLOOKUP(G18,審判員!$A:$C,3,FALSE))</f>
        <v>3</v>
      </c>
      <c r="D18" s="218" t="s">
        <v>612</v>
      </c>
      <c r="E18" s="955" t="s">
        <v>201</v>
      </c>
      <c r="F18" s="955"/>
      <c r="G18" s="955" t="s">
        <v>15169</v>
      </c>
      <c r="H18" s="955"/>
      <c r="I18" s="955"/>
      <c r="J18" s="987" t="s">
        <v>788</v>
      </c>
      <c r="K18" s="988"/>
      <c r="L18" s="190"/>
      <c r="M18" s="195" t="s">
        <v>609</v>
      </c>
      <c r="N18" s="205" t="str">
        <f>IF(ISERROR(VLOOKUP(S18,審判員!$A:$C,2,FALSE))=TRUE,"",VLOOKUP(S18,審判員!$A:$C,2,FALSE))</f>
        <v>畑辺　康年</v>
      </c>
      <c r="O18" s="211">
        <f>IF(ISERROR(VLOOKUP(S18,審判員!$A:$C,3,FALSE))=TRUE,"",VLOOKUP(S18,審判員!$A:$C,3,FALSE))</f>
        <v>3</v>
      </c>
      <c r="P18" s="218" t="s">
        <v>612</v>
      </c>
      <c r="Q18" s="955" t="s">
        <v>201</v>
      </c>
      <c r="R18" s="955"/>
      <c r="S18" s="955" t="s">
        <v>15201</v>
      </c>
      <c r="T18" s="955"/>
      <c r="U18" s="955"/>
      <c r="V18" s="987" t="s">
        <v>788</v>
      </c>
      <c r="W18" s="988"/>
      <c r="Y18" s="905"/>
      <c r="Z18" s="906"/>
      <c r="AA18" s="906"/>
      <c r="AB18" s="906"/>
      <c r="AC18" s="906"/>
      <c r="AD18" s="906"/>
      <c r="AE18" s="957"/>
      <c r="AF18" s="946"/>
      <c r="AG18" s="946"/>
      <c r="AH18" s="946"/>
      <c r="AI18" s="946"/>
      <c r="AJ18" s="946"/>
      <c r="AK18" s="946"/>
      <c r="AL18" s="946"/>
      <c r="AM18" s="946"/>
      <c r="AN18" s="946"/>
      <c r="AO18" s="946"/>
      <c r="AP18" s="946"/>
      <c r="AQ18" s="946"/>
      <c r="AR18" s="946"/>
      <c r="AS18" s="946"/>
      <c r="AT18" s="946"/>
      <c r="AU18" s="946"/>
      <c r="AV18" s="946"/>
      <c r="AW18" s="946"/>
      <c r="AX18" s="946"/>
      <c r="AY18" s="946"/>
      <c r="AZ18" s="946"/>
      <c r="BA18" s="946"/>
      <c r="BB18" s="946"/>
      <c r="BC18" s="946"/>
      <c r="BD18" s="946"/>
      <c r="BE18" s="946"/>
      <c r="BF18" s="946"/>
      <c r="BG18" s="946"/>
      <c r="BH18" s="946"/>
      <c r="BI18" s="946"/>
      <c r="BJ18" s="946"/>
      <c r="BK18" s="946"/>
      <c r="BL18" s="946"/>
      <c r="BM18" s="946"/>
      <c r="BN18" s="946"/>
      <c r="BO18" s="948"/>
    </row>
    <row r="19" spans="1:67" x14ac:dyDescent="0.25">
      <c r="A19" s="196" t="s">
        <v>704</v>
      </c>
      <c r="B19" s="206" t="str">
        <f>IF(ISERROR(VLOOKUP(G19,審判員!$A:$C,2,FALSE))=TRUE,"",VLOOKUP(G19,審判員!$A:$C,2,FALSE))</f>
        <v>高柿　康平</v>
      </c>
      <c r="C19" s="212">
        <f>IF(ISERROR(VLOOKUP(G19,審判員!$A:$C,3,FALSE))=TRUE,"",VLOOKUP(G19,審判員!$A:$C,3,FALSE))</f>
        <v>3</v>
      </c>
      <c r="D19" s="219" t="s">
        <v>612</v>
      </c>
      <c r="E19" s="906" t="s">
        <v>1286</v>
      </c>
      <c r="F19" s="906"/>
      <c r="G19" s="906" t="s">
        <v>15170</v>
      </c>
      <c r="H19" s="906"/>
      <c r="I19" s="906"/>
      <c r="J19" s="891" t="str">
        <f>N12</f>
        <v>ティエラフットボールクラブＵ－１２</v>
      </c>
      <c r="K19" s="981"/>
      <c r="L19" s="190"/>
      <c r="M19" s="196" t="s">
        <v>704</v>
      </c>
      <c r="N19" s="206" t="str">
        <f>IF(ISERROR(VLOOKUP(S19,審判員!$A:$C,2,FALSE))=TRUE,"",VLOOKUP(S19,審判員!$A:$C,2,FALSE))</f>
        <v>朝比奈　義行</v>
      </c>
      <c r="O19" s="212">
        <f>IF(ISERROR(VLOOKUP(S19,審判員!$A:$C,3,FALSE))=TRUE,"",VLOOKUP(S19,審判員!$A:$C,3,FALSE))</f>
        <v>3</v>
      </c>
      <c r="P19" s="219" t="s">
        <v>612</v>
      </c>
      <c r="Q19" s="906" t="s">
        <v>1286</v>
      </c>
      <c r="R19" s="906"/>
      <c r="S19" s="906" t="s">
        <v>15202</v>
      </c>
      <c r="T19" s="906"/>
      <c r="U19" s="906"/>
      <c r="V19" s="891" t="str">
        <f>B12</f>
        <v>鶴居ＳＳＳ</v>
      </c>
      <c r="W19" s="981"/>
      <c r="Y19" s="905"/>
      <c r="Z19" s="906"/>
      <c r="AA19" s="906"/>
      <c r="AB19" s="906"/>
      <c r="AC19" s="906"/>
      <c r="AD19" s="906"/>
      <c r="AE19" s="957"/>
      <c r="AF19" s="946"/>
      <c r="AG19" s="946"/>
      <c r="AH19" s="946"/>
      <c r="AI19" s="946"/>
      <c r="AJ19" s="946"/>
      <c r="AK19" s="946"/>
      <c r="AL19" s="946"/>
      <c r="AM19" s="946"/>
      <c r="AN19" s="946"/>
      <c r="AO19" s="946"/>
      <c r="AP19" s="946"/>
      <c r="AQ19" s="946"/>
      <c r="AR19" s="946"/>
      <c r="AS19" s="946"/>
      <c r="AT19" s="946"/>
      <c r="AU19" s="946"/>
      <c r="AV19" s="946"/>
      <c r="AW19" s="946"/>
      <c r="AX19" s="946"/>
      <c r="AY19" s="946"/>
      <c r="AZ19" s="946"/>
      <c r="BA19" s="946"/>
      <c r="BB19" s="946"/>
      <c r="BC19" s="946"/>
      <c r="BD19" s="946"/>
      <c r="BE19" s="946"/>
      <c r="BF19" s="946"/>
      <c r="BG19" s="946"/>
      <c r="BH19" s="946"/>
      <c r="BI19" s="946"/>
      <c r="BJ19" s="946"/>
      <c r="BK19" s="946"/>
      <c r="BL19" s="946"/>
      <c r="BM19" s="946"/>
      <c r="BN19" s="946"/>
      <c r="BO19" s="948"/>
    </row>
    <row r="20" spans="1:67" x14ac:dyDescent="0.25">
      <c r="A20" s="196" t="s">
        <v>2007</v>
      </c>
      <c r="B20" s="206" t="str">
        <f>IF(ISERROR(VLOOKUP(G20,審判員!$A:$C,2,FALSE))=TRUE,"",VLOOKUP(G20,審判員!$A:$C,2,FALSE))</f>
        <v>真鍋　裕一</v>
      </c>
      <c r="C20" s="212">
        <f>IF(ISERROR(VLOOKUP(G20,審判員!$A:$C,3,FALSE))=TRUE,"",VLOOKUP(G20,審判員!$A:$C,3,FALSE))</f>
        <v>3</v>
      </c>
      <c r="D20" s="219" t="s">
        <v>612</v>
      </c>
      <c r="E20" s="906" t="s">
        <v>1286</v>
      </c>
      <c r="F20" s="906"/>
      <c r="G20" s="906" t="s">
        <v>15171</v>
      </c>
      <c r="H20" s="906"/>
      <c r="I20" s="906"/>
      <c r="J20" s="891" t="str">
        <f>V12</f>
        <v>南大分サッカー少年団</v>
      </c>
      <c r="K20" s="981"/>
      <c r="L20" s="190"/>
      <c r="M20" s="196" t="s">
        <v>2007</v>
      </c>
      <c r="N20" s="206" t="str">
        <f>IF(ISERROR(VLOOKUP(S20,審判員!$A:$C,2,FALSE))=TRUE,"",VLOOKUP(S20,審判員!$A:$C,2,FALSE))</f>
        <v>森永　和彦</v>
      </c>
      <c r="O20" s="212">
        <f>IF(ISERROR(VLOOKUP(S20,審判員!$A:$C,3,FALSE))=TRUE,"",VLOOKUP(S20,審判員!$A:$C,3,FALSE))</f>
        <v>3</v>
      </c>
      <c r="P20" s="219" t="s">
        <v>612</v>
      </c>
      <c r="Q20" s="906" t="s">
        <v>1286</v>
      </c>
      <c r="R20" s="906"/>
      <c r="S20" s="906" t="s">
        <v>15203</v>
      </c>
      <c r="T20" s="906"/>
      <c r="U20" s="906"/>
      <c r="V20" s="891" t="str">
        <f>J12</f>
        <v>ドリームキッズフットボールクラブ</v>
      </c>
      <c r="W20" s="981"/>
      <c r="Y20" s="941"/>
      <c r="Z20" s="936"/>
      <c r="AA20" s="936"/>
      <c r="AB20" s="936"/>
      <c r="AC20" s="936"/>
      <c r="AD20" s="936"/>
      <c r="AE20" s="958"/>
      <c r="AF20" s="946"/>
      <c r="AG20" s="946"/>
      <c r="AH20" s="946"/>
      <c r="AI20" s="946"/>
      <c r="AJ20" s="946"/>
      <c r="AK20" s="946"/>
      <c r="AL20" s="946"/>
      <c r="AM20" s="946"/>
      <c r="AN20" s="946"/>
      <c r="AO20" s="946"/>
      <c r="AP20" s="946"/>
      <c r="AQ20" s="946"/>
      <c r="AR20" s="946"/>
      <c r="AS20" s="946"/>
      <c r="AT20" s="946"/>
      <c r="AU20" s="946"/>
      <c r="AV20" s="946"/>
      <c r="AW20" s="946"/>
      <c r="AX20" s="946"/>
      <c r="AY20" s="946"/>
      <c r="AZ20" s="946"/>
      <c r="BA20" s="946"/>
      <c r="BB20" s="946"/>
      <c r="BC20" s="946"/>
      <c r="BD20" s="946"/>
      <c r="BE20" s="946"/>
      <c r="BF20" s="946"/>
      <c r="BG20" s="946"/>
      <c r="BH20" s="946"/>
      <c r="BI20" s="946"/>
      <c r="BJ20" s="946"/>
      <c r="BK20" s="946"/>
      <c r="BL20" s="946"/>
      <c r="BM20" s="946"/>
      <c r="BN20" s="946"/>
      <c r="BO20" s="949"/>
    </row>
    <row r="21" spans="1:67" ht="18.75" customHeight="1" x14ac:dyDescent="0.25">
      <c r="A21" s="197" t="s">
        <v>2008</v>
      </c>
      <c r="B21" s="207" t="str">
        <f>IF(ISERROR(VLOOKUP(G21,審判員!$A:$C,2,FALSE))=TRUE,"",VLOOKUP(G21,審判員!$A:$C,2,FALSE))</f>
        <v>平岡　正広</v>
      </c>
      <c r="C21" s="213">
        <f>IF(ISERROR(VLOOKUP(G21,審判員!$A:$C,3,FALSE))=TRUE,"",VLOOKUP(G21,審判員!$A:$C,3,FALSE))</f>
        <v>3</v>
      </c>
      <c r="D21" s="220" t="s">
        <v>612</v>
      </c>
      <c r="E21" s="977" t="s">
        <v>1286</v>
      </c>
      <c r="F21" s="977"/>
      <c r="G21" s="977" t="s">
        <v>15172</v>
      </c>
      <c r="H21" s="977"/>
      <c r="I21" s="977"/>
      <c r="J21" s="978" t="s">
        <v>788</v>
      </c>
      <c r="K21" s="979"/>
      <c r="L21" s="190"/>
      <c r="M21" s="197" t="s">
        <v>2008</v>
      </c>
      <c r="N21" s="207" t="str">
        <f>IF(ISERROR(VLOOKUP(S21,審判員!$A:$C,2,FALSE))=TRUE,"",VLOOKUP(S21,審判員!$A:$C,2,FALSE))</f>
        <v>山下　省二</v>
      </c>
      <c r="O21" s="213">
        <f>IF(ISERROR(VLOOKUP(S21,審判員!$A:$C,3,FALSE))=TRUE,"",VLOOKUP(S21,審判員!$A:$C,3,FALSE))</f>
        <v>3</v>
      </c>
      <c r="P21" s="220" t="s">
        <v>612</v>
      </c>
      <c r="Q21" s="977" t="s">
        <v>1286</v>
      </c>
      <c r="R21" s="977"/>
      <c r="S21" s="977" t="s">
        <v>15204</v>
      </c>
      <c r="T21" s="977"/>
      <c r="U21" s="977"/>
      <c r="V21" s="978" t="s">
        <v>788</v>
      </c>
      <c r="W21" s="979"/>
      <c r="Y21" s="939" t="str">
        <f>$AC$7</f>
        <v>鶴居ＳＳＳ</v>
      </c>
      <c r="Z21" s="940"/>
      <c r="AA21" s="940"/>
      <c r="AB21" s="940"/>
      <c r="AC21" s="940"/>
      <c r="AD21" s="940" t="s">
        <v>242</v>
      </c>
      <c r="AE21" s="940"/>
      <c r="AF21" s="950"/>
      <c r="AG21" s="942"/>
      <c r="AH21" s="942"/>
      <c r="AI21" s="942"/>
      <c r="AJ21" s="951"/>
      <c r="AK21" s="923" t="str">
        <f>IF(AK25="","",IF(AK25&gt;AN25,"○",IF(AK25&lt;AN25,"●",IF(AK23&gt;AN23,"△",IF(AK23&lt;AN23,"▲")))))</f>
        <v>●</v>
      </c>
      <c r="AL21" s="924"/>
      <c r="AM21" s="924"/>
      <c r="AN21" s="924"/>
      <c r="AO21" s="925"/>
      <c r="AP21" s="923" t="str">
        <f>IF(AP25="","",IF(AP25&gt;AS25,"○",IF(AP25&lt;AS25,"●",IF(AP23&gt;AS23,"△",IF(AP23&lt;AS23,"▲")))))</f>
        <v>●</v>
      </c>
      <c r="AQ21" s="924"/>
      <c r="AR21" s="924"/>
      <c r="AS21" s="924"/>
      <c r="AT21" s="925"/>
      <c r="AU21" s="903">
        <f>COUNTIF($AF$21:$AT$22,"○")</f>
        <v>0</v>
      </c>
      <c r="AV21" s="903"/>
      <c r="AW21" s="903">
        <f>COUNTIF($AF$21:$AT$22,"△")</f>
        <v>0</v>
      </c>
      <c r="AX21" s="903"/>
      <c r="AY21" s="903">
        <f>COUNTIF($AF$21:$AT$22,"▲")</f>
        <v>0</v>
      </c>
      <c r="AZ21" s="903"/>
      <c r="BA21" s="903">
        <f>COUNTIF($AF$21:$AT$22,"●")</f>
        <v>2</v>
      </c>
      <c r="BB21" s="903"/>
      <c r="BC21" s="903">
        <f>SUM($AK$25,$AP$25)</f>
        <v>0</v>
      </c>
      <c r="BD21" s="903"/>
      <c r="BE21" s="903">
        <f>SUM($AN$25,$AS$25)</f>
        <v>4</v>
      </c>
      <c r="BF21" s="903"/>
      <c r="BG21" s="903">
        <f>($AU$21*3)+($AW$21*2)+($AY$21*1)</f>
        <v>0</v>
      </c>
      <c r="BH21" s="903"/>
      <c r="BI21" s="910">
        <f>RANK($BG$21,$BG$21:$BH$38)</f>
        <v>3</v>
      </c>
      <c r="BJ21" s="910"/>
      <c r="BK21" s="903">
        <f>$BC$21-$BE$21</f>
        <v>-4</v>
      </c>
      <c r="BL21" s="903"/>
      <c r="BM21" s="910">
        <f>RANK($BK$21,$BK$21:$BL$38)</f>
        <v>3</v>
      </c>
      <c r="BN21" s="910"/>
      <c r="BO21" s="912"/>
    </row>
    <row r="22" spans="1:67" ht="18.75" customHeight="1" x14ac:dyDescent="0.25">
      <c r="A22" s="198" t="s">
        <v>469</v>
      </c>
      <c r="B22" s="208" t="s">
        <v>606</v>
      </c>
      <c r="C22" s="208" t="s">
        <v>234</v>
      </c>
      <c r="D22" s="208" t="s">
        <v>272</v>
      </c>
      <c r="E22" s="208" t="s">
        <v>750</v>
      </c>
      <c r="F22" s="223"/>
      <c r="G22" s="208" t="s">
        <v>750</v>
      </c>
      <c r="H22" s="208" t="s">
        <v>272</v>
      </c>
      <c r="I22" s="208" t="s">
        <v>234</v>
      </c>
      <c r="J22" s="208" t="s">
        <v>606</v>
      </c>
      <c r="K22" s="225" t="s">
        <v>469</v>
      </c>
      <c r="L22" s="190"/>
      <c r="M22" s="198" t="s">
        <v>469</v>
      </c>
      <c r="N22" s="208" t="s">
        <v>606</v>
      </c>
      <c r="O22" s="208" t="s">
        <v>234</v>
      </c>
      <c r="P22" s="208" t="s">
        <v>272</v>
      </c>
      <c r="Q22" s="208" t="s">
        <v>750</v>
      </c>
      <c r="R22" s="223"/>
      <c r="S22" s="208" t="s">
        <v>750</v>
      </c>
      <c r="T22" s="208" t="s">
        <v>272</v>
      </c>
      <c r="U22" s="208" t="s">
        <v>234</v>
      </c>
      <c r="V22" s="208" t="s">
        <v>606</v>
      </c>
      <c r="W22" s="225" t="s">
        <v>469</v>
      </c>
      <c r="Y22" s="905"/>
      <c r="Z22" s="906"/>
      <c r="AA22" s="906"/>
      <c r="AB22" s="906"/>
      <c r="AC22" s="906"/>
      <c r="AD22" s="906"/>
      <c r="AE22" s="906"/>
      <c r="AF22" s="929"/>
      <c r="AG22" s="930"/>
      <c r="AH22" s="930"/>
      <c r="AI22" s="930"/>
      <c r="AJ22" s="931"/>
      <c r="AK22" s="917"/>
      <c r="AL22" s="918"/>
      <c r="AM22" s="918"/>
      <c r="AN22" s="918"/>
      <c r="AO22" s="920"/>
      <c r="AP22" s="917"/>
      <c r="AQ22" s="918"/>
      <c r="AR22" s="918"/>
      <c r="AS22" s="918"/>
      <c r="AT22" s="920"/>
      <c r="AU22" s="903"/>
      <c r="AV22" s="903"/>
      <c r="AW22" s="903"/>
      <c r="AX22" s="903"/>
      <c r="AY22" s="903"/>
      <c r="AZ22" s="903"/>
      <c r="BA22" s="903"/>
      <c r="BB22" s="903"/>
      <c r="BC22" s="903"/>
      <c r="BD22" s="903"/>
      <c r="BE22" s="903"/>
      <c r="BF22" s="903"/>
      <c r="BG22" s="903"/>
      <c r="BH22" s="903"/>
      <c r="BI22" s="910"/>
      <c r="BJ22" s="910"/>
      <c r="BK22" s="903"/>
      <c r="BL22" s="903"/>
      <c r="BM22" s="910"/>
      <c r="BN22" s="910"/>
      <c r="BO22" s="913"/>
    </row>
    <row r="23" spans="1:67" ht="18.75" customHeight="1" x14ac:dyDescent="0.25">
      <c r="A23" s="199"/>
      <c r="B23" s="209" t="str">
        <f>IF(ISERROR(VLOOKUP(CONCATENATE($B$12,"_",C23),選手名簿!$A:$E,5,FALSE))=TRUE,"",VLOOKUP(CONCATENATE($B$12,"_",C23),選手名簿!$A:$E,5,FALSE))</f>
        <v/>
      </c>
      <c r="C23" s="214"/>
      <c r="D23" s="214"/>
      <c r="E23" s="221"/>
      <c r="F23" s="223"/>
      <c r="G23" s="221"/>
      <c r="H23" s="214"/>
      <c r="I23" s="214"/>
      <c r="J23" s="206" t="str">
        <f>IF(ISERROR(VLOOKUP(CONCATENATE($J$12,"_",I23),選手名簿!$A:$E,5,FALSE))=TRUE,"",VLOOKUP(CONCATENATE($J$12,"_",I23),選手名簿!$A:$E,5,FALSE))</f>
        <v/>
      </c>
      <c r="K23" s="226"/>
      <c r="L23" s="190"/>
      <c r="M23" s="199"/>
      <c r="N23" s="209" t="str">
        <f>IF(ISERROR(VLOOKUP(CONCATENATE($N$12,"_",O23),選手名簿!$A:$E,5,FALSE))=TRUE,"",VLOOKUP(CONCATENATE($N$12,"_",O23),選手名簿!$A:$E,5,FALSE))</f>
        <v/>
      </c>
      <c r="O23" s="214"/>
      <c r="P23" s="214"/>
      <c r="Q23" s="221"/>
      <c r="R23" s="223"/>
      <c r="S23" s="221"/>
      <c r="T23" s="214"/>
      <c r="U23" s="214"/>
      <c r="V23" s="206" t="str">
        <f>IF(ISERROR(VLOOKUP(CONCATENATE($V$12,"_",U23),選手名簿!$A:$E,5,FALSE))=TRUE,"",VLOOKUP(CONCATENATE($V$12,"_",U23),選手名簿!$A:$E,5,FALSE))</f>
        <v/>
      </c>
      <c r="W23" s="226"/>
      <c r="Y23" s="905"/>
      <c r="Z23" s="906"/>
      <c r="AA23" s="906"/>
      <c r="AB23" s="906"/>
      <c r="AC23" s="906"/>
      <c r="AD23" s="906"/>
      <c r="AE23" s="906"/>
      <c r="AF23" s="929"/>
      <c r="AG23" s="930"/>
      <c r="AH23" s="930"/>
      <c r="AI23" s="930"/>
      <c r="AJ23" s="931"/>
      <c r="AK23" s="915" t="str">
        <f>IF($E$14="","",$E$14)</f>
        <v/>
      </c>
      <c r="AL23" s="916"/>
      <c r="AM23" s="916" t="s">
        <v>2011</v>
      </c>
      <c r="AN23" s="916" t="str">
        <f>IF($G$14="","",$G$14)</f>
        <v/>
      </c>
      <c r="AO23" s="919"/>
      <c r="AP23" s="915" t="str">
        <f>IF($G$50="","",$G$50)</f>
        <v/>
      </c>
      <c r="AQ23" s="916"/>
      <c r="AR23" s="916" t="s">
        <v>2011</v>
      </c>
      <c r="AS23" s="916" t="str">
        <f>IF($E$50="","",$E$50)</f>
        <v/>
      </c>
      <c r="AT23" s="919"/>
      <c r="AU23" s="903"/>
      <c r="AV23" s="903"/>
      <c r="AW23" s="903"/>
      <c r="AX23" s="903"/>
      <c r="AY23" s="903"/>
      <c r="AZ23" s="903"/>
      <c r="BA23" s="903"/>
      <c r="BB23" s="903"/>
      <c r="BC23" s="903"/>
      <c r="BD23" s="903"/>
      <c r="BE23" s="903"/>
      <c r="BF23" s="903"/>
      <c r="BG23" s="903"/>
      <c r="BH23" s="903"/>
      <c r="BI23" s="910"/>
      <c r="BJ23" s="910"/>
      <c r="BK23" s="903"/>
      <c r="BL23" s="903"/>
      <c r="BM23" s="910"/>
      <c r="BN23" s="910"/>
      <c r="BO23" s="913"/>
    </row>
    <row r="24" spans="1:67" ht="18.75" customHeight="1" x14ac:dyDescent="0.25">
      <c r="A24" s="199"/>
      <c r="B24" s="209" t="str">
        <f>IF(ISERROR(VLOOKUP(CONCATENATE($B$12,"_",C24),選手名簿!$A:$E,5,FALSE))=TRUE,"",VLOOKUP(CONCATENATE($B$12,"_",C24),選手名簿!$A:$E,5,FALSE))</f>
        <v/>
      </c>
      <c r="C24" s="214"/>
      <c r="D24" s="214"/>
      <c r="E24" s="221"/>
      <c r="F24" s="223"/>
      <c r="G24" s="221"/>
      <c r="H24" s="214"/>
      <c r="I24" s="214"/>
      <c r="J24" s="209" t="str">
        <f>IF(ISERROR(VLOOKUP(CONCATENATE($J$12,"_",I24),選手名簿!$A:$E,5,FALSE))=TRUE,"",VLOOKUP(CONCATENATE($J$12,"_",I24),選手名簿!$A:$E,5,FALSE))</f>
        <v/>
      </c>
      <c r="K24" s="226"/>
      <c r="L24" s="190"/>
      <c r="M24" s="199"/>
      <c r="N24" s="209" t="str">
        <f>IF(ISERROR(VLOOKUP(CONCATENATE($N$12,"_",O24),選手名簿!$A:$E,5,FALSE))=TRUE,"",VLOOKUP(CONCATENATE($N$12,"_",O24),選手名簿!$A:$E,5,FALSE))</f>
        <v/>
      </c>
      <c r="O24" s="214"/>
      <c r="P24" s="214"/>
      <c r="Q24" s="221"/>
      <c r="R24" s="223"/>
      <c r="S24" s="221"/>
      <c r="T24" s="214"/>
      <c r="U24" s="214"/>
      <c r="V24" s="209" t="str">
        <f>IF(ISERROR(VLOOKUP(CONCATENATE($V$12,"_",U24),選手名簿!$A:$E,5,FALSE))=TRUE,"",VLOOKUP(CONCATENATE($V$12,"_",U24),選手名簿!$A:$E,5,FALSE))</f>
        <v/>
      </c>
      <c r="W24" s="226"/>
      <c r="Y24" s="905"/>
      <c r="Z24" s="906"/>
      <c r="AA24" s="906"/>
      <c r="AB24" s="906"/>
      <c r="AC24" s="906"/>
      <c r="AD24" s="906" t="s">
        <v>2010</v>
      </c>
      <c r="AE24" s="906"/>
      <c r="AF24" s="929"/>
      <c r="AG24" s="930"/>
      <c r="AH24" s="930"/>
      <c r="AI24" s="930"/>
      <c r="AJ24" s="931"/>
      <c r="AK24" s="917"/>
      <c r="AL24" s="918"/>
      <c r="AM24" s="918"/>
      <c r="AN24" s="918"/>
      <c r="AO24" s="920"/>
      <c r="AP24" s="917"/>
      <c r="AQ24" s="918"/>
      <c r="AR24" s="918"/>
      <c r="AS24" s="918"/>
      <c r="AT24" s="920"/>
      <c r="AU24" s="903"/>
      <c r="AV24" s="903"/>
      <c r="AW24" s="903"/>
      <c r="AX24" s="903"/>
      <c r="AY24" s="903"/>
      <c r="AZ24" s="903"/>
      <c r="BA24" s="903"/>
      <c r="BB24" s="903"/>
      <c r="BC24" s="903"/>
      <c r="BD24" s="903"/>
      <c r="BE24" s="903"/>
      <c r="BF24" s="903"/>
      <c r="BG24" s="903"/>
      <c r="BH24" s="903"/>
      <c r="BI24" s="910"/>
      <c r="BJ24" s="910"/>
      <c r="BK24" s="903"/>
      <c r="BL24" s="903"/>
      <c r="BM24" s="910"/>
      <c r="BN24" s="910"/>
      <c r="BO24" s="913"/>
    </row>
    <row r="25" spans="1:67" ht="18.75" customHeight="1" x14ac:dyDescent="0.25">
      <c r="A25" s="199"/>
      <c r="B25" s="209" t="str">
        <f>IF(ISERROR(VLOOKUP(CONCATENATE($B$12,"_",C25),選手名簿!$A:$E,5,FALSE))=TRUE,"",VLOOKUP(CONCATENATE($B$12,"_",C25),選手名簿!$A:$E,5,FALSE))</f>
        <v/>
      </c>
      <c r="C25" s="214"/>
      <c r="D25" s="214"/>
      <c r="E25" s="221"/>
      <c r="F25" s="223"/>
      <c r="G25" s="221"/>
      <c r="H25" s="214"/>
      <c r="I25" s="214"/>
      <c r="J25" s="209" t="str">
        <f>IF(ISERROR(VLOOKUP(CONCATENATE($J$12,"_",I25),選手名簿!$A:$E,5,FALSE))=TRUE,"",VLOOKUP(CONCATENATE($J$12,"_",I25),選手名簿!$A:$E,5,FALSE))</f>
        <v/>
      </c>
      <c r="K25" s="226"/>
      <c r="L25" s="190"/>
      <c r="M25" s="199"/>
      <c r="N25" s="209" t="str">
        <f>IF(ISERROR(VLOOKUP(CONCATENATE($N$12,"_",O25),選手名簿!$A:$E,5,FALSE))=TRUE,"",VLOOKUP(CONCATENATE($N$12,"_",O25),選手名簿!$A:$E,5,FALSE))</f>
        <v/>
      </c>
      <c r="O25" s="214"/>
      <c r="P25" s="214"/>
      <c r="Q25" s="221"/>
      <c r="R25" s="223"/>
      <c r="S25" s="221"/>
      <c r="T25" s="214"/>
      <c r="U25" s="214"/>
      <c r="V25" s="209" t="str">
        <f>IF(ISERROR(VLOOKUP(CONCATENATE($V$12,"_",U25),選手名簿!$A:$E,5,FALSE))=TRUE,"",VLOOKUP(CONCATENATE($V$12,"_",U25),選手名簿!$A:$E,5,FALSE))</f>
        <v/>
      </c>
      <c r="W25" s="226"/>
      <c r="Y25" s="905"/>
      <c r="Z25" s="906"/>
      <c r="AA25" s="906"/>
      <c r="AB25" s="906"/>
      <c r="AC25" s="906"/>
      <c r="AD25" s="906"/>
      <c r="AE25" s="906"/>
      <c r="AF25" s="929"/>
      <c r="AG25" s="930"/>
      <c r="AH25" s="930"/>
      <c r="AI25" s="930"/>
      <c r="AJ25" s="931"/>
      <c r="AK25" s="915">
        <f>$C$12</f>
        <v>0</v>
      </c>
      <c r="AL25" s="916"/>
      <c r="AM25" s="916" t="s">
        <v>2011</v>
      </c>
      <c r="AN25" s="916">
        <f>$I$12</f>
        <v>2</v>
      </c>
      <c r="AO25" s="919"/>
      <c r="AP25" s="915">
        <f>$I$48</f>
        <v>0</v>
      </c>
      <c r="AQ25" s="916"/>
      <c r="AR25" s="916" t="s">
        <v>2011</v>
      </c>
      <c r="AS25" s="916">
        <f>$C$48</f>
        <v>2</v>
      </c>
      <c r="AT25" s="919"/>
      <c r="AU25" s="903"/>
      <c r="AV25" s="903"/>
      <c r="AW25" s="903"/>
      <c r="AX25" s="903"/>
      <c r="AY25" s="903"/>
      <c r="AZ25" s="903"/>
      <c r="BA25" s="903"/>
      <c r="BB25" s="903"/>
      <c r="BC25" s="903"/>
      <c r="BD25" s="903"/>
      <c r="BE25" s="903"/>
      <c r="BF25" s="903"/>
      <c r="BG25" s="903"/>
      <c r="BH25" s="903"/>
      <c r="BI25" s="910"/>
      <c r="BJ25" s="910"/>
      <c r="BK25" s="903"/>
      <c r="BL25" s="903"/>
      <c r="BM25" s="910"/>
      <c r="BN25" s="910"/>
      <c r="BO25" s="913"/>
    </row>
    <row r="26" spans="1:67" ht="18.75" customHeight="1" x14ac:dyDescent="0.25">
      <c r="A26" s="199"/>
      <c r="B26" s="209" t="str">
        <f>IF(ISERROR(VLOOKUP(CONCATENATE($B$12,"_",C26),選手名簿!$A:$E,5,FALSE))=TRUE,"",VLOOKUP(CONCATENATE($B$12,"_",C26),選手名簿!$A:$E,5,FALSE))</f>
        <v/>
      </c>
      <c r="C26" s="214"/>
      <c r="D26" s="214"/>
      <c r="E26" s="221"/>
      <c r="F26" s="223"/>
      <c r="G26" s="221"/>
      <c r="H26" s="214"/>
      <c r="I26" s="214"/>
      <c r="J26" s="209" t="str">
        <f>IF(ISERROR(VLOOKUP(CONCATENATE($J$12,"_",I26),選手名簿!$A:$E,5,FALSE))=TRUE,"",VLOOKUP(CONCATENATE($J$12,"_",I26),選手名簿!$A:$E,5,FALSE))</f>
        <v/>
      </c>
      <c r="K26" s="226"/>
      <c r="L26" s="190"/>
      <c r="M26" s="199"/>
      <c r="N26" s="209" t="str">
        <f>IF(ISERROR(VLOOKUP(CONCATENATE($N$12,"_",O26),選手名簿!$A:$E,5,FALSE))=TRUE,"",VLOOKUP(CONCATENATE($N$12,"_",O26),選手名簿!$A:$E,5,FALSE))</f>
        <v/>
      </c>
      <c r="O26" s="214"/>
      <c r="P26" s="214"/>
      <c r="Q26" s="221"/>
      <c r="R26" s="223"/>
      <c r="S26" s="221"/>
      <c r="T26" s="214"/>
      <c r="U26" s="214"/>
      <c r="V26" s="209" t="str">
        <f>IF(ISERROR(VLOOKUP(CONCATENATE($V$12,"_",U26),選手名簿!$A:$E,5,FALSE))=TRUE,"",VLOOKUP(CONCATENATE($V$12,"_",U26),選手名簿!$A:$E,5,FALSE))</f>
        <v/>
      </c>
      <c r="W26" s="226"/>
      <c r="Y26" s="941"/>
      <c r="Z26" s="936"/>
      <c r="AA26" s="936"/>
      <c r="AB26" s="936"/>
      <c r="AC26" s="936"/>
      <c r="AD26" s="936"/>
      <c r="AE26" s="936"/>
      <c r="AF26" s="952"/>
      <c r="AG26" s="943"/>
      <c r="AH26" s="943"/>
      <c r="AI26" s="943"/>
      <c r="AJ26" s="953"/>
      <c r="AK26" s="937"/>
      <c r="AL26" s="560"/>
      <c r="AM26" s="560"/>
      <c r="AN26" s="560"/>
      <c r="AO26" s="938"/>
      <c r="AP26" s="937"/>
      <c r="AQ26" s="560"/>
      <c r="AR26" s="560"/>
      <c r="AS26" s="560"/>
      <c r="AT26" s="938"/>
      <c r="AU26" s="903"/>
      <c r="AV26" s="903"/>
      <c r="AW26" s="903"/>
      <c r="AX26" s="903"/>
      <c r="AY26" s="903"/>
      <c r="AZ26" s="903"/>
      <c r="BA26" s="903"/>
      <c r="BB26" s="903"/>
      <c r="BC26" s="903"/>
      <c r="BD26" s="903"/>
      <c r="BE26" s="903"/>
      <c r="BF26" s="903"/>
      <c r="BG26" s="903"/>
      <c r="BH26" s="903"/>
      <c r="BI26" s="910"/>
      <c r="BJ26" s="910"/>
      <c r="BK26" s="903"/>
      <c r="BL26" s="903"/>
      <c r="BM26" s="910"/>
      <c r="BN26" s="910"/>
      <c r="BO26" s="935"/>
    </row>
    <row r="27" spans="1:67" ht="18.75" customHeight="1" x14ac:dyDescent="0.25">
      <c r="A27" s="200"/>
      <c r="B27" s="210" t="str">
        <f>IF(ISERROR(VLOOKUP(CONCATENATE($B$12,"_",C27),選手名簿!$A:$E,5,FALSE))=TRUE,"",VLOOKUP(CONCATENATE($B$12,"_",C27),選手名簿!$A:$E,5,FALSE))</f>
        <v/>
      </c>
      <c r="C27" s="215"/>
      <c r="D27" s="215"/>
      <c r="E27" s="222"/>
      <c r="F27" s="224"/>
      <c r="G27" s="222"/>
      <c r="H27" s="215"/>
      <c r="I27" s="215"/>
      <c r="J27" s="210" t="str">
        <f>IF(ISERROR(VLOOKUP(CONCATENATE($J$12,"_",I27),選手名簿!$A:$E,5,FALSE))=TRUE,"",VLOOKUP(CONCATENATE($J$12,"_",I27),選手名簿!$A:$E,5,FALSE))</f>
        <v/>
      </c>
      <c r="K27" s="227"/>
      <c r="L27" s="190"/>
      <c r="M27" s="200"/>
      <c r="N27" s="210" t="str">
        <f>IF(ISERROR(VLOOKUP(CONCATENATE($N$12,"_",O27),選手名簿!$A:$E,5,FALSE))=TRUE,"",VLOOKUP(CONCATENATE($N$12,"_",O27),選手名簿!$A:$E,5,FALSE))</f>
        <v/>
      </c>
      <c r="O27" s="215"/>
      <c r="P27" s="215"/>
      <c r="Q27" s="222"/>
      <c r="R27" s="224"/>
      <c r="S27" s="222"/>
      <c r="T27" s="215"/>
      <c r="U27" s="215"/>
      <c r="V27" s="210" t="str">
        <f>IF(ISERROR(VLOOKUP(CONCATENATE($V$12,"_",U27),選手名簿!$A:$E,5,FALSE))=TRUE,"",VLOOKUP(CONCATENATE($V$12,"_",U27),選手名簿!$A:$E,5,FALSE))</f>
        <v/>
      </c>
      <c r="W27" s="227"/>
      <c r="Y27" s="939" t="str">
        <f>$AC$8</f>
        <v>ドリームキッズフットボールクラブ</v>
      </c>
      <c r="Z27" s="940"/>
      <c r="AA27" s="940"/>
      <c r="AB27" s="940"/>
      <c r="AC27" s="940"/>
      <c r="AD27" s="940" t="s">
        <v>242</v>
      </c>
      <c r="AE27" s="940"/>
      <c r="AF27" s="923" t="str">
        <f>IF(AF31="","",IF(AF31&gt;AI31,"○",IF(AF31&lt;AI31,"●",IF(AF29&gt;AI29,"△",IF(AF29&lt;AI29,"▲")))))</f>
        <v>○</v>
      </c>
      <c r="AG27" s="924"/>
      <c r="AH27" s="924"/>
      <c r="AI27" s="924"/>
      <c r="AJ27" s="925"/>
      <c r="AK27" s="942"/>
      <c r="AL27" s="942"/>
      <c r="AM27" s="942"/>
      <c r="AN27" s="942"/>
      <c r="AO27" s="942"/>
      <c r="AP27" s="923" t="str">
        <f>IF(AP31="","",IF(AP31&gt;AS31,"○",IF(AP31&lt;AS31,"●",IF(AP29&gt;AS29,"△",IF(AP29&lt;AS29,"▲")))))</f>
        <v>○</v>
      </c>
      <c r="AQ27" s="924"/>
      <c r="AR27" s="924"/>
      <c r="AS27" s="924"/>
      <c r="AT27" s="925"/>
      <c r="AU27" s="903">
        <f>COUNTIF($AF$27:$AT$28,"○")</f>
        <v>2</v>
      </c>
      <c r="AV27" s="903"/>
      <c r="AW27" s="903">
        <f>COUNTIF($AF$27:$AT$28,"△")</f>
        <v>0</v>
      </c>
      <c r="AX27" s="903"/>
      <c r="AY27" s="903">
        <f>COUNTIF($AF$27:$AT$28,"▲")</f>
        <v>0</v>
      </c>
      <c r="AZ27" s="903"/>
      <c r="BA27" s="903">
        <f>COUNTIF($AF$27:$AT$28,"●")</f>
        <v>0</v>
      </c>
      <c r="BB27" s="903"/>
      <c r="BC27" s="903">
        <f>SUM($AF$31,$AP$31)</f>
        <v>3</v>
      </c>
      <c r="BD27" s="903"/>
      <c r="BE27" s="903">
        <f>SUM($AI$31,$AS$31)</f>
        <v>0</v>
      </c>
      <c r="BF27" s="903"/>
      <c r="BG27" s="903">
        <f>($AU$27*3)+($AW$27*2)+($AY$27*1)</f>
        <v>6</v>
      </c>
      <c r="BH27" s="903"/>
      <c r="BI27" s="910">
        <f>RANK($BG$27,$BG$21:$BH$38)</f>
        <v>1</v>
      </c>
      <c r="BJ27" s="910"/>
      <c r="BK27" s="903">
        <f>$BC$27-$BE$27</f>
        <v>3</v>
      </c>
      <c r="BL27" s="903"/>
      <c r="BM27" s="910">
        <f>RANK($BK$27,$BK$21:$BL$38)</f>
        <v>1</v>
      </c>
      <c r="BN27" s="910"/>
      <c r="BO27" s="912"/>
    </row>
    <row r="28" spans="1:67" ht="18.75" customHeight="1" x14ac:dyDescent="0.25">
      <c r="A28" s="190"/>
      <c r="B28" s="190"/>
      <c r="C28" s="190"/>
      <c r="D28" s="190"/>
      <c r="E28" s="190"/>
      <c r="F28" s="190"/>
      <c r="G28" s="190"/>
      <c r="H28" s="190"/>
      <c r="I28" s="190"/>
      <c r="J28" s="190"/>
      <c r="K28" s="190"/>
      <c r="L28" s="190"/>
      <c r="M28" s="190"/>
      <c r="N28" s="190"/>
      <c r="O28" s="190"/>
      <c r="P28" s="190"/>
      <c r="Q28" s="190"/>
      <c r="R28" s="190"/>
      <c r="S28" s="190"/>
      <c r="T28" s="190"/>
      <c r="U28" s="190"/>
      <c r="V28" s="190"/>
      <c r="Y28" s="905"/>
      <c r="Z28" s="906"/>
      <c r="AA28" s="906"/>
      <c r="AB28" s="906"/>
      <c r="AC28" s="906"/>
      <c r="AD28" s="906"/>
      <c r="AE28" s="906"/>
      <c r="AF28" s="917"/>
      <c r="AG28" s="918"/>
      <c r="AH28" s="918"/>
      <c r="AI28" s="918"/>
      <c r="AJ28" s="920"/>
      <c r="AK28" s="930"/>
      <c r="AL28" s="930"/>
      <c r="AM28" s="930"/>
      <c r="AN28" s="930"/>
      <c r="AO28" s="930"/>
      <c r="AP28" s="917"/>
      <c r="AQ28" s="918"/>
      <c r="AR28" s="918"/>
      <c r="AS28" s="918"/>
      <c r="AT28" s="920"/>
      <c r="AU28" s="903"/>
      <c r="AV28" s="903"/>
      <c r="AW28" s="903"/>
      <c r="AX28" s="903"/>
      <c r="AY28" s="903"/>
      <c r="AZ28" s="903"/>
      <c r="BA28" s="903"/>
      <c r="BB28" s="903"/>
      <c r="BC28" s="903"/>
      <c r="BD28" s="903"/>
      <c r="BE28" s="903"/>
      <c r="BF28" s="903"/>
      <c r="BG28" s="903"/>
      <c r="BH28" s="903"/>
      <c r="BI28" s="910"/>
      <c r="BJ28" s="910"/>
      <c r="BK28" s="903"/>
      <c r="BL28" s="903"/>
      <c r="BM28" s="910"/>
      <c r="BN28" s="910"/>
      <c r="BO28" s="913"/>
    </row>
    <row r="29" spans="1:67" ht="18.75" customHeight="1" x14ac:dyDescent="0.25">
      <c r="A29" s="190"/>
      <c r="B29" s="190"/>
      <c r="C29" s="190"/>
      <c r="D29" s="190"/>
      <c r="E29" s="190"/>
      <c r="F29" s="190"/>
      <c r="G29" s="190"/>
      <c r="H29" s="190"/>
      <c r="I29" s="190"/>
      <c r="J29" s="190"/>
      <c r="K29" s="190"/>
      <c r="L29" s="190"/>
      <c r="M29" s="190"/>
      <c r="N29" s="190"/>
      <c r="O29" s="190"/>
      <c r="P29" s="190"/>
      <c r="Q29" s="190"/>
      <c r="R29" s="190"/>
      <c r="S29" s="190"/>
      <c r="T29" s="190"/>
      <c r="U29" s="190"/>
      <c r="V29" s="190"/>
      <c r="Y29" s="905"/>
      <c r="Z29" s="906"/>
      <c r="AA29" s="906"/>
      <c r="AB29" s="906"/>
      <c r="AC29" s="906"/>
      <c r="AD29" s="906"/>
      <c r="AE29" s="906"/>
      <c r="AF29" s="915" t="str">
        <f>AN23</f>
        <v/>
      </c>
      <c r="AG29" s="916"/>
      <c r="AH29" s="916" t="s">
        <v>2011</v>
      </c>
      <c r="AI29" s="916" t="str">
        <f>AK23</f>
        <v/>
      </c>
      <c r="AJ29" s="919"/>
      <c r="AK29" s="930"/>
      <c r="AL29" s="930"/>
      <c r="AM29" s="930"/>
      <c r="AN29" s="930"/>
      <c r="AO29" s="930"/>
      <c r="AP29" s="915" t="str">
        <f>IF($E$32="","",$E$32)</f>
        <v/>
      </c>
      <c r="AQ29" s="916"/>
      <c r="AR29" s="916" t="s">
        <v>2011</v>
      </c>
      <c r="AS29" s="916" t="str">
        <f>IF($G$32="","",$G$32)</f>
        <v/>
      </c>
      <c r="AT29" s="919"/>
      <c r="AU29" s="903"/>
      <c r="AV29" s="903"/>
      <c r="AW29" s="903"/>
      <c r="AX29" s="903"/>
      <c r="AY29" s="903"/>
      <c r="AZ29" s="903"/>
      <c r="BA29" s="903"/>
      <c r="BB29" s="903"/>
      <c r="BC29" s="903"/>
      <c r="BD29" s="903"/>
      <c r="BE29" s="903"/>
      <c r="BF29" s="903"/>
      <c r="BG29" s="903"/>
      <c r="BH29" s="903"/>
      <c r="BI29" s="910"/>
      <c r="BJ29" s="910"/>
      <c r="BK29" s="903"/>
      <c r="BL29" s="903"/>
      <c r="BM29" s="910"/>
      <c r="BN29" s="910"/>
      <c r="BO29" s="913"/>
    </row>
    <row r="30" spans="1:67" ht="18.75" customHeight="1" x14ac:dyDescent="0.25">
      <c r="A30" s="963" t="s">
        <v>1217</v>
      </c>
      <c r="B30" s="964" t="str">
        <f>C8</f>
        <v>ドリームキッズフットボールクラブ</v>
      </c>
      <c r="C30" s="966">
        <f>IF(E30="","",SUM(E30:E31))</f>
        <v>1</v>
      </c>
      <c r="D30" s="940" t="s">
        <v>336</v>
      </c>
      <c r="E30" s="217">
        <v>0</v>
      </c>
      <c r="F30" s="217" t="s">
        <v>61</v>
      </c>
      <c r="G30" s="217">
        <v>0</v>
      </c>
      <c r="H30" s="940" t="s">
        <v>339</v>
      </c>
      <c r="I30" s="966">
        <f>IF(G30="","",SUM(G30:G31))</f>
        <v>0</v>
      </c>
      <c r="J30" s="968" t="str">
        <f>C9</f>
        <v>スマイス　セレソン　スポーツクラブ</v>
      </c>
      <c r="K30" s="190"/>
      <c r="L30" s="190"/>
      <c r="M30" s="969" t="s">
        <v>2018</v>
      </c>
      <c r="N30" s="964" t="str">
        <f>O8</f>
        <v>南大分サッカー少年団</v>
      </c>
      <c r="O30" s="966">
        <f>IF(Q30="","",SUM(Q30:Q31))</f>
        <v>5</v>
      </c>
      <c r="P30" s="940" t="s">
        <v>336</v>
      </c>
      <c r="Q30" s="217">
        <v>2</v>
      </c>
      <c r="R30" s="217" t="s">
        <v>61</v>
      </c>
      <c r="S30" s="217">
        <v>0</v>
      </c>
      <c r="T30" s="940" t="s">
        <v>339</v>
      </c>
      <c r="U30" s="966">
        <f>IF(S30="","",SUM(S30:S31))</f>
        <v>0</v>
      </c>
      <c r="V30" s="968" t="str">
        <f>O9</f>
        <v>ＦＣ　ＵＮＩＴＥ</v>
      </c>
      <c r="Y30" s="905"/>
      <c r="Z30" s="906"/>
      <c r="AA30" s="906"/>
      <c r="AB30" s="906"/>
      <c r="AC30" s="906"/>
      <c r="AD30" s="906" t="s">
        <v>2010</v>
      </c>
      <c r="AE30" s="906"/>
      <c r="AF30" s="917"/>
      <c r="AG30" s="918"/>
      <c r="AH30" s="918"/>
      <c r="AI30" s="918"/>
      <c r="AJ30" s="920"/>
      <c r="AK30" s="930"/>
      <c r="AL30" s="930"/>
      <c r="AM30" s="930"/>
      <c r="AN30" s="930"/>
      <c r="AO30" s="930"/>
      <c r="AP30" s="917"/>
      <c r="AQ30" s="918"/>
      <c r="AR30" s="918"/>
      <c r="AS30" s="918"/>
      <c r="AT30" s="920"/>
      <c r="AU30" s="903"/>
      <c r="AV30" s="903"/>
      <c r="AW30" s="903"/>
      <c r="AX30" s="903"/>
      <c r="AY30" s="903"/>
      <c r="AZ30" s="903"/>
      <c r="BA30" s="903"/>
      <c r="BB30" s="903"/>
      <c r="BC30" s="903"/>
      <c r="BD30" s="903"/>
      <c r="BE30" s="903"/>
      <c r="BF30" s="903"/>
      <c r="BG30" s="903"/>
      <c r="BH30" s="903"/>
      <c r="BI30" s="910"/>
      <c r="BJ30" s="910"/>
      <c r="BK30" s="903"/>
      <c r="BL30" s="903"/>
      <c r="BM30" s="910"/>
      <c r="BN30" s="910"/>
      <c r="BO30" s="913"/>
    </row>
    <row r="31" spans="1:67" ht="18.75" customHeight="1" x14ac:dyDescent="0.25">
      <c r="A31" s="946"/>
      <c r="B31" s="965"/>
      <c r="C31" s="967"/>
      <c r="D31" s="906"/>
      <c r="E31" s="190">
        <v>1</v>
      </c>
      <c r="F31" s="190" t="s">
        <v>126</v>
      </c>
      <c r="G31" s="190">
        <v>0</v>
      </c>
      <c r="H31" s="906"/>
      <c r="I31" s="967"/>
      <c r="J31" s="957"/>
      <c r="K31" s="190"/>
      <c r="L31" s="190"/>
      <c r="M31" s="970"/>
      <c r="N31" s="965"/>
      <c r="O31" s="967"/>
      <c r="P31" s="906"/>
      <c r="Q31" s="190">
        <v>3</v>
      </c>
      <c r="R31" s="190" t="s">
        <v>126</v>
      </c>
      <c r="S31" s="190">
        <v>0</v>
      </c>
      <c r="T31" s="906"/>
      <c r="U31" s="967"/>
      <c r="V31" s="957"/>
      <c r="Y31" s="905"/>
      <c r="Z31" s="906"/>
      <c r="AA31" s="906"/>
      <c r="AB31" s="906"/>
      <c r="AC31" s="906"/>
      <c r="AD31" s="906"/>
      <c r="AE31" s="906"/>
      <c r="AF31" s="915">
        <f>AN25</f>
        <v>2</v>
      </c>
      <c r="AG31" s="916"/>
      <c r="AH31" s="916" t="s">
        <v>2011</v>
      </c>
      <c r="AI31" s="916">
        <f>AK25</f>
        <v>0</v>
      </c>
      <c r="AJ31" s="919"/>
      <c r="AK31" s="930"/>
      <c r="AL31" s="930"/>
      <c r="AM31" s="930"/>
      <c r="AN31" s="930"/>
      <c r="AO31" s="930"/>
      <c r="AP31" s="915">
        <f>$C$30</f>
        <v>1</v>
      </c>
      <c r="AQ31" s="916"/>
      <c r="AR31" s="916" t="s">
        <v>2011</v>
      </c>
      <c r="AS31" s="916">
        <f>$I$30</f>
        <v>0</v>
      </c>
      <c r="AT31" s="919"/>
      <c r="AU31" s="903"/>
      <c r="AV31" s="903"/>
      <c r="AW31" s="903"/>
      <c r="AX31" s="903"/>
      <c r="AY31" s="903"/>
      <c r="AZ31" s="903"/>
      <c r="BA31" s="903"/>
      <c r="BB31" s="903"/>
      <c r="BC31" s="903"/>
      <c r="BD31" s="903"/>
      <c r="BE31" s="903"/>
      <c r="BF31" s="903"/>
      <c r="BG31" s="903"/>
      <c r="BH31" s="903"/>
      <c r="BI31" s="910"/>
      <c r="BJ31" s="910"/>
      <c r="BK31" s="903"/>
      <c r="BL31" s="903"/>
      <c r="BM31" s="910"/>
      <c r="BN31" s="910"/>
      <c r="BO31" s="913"/>
    </row>
    <row r="32" spans="1:67" ht="18.75" customHeight="1" thickBot="1" x14ac:dyDescent="0.3">
      <c r="A32" s="946"/>
      <c r="B32" s="965"/>
      <c r="C32" s="967"/>
      <c r="D32" s="906"/>
      <c r="E32" s="190"/>
      <c r="F32" s="190" t="s">
        <v>407</v>
      </c>
      <c r="G32" s="190"/>
      <c r="H32" s="906"/>
      <c r="I32" s="967"/>
      <c r="J32" s="976"/>
      <c r="K32" s="190"/>
      <c r="L32" s="190"/>
      <c r="M32" s="971"/>
      <c r="N32" s="994"/>
      <c r="O32" s="975"/>
      <c r="P32" s="908"/>
      <c r="Q32" s="190"/>
      <c r="R32" s="190" t="s">
        <v>407</v>
      </c>
      <c r="S32" s="190"/>
      <c r="T32" s="908"/>
      <c r="U32" s="975"/>
      <c r="V32" s="976"/>
      <c r="Y32" s="941"/>
      <c r="Z32" s="936"/>
      <c r="AA32" s="936"/>
      <c r="AB32" s="936"/>
      <c r="AC32" s="936"/>
      <c r="AD32" s="936"/>
      <c r="AE32" s="936"/>
      <c r="AF32" s="937"/>
      <c r="AG32" s="560"/>
      <c r="AH32" s="560"/>
      <c r="AI32" s="560"/>
      <c r="AJ32" s="938"/>
      <c r="AK32" s="943"/>
      <c r="AL32" s="943"/>
      <c r="AM32" s="943"/>
      <c r="AN32" s="943"/>
      <c r="AO32" s="943"/>
      <c r="AP32" s="937"/>
      <c r="AQ32" s="560"/>
      <c r="AR32" s="560"/>
      <c r="AS32" s="560"/>
      <c r="AT32" s="938"/>
      <c r="AU32" s="903"/>
      <c r="AV32" s="903"/>
      <c r="AW32" s="903"/>
      <c r="AX32" s="903"/>
      <c r="AY32" s="903"/>
      <c r="AZ32" s="903"/>
      <c r="BA32" s="903"/>
      <c r="BB32" s="903"/>
      <c r="BC32" s="903"/>
      <c r="BD32" s="903"/>
      <c r="BE32" s="903"/>
      <c r="BF32" s="903"/>
      <c r="BG32" s="903"/>
      <c r="BH32" s="903"/>
      <c r="BI32" s="910"/>
      <c r="BJ32" s="910"/>
      <c r="BK32" s="903"/>
      <c r="BL32" s="903"/>
      <c r="BM32" s="910"/>
      <c r="BN32" s="910"/>
      <c r="BO32" s="935"/>
    </row>
    <row r="33" spans="1:67" ht="18.75" customHeight="1" thickBot="1" x14ac:dyDescent="0.3">
      <c r="A33" s="192" t="s">
        <v>2463</v>
      </c>
      <c r="B33" s="989" t="s">
        <v>15233</v>
      </c>
      <c r="C33" s="989"/>
      <c r="D33" s="989"/>
      <c r="E33" s="989"/>
      <c r="F33" s="989"/>
      <c r="G33" s="990" t="s">
        <v>2464</v>
      </c>
      <c r="H33" s="990"/>
      <c r="I33" s="990"/>
      <c r="J33" s="991" t="s">
        <v>15168</v>
      </c>
      <c r="K33" s="991"/>
      <c r="L33" s="190"/>
      <c r="M33" s="192" t="s">
        <v>2463</v>
      </c>
      <c r="N33" s="989" t="s">
        <v>15166</v>
      </c>
      <c r="O33" s="989"/>
      <c r="P33" s="989"/>
      <c r="Q33" s="989"/>
      <c r="R33" s="989"/>
      <c r="S33" s="990" t="s">
        <v>2464</v>
      </c>
      <c r="T33" s="990"/>
      <c r="U33" s="990"/>
      <c r="V33" s="991" t="s">
        <v>15168</v>
      </c>
      <c r="W33" s="991"/>
      <c r="Y33" s="905" t="str">
        <f>$AC$9</f>
        <v>スマイス　セレソン　スポーツクラブ</v>
      </c>
      <c r="Z33" s="906"/>
      <c r="AA33" s="906"/>
      <c r="AB33" s="906"/>
      <c r="AC33" s="906"/>
      <c r="AD33" s="906" t="s">
        <v>242</v>
      </c>
      <c r="AE33" s="906"/>
      <c r="AF33" s="923" t="str">
        <f>IF(AF37="","",IF(AF37&gt;AI37,"○",IF(AF37&lt;AI37,"●",IF(AF35&gt;AI35,"△",IF(AF35&lt;AI35,"▲")))))</f>
        <v>○</v>
      </c>
      <c r="AG33" s="924"/>
      <c r="AH33" s="924"/>
      <c r="AI33" s="924"/>
      <c r="AJ33" s="925"/>
      <c r="AK33" s="923" t="str">
        <f>IF(AK37="","",IF(AK37&gt;AN37,"○",IF(AK37&lt;AN37,"●",IF(AK35&gt;AN35,"△",IF(AK35&lt;AN35,"▲")))))</f>
        <v>●</v>
      </c>
      <c r="AL33" s="924"/>
      <c r="AM33" s="924"/>
      <c r="AN33" s="924"/>
      <c r="AO33" s="925"/>
      <c r="AP33" s="926"/>
      <c r="AQ33" s="927"/>
      <c r="AR33" s="927"/>
      <c r="AS33" s="927"/>
      <c r="AT33" s="928"/>
      <c r="AU33" s="903">
        <f>COUNTIF($AF$33:$AT$34,"○")</f>
        <v>1</v>
      </c>
      <c r="AV33" s="903"/>
      <c r="AW33" s="902">
        <f>COUNTIF($AF$33:$AT$34,"△")</f>
        <v>0</v>
      </c>
      <c r="AX33" s="902"/>
      <c r="AY33" s="902">
        <f>COUNTIF($AF$33:$AT$34,"▲")</f>
        <v>0</v>
      </c>
      <c r="AZ33" s="902"/>
      <c r="BA33" s="902">
        <f>COUNTIF($AF$33:$AT$34,"●")</f>
        <v>1</v>
      </c>
      <c r="BB33" s="902"/>
      <c r="BC33" s="902">
        <f>SUM($AF$37,$AK$37)</f>
        <v>2</v>
      </c>
      <c r="BD33" s="902"/>
      <c r="BE33" s="902">
        <f>SUM($AI$37,$AN$37)</f>
        <v>1</v>
      </c>
      <c r="BF33" s="902"/>
      <c r="BG33" s="902">
        <f>($AU$33*3)+($AW$33*2)+($AY$33*1)</f>
        <v>3</v>
      </c>
      <c r="BH33" s="902"/>
      <c r="BI33" s="909">
        <f>RANK($BG$33,$BG$21:$BH$38)</f>
        <v>2</v>
      </c>
      <c r="BJ33" s="909"/>
      <c r="BK33" s="902">
        <f>$BC$33-$BE$33</f>
        <v>1</v>
      </c>
      <c r="BL33" s="902"/>
      <c r="BM33" s="909">
        <f>RANK($BK$33,$BK$21:$BL$38)</f>
        <v>2</v>
      </c>
      <c r="BN33" s="909"/>
      <c r="BO33" s="912"/>
    </row>
    <row r="34" spans="1:67" ht="18.75" customHeight="1" thickBot="1" x14ac:dyDescent="0.3">
      <c r="A34" s="193" t="s">
        <v>2465</v>
      </c>
      <c r="B34" s="992" t="s">
        <v>15233</v>
      </c>
      <c r="C34" s="992"/>
      <c r="D34" s="992"/>
      <c r="E34" s="992"/>
      <c r="F34" s="992"/>
      <c r="G34" s="983" t="s">
        <v>2464</v>
      </c>
      <c r="H34" s="984"/>
      <c r="I34" s="985"/>
      <c r="J34" s="993" t="s">
        <v>15168</v>
      </c>
      <c r="K34" s="993"/>
      <c r="L34" s="190"/>
      <c r="M34" s="193" t="s">
        <v>2465</v>
      </c>
      <c r="N34" s="992" t="s">
        <v>15166</v>
      </c>
      <c r="O34" s="992"/>
      <c r="P34" s="992"/>
      <c r="Q34" s="992"/>
      <c r="R34" s="992"/>
      <c r="S34" s="983" t="s">
        <v>2464</v>
      </c>
      <c r="T34" s="984"/>
      <c r="U34" s="985"/>
      <c r="V34" s="993" t="s">
        <v>15168</v>
      </c>
      <c r="W34" s="993"/>
      <c r="Y34" s="905"/>
      <c r="Z34" s="906"/>
      <c r="AA34" s="906"/>
      <c r="AB34" s="906"/>
      <c r="AC34" s="906"/>
      <c r="AD34" s="906"/>
      <c r="AE34" s="906"/>
      <c r="AF34" s="917"/>
      <c r="AG34" s="918"/>
      <c r="AH34" s="918"/>
      <c r="AI34" s="918"/>
      <c r="AJ34" s="920"/>
      <c r="AK34" s="917"/>
      <c r="AL34" s="918"/>
      <c r="AM34" s="918"/>
      <c r="AN34" s="918"/>
      <c r="AO34" s="920"/>
      <c r="AP34" s="929"/>
      <c r="AQ34" s="930"/>
      <c r="AR34" s="930"/>
      <c r="AS34" s="930"/>
      <c r="AT34" s="931"/>
      <c r="AU34" s="903"/>
      <c r="AV34" s="903"/>
      <c r="AW34" s="903"/>
      <c r="AX34" s="903"/>
      <c r="AY34" s="903"/>
      <c r="AZ34" s="903"/>
      <c r="BA34" s="903"/>
      <c r="BB34" s="903"/>
      <c r="BC34" s="903"/>
      <c r="BD34" s="903"/>
      <c r="BE34" s="903"/>
      <c r="BF34" s="903"/>
      <c r="BG34" s="903"/>
      <c r="BH34" s="903"/>
      <c r="BI34" s="910"/>
      <c r="BJ34" s="910"/>
      <c r="BK34" s="903"/>
      <c r="BL34" s="903"/>
      <c r="BM34" s="910"/>
      <c r="BN34" s="910"/>
      <c r="BO34" s="913"/>
    </row>
    <row r="35" spans="1:67" ht="18.75" customHeight="1" thickBot="1" x14ac:dyDescent="0.3">
      <c r="A35" s="194" t="s">
        <v>2466</v>
      </c>
      <c r="B35" s="982" t="s">
        <v>15234</v>
      </c>
      <c r="C35" s="982"/>
      <c r="D35" s="982"/>
      <c r="E35" s="982"/>
      <c r="F35" s="982"/>
      <c r="G35" s="983" t="s">
        <v>2464</v>
      </c>
      <c r="H35" s="984"/>
      <c r="I35" s="985"/>
      <c r="J35" s="986" t="s">
        <v>15168</v>
      </c>
      <c r="K35" s="986"/>
      <c r="L35" s="190"/>
      <c r="M35" s="194" t="s">
        <v>2466</v>
      </c>
      <c r="N35" s="982" t="s">
        <v>15167</v>
      </c>
      <c r="O35" s="982"/>
      <c r="P35" s="982"/>
      <c r="Q35" s="982"/>
      <c r="R35" s="982"/>
      <c r="S35" s="983" t="s">
        <v>2464</v>
      </c>
      <c r="T35" s="984"/>
      <c r="U35" s="985"/>
      <c r="V35" s="986" t="s">
        <v>15168</v>
      </c>
      <c r="W35" s="986"/>
      <c r="Y35" s="905"/>
      <c r="Z35" s="906"/>
      <c r="AA35" s="906"/>
      <c r="AB35" s="906"/>
      <c r="AC35" s="906"/>
      <c r="AD35" s="906"/>
      <c r="AE35" s="906"/>
      <c r="AF35" s="915" t="str">
        <f>AS23</f>
        <v/>
      </c>
      <c r="AG35" s="916"/>
      <c r="AH35" s="916" t="s">
        <v>2011</v>
      </c>
      <c r="AI35" s="916" t="str">
        <f>AP23</f>
        <v/>
      </c>
      <c r="AJ35" s="919"/>
      <c r="AK35" s="915" t="str">
        <f>AS29</f>
        <v/>
      </c>
      <c r="AL35" s="916"/>
      <c r="AM35" s="916" t="s">
        <v>2011</v>
      </c>
      <c r="AN35" s="916" t="str">
        <f>AP29</f>
        <v/>
      </c>
      <c r="AO35" s="919"/>
      <c r="AP35" s="929"/>
      <c r="AQ35" s="930"/>
      <c r="AR35" s="930"/>
      <c r="AS35" s="930"/>
      <c r="AT35" s="931"/>
      <c r="AU35" s="903"/>
      <c r="AV35" s="903"/>
      <c r="AW35" s="903"/>
      <c r="AX35" s="903"/>
      <c r="AY35" s="903"/>
      <c r="AZ35" s="903"/>
      <c r="BA35" s="903"/>
      <c r="BB35" s="903"/>
      <c r="BC35" s="903"/>
      <c r="BD35" s="903"/>
      <c r="BE35" s="903"/>
      <c r="BF35" s="903"/>
      <c r="BG35" s="903"/>
      <c r="BH35" s="903"/>
      <c r="BI35" s="910"/>
      <c r="BJ35" s="910"/>
      <c r="BK35" s="903"/>
      <c r="BL35" s="903"/>
      <c r="BM35" s="910"/>
      <c r="BN35" s="910"/>
      <c r="BO35" s="913"/>
    </row>
    <row r="36" spans="1:67" ht="18.75" customHeight="1" x14ac:dyDescent="0.25">
      <c r="A36" s="195" t="s">
        <v>609</v>
      </c>
      <c r="B36" s="205" t="str">
        <f>IF(ISERROR(VLOOKUP(G36,審判員!$A:$C,2,FALSE))=TRUE,"",VLOOKUP(G36,審判員!$A:$C,2,FALSE))</f>
        <v>屋敷　伴幸</v>
      </c>
      <c r="C36" s="211">
        <f>IF(ISERROR(VLOOKUP(G36,審判員!$A:$C,3,FALSE))=TRUE,"",VLOOKUP(G36,審判員!$A:$C,3,FALSE))</f>
        <v>3</v>
      </c>
      <c r="D36" s="218" t="s">
        <v>612</v>
      </c>
      <c r="E36" s="955" t="s">
        <v>201</v>
      </c>
      <c r="F36" s="955"/>
      <c r="G36" s="955" t="s">
        <v>15235</v>
      </c>
      <c r="H36" s="955"/>
      <c r="I36" s="955"/>
      <c r="J36" s="987" t="s">
        <v>788</v>
      </c>
      <c r="K36" s="988"/>
      <c r="L36" s="190"/>
      <c r="M36" s="195" t="s">
        <v>609</v>
      </c>
      <c r="N36" s="205" t="str">
        <f>IF(ISERROR(VLOOKUP(S36,審判員!$A:$C,2,FALSE))=TRUE,"",VLOOKUP(S36,審判員!$A:$C,2,FALSE))</f>
        <v>真鍋　裕一</v>
      </c>
      <c r="O36" s="211">
        <f>IF(ISERROR(VLOOKUP(S36,審判員!$A:$C,3,FALSE))=TRUE,"",VLOOKUP(S36,審判員!$A:$C,3,FALSE))</f>
        <v>3</v>
      </c>
      <c r="P36" s="218" t="s">
        <v>612</v>
      </c>
      <c r="Q36" s="955" t="s">
        <v>201</v>
      </c>
      <c r="R36" s="955"/>
      <c r="S36" s="955" t="s">
        <v>15171</v>
      </c>
      <c r="T36" s="955"/>
      <c r="U36" s="955"/>
      <c r="V36" s="987" t="s">
        <v>788</v>
      </c>
      <c r="W36" s="988"/>
      <c r="Y36" s="905"/>
      <c r="Z36" s="906"/>
      <c r="AA36" s="906"/>
      <c r="AB36" s="906"/>
      <c r="AC36" s="906"/>
      <c r="AD36" s="906" t="s">
        <v>2010</v>
      </c>
      <c r="AE36" s="906"/>
      <c r="AF36" s="917"/>
      <c r="AG36" s="918"/>
      <c r="AH36" s="918"/>
      <c r="AI36" s="918"/>
      <c r="AJ36" s="920"/>
      <c r="AK36" s="917"/>
      <c r="AL36" s="918"/>
      <c r="AM36" s="918"/>
      <c r="AN36" s="918"/>
      <c r="AO36" s="920"/>
      <c r="AP36" s="929"/>
      <c r="AQ36" s="930"/>
      <c r="AR36" s="930"/>
      <c r="AS36" s="930"/>
      <c r="AT36" s="931"/>
      <c r="AU36" s="903"/>
      <c r="AV36" s="903"/>
      <c r="AW36" s="903"/>
      <c r="AX36" s="903"/>
      <c r="AY36" s="903"/>
      <c r="AZ36" s="903"/>
      <c r="BA36" s="903"/>
      <c r="BB36" s="903"/>
      <c r="BC36" s="903"/>
      <c r="BD36" s="903"/>
      <c r="BE36" s="903"/>
      <c r="BF36" s="903"/>
      <c r="BG36" s="903"/>
      <c r="BH36" s="903"/>
      <c r="BI36" s="910"/>
      <c r="BJ36" s="910"/>
      <c r="BK36" s="903"/>
      <c r="BL36" s="903"/>
      <c r="BM36" s="910"/>
      <c r="BN36" s="910"/>
      <c r="BO36" s="913"/>
    </row>
    <row r="37" spans="1:67" ht="18.75" customHeight="1" x14ac:dyDescent="0.25">
      <c r="A37" s="196" t="s">
        <v>704</v>
      </c>
      <c r="B37" s="206" t="str">
        <f>IF(ISERROR(VLOOKUP(G37,審判員!$A:$C,2,FALSE))=TRUE,"",VLOOKUP(G37,審判員!$A:$C,2,FALSE))</f>
        <v>石川　慎也</v>
      </c>
      <c r="C37" s="212">
        <f>IF(ISERROR(VLOOKUP(G37,審判員!$A:$C,3,FALSE))=TRUE,"",VLOOKUP(G37,審判員!$A:$C,3,FALSE))</f>
        <v>3</v>
      </c>
      <c r="D37" s="219" t="s">
        <v>612</v>
      </c>
      <c r="E37" s="906" t="s">
        <v>1286</v>
      </c>
      <c r="F37" s="906"/>
      <c r="G37" s="906" t="s">
        <v>15169</v>
      </c>
      <c r="H37" s="906"/>
      <c r="I37" s="906"/>
      <c r="J37" s="891" t="str">
        <f>N30</f>
        <v>南大分サッカー少年団</v>
      </c>
      <c r="K37" s="981"/>
      <c r="L37" s="190"/>
      <c r="M37" s="196" t="s">
        <v>704</v>
      </c>
      <c r="N37" s="206" t="str">
        <f>IF(ISERROR(VLOOKUP(S37,審判員!$A:$C,2,FALSE))=TRUE,"",VLOOKUP(S37,審判員!$A:$C,2,FALSE))</f>
        <v>森永　和彦</v>
      </c>
      <c r="O37" s="212">
        <f>IF(ISERROR(VLOOKUP(S37,審判員!$A:$C,3,FALSE))=TRUE,"",VLOOKUP(S37,審判員!$A:$C,3,FALSE))</f>
        <v>3</v>
      </c>
      <c r="P37" s="219" t="s">
        <v>612</v>
      </c>
      <c r="Q37" s="906" t="s">
        <v>1286</v>
      </c>
      <c r="R37" s="906"/>
      <c r="S37" s="906" t="s">
        <v>15203</v>
      </c>
      <c r="T37" s="906"/>
      <c r="U37" s="906"/>
      <c r="V37" s="891" t="str">
        <f>B30</f>
        <v>ドリームキッズフットボールクラブ</v>
      </c>
      <c r="W37" s="981"/>
      <c r="Y37" s="905"/>
      <c r="Z37" s="906"/>
      <c r="AA37" s="906"/>
      <c r="AB37" s="906"/>
      <c r="AC37" s="906"/>
      <c r="AD37" s="906"/>
      <c r="AE37" s="906"/>
      <c r="AF37" s="915">
        <f>AS25</f>
        <v>2</v>
      </c>
      <c r="AG37" s="916"/>
      <c r="AH37" s="916" t="s">
        <v>2011</v>
      </c>
      <c r="AI37" s="916">
        <f>AP25</f>
        <v>0</v>
      </c>
      <c r="AJ37" s="919"/>
      <c r="AK37" s="915">
        <f>AS31</f>
        <v>0</v>
      </c>
      <c r="AL37" s="916"/>
      <c r="AM37" s="916" t="s">
        <v>2011</v>
      </c>
      <c r="AN37" s="916">
        <f>AP31</f>
        <v>1</v>
      </c>
      <c r="AO37" s="919"/>
      <c r="AP37" s="929"/>
      <c r="AQ37" s="930"/>
      <c r="AR37" s="930"/>
      <c r="AS37" s="930"/>
      <c r="AT37" s="931"/>
      <c r="AU37" s="903"/>
      <c r="AV37" s="903"/>
      <c r="AW37" s="903"/>
      <c r="AX37" s="903"/>
      <c r="AY37" s="903"/>
      <c r="AZ37" s="903"/>
      <c r="BA37" s="903"/>
      <c r="BB37" s="903"/>
      <c r="BC37" s="903"/>
      <c r="BD37" s="903"/>
      <c r="BE37" s="903"/>
      <c r="BF37" s="903"/>
      <c r="BG37" s="903"/>
      <c r="BH37" s="903"/>
      <c r="BI37" s="910"/>
      <c r="BJ37" s="910"/>
      <c r="BK37" s="903"/>
      <c r="BL37" s="903"/>
      <c r="BM37" s="910"/>
      <c r="BN37" s="910"/>
      <c r="BO37" s="913"/>
    </row>
    <row r="38" spans="1:67" ht="19.5" customHeight="1" x14ac:dyDescent="0.25">
      <c r="A38" s="196" t="s">
        <v>2007</v>
      </c>
      <c r="B38" s="206" t="str">
        <f>IF(ISERROR(VLOOKUP(G38,審判員!$A:$C,2,FALSE))=TRUE,"",VLOOKUP(G38,審判員!$A:$C,2,FALSE))</f>
        <v>相良　章成</v>
      </c>
      <c r="C38" s="212">
        <f>IF(ISERROR(VLOOKUP(G38,審判員!$A:$C,3,FALSE))=TRUE,"",VLOOKUP(G38,審判員!$A:$C,3,FALSE))</f>
        <v>3</v>
      </c>
      <c r="D38" s="219" t="s">
        <v>612</v>
      </c>
      <c r="E38" s="906" t="s">
        <v>1286</v>
      </c>
      <c r="F38" s="906"/>
      <c r="G38" s="906" t="s">
        <v>15236</v>
      </c>
      <c r="H38" s="906"/>
      <c r="I38" s="906"/>
      <c r="J38" s="891" t="str">
        <f>V30</f>
        <v>ＦＣ　ＵＮＩＴＥ</v>
      </c>
      <c r="K38" s="981"/>
      <c r="L38" s="190"/>
      <c r="M38" s="196" t="s">
        <v>2007</v>
      </c>
      <c r="N38" s="206" t="str">
        <f>IF(ISERROR(VLOOKUP(S38,審判員!$A:$C,2,FALSE))=TRUE,"",VLOOKUP(S38,審判員!$A:$C,2,FALSE))</f>
        <v>緒方　翔平</v>
      </c>
      <c r="O38" s="212">
        <f>IF(ISERROR(VLOOKUP(S38,審判員!$A:$C,3,FALSE))=TRUE,"",VLOOKUP(S38,審判員!$A:$C,3,FALSE))</f>
        <v>3</v>
      </c>
      <c r="P38" s="219" t="s">
        <v>612</v>
      </c>
      <c r="Q38" s="906" t="s">
        <v>1286</v>
      </c>
      <c r="R38" s="906"/>
      <c r="S38" s="906" t="s">
        <v>15256</v>
      </c>
      <c r="T38" s="906"/>
      <c r="U38" s="906"/>
      <c r="V38" s="891" t="str">
        <f>J30</f>
        <v>スマイス　セレソン　スポーツクラブ</v>
      </c>
      <c r="W38" s="981"/>
      <c r="Y38" s="907"/>
      <c r="Z38" s="908"/>
      <c r="AA38" s="908"/>
      <c r="AB38" s="908"/>
      <c r="AC38" s="908"/>
      <c r="AD38" s="908"/>
      <c r="AE38" s="908"/>
      <c r="AF38" s="921"/>
      <c r="AG38" s="565"/>
      <c r="AH38" s="565"/>
      <c r="AI38" s="565"/>
      <c r="AJ38" s="922"/>
      <c r="AK38" s="921"/>
      <c r="AL38" s="565"/>
      <c r="AM38" s="565"/>
      <c r="AN38" s="565"/>
      <c r="AO38" s="922"/>
      <c r="AP38" s="932"/>
      <c r="AQ38" s="933"/>
      <c r="AR38" s="933"/>
      <c r="AS38" s="933"/>
      <c r="AT38" s="934"/>
      <c r="AU38" s="904"/>
      <c r="AV38" s="904"/>
      <c r="AW38" s="904"/>
      <c r="AX38" s="904"/>
      <c r="AY38" s="904"/>
      <c r="AZ38" s="904"/>
      <c r="BA38" s="904"/>
      <c r="BB38" s="904"/>
      <c r="BC38" s="904"/>
      <c r="BD38" s="904"/>
      <c r="BE38" s="904"/>
      <c r="BF38" s="904"/>
      <c r="BG38" s="904"/>
      <c r="BH38" s="904"/>
      <c r="BI38" s="911"/>
      <c r="BJ38" s="911"/>
      <c r="BK38" s="904"/>
      <c r="BL38" s="904"/>
      <c r="BM38" s="911"/>
      <c r="BN38" s="911"/>
      <c r="BO38" s="914"/>
    </row>
    <row r="39" spans="1:67" x14ac:dyDescent="0.25">
      <c r="A39" s="197" t="s">
        <v>2008</v>
      </c>
      <c r="B39" s="207" t="str">
        <f>IF(ISERROR(VLOOKUP(G39,審判員!$A:$C,2,FALSE))=TRUE,"",VLOOKUP(G39,審判員!$A:$C,2,FALSE))</f>
        <v>武吉　翔平</v>
      </c>
      <c r="C39" s="213">
        <f>IF(ISERROR(VLOOKUP(G39,審判員!$A:$C,3,FALSE))=TRUE,"",VLOOKUP(G39,審判員!$A:$C,3,FALSE))</f>
        <v>3</v>
      </c>
      <c r="D39" s="220" t="s">
        <v>612</v>
      </c>
      <c r="E39" s="977" t="s">
        <v>1286</v>
      </c>
      <c r="F39" s="977"/>
      <c r="G39" s="977" t="s">
        <v>15237</v>
      </c>
      <c r="H39" s="977"/>
      <c r="I39" s="977"/>
      <c r="J39" s="978" t="s">
        <v>788</v>
      </c>
      <c r="K39" s="979"/>
      <c r="L39" s="190"/>
      <c r="M39" s="197" t="s">
        <v>2008</v>
      </c>
      <c r="N39" s="207" t="str">
        <f>IF(ISERROR(VLOOKUP(S39,審判員!$A:$C,2,FALSE))=TRUE,"",VLOOKUP(S39,審判員!$A:$C,2,FALSE))</f>
        <v>畑辺　康年</v>
      </c>
      <c r="O39" s="213">
        <f>IF(ISERROR(VLOOKUP(S39,審判員!$A:$C,3,FALSE))=TRUE,"",VLOOKUP(S39,審判員!$A:$C,3,FALSE))</f>
        <v>3</v>
      </c>
      <c r="P39" s="220" t="s">
        <v>612</v>
      </c>
      <c r="Q39" s="977" t="s">
        <v>1286</v>
      </c>
      <c r="R39" s="977"/>
      <c r="S39" s="977" t="s">
        <v>15201</v>
      </c>
      <c r="T39" s="977"/>
      <c r="U39" s="977"/>
      <c r="V39" s="978" t="s">
        <v>788</v>
      </c>
      <c r="W39" s="979"/>
    </row>
    <row r="40" spans="1:67" x14ac:dyDescent="0.25">
      <c r="A40" s="198" t="s">
        <v>469</v>
      </c>
      <c r="B40" s="208" t="s">
        <v>606</v>
      </c>
      <c r="C40" s="208" t="s">
        <v>234</v>
      </c>
      <c r="D40" s="208" t="s">
        <v>272</v>
      </c>
      <c r="E40" s="208" t="s">
        <v>750</v>
      </c>
      <c r="F40" s="223"/>
      <c r="G40" s="208" t="s">
        <v>750</v>
      </c>
      <c r="H40" s="208" t="s">
        <v>272</v>
      </c>
      <c r="I40" s="208" t="s">
        <v>234</v>
      </c>
      <c r="J40" s="208" t="s">
        <v>606</v>
      </c>
      <c r="K40" s="225" t="s">
        <v>469</v>
      </c>
      <c r="L40" s="190"/>
      <c r="M40" s="198" t="s">
        <v>469</v>
      </c>
      <c r="N40" s="208" t="s">
        <v>606</v>
      </c>
      <c r="O40" s="208" t="s">
        <v>234</v>
      </c>
      <c r="P40" s="208" t="s">
        <v>272</v>
      </c>
      <c r="Q40" s="208" t="s">
        <v>750</v>
      </c>
      <c r="R40" s="223"/>
      <c r="S40" s="208" t="s">
        <v>750</v>
      </c>
      <c r="T40" s="208" t="s">
        <v>272</v>
      </c>
      <c r="U40" s="208" t="s">
        <v>234</v>
      </c>
      <c r="V40" s="208" t="s">
        <v>606</v>
      </c>
      <c r="W40" s="225" t="s">
        <v>469</v>
      </c>
      <c r="Y40" s="891" t="s">
        <v>2125</v>
      </c>
      <c r="Z40" s="891"/>
      <c r="AA40" s="891"/>
      <c r="AB40" s="891"/>
      <c r="AC40" s="891"/>
      <c r="AD40" s="891"/>
      <c r="AE40" s="891"/>
      <c r="AF40" s="891"/>
      <c r="AG40" s="891"/>
      <c r="AH40" s="891"/>
      <c r="AI40" s="891"/>
      <c r="AJ40" s="891"/>
      <c r="AK40" s="891"/>
      <c r="AL40" s="891"/>
      <c r="AM40" s="891"/>
      <c r="AN40" s="891"/>
      <c r="AO40" s="891"/>
      <c r="AP40" s="891"/>
      <c r="AQ40" s="891"/>
      <c r="AR40" s="891"/>
      <c r="AS40" s="891"/>
      <c r="AT40" s="891"/>
      <c r="AU40" s="891"/>
      <c r="AV40" s="891"/>
      <c r="AW40" s="891"/>
      <c r="AX40" s="891"/>
      <c r="AY40" s="891"/>
      <c r="AZ40" s="891"/>
      <c r="BA40" s="891"/>
      <c r="BB40" s="891"/>
      <c r="BC40" s="891"/>
      <c r="BD40" s="891"/>
      <c r="BE40" s="891"/>
      <c r="BF40" s="891"/>
    </row>
    <row r="41" spans="1:67" x14ac:dyDescent="0.25">
      <c r="A41" s="199"/>
      <c r="B41" s="209" t="str">
        <f>IF(ISERROR(VLOOKUP(CONCATENATE($B$30,"_",C41),選手名簿!$A:$E,5,FALSE))=TRUE,"",VLOOKUP(CONCATENATE($B$30,"_",C41),選手名簿!$A:$E,5,FALSE))</f>
        <v/>
      </c>
      <c r="C41" s="214"/>
      <c r="D41" s="214"/>
      <c r="E41" s="221"/>
      <c r="F41" s="223"/>
      <c r="G41" s="221"/>
      <c r="H41" s="214"/>
      <c r="I41" s="214"/>
      <c r="J41" s="209" t="str">
        <f>IF(ISERROR(VLOOKUP(CONCATENATE($J$30,"_",I41),選手名簿!$A:$E,5,FALSE))=TRUE,"",VLOOKUP(CONCATENATE($J$30,"_",I41),選手名簿!$A:$E,5,FALSE))</f>
        <v/>
      </c>
      <c r="K41" s="226"/>
      <c r="L41" s="190"/>
      <c r="M41" s="199"/>
      <c r="N41" s="209" t="str">
        <f>IF(ISERROR(VLOOKUP(CONCATENATE($N$30,"_",O41),選手名簿!$A:$E,5,FALSE))=TRUE,"",VLOOKUP(CONCATENATE($N$30,"_",O41),選手名簿!$A:$E,5,FALSE))</f>
        <v/>
      </c>
      <c r="O41" s="214"/>
      <c r="P41" s="214"/>
      <c r="Q41" s="221"/>
      <c r="R41" s="223"/>
      <c r="S41" s="221"/>
      <c r="T41" s="214"/>
      <c r="U41" s="214"/>
      <c r="V41" s="206" t="str">
        <f>IF(ISERROR(VLOOKUP(CONCATENATE($V$30,"_",U41),選手名簿!$A:$E,5,FALSE))=TRUE,"",VLOOKUP(CONCATENATE($V$30,"_",U41),選手名簿!$A:$E,5,FALSE))</f>
        <v/>
      </c>
      <c r="W41" s="226"/>
      <c r="Y41" s="891"/>
      <c r="Z41" s="891"/>
      <c r="AA41" s="891"/>
      <c r="AB41" s="891"/>
      <c r="AC41" s="891"/>
      <c r="AD41" s="891"/>
      <c r="AE41" s="891"/>
      <c r="AF41" s="891"/>
      <c r="AG41" s="891"/>
      <c r="AH41" s="891"/>
      <c r="AI41" s="891"/>
      <c r="AJ41" s="891"/>
      <c r="AK41" s="891"/>
      <c r="AL41" s="891"/>
      <c r="AM41" s="891"/>
      <c r="AN41" s="891"/>
      <c r="AO41" s="891"/>
      <c r="AP41" s="891"/>
      <c r="AQ41" s="891"/>
      <c r="AR41" s="891"/>
      <c r="AS41" s="891"/>
      <c r="AT41" s="891"/>
      <c r="AU41" s="891"/>
      <c r="AV41" s="891"/>
      <c r="AW41" s="891"/>
      <c r="AX41" s="891"/>
      <c r="AY41" s="891"/>
      <c r="AZ41" s="891"/>
      <c r="BA41" s="891"/>
      <c r="BB41" s="891"/>
      <c r="BC41" s="891"/>
      <c r="BD41" s="891"/>
      <c r="BE41" s="891"/>
      <c r="BF41" s="891"/>
    </row>
    <row r="42" spans="1:67" ht="18.75" customHeight="1" x14ac:dyDescent="0.25">
      <c r="A42" s="199"/>
      <c r="B42" s="209" t="str">
        <f>IF(ISERROR(VLOOKUP(CONCATENATE($B$30,"_",C42),選手名簿!$A:$E,5,FALSE))=TRUE,"",VLOOKUP(CONCATENATE($B$30,"_",C42),選手名簿!$A:$E,5,FALSE))</f>
        <v/>
      </c>
      <c r="C42" s="214"/>
      <c r="D42" s="214"/>
      <c r="E42" s="221"/>
      <c r="F42" s="223"/>
      <c r="G42" s="221"/>
      <c r="H42" s="214"/>
      <c r="I42" s="214"/>
      <c r="J42" s="209" t="str">
        <f>IF(ISERROR(VLOOKUP(CONCATENATE($J$30,"_",I42),選手名簿!$A:$E,5,FALSE))=TRUE,"",VLOOKUP(CONCATENATE($J$30,"_",I42),選手名簿!$A:$E,5,FALSE))</f>
        <v/>
      </c>
      <c r="K42" s="226"/>
      <c r="L42" s="190"/>
      <c r="M42" s="199"/>
      <c r="N42" s="209" t="str">
        <f>IF(ISERROR(VLOOKUP(CONCATENATE($N$30,"_",O42),選手名簿!$A:$E,5,FALSE))=TRUE,"",VLOOKUP(CONCATENATE($N$30,"_",O42),選手名簿!$A:$E,5,FALSE))</f>
        <v/>
      </c>
      <c r="O42" s="214"/>
      <c r="P42" s="214"/>
      <c r="Q42" s="221"/>
      <c r="R42" s="223"/>
      <c r="S42" s="221"/>
      <c r="T42" s="214"/>
      <c r="U42" s="214"/>
      <c r="V42" s="209" t="str">
        <f>IF(ISERROR(VLOOKUP(CONCATENATE($V$30,"_",U42),選手名簿!$A:$E,5,FALSE))=TRUE,"",VLOOKUP(CONCATENATE($V$30,"_",U42),選手名簿!$A:$E,5,FALSE))</f>
        <v/>
      </c>
      <c r="W42" s="226"/>
      <c r="Y42" s="892" t="s">
        <v>2013</v>
      </c>
      <c r="Z42" s="893"/>
      <c r="AA42" s="896" t="s">
        <v>159</v>
      </c>
      <c r="AB42" s="232" t="s">
        <v>408</v>
      </c>
      <c r="AC42" s="231"/>
      <c r="AD42" s="898" t="s">
        <v>2060</v>
      </c>
      <c r="AE42" s="232" t="s">
        <v>2015</v>
      </c>
      <c r="AF42" s="231"/>
      <c r="AG42" s="898" t="s">
        <v>1208</v>
      </c>
      <c r="AH42" s="232" t="s">
        <v>2126</v>
      </c>
      <c r="AI42" s="231"/>
      <c r="AJ42" s="900" t="s">
        <v>1727</v>
      </c>
      <c r="AK42" s="234" t="s">
        <v>2016</v>
      </c>
    </row>
    <row r="43" spans="1:67" ht="19.5" customHeight="1" x14ac:dyDescent="0.25">
      <c r="A43" s="199"/>
      <c r="B43" s="209" t="str">
        <f>IF(ISERROR(VLOOKUP(CONCATENATE($B$30,"_",C43),選手名簿!$A:$E,5,FALSE))=TRUE,"",VLOOKUP(CONCATENATE($B$30,"_",C43),選手名簿!$A:$E,5,FALSE))</f>
        <v/>
      </c>
      <c r="C43" s="214"/>
      <c r="D43" s="214"/>
      <c r="E43" s="221"/>
      <c r="F43" s="223"/>
      <c r="G43" s="221"/>
      <c r="H43" s="214"/>
      <c r="I43" s="214"/>
      <c r="J43" s="209" t="str">
        <f>IF(ISERROR(VLOOKUP(CONCATENATE($J$30,"_",I43),選手名簿!$A:$E,5,FALSE))=TRUE,"",VLOOKUP(CONCATENATE($J$30,"_",I43),選手名簿!$A:$E,5,FALSE))</f>
        <v/>
      </c>
      <c r="K43" s="226"/>
      <c r="L43" s="190"/>
      <c r="M43" s="199"/>
      <c r="N43" s="209" t="str">
        <f>IF(ISERROR(VLOOKUP(CONCATENATE($N$30,"_",O43),選手名簿!$A:$E,5,FALSE))=TRUE,"",VLOOKUP(CONCATENATE($N$30,"_",O43),選手名簿!$A:$E,5,FALSE))</f>
        <v/>
      </c>
      <c r="O43" s="214"/>
      <c r="P43" s="214"/>
      <c r="Q43" s="221"/>
      <c r="R43" s="223"/>
      <c r="S43" s="221"/>
      <c r="T43" s="214"/>
      <c r="U43" s="214"/>
      <c r="V43" s="209" t="str">
        <f>IF(ISERROR(VLOOKUP(CONCATENATE($V$30,"_",U43),選手名簿!$A:$E,5,FALSE))=TRUE,"",VLOOKUP(CONCATENATE($V$30,"_",U43),選手名簿!$A:$E,5,FALSE))</f>
        <v/>
      </c>
      <c r="W43" s="226"/>
      <c r="Y43" s="894"/>
      <c r="Z43" s="895"/>
      <c r="AA43" s="897"/>
      <c r="AB43" s="233">
        <v>3</v>
      </c>
      <c r="AC43" s="230"/>
      <c r="AD43" s="899"/>
      <c r="AE43" s="233">
        <v>2</v>
      </c>
      <c r="AF43" s="230"/>
      <c r="AG43" s="899"/>
      <c r="AH43" s="233">
        <v>1</v>
      </c>
      <c r="AI43" s="230"/>
      <c r="AJ43" s="901"/>
      <c r="AK43" s="235">
        <v>0</v>
      </c>
    </row>
    <row r="44" spans="1:67" ht="19.5" customHeight="1" x14ac:dyDescent="0.25">
      <c r="A44" s="199"/>
      <c r="B44" s="209" t="str">
        <f>IF(ISERROR(VLOOKUP(CONCATENATE($B$30,"_",C44),選手名簿!$A:$E,5,FALSE))=TRUE,"",VLOOKUP(CONCATENATE($B$30,"_",C44),選手名簿!$A:$E,5,FALSE))</f>
        <v/>
      </c>
      <c r="C44" s="214"/>
      <c r="D44" s="214"/>
      <c r="E44" s="221"/>
      <c r="F44" s="223"/>
      <c r="G44" s="221"/>
      <c r="H44" s="214"/>
      <c r="I44" s="214"/>
      <c r="J44" s="209" t="str">
        <f>IF(ISERROR(VLOOKUP(CONCATENATE($J$30,"_",I44),選手名簿!$A:$E,5,FALSE))=TRUE,"",VLOOKUP(CONCATENATE($J$30,"_",I44),選手名簿!$A:$E,5,FALSE))</f>
        <v/>
      </c>
      <c r="K44" s="226"/>
      <c r="L44" s="190"/>
      <c r="M44" s="199"/>
      <c r="N44" s="209" t="str">
        <f>IF(ISERROR(VLOOKUP(CONCATENATE($N$30,"_",O44),選手名簿!$A:$E,5,FALSE))=TRUE,"",VLOOKUP(CONCATENATE($N$30,"_",O44),選手名簿!$A:$E,5,FALSE))</f>
        <v/>
      </c>
      <c r="O44" s="214"/>
      <c r="P44" s="214"/>
      <c r="Q44" s="221"/>
      <c r="R44" s="223"/>
      <c r="S44" s="221"/>
      <c r="T44" s="214"/>
      <c r="U44" s="214"/>
      <c r="V44" s="209" t="str">
        <f>IF(ISERROR(VLOOKUP(CONCATENATE($V$30,"_",U44),選手名簿!$A:$E,5,FALSE))=TRUE,"",VLOOKUP(CONCATENATE($V$30,"_",U44),選手名簿!$A:$E,5,FALSE))</f>
        <v/>
      </c>
      <c r="W44" s="226"/>
    </row>
    <row r="45" spans="1:67" x14ac:dyDescent="0.25">
      <c r="A45" s="200"/>
      <c r="B45" s="210" t="str">
        <f>IF(ISERROR(VLOOKUP(CONCATENATE($B$30,"_",C45),選手名簿!$A:$E,5,FALSE))=TRUE,"",VLOOKUP(CONCATENATE($B$30,"_",C45),選手名簿!$A:$E,5,FALSE))</f>
        <v/>
      </c>
      <c r="C45" s="215"/>
      <c r="D45" s="215"/>
      <c r="E45" s="222"/>
      <c r="F45" s="224"/>
      <c r="G45" s="222"/>
      <c r="H45" s="215"/>
      <c r="I45" s="215"/>
      <c r="J45" s="210" t="str">
        <f>IF(ISERROR(VLOOKUP(CONCATENATE($J$30,"_",I45),選手名簿!$A:$E,5,FALSE))=TRUE,"",VLOOKUP(CONCATENATE($J$30,"_",I45),選手名簿!$A:$E,5,FALSE))</f>
        <v/>
      </c>
      <c r="K45" s="227"/>
      <c r="L45" s="190"/>
      <c r="M45" s="200"/>
      <c r="N45" s="210" t="str">
        <f>IF(ISERROR(VLOOKUP(CONCATENATE($N$30,"_",O45),選手名簿!$A:$E,5,FALSE))=TRUE,"",VLOOKUP(CONCATENATE($N$30,"_",O45),選手名簿!$A:$E,5,FALSE))</f>
        <v/>
      </c>
      <c r="O45" s="215"/>
      <c r="P45" s="215"/>
      <c r="Q45" s="222"/>
      <c r="R45" s="224"/>
      <c r="S45" s="222"/>
      <c r="T45" s="215"/>
      <c r="U45" s="215"/>
      <c r="V45" s="210" t="str">
        <f>IF(ISERROR(VLOOKUP(CONCATENATE($V$30,"_",U45),選手名簿!$A:$E,5,FALSE))=TRUE,"",VLOOKUP(CONCATENATE($V$30,"_",U45),選手名簿!$A:$E,5,FALSE))</f>
        <v/>
      </c>
      <c r="W45" s="227"/>
    </row>
    <row r="46" spans="1:67" x14ac:dyDescent="0.25">
      <c r="A46" s="190"/>
      <c r="B46" s="190"/>
      <c r="C46" s="190"/>
      <c r="D46" s="190"/>
      <c r="E46" s="190"/>
      <c r="F46" s="190"/>
      <c r="G46" s="190"/>
      <c r="H46" s="190"/>
      <c r="I46" s="190"/>
      <c r="J46" s="190"/>
      <c r="K46" s="190"/>
      <c r="L46" s="190"/>
      <c r="M46" s="190"/>
      <c r="N46" s="190"/>
      <c r="O46" s="190"/>
      <c r="P46" s="190"/>
      <c r="Q46" s="190"/>
      <c r="R46" s="190"/>
      <c r="S46" s="190"/>
      <c r="T46" s="190"/>
      <c r="U46" s="190"/>
      <c r="V46" s="190"/>
    </row>
    <row r="47" spans="1:67" ht="29.25" customHeight="1" x14ac:dyDescent="0.25">
      <c r="A47" s="190"/>
      <c r="B47" s="190"/>
      <c r="C47" s="190"/>
      <c r="D47" s="190"/>
      <c r="E47" s="190"/>
      <c r="F47" s="190"/>
      <c r="G47" s="190"/>
      <c r="H47" s="190"/>
      <c r="I47" s="190"/>
      <c r="J47" s="190"/>
      <c r="K47" s="190"/>
      <c r="L47" s="190"/>
      <c r="M47" s="190"/>
      <c r="N47" s="190"/>
      <c r="O47" s="190"/>
      <c r="P47" s="190"/>
      <c r="Q47" s="190"/>
      <c r="R47" s="190"/>
      <c r="S47" s="190"/>
      <c r="T47" s="190"/>
      <c r="U47" s="190"/>
      <c r="V47" s="190"/>
    </row>
    <row r="48" spans="1:67" ht="18.75" customHeight="1" x14ac:dyDescent="0.25">
      <c r="A48" s="963" t="s">
        <v>1703</v>
      </c>
      <c r="B48" s="964" t="str">
        <f>C9</f>
        <v>スマイス　セレソン　スポーツクラブ</v>
      </c>
      <c r="C48" s="966">
        <f>IF(E48="","",SUM(E48:E49))</f>
        <v>2</v>
      </c>
      <c r="D48" s="940" t="s">
        <v>336</v>
      </c>
      <c r="E48" s="217">
        <v>1</v>
      </c>
      <c r="F48" s="217" t="s">
        <v>61</v>
      </c>
      <c r="G48" s="217">
        <v>0</v>
      </c>
      <c r="H48" s="940" t="s">
        <v>339</v>
      </c>
      <c r="I48" s="966">
        <f>IF(G48="","",SUM(G48:G49))</f>
        <v>0</v>
      </c>
      <c r="J48" s="968" t="str">
        <f>C7</f>
        <v>鶴居ＳＳＳ</v>
      </c>
      <c r="K48" s="190"/>
      <c r="M48" s="969" t="s">
        <v>1596</v>
      </c>
      <c r="N48" s="972" t="str">
        <f>O9</f>
        <v>ＦＣ　ＵＮＩＴＥ</v>
      </c>
      <c r="O48" s="966">
        <f>IF(Q48="","",SUM(Q48:Q49))</f>
        <v>0</v>
      </c>
      <c r="P48" s="940" t="s">
        <v>336</v>
      </c>
      <c r="Q48" s="217">
        <v>0</v>
      </c>
      <c r="R48" s="217" t="s">
        <v>61</v>
      </c>
      <c r="S48" s="217">
        <v>5</v>
      </c>
      <c r="T48" s="940" t="s">
        <v>339</v>
      </c>
      <c r="U48" s="966">
        <f>IF(S48="","",SUM(S48:S49))</f>
        <v>9</v>
      </c>
      <c r="V48" s="968" t="str">
        <f>O7</f>
        <v>ティエラフットボールクラブＵ－１２</v>
      </c>
      <c r="Y48" s="959" t="str">
        <f>$Y$1</f>
        <v>OFA 第 57 回大分県U-12サッカー大会　兼　KYFA 九州U-12サッカー大会大分県大会</v>
      </c>
      <c r="Z48" s="959"/>
      <c r="AA48" s="959"/>
      <c r="AB48" s="959"/>
      <c r="AC48" s="959"/>
      <c r="AD48" s="959"/>
      <c r="AE48" s="959"/>
      <c r="AF48" s="959"/>
      <c r="AG48" s="959"/>
      <c r="AH48" s="959"/>
      <c r="AI48" s="959"/>
      <c r="AJ48" s="959"/>
      <c r="AK48" s="959"/>
      <c r="AL48" s="959"/>
      <c r="AM48" s="959"/>
      <c r="AN48" s="959"/>
      <c r="AO48" s="959"/>
      <c r="AP48" s="959"/>
      <c r="AQ48" s="959"/>
      <c r="AR48" s="959"/>
      <c r="AS48" s="959"/>
      <c r="AT48" s="959"/>
      <c r="AU48" s="959"/>
      <c r="AV48" s="959"/>
      <c r="AW48" s="959"/>
      <c r="AX48" s="959"/>
      <c r="AY48" s="959"/>
      <c r="AZ48" s="959"/>
      <c r="BA48" s="959"/>
      <c r="BB48" s="959"/>
      <c r="BC48" s="959"/>
      <c r="BD48" s="959"/>
      <c r="BE48" s="959"/>
      <c r="BF48" s="959"/>
      <c r="BG48" s="959"/>
      <c r="BI48" s="959" t="str">
        <f>$BI$1</f>
        <v>１次リーグ結果　報告用紙</v>
      </c>
      <c r="BJ48" s="959"/>
      <c r="BK48" s="959"/>
      <c r="BL48" s="959"/>
      <c r="BM48" s="959"/>
      <c r="BN48" s="959"/>
      <c r="BO48" s="959"/>
    </row>
    <row r="49" spans="1:67" ht="18.75" customHeight="1" x14ac:dyDescent="0.25">
      <c r="A49" s="946"/>
      <c r="B49" s="965"/>
      <c r="C49" s="967"/>
      <c r="D49" s="906"/>
      <c r="E49" s="190">
        <v>1</v>
      </c>
      <c r="F49" s="190" t="s">
        <v>126</v>
      </c>
      <c r="G49" s="190">
        <v>0</v>
      </c>
      <c r="H49" s="906"/>
      <c r="I49" s="967"/>
      <c r="J49" s="957"/>
      <c r="K49" s="190"/>
      <c r="M49" s="970"/>
      <c r="N49" s="973"/>
      <c r="O49" s="967"/>
      <c r="P49" s="906"/>
      <c r="Q49" s="190">
        <v>0</v>
      </c>
      <c r="R49" s="190" t="s">
        <v>126</v>
      </c>
      <c r="S49" s="190">
        <v>4</v>
      </c>
      <c r="T49" s="906"/>
      <c r="U49" s="967"/>
      <c r="V49" s="957"/>
      <c r="Y49" s="959"/>
      <c r="Z49" s="959"/>
      <c r="AA49" s="959"/>
      <c r="AB49" s="959"/>
      <c r="AC49" s="959"/>
      <c r="AD49" s="959"/>
      <c r="AE49" s="959"/>
      <c r="AF49" s="959"/>
      <c r="AG49" s="959"/>
      <c r="AH49" s="959"/>
      <c r="AI49" s="959"/>
      <c r="AJ49" s="959"/>
      <c r="AK49" s="959"/>
      <c r="AL49" s="959"/>
      <c r="AM49" s="959"/>
      <c r="AN49" s="959"/>
      <c r="AO49" s="959"/>
      <c r="AP49" s="959"/>
      <c r="AQ49" s="959"/>
      <c r="AR49" s="959"/>
      <c r="AS49" s="959"/>
      <c r="AT49" s="959"/>
      <c r="AU49" s="959"/>
      <c r="AV49" s="959"/>
      <c r="AW49" s="959"/>
      <c r="AX49" s="959"/>
      <c r="AY49" s="959"/>
      <c r="AZ49" s="959"/>
      <c r="BA49" s="959"/>
      <c r="BB49" s="959"/>
      <c r="BC49" s="959"/>
      <c r="BD49" s="959"/>
      <c r="BE49" s="959"/>
      <c r="BF49" s="959"/>
      <c r="BG49" s="959"/>
      <c r="BI49" s="959"/>
      <c r="BJ49" s="959"/>
      <c r="BK49" s="959"/>
      <c r="BL49" s="959"/>
      <c r="BM49" s="959"/>
      <c r="BN49" s="959"/>
      <c r="BO49" s="959"/>
    </row>
    <row r="50" spans="1:67" ht="19.5" customHeight="1" thickBot="1" x14ac:dyDescent="0.3">
      <c r="A50" s="946"/>
      <c r="B50" s="965"/>
      <c r="C50" s="967"/>
      <c r="D50" s="906"/>
      <c r="E50" s="190"/>
      <c r="F50" s="190" t="s">
        <v>407</v>
      </c>
      <c r="G50" s="190"/>
      <c r="H50" s="906"/>
      <c r="I50" s="967"/>
      <c r="J50" s="957"/>
      <c r="K50" s="190"/>
      <c r="M50" s="971"/>
      <c r="N50" s="974"/>
      <c r="O50" s="975"/>
      <c r="P50" s="908"/>
      <c r="Q50" s="190"/>
      <c r="R50" s="190" t="s">
        <v>407</v>
      </c>
      <c r="S50" s="190"/>
      <c r="T50" s="908"/>
      <c r="U50" s="975"/>
      <c r="V50" s="976"/>
      <c r="Y50" s="959" t="s">
        <v>1962</v>
      </c>
      <c r="Z50" s="959"/>
      <c r="AA50" s="959"/>
      <c r="AB50" s="959"/>
      <c r="AC50" s="959"/>
      <c r="AD50" s="959"/>
      <c r="AE50" s="959"/>
      <c r="AF50" s="959"/>
      <c r="AG50" s="959"/>
      <c r="AH50" s="959"/>
      <c r="AI50" s="959"/>
      <c r="AJ50" s="959"/>
      <c r="AK50" s="959"/>
      <c r="AL50" s="959"/>
      <c r="AM50" s="959"/>
      <c r="AN50" s="959"/>
      <c r="AO50" s="959"/>
      <c r="AP50" s="959"/>
      <c r="AQ50" s="959"/>
      <c r="AR50" s="959"/>
      <c r="AS50" s="959"/>
      <c r="AT50" s="959"/>
      <c r="AU50" s="959"/>
      <c r="AV50" s="959"/>
      <c r="AW50" s="959"/>
      <c r="AX50" s="959"/>
      <c r="AY50" s="959"/>
      <c r="AZ50" s="959"/>
      <c r="BA50" s="959"/>
      <c r="BB50" s="959"/>
      <c r="BC50" s="959"/>
      <c r="BD50" s="959"/>
      <c r="BE50" s="959"/>
      <c r="BF50" s="959"/>
      <c r="BG50" s="959"/>
    </row>
    <row r="51" spans="1:67" ht="18.75" customHeight="1" thickBot="1" x14ac:dyDescent="0.3">
      <c r="A51" s="192" t="s">
        <v>2463</v>
      </c>
      <c r="B51" s="989" t="s">
        <v>15199</v>
      </c>
      <c r="C51" s="989"/>
      <c r="D51" s="989"/>
      <c r="E51" s="989"/>
      <c r="F51" s="989"/>
      <c r="G51" s="990" t="s">
        <v>2464</v>
      </c>
      <c r="H51" s="990"/>
      <c r="I51" s="990"/>
      <c r="J51" s="991" t="s">
        <v>15168</v>
      </c>
      <c r="K51" s="991"/>
      <c r="M51" s="192" t="s">
        <v>2463</v>
      </c>
      <c r="N51" s="989" t="s">
        <v>15265</v>
      </c>
      <c r="O51" s="989"/>
      <c r="P51" s="989"/>
      <c r="Q51" s="989"/>
      <c r="R51" s="989"/>
      <c r="S51" s="990" t="s">
        <v>2464</v>
      </c>
      <c r="T51" s="990"/>
      <c r="U51" s="990"/>
      <c r="V51" s="991" t="s">
        <v>15168</v>
      </c>
      <c r="W51" s="991"/>
      <c r="Y51" s="959"/>
      <c r="Z51" s="959"/>
      <c r="AA51" s="959"/>
      <c r="AB51" s="959"/>
      <c r="AC51" s="959"/>
      <c r="AD51" s="959"/>
      <c r="AE51" s="959"/>
      <c r="AF51" s="959"/>
      <c r="AG51" s="959"/>
      <c r="AH51" s="959"/>
      <c r="AI51" s="959"/>
      <c r="AJ51" s="959"/>
      <c r="AK51" s="959"/>
      <c r="AL51" s="959"/>
      <c r="AM51" s="959"/>
      <c r="AN51" s="959"/>
      <c r="AO51" s="959"/>
      <c r="AP51" s="959"/>
      <c r="AQ51" s="959"/>
      <c r="AR51" s="959"/>
      <c r="AS51" s="959"/>
      <c r="AT51" s="959"/>
      <c r="AU51" s="959"/>
      <c r="AV51" s="959"/>
      <c r="AW51" s="959"/>
      <c r="AX51" s="959"/>
      <c r="AY51" s="959"/>
      <c r="AZ51" s="959"/>
      <c r="BA51" s="959"/>
      <c r="BB51" s="959"/>
      <c r="BC51" s="959"/>
      <c r="BD51" s="959"/>
      <c r="BE51" s="959"/>
      <c r="BF51" s="959"/>
      <c r="BG51" s="959"/>
    </row>
    <row r="52" spans="1:67" ht="18.75" customHeight="1" thickBot="1" x14ac:dyDescent="0.3">
      <c r="A52" s="193" t="s">
        <v>2465</v>
      </c>
      <c r="B52" s="992" t="s">
        <v>15199</v>
      </c>
      <c r="C52" s="992"/>
      <c r="D52" s="992"/>
      <c r="E52" s="992"/>
      <c r="F52" s="992"/>
      <c r="G52" s="983" t="s">
        <v>2464</v>
      </c>
      <c r="H52" s="984"/>
      <c r="I52" s="985"/>
      <c r="J52" s="993" t="s">
        <v>15168</v>
      </c>
      <c r="K52" s="993"/>
      <c r="M52" s="193" t="s">
        <v>2465</v>
      </c>
      <c r="N52" s="992" t="s">
        <v>15265</v>
      </c>
      <c r="O52" s="992"/>
      <c r="P52" s="992"/>
      <c r="Q52" s="992"/>
      <c r="R52" s="992"/>
      <c r="S52" s="983" t="s">
        <v>2464</v>
      </c>
      <c r="T52" s="984"/>
      <c r="U52" s="985"/>
      <c r="V52" s="993" t="s">
        <v>15168</v>
      </c>
      <c r="W52" s="993"/>
      <c r="Y52" s="189"/>
      <c r="Z52" s="189"/>
      <c r="AA52" s="189"/>
      <c r="AB52" s="189"/>
      <c r="AC52" s="189"/>
      <c r="AD52" s="189"/>
      <c r="AE52" s="189"/>
      <c r="AF52" s="189"/>
      <c r="AG52" s="189"/>
      <c r="AH52" s="189"/>
      <c r="AI52" s="189"/>
      <c r="AJ52" s="189"/>
      <c r="AK52" s="189"/>
      <c r="AL52" s="189"/>
      <c r="AM52" s="189"/>
      <c r="AN52" s="189"/>
      <c r="AO52" s="189"/>
      <c r="AP52" s="189"/>
      <c r="AQ52" s="189"/>
      <c r="AR52" s="189"/>
      <c r="AS52" s="189"/>
      <c r="AT52" s="189"/>
      <c r="AU52" s="189"/>
      <c r="AV52" s="189"/>
      <c r="AW52" s="189"/>
      <c r="AX52" s="189"/>
      <c r="AY52" s="189"/>
      <c r="AZ52" s="189"/>
      <c r="BA52" s="189"/>
      <c r="BB52" s="189"/>
      <c r="BC52" s="189"/>
      <c r="BD52" s="189"/>
      <c r="BE52" s="189"/>
      <c r="BF52" s="189"/>
      <c r="BG52" s="189"/>
    </row>
    <row r="53" spans="1:67" ht="19.5" customHeight="1" thickBot="1" x14ac:dyDescent="0.3">
      <c r="A53" s="194" t="s">
        <v>2466</v>
      </c>
      <c r="B53" s="982" t="s">
        <v>15262</v>
      </c>
      <c r="C53" s="982"/>
      <c r="D53" s="982"/>
      <c r="E53" s="982"/>
      <c r="F53" s="982"/>
      <c r="G53" s="983" t="s">
        <v>2464</v>
      </c>
      <c r="H53" s="984"/>
      <c r="I53" s="985"/>
      <c r="J53" s="986" t="s">
        <v>15168</v>
      </c>
      <c r="K53" s="986"/>
      <c r="M53" s="194" t="s">
        <v>2466</v>
      </c>
      <c r="N53" s="982" t="s">
        <v>15234</v>
      </c>
      <c r="O53" s="982"/>
      <c r="P53" s="982"/>
      <c r="Q53" s="982"/>
      <c r="R53" s="982"/>
      <c r="S53" s="983" t="s">
        <v>2464</v>
      </c>
      <c r="T53" s="984"/>
      <c r="U53" s="985"/>
      <c r="V53" s="986" t="s">
        <v>15168</v>
      </c>
      <c r="W53" s="986"/>
      <c r="Y53" s="189"/>
      <c r="Z53" s="189"/>
      <c r="AA53" s="189"/>
      <c r="AB53" s="189"/>
      <c r="AC53" s="189"/>
      <c r="AD53" s="189"/>
      <c r="AE53" s="189"/>
      <c r="AF53" s="189"/>
      <c r="AG53" s="189"/>
      <c r="AH53" s="189"/>
      <c r="AI53" s="189"/>
    </row>
    <row r="54" spans="1:67" ht="18.75" customHeight="1" x14ac:dyDescent="0.25">
      <c r="A54" s="195" t="s">
        <v>609</v>
      </c>
      <c r="B54" s="205" t="str">
        <f>IF(ISERROR(VLOOKUP(G54,審判員!$A:$C,2,FALSE))=TRUE,"",VLOOKUP(G54,審判員!$A:$C,2,FALSE))</f>
        <v>高畑　智秀</v>
      </c>
      <c r="C54" s="211">
        <f>IF(ISERROR(VLOOKUP(G54,審判員!$A:$C,3,FALSE))=TRUE,"",VLOOKUP(G54,審判員!$A:$C,3,FALSE))</f>
        <v>3</v>
      </c>
      <c r="D54" s="218" t="s">
        <v>612</v>
      </c>
      <c r="E54" s="955" t="s">
        <v>201</v>
      </c>
      <c r="F54" s="955"/>
      <c r="G54" s="955" t="s">
        <v>15263</v>
      </c>
      <c r="H54" s="955"/>
      <c r="I54" s="955"/>
      <c r="J54" s="987" t="s">
        <v>788</v>
      </c>
      <c r="K54" s="988"/>
      <c r="L54" s="190"/>
      <c r="M54" s="195" t="s">
        <v>609</v>
      </c>
      <c r="N54" s="205" t="str">
        <f>IF(ISERROR(VLOOKUP(S54,審判員!$A:$C,2,FALSE))=TRUE,"",VLOOKUP(S54,審判員!$A:$C,2,FALSE))</f>
        <v>武吉　翔平</v>
      </c>
      <c r="O54" s="211">
        <f>IF(ISERROR(VLOOKUP(S54,審判員!$A:$C,3,FALSE))=TRUE,"",VLOOKUP(S54,審判員!$A:$C,3,FALSE))</f>
        <v>3</v>
      </c>
      <c r="P54" s="218" t="s">
        <v>612</v>
      </c>
      <c r="Q54" s="955" t="s">
        <v>201</v>
      </c>
      <c r="R54" s="955"/>
      <c r="S54" s="955" t="s">
        <v>15237</v>
      </c>
      <c r="T54" s="955"/>
      <c r="U54" s="955"/>
      <c r="V54" s="987" t="s">
        <v>788</v>
      </c>
      <c r="W54" s="988"/>
      <c r="Y54" s="590" t="s">
        <v>487</v>
      </c>
      <c r="Z54" s="590"/>
      <c r="AA54" s="590"/>
      <c r="AB54" s="960" t="str">
        <f>$N$4</f>
        <v>中津</v>
      </c>
      <c r="AC54" s="960"/>
      <c r="AD54" s="960"/>
      <c r="AE54" s="960"/>
      <c r="AF54" s="960"/>
      <c r="AG54" s="960"/>
      <c r="AH54" s="590" t="s">
        <v>659</v>
      </c>
      <c r="AI54" s="961" t="str">
        <f>$P$4</f>
        <v>ディーアクト（D-ACT）スポーツパーク永添(永添運動公園)
人工芝多目的グラウンド</v>
      </c>
      <c r="AJ54" s="961"/>
      <c r="AK54" s="961"/>
      <c r="AL54" s="961"/>
      <c r="AM54" s="961"/>
      <c r="AN54" s="961"/>
      <c r="AO54" s="961"/>
      <c r="AP54" s="961"/>
      <c r="AQ54" s="961"/>
      <c r="AR54" s="961"/>
      <c r="AS54" s="961"/>
      <c r="AT54" s="961"/>
      <c r="AU54" s="961"/>
      <c r="AV54" s="961"/>
      <c r="AW54" s="961"/>
    </row>
    <row r="55" spans="1:67" ht="18.75" customHeight="1" x14ac:dyDescent="0.25">
      <c r="A55" s="196" t="s">
        <v>704</v>
      </c>
      <c r="B55" s="206" t="str">
        <f>IF(ISERROR(VLOOKUP(G55,審判員!$A:$C,2,FALSE))=TRUE,"",VLOOKUP(G55,審判員!$A:$C,2,FALSE))</f>
        <v>相良　章成</v>
      </c>
      <c r="C55" s="212">
        <f>IF(ISERROR(VLOOKUP(G55,審判員!$A:$C,3,FALSE))=TRUE,"",VLOOKUP(G55,審判員!$A:$C,3,FALSE))</f>
        <v>3</v>
      </c>
      <c r="D55" s="219" t="s">
        <v>612</v>
      </c>
      <c r="E55" s="906" t="s">
        <v>1286</v>
      </c>
      <c r="F55" s="906"/>
      <c r="G55" s="906" t="s">
        <v>15236</v>
      </c>
      <c r="H55" s="906"/>
      <c r="I55" s="906"/>
      <c r="J55" s="891" t="str">
        <f>N48</f>
        <v>ＦＣ　ＵＮＩＴＥ</v>
      </c>
      <c r="K55" s="981"/>
      <c r="L55" s="190"/>
      <c r="M55" s="196" t="s">
        <v>704</v>
      </c>
      <c r="N55" s="206" t="str">
        <f>IF(ISERROR(VLOOKUP(S55,審判員!$A:$C,2,FALSE))=TRUE,"",VLOOKUP(S55,審判員!$A:$C,2,FALSE))</f>
        <v>緒方　翔平</v>
      </c>
      <c r="O55" s="212">
        <f>IF(ISERROR(VLOOKUP(S55,審判員!$A:$C,3,FALSE))=TRUE,"",VLOOKUP(S55,審判員!$A:$C,3,FALSE))</f>
        <v>3</v>
      </c>
      <c r="P55" s="219" t="s">
        <v>612</v>
      </c>
      <c r="Q55" s="906" t="s">
        <v>1286</v>
      </c>
      <c r="R55" s="906"/>
      <c r="S55" s="906" t="s">
        <v>15256</v>
      </c>
      <c r="T55" s="906"/>
      <c r="U55" s="906"/>
      <c r="V55" s="891" t="str">
        <f>B48</f>
        <v>スマイス　セレソン　スポーツクラブ</v>
      </c>
      <c r="W55" s="981"/>
      <c r="Y55" s="590"/>
      <c r="Z55" s="590"/>
      <c r="AA55" s="590"/>
      <c r="AB55" s="960"/>
      <c r="AC55" s="960"/>
      <c r="AD55" s="960"/>
      <c r="AE55" s="960"/>
      <c r="AF55" s="960"/>
      <c r="AG55" s="960"/>
      <c r="AH55" s="590"/>
      <c r="AI55" s="961"/>
      <c r="AJ55" s="961"/>
      <c r="AK55" s="961"/>
      <c r="AL55" s="961"/>
      <c r="AM55" s="961"/>
      <c r="AN55" s="961"/>
      <c r="AO55" s="961"/>
      <c r="AP55" s="961"/>
      <c r="AQ55" s="961"/>
      <c r="AR55" s="961"/>
      <c r="AS55" s="961"/>
      <c r="AT55" s="961"/>
      <c r="AU55" s="961"/>
      <c r="AV55" s="961"/>
      <c r="AW55" s="961"/>
    </row>
    <row r="56" spans="1:67" ht="18.75" customHeight="1" x14ac:dyDescent="0.25">
      <c r="A56" s="196" t="s">
        <v>2007</v>
      </c>
      <c r="B56" s="206" t="str">
        <f>IF(ISERROR(VLOOKUP(G56,審判員!$A:$C,2,FALSE))=TRUE,"",VLOOKUP(G56,審判員!$A:$C,2,FALSE))</f>
        <v>高柿　康平</v>
      </c>
      <c r="C56" s="212">
        <f>IF(ISERROR(VLOOKUP(G56,審判員!$A:$C,3,FALSE))=TRUE,"",VLOOKUP(G56,審判員!$A:$C,3,FALSE))</f>
        <v>3</v>
      </c>
      <c r="D56" s="219" t="s">
        <v>612</v>
      </c>
      <c r="E56" s="906" t="s">
        <v>1286</v>
      </c>
      <c r="F56" s="906"/>
      <c r="G56" s="906" t="s">
        <v>15170</v>
      </c>
      <c r="H56" s="906"/>
      <c r="I56" s="906"/>
      <c r="J56" s="891" t="str">
        <f>V48</f>
        <v>ティエラフットボールクラブＵ－１２</v>
      </c>
      <c r="K56" s="981"/>
      <c r="L56" s="190"/>
      <c r="M56" s="196" t="s">
        <v>2007</v>
      </c>
      <c r="N56" s="206" t="str">
        <f>IF(ISERROR(VLOOKUP(S56,審判員!$A:$C,2,FALSE))=TRUE,"",VLOOKUP(S56,審判員!$A:$C,2,FALSE))</f>
        <v>朝比奈　義行</v>
      </c>
      <c r="O56" s="212">
        <f>IF(ISERROR(VLOOKUP(S56,審判員!$A:$C,3,FALSE))=TRUE,"",VLOOKUP(S56,審判員!$A:$C,3,FALSE))</f>
        <v>3</v>
      </c>
      <c r="P56" s="219" t="s">
        <v>612</v>
      </c>
      <c r="Q56" s="906" t="s">
        <v>1286</v>
      </c>
      <c r="R56" s="906"/>
      <c r="S56" s="906" t="s">
        <v>15202</v>
      </c>
      <c r="T56" s="906"/>
      <c r="U56" s="906"/>
      <c r="V56" s="891" t="str">
        <f>J48</f>
        <v>鶴居ＳＳＳ</v>
      </c>
      <c r="W56" s="981"/>
      <c r="Y56" s="58"/>
      <c r="Z56" s="58"/>
      <c r="AA56" s="58"/>
      <c r="AB56" s="58"/>
      <c r="AC56" s="58"/>
      <c r="AD56" s="58"/>
      <c r="AE56" s="58"/>
      <c r="AF56" s="58"/>
      <c r="AG56" s="58"/>
      <c r="AH56" s="58"/>
      <c r="AI56" s="216"/>
      <c r="AJ56" s="216"/>
      <c r="AK56" s="216"/>
      <c r="AL56" s="216"/>
      <c r="AM56" s="216"/>
      <c r="AN56" s="216"/>
      <c r="AO56" s="216"/>
      <c r="AP56" s="216"/>
      <c r="AQ56" s="216"/>
      <c r="AR56" s="216"/>
      <c r="AS56" s="216"/>
      <c r="AT56" s="216"/>
      <c r="AU56" s="216"/>
      <c r="AV56" s="216"/>
      <c r="AW56" s="216"/>
    </row>
    <row r="57" spans="1:67" ht="18.75" customHeight="1" x14ac:dyDescent="0.25">
      <c r="A57" s="197" t="s">
        <v>2008</v>
      </c>
      <c r="B57" s="207" t="str">
        <f>IF(ISERROR(VLOOKUP(G57,審判員!$A:$C,2,FALSE))=TRUE,"",VLOOKUP(G57,審判員!$A:$C,2,FALSE))</f>
        <v>屋敷　伴幸</v>
      </c>
      <c r="C57" s="213">
        <f>IF(ISERROR(VLOOKUP(G57,審判員!$A:$C,3,FALSE))=TRUE,"",VLOOKUP(G57,審判員!$A:$C,3,FALSE))</f>
        <v>3</v>
      </c>
      <c r="D57" s="220" t="s">
        <v>612</v>
      </c>
      <c r="E57" s="977" t="s">
        <v>1286</v>
      </c>
      <c r="F57" s="977"/>
      <c r="G57" s="977" t="s">
        <v>15235</v>
      </c>
      <c r="H57" s="977"/>
      <c r="I57" s="977"/>
      <c r="J57" s="978" t="s">
        <v>788</v>
      </c>
      <c r="K57" s="979"/>
      <c r="L57" s="190"/>
      <c r="M57" s="197" t="s">
        <v>2008</v>
      </c>
      <c r="N57" s="207" t="str">
        <f>IF(ISERROR(VLOOKUP(S57,審判員!$A:$C,2,FALSE))=TRUE,"",VLOOKUP(S57,審判員!$A:$C,2,FALSE))</f>
        <v>山下　省二</v>
      </c>
      <c r="O57" s="213">
        <f>IF(ISERROR(VLOOKUP(S57,審判員!$A:$C,3,FALSE))=TRUE,"",VLOOKUP(S57,審判員!$A:$C,3,FALSE))</f>
        <v>3</v>
      </c>
      <c r="P57" s="220" t="s">
        <v>612</v>
      </c>
      <c r="Q57" s="977" t="s">
        <v>1286</v>
      </c>
      <c r="R57" s="977"/>
      <c r="S57" s="977" t="s">
        <v>15204</v>
      </c>
      <c r="T57" s="977"/>
      <c r="U57" s="977"/>
      <c r="V57" s="978" t="s">
        <v>788</v>
      </c>
      <c r="W57" s="979"/>
      <c r="Y57" s="190"/>
      <c r="Z57" s="190"/>
      <c r="AA57" s="190"/>
    </row>
    <row r="58" spans="1:67" ht="18.75" customHeight="1" x14ac:dyDescent="0.25">
      <c r="A58" s="198" t="s">
        <v>469</v>
      </c>
      <c r="B58" s="208" t="s">
        <v>606</v>
      </c>
      <c r="C58" s="208" t="s">
        <v>234</v>
      </c>
      <c r="D58" s="208" t="s">
        <v>272</v>
      </c>
      <c r="E58" s="208" t="s">
        <v>750</v>
      </c>
      <c r="F58" s="223"/>
      <c r="G58" s="208" t="s">
        <v>750</v>
      </c>
      <c r="H58" s="208" t="s">
        <v>272</v>
      </c>
      <c r="I58" s="208" t="s">
        <v>234</v>
      </c>
      <c r="J58" s="208" t="s">
        <v>606</v>
      </c>
      <c r="K58" s="225" t="s">
        <v>469</v>
      </c>
      <c r="L58" s="190"/>
      <c r="M58" s="198" t="s">
        <v>469</v>
      </c>
      <c r="N58" s="208" t="s">
        <v>606</v>
      </c>
      <c r="O58" s="208" t="s">
        <v>234</v>
      </c>
      <c r="P58" s="208" t="s">
        <v>272</v>
      </c>
      <c r="Q58" s="208" t="s">
        <v>750</v>
      </c>
      <c r="R58" s="223"/>
      <c r="S58" s="208" t="s">
        <v>750</v>
      </c>
      <c r="T58" s="208" t="s">
        <v>272</v>
      </c>
      <c r="U58" s="208" t="s">
        <v>234</v>
      </c>
      <c r="V58" s="208" t="s">
        <v>606</v>
      </c>
      <c r="W58" s="225" t="s">
        <v>469</v>
      </c>
      <c r="Y58" s="590" t="s">
        <v>430</v>
      </c>
      <c r="Z58" s="590"/>
      <c r="AA58" s="590"/>
      <c r="AB58" s="960" t="str">
        <f>$N$6</f>
        <v>G</v>
      </c>
      <c r="AC58" s="960"/>
      <c r="AD58" s="960"/>
      <c r="AE58" s="960"/>
      <c r="AF58" s="960"/>
      <c r="AG58" s="960"/>
    </row>
    <row r="59" spans="1:67" ht="18.75" customHeight="1" x14ac:dyDescent="0.25">
      <c r="A59" s="199"/>
      <c r="B59" s="209" t="str">
        <f>IF(ISERROR(VLOOKUP(CONCATENATE($B$48,"_",C59),選手名簿!$A:$E,5,FALSE))=TRUE,"",VLOOKUP(CONCATENATE($B$48,"_",C59),選手名簿!$A:$E,5,FALSE))</f>
        <v/>
      </c>
      <c r="C59" s="214"/>
      <c r="D59" s="214"/>
      <c r="E59" s="221"/>
      <c r="F59" s="223"/>
      <c r="G59" s="221"/>
      <c r="H59" s="214"/>
      <c r="I59" s="214"/>
      <c r="J59" s="209" t="str">
        <f>IF(ISERROR(VLOOKUP(CONCATENATE($J$48,"_",I59),選手名簿!$A:$E,5,FALSE))=TRUE,"",VLOOKUP(CONCATENATE($J$48,"_",I59),選手名簿!$A:$E,5,FALSE))</f>
        <v/>
      </c>
      <c r="K59" s="226"/>
      <c r="L59" s="190"/>
      <c r="M59" s="199"/>
      <c r="N59" s="209" t="str">
        <f>IF(ISERROR(VLOOKUP(CONCATENATE($N$48,"_",O59),選手名簿!$A:$E,5,FALSE))=TRUE,"",VLOOKUP(CONCATENATE($N$48,"_",O59),選手名簿!$A:$E,5,FALSE))</f>
        <v/>
      </c>
      <c r="O59" s="214"/>
      <c r="P59" s="214"/>
      <c r="Q59" s="221"/>
      <c r="R59" s="223"/>
      <c r="S59" s="221"/>
      <c r="T59" s="214"/>
      <c r="U59" s="214"/>
      <c r="V59" s="206" t="str">
        <f>IF(ISERROR(VLOOKUP(CONCATENATE($V$48,"_",U59),選手名簿!$A:$E,5,FALSE))=TRUE,"",VLOOKUP(CONCATENATE($V$48,"_",U59),選手名簿!$A:$E,5,FALSE))</f>
        <v/>
      </c>
      <c r="W59" s="226"/>
      <c r="Y59" s="590"/>
      <c r="Z59" s="590"/>
      <c r="AA59" s="590"/>
      <c r="AB59" s="962"/>
      <c r="AC59" s="962"/>
      <c r="AD59" s="962"/>
      <c r="AE59" s="962"/>
      <c r="AF59" s="962"/>
      <c r="AG59" s="962"/>
    </row>
    <row r="60" spans="1:67" ht="18.75" customHeight="1" x14ac:dyDescent="0.25">
      <c r="A60" s="199"/>
      <c r="B60" s="209" t="str">
        <f>IF(ISERROR(VLOOKUP(CONCATENATE($B$48,"_",C60),選手名簿!$A:$E,5,FALSE))=TRUE,"",VLOOKUP(CONCATENATE($B$48,"_",C60),選手名簿!$A:$E,5,FALSE))</f>
        <v/>
      </c>
      <c r="C60" s="214"/>
      <c r="D60" s="214"/>
      <c r="E60" s="221"/>
      <c r="F60" s="223"/>
      <c r="G60" s="221"/>
      <c r="H60" s="214"/>
      <c r="I60" s="214"/>
      <c r="J60" s="209" t="str">
        <f>IF(ISERROR(VLOOKUP(CONCATENATE($J$48,"_",I60),選手名簿!$A:$E,5,FALSE))=TRUE,"",VLOOKUP(CONCATENATE($J$48,"_",I60),選手名簿!$A:$E,5,FALSE))</f>
        <v/>
      </c>
      <c r="K60" s="226"/>
      <c r="L60" s="190"/>
      <c r="M60" s="199"/>
      <c r="N60" s="209" t="str">
        <f>IF(ISERROR(VLOOKUP(CONCATENATE($N$48,"_",O60),選手名簿!$A:$E,5,FALSE))=TRUE,"",VLOOKUP(CONCATENATE($N$48,"_",O60),選手名簿!$A:$E,5,FALSE))</f>
        <v/>
      </c>
      <c r="O60" s="214"/>
      <c r="P60" s="214"/>
      <c r="Q60" s="221"/>
      <c r="R60" s="223"/>
      <c r="S60" s="221"/>
      <c r="T60" s="214"/>
      <c r="U60" s="214"/>
      <c r="V60" s="209" t="str">
        <f>IF(ISERROR(VLOOKUP(CONCATENATE($V$48,"_",U60),選手名簿!$A:$E,5,FALSE))=TRUE,"",VLOOKUP(CONCATENATE($V$48,"_",U60),選手名簿!$A:$E,5,FALSE))</f>
        <v/>
      </c>
      <c r="W60" s="226"/>
      <c r="Y60" s="58"/>
      <c r="Z60" s="713" t="str">
        <f>$N$7</f>
        <v>G1</v>
      </c>
      <c r="AA60" s="713"/>
      <c r="AB60" s="713"/>
      <c r="AC60" s="713" t="str">
        <f>$O$7</f>
        <v>ティエラフットボールクラブＵ－１２</v>
      </c>
      <c r="AD60" s="713"/>
      <c r="AE60" s="713"/>
      <c r="AF60" s="713"/>
      <c r="AG60" s="713"/>
      <c r="AH60" s="713"/>
      <c r="AI60" s="713"/>
      <c r="AJ60" s="713"/>
      <c r="AK60" s="713"/>
      <c r="AL60" s="713"/>
      <c r="AM60" s="713"/>
      <c r="AN60" s="713"/>
      <c r="AO60" s="713"/>
      <c r="AP60" s="713" t="str">
        <f>$V$7</f>
        <v>中津</v>
      </c>
      <c r="AQ60" s="713"/>
      <c r="AR60" s="713"/>
      <c r="AS60" s="713"/>
    </row>
    <row r="61" spans="1:67" ht="18.75" customHeight="1" x14ac:dyDescent="0.25">
      <c r="A61" s="199"/>
      <c r="B61" s="209" t="str">
        <f>IF(ISERROR(VLOOKUP(CONCATENATE($B$48,"_",C61),選手名簿!$A:$E,5,FALSE))=TRUE,"",VLOOKUP(CONCATENATE($B$48,"_",C61),選手名簿!$A:$E,5,FALSE))</f>
        <v/>
      </c>
      <c r="C61" s="214"/>
      <c r="D61" s="214"/>
      <c r="E61" s="221"/>
      <c r="F61" s="223"/>
      <c r="G61" s="221"/>
      <c r="H61" s="214"/>
      <c r="I61" s="214"/>
      <c r="J61" s="209" t="str">
        <f>IF(ISERROR(VLOOKUP(CONCATENATE($J$48,"_",I61),選手名簿!$A:$E,5,FALSE))=TRUE,"",VLOOKUP(CONCATENATE($J$48,"_",I61),選手名簿!$A:$E,5,FALSE))</f>
        <v/>
      </c>
      <c r="K61" s="226"/>
      <c r="L61" s="190"/>
      <c r="M61" s="199"/>
      <c r="N61" s="209" t="str">
        <f>IF(ISERROR(VLOOKUP(CONCATENATE($N$48,"_",O61),選手名簿!$A:$E,5,FALSE))=TRUE,"",VLOOKUP(CONCATENATE($N$48,"_",O61),選手名簿!$A:$E,5,FALSE))</f>
        <v/>
      </c>
      <c r="O61" s="214"/>
      <c r="P61" s="214"/>
      <c r="Q61" s="221"/>
      <c r="R61" s="223"/>
      <c r="S61" s="221"/>
      <c r="T61" s="214"/>
      <c r="U61" s="214"/>
      <c r="V61" s="209" t="str">
        <f>IF(ISERROR(VLOOKUP(CONCATENATE($V$48,"_",U61),選手名簿!$A:$E,5,FALSE))=TRUE,"",VLOOKUP(CONCATENATE($V$48,"_",U61),選手名簿!$A:$E,5,FALSE))</f>
        <v/>
      </c>
      <c r="W61" s="226"/>
      <c r="Y61" s="58"/>
      <c r="Z61" s="713"/>
      <c r="AA61" s="713"/>
      <c r="AB61" s="713"/>
      <c r="AC61" s="713"/>
      <c r="AD61" s="713"/>
      <c r="AE61" s="713"/>
      <c r="AF61" s="713"/>
      <c r="AG61" s="713"/>
      <c r="AH61" s="713"/>
      <c r="AI61" s="713"/>
      <c r="AJ61" s="713"/>
      <c r="AK61" s="713"/>
      <c r="AL61" s="713"/>
      <c r="AM61" s="713"/>
      <c r="AN61" s="713"/>
      <c r="AO61" s="713"/>
      <c r="AP61" s="713"/>
      <c r="AQ61" s="713"/>
      <c r="AR61" s="713"/>
      <c r="AS61" s="713"/>
    </row>
    <row r="62" spans="1:67" ht="18.75" customHeight="1" x14ac:dyDescent="0.25">
      <c r="A62" s="199"/>
      <c r="B62" s="209" t="str">
        <f>IF(ISERROR(VLOOKUP(CONCATENATE($B$48,"_",C62),選手名簿!$A:$E,5,FALSE))=TRUE,"",VLOOKUP(CONCATENATE($B$48,"_",C62),選手名簿!$A:$E,5,FALSE))</f>
        <v/>
      </c>
      <c r="C62" s="214"/>
      <c r="D62" s="214"/>
      <c r="E62" s="221"/>
      <c r="F62" s="223"/>
      <c r="G62" s="221"/>
      <c r="H62" s="214"/>
      <c r="I62" s="214"/>
      <c r="J62" s="209" t="str">
        <f>IF(ISERROR(VLOOKUP(CONCATENATE($J$48,"_",I62),選手名簿!$A:$E,5,FALSE))=TRUE,"",VLOOKUP(CONCATENATE($J$48,"_",I62),選手名簿!$A:$E,5,FALSE))</f>
        <v/>
      </c>
      <c r="K62" s="226"/>
      <c r="L62" s="190"/>
      <c r="M62" s="199"/>
      <c r="N62" s="209" t="str">
        <f>IF(ISERROR(VLOOKUP(CONCATENATE($N$48,"_",O62),選手名簿!$A:$E,5,FALSE))=TRUE,"",VLOOKUP(CONCATENATE($N$48,"_",O62),選手名簿!$A:$E,5,FALSE))</f>
        <v/>
      </c>
      <c r="O62" s="214"/>
      <c r="P62" s="214"/>
      <c r="Q62" s="221"/>
      <c r="R62" s="223"/>
      <c r="S62" s="221"/>
      <c r="T62" s="214"/>
      <c r="U62" s="214"/>
      <c r="V62" s="209" t="str">
        <f>IF(ISERROR(VLOOKUP(CONCATENATE($V$48,"_",U62),選手名簿!$A:$E,5,FALSE))=TRUE,"",VLOOKUP(CONCATENATE($V$48,"_",U62),選手名簿!$A:$E,5,FALSE))</f>
        <v/>
      </c>
      <c r="W62" s="226"/>
      <c r="Y62" s="58"/>
      <c r="Z62" s="713" t="str">
        <f>$N$8</f>
        <v>G2</v>
      </c>
      <c r="AA62" s="713"/>
      <c r="AB62" s="713"/>
      <c r="AC62" s="713" t="str">
        <f>$O$8</f>
        <v>南大分サッカー少年団</v>
      </c>
      <c r="AD62" s="713"/>
      <c r="AE62" s="713"/>
      <c r="AF62" s="713"/>
      <c r="AG62" s="713"/>
      <c r="AH62" s="713"/>
      <c r="AI62" s="713"/>
      <c r="AJ62" s="713"/>
      <c r="AK62" s="713"/>
      <c r="AL62" s="713"/>
      <c r="AM62" s="713"/>
      <c r="AN62" s="713"/>
      <c r="AO62" s="713"/>
      <c r="AP62" s="713" t="str">
        <f>$V$8</f>
        <v>大分</v>
      </c>
      <c r="AQ62" s="713"/>
      <c r="AR62" s="713"/>
      <c r="AS62" s="713"/>
    </row>
    <row r="63" spans="1:67" ht="18.75" customHeight="1" x14ac:dyDescent="0.25">
      <c r="A63" s="200"/>
      <c r="B63" s="210" t="str">
        <f>IF(ISERROR(VLOOKUP(CONCATENATE($B$48,"_",C63),選手名簿!$A:$E,5,FALSE))=TRUE,"",VLOOKUP(CONCATENATE($B$48,"_",C63),選手名簿!$A:$E,5,FALSE))</f>
        <v/>
      </c>
      <c r="C63" s="215"/>
      <c r="D63" s="215"/>
      <c r="E63" s="222"/>
      <c r="F63" s="224"/>
      <c r="G63" s="222"/>
      <c r="H63" s="215"/>
      <c r="I63" s="215"/>
      <c r="J63" s="210" t="str">
        <f>IF(ISERROR(VLOOKUP(CONCATENATE($J$48,"_",I63),選手名簿!$A:$E,5,FALSE))=TRUE,"",VLOOKUP(CONCATENATE($J$48,"_",I63),選手名簿!$A:$E,5,FALSE))</f>
        <v/>
      </c>
      <c r="K63" s="227"/>
      <c r="L63" s="190"/>
      <c r="M63" s="200"/>
      <c r="N63" s="210" t="str">
        <f>IF(ISERROR(VLOOKUP(CONCATENATE($N$48,"_",O63),選手名簿!$A:$E,5,FALSE))=TRUE,"",VLOOKUP(CONCATENATE($N$48,"_",O63),選手名簿!$A:$E,5,FALSE))</f>
        <v/>
      </c>
      <c r="O63" s="215"/>
      <c r="P63" s="215"/>
      <c r="Q63" s="222"/>
      <c r="R63" s="224"/>
      <c r="S63" s="222"/>
      <c r="T63" s="215"/>
      <c r="U63" s="215"/>
      <c r="V63" s="210" t="str">
        <f>IF(ISERROR(VLOOKUP(CONCATENATE($V$48,"_",U63),選手名簿!$A:$E,5,FALSE))=TRUE,"",VLOOKUP(CONCATENATE($V$48,"_",U63),選手名簿!$A:$E,5,FALSE))</f>
        <v/>
      </c>
      <c r="W63" s="227"/>
      <c r="Y63" s="58"/>
      <c r="Z63" s="713"/>
      <c r="AA63" s="713"/>
      <c r="AB63" s="713"/>
      <c r="AC63" s="713"/>
      <c r="AD63" s="713"/>
      <c r="AE63" s="713"/>
      <c r="AF63" s="713"/>
      <c r="AG63" s="713"/>
      <c r="AH63" s="713"/>
      <c r="AI63" s="713"/>
      <c r="AJ63" s="713"/>
      <c r="AK63" s="713"/>
      <c r="AL63" s="713"/>
      <c r="AM63" s="713"/>
      <c r="AN63" s="713"/>
      <c r="AO63" s="713"/>
      <c r="AP63" s="713"/>
      <c r="AQ63" s="713"/>
      <c r="AR63" s="713"/>
      <c r="AS63" s="713"/>
    </row>
    <row r="64" spans="1:67" ht="18.75" customHeight="1" x14ac:dyDescent="0.25">
      <c r="A64" s="190"/>
      <c r="B64" s="190"/>
      <c r="C64" s="190"/>
      <c r="D64" s="190"/>
      <c r="E64" s="190"/>
      <c r="F64" s="190"/>
      <c r="G64" s="190"/>
      <c r="H64" s="190"/>
      <c r="I64" s="190"/>
      <c r="J64" s="190"/>
      <c r="K64" s="190"/>
      <c r="L64" s="190"/>
      <c r="M64" s="190"/>
      <c r="N64" s="190"/>
      <c r="O64" s="190"/>
      <c r="P64" s="190"/>
      <c r="Q64" s="190"/>
      <c r="R64" s="190"/>
      <c r="S64" s="190"/>
      <c r="T64" s="190"/>
      <c r="U64" s="190"/>
      <c r="V64" s="190"/>
      <c r="Y64" s="190"/>
      <c r="Z64" s="713" t="str">
        <f>$N$9</f>
        <v>G3</v>
      </c>
      <c r="AA64" s="713"/>
      <c r="AB64" s="713"/>
      <c r="AC64" s="713" t="str">
        <f>$O$9</f>
        <v>ＦＣ　ＵＮＩＴＥ</v>
      </c>
      <c r="AD64" s="713"/>
      <c r="AE64" s="713"/>
      <c r="AF64" s="713"/>
      <c r="AG64" s="713"/>
      <c r="AH64" s="713"/>
      <c r="AI64" s="713"/>
      <c r="AJ64" s="713"/>
      <c r="AK64" s="713"/>
      <c r="AL64" s="713"/>
      <c r="AM64" s="713"/>
      <c r="AN64" s="713"/>
      <c r="AO64" s="713"/>
      <c r="AP64" s="713" t="str">
        <f>$V$9</f>
        <v>宇佐高田</v>
      </c>
      <c r="AQ64" s="713"/>
      <c r="AR64" s="713"/>
      <c r="AS64" s="713"/>
    </row>
    <row r="65" spans="25:67" ht="18.75" customHeight="1" x14ac:dyDescent="0.25">
      <c r="Z65" s="713"/>
      <c r="AA65" s="713"/>
      <c r="AB65" s="713"/>
      <c r="AC65" s="713"/>
      <c r="AD65" s="713"/>
      <c r="AE65" s="713"/>
      <c r="AF65" s="713"/>
      <c r="AG65" s="713"/>
      <c r="AH65" s="713"/>
      <c r="AI65" s="713"/>
      <c r="AJ65" s="713"/>
      <c r="AK65" s="713"/>
      <c r="AL65" s="713"/>
      <c r="AM65" s="713"/>
      <c r="AN65" s="713"/>
      <c r="AO65" s="713"/>
      <c r="AP65" s="713"/>
      <c r="AQ65" s="713"/>
      <c r="AR65" s="713"/>
      <c r="AS65" s="713"/>
    </row>
    <row r="66" spans="25:67" ht="18.75" customHeight="1" x14ac:dyDescent="0.25"/>
    <row r="67" spans="25:67" ht="18.75" customHeight="1" x14ac:dyDescent="0.25"/>
    <row r="68" spans="25:67" ht="18.75" customHeight="1" x14ac:dyDescent="0.25"/>
    <row r="69" spans="25:67" ht="18.75" customHeight="1" x14ac:dyDescent="0.25"/>
    <row r="70" spans="25:67" ht="18.75" customHeight="1" x14ac:dyDescent="0.25"/>
    <row r="71" spans="25:67" ht="18.75" customHeight="1" x14ac:dyDescent="0.25"/>
    <row r="72" spans="25:67" ht="18.75" customHeight="1" x14ac:dyDescent="0.25">
      <c r="Y72" s="954" t="str">
        <f>$Y$6</f>
        <v>パート</v>
      </c>
      <c r="Z72" s="955"/>
      <c r="AA72" s="955"/>
      <c r="AB72" s="955"/>
      <c r="AC72" s="955" t="str">
        <f>$AB$58</f>
        <v>G</v>
      </c>
      <c r="AD72" s="955"/>
      <c r="AE72" s="956"/>
      <c r="AF72" s="945" t="str">
        <f>$Y$78</f>
        <v>ティエラフットボールクラブＵ－１２</v>
      </c>
      <c r="AG72" s="945"/>
      <c r="AH72" s="945"/>
      <c r="AI72" s="945"/>
      <c r="AJ72" s="945"/>
      <c r="AK72" s="945" t="str">
        <f>$Y$84</f>
        <v>南大分サッカー少年団</v>
      </c>
      <c r="AL72" s="945"/>
      <c r="AM72" s="945"/>
      <c r="AN72" s="945"/>
      <c r="AO72" s="945"/>
      <c r="AP72" s="945" t="str">
        <f>$Y$90</f>
        <v>ＦＣ　ＵＮＩＴＥ</v>
      </c>
      <c r="AQ72" s="945"/>
      <c r="AR72" s="945"/>
      <c r="AS72" s="945"/>
      <c r="AT72" s="945"/>
      <c r="AU72" s="945" t="s">
        <v>1535</v>
      </c>
      <c r="AV72" s="945"/>
      <c r="AW72" s="944" t="s">
        <v>2060</v>
      </c>
      <c r="AX72" s="945"/>
      <c r="AY72" s="944" t="s">
        <v>1208</v>
      </c>
      <c r="AZ72" s="945"/>
      <c r="BA72" s="945" t="s">
        <v>1727</v>
      </c>
      <c r="BB72" s="945"/>
      <c r="BC72" s="945" t="s">
        <v>2005</v>
      </c>
      <c r="BD72" s="945"/>
      <c r="BE72" s="945" t="s">
        <v>2006</v>
      </c>
      <c r="BF72" s="945"/>
      <c r="BG72" s="945" t="s">
        <v>1768</v>
      </c>
      <c r="BH72" s="945"/>
      <c r="BI72" s="944" t="s">
        <v>698</v>
      </c>
      <c r="BJ72" s="945"/>
      <c r="BK72" s="944" t="s">
        <v>1100</v>
      </c>
      <c r="BL72" s="945"/>
      <c r="BM72" s="944" t="s">
        <v>502</v>
      </c>
      <c r="BN72" s="945"/>
      <c r="BO72" s="947" t="s">
        <v>2127</v>
      </c>
    </row>
    <row r="73" spans="25:67" ht="18.75" customHeight="1" x14ac:dyDescent="0.25">
      <c r="Y73" s="905"/>
      <c r="Z73" s="906"/>
      <c r="AA73" s="906"/>
      <c r="AB73" s="906"/>
      <c r="AC73" s="906"/>
      <c r="AD73" s="906"/>
      <c r="AE73" s="957"/>
      <c r="AF73" s="946"/>
      <c r="AG73" s="946"/>
      <c r="AH73" s="946"/>
      <c r="AI73" s="946"/>
      <c r="AJ73" s="946"/>
      <c r="AK73" s="946"/>
      <c r="AL73" s="946"/>
      <c r="AM73" s="946"/>
      <c r="AN73" s="946"/>
      <c r="AO73" s="946"/>
      <c r="AP73" s="946"/>
      <c r="AQ73" s="946"/>
      <c r="AR73" s="946"/>
      <c r="AS73" s="946"/>
      <c r="AT73" s="946"/>
      <c r="AU73" s="946"/>
      <c r="AV73" s="946"/>
      <c r="AW73" s="946"/>
      <c r="AX73" s="946"/>
      <c r="AY73" s="946"/>
      <c r="AZ73" s="946"/>
      <c r="BA73" s="946"/>
      <c r="BB73" s="946"/>
      <c r="BC73" s="946"/>
      <c r="BD73" s="946"/>
      <c r="BE73" s="946"/>
      <c r="BF73" s="946"/>
      <c r="BG73" s="946"/>
      <c r="BH73" s="946"/>
      <c r="BI73" s="946"/>
      <c r="BJ73" s="946"/>
      <c r="BK73" s="946"/>
      <c r="BL73" s="946"/>
      <c r="BM73" s="946"/>
      <c r="BN73" s="946"/>
      <c r="BO73" s="948"/>
    </row>
    <row r="74" spans="25:67" ht="18.75" customHeight="1" x14ac:dyDescent="0.25">
      <c r="Y74" s="905"/>
      <c r="Z74" s="906"/>
      <c r="AA74" s="906"/>
      <c r="AB74" s="906"/>
      <c r="AC74" s="906"/>
      <c r="AD74" s="906"/>
      <c r="AE74" s="957"/>
      <c r="AF74" s="946"/>
      <c r="AG74" s="946"/>
      <c r="AH74" s="946"/>
      <c r="AI74" s="946"/>
      <c r="AJ74" s="946"/>
      <c r="AK74" s="946"/>
      <c r="AL74" s="946"/>
      <c r="AM74" s="946"/>
      <c r="AN74" s="946"/>
      <c r="AO74" s="946"/>
      <c r="AP74" s="946"/>
      <c r="AQ74" s="946"/>
      <c r="AR74" s="946"/>
      <c r="AS74" s="946"/>
      <c r="AT74" s="946"/>
      <c r="AU74" s="946"/>
      <c r="AV74" s="946"/>
      <c r="AW74" s="946"/>
      <c r="AX74" s="946"/>
      <c r="AY74" s="946"/>
      <c r="AZ74" s="946"/>
      <c r="BA74" s="946"/>
      <c r="BB74" s="946"/>
      <c r="BC74" s="946"/>
      <c r="BD74" s="946"/>
      <c r="BE74" s="946"/>
      <c r="BF74" s="946"/>
      <c r="BG74" s="946"/>
      <c r="BH74" s="946"/>
      <c r="BI74" s="946"/>
      <c r="BJ74" s="946"/>
      <c r="BK74" s="946"/>
      <c r="BL74" s="946"/>
      <c r="BM74" s="946"/>
      <c r="BN74" s="946"/>
      <c r="BO74" s="948"/>
    </row>
    <row r="75" spans="25:67" ht="18.75" customHeight="1" x14ac:dyDescent="0.25">
      <c r="Y75" s="905"/>
      <c r="Z75" s="906"/>
      <c r="AA75" s="906"/>
      <c r="AB75" s="906"/>
      <c r="AC75" s="906"/>
      <c r="AD75" s="906"/>
      <c r="AE75" s="957"/>
      <c r="AF75" s="946"/>
      <c r="AG75" s="946"/>
      <c r="AH75" s="946"/>
      <c r="AI75" s="946"/>
      <c r="AJ75" s="946"/>
      <c r="AK75" s="946"/>
      <c r="AL75" s="946"/>
      <c r="AM75" s="946"/>
      <c r="AN75" s="946"/>
      <c r="AO75" s="946"/>
      <c r="AP75" s="946"/>
      <c r="AQ75" s="946"/>
      <c r="AR75" s="946"/>
      <c r="AS75" s="946"/>
      <c r="AT75" s="946"/>
      <c r="AU75" s="946"/>
      <c r="AV75" s="946"/>
      <c r="AW75" s="946"/>
      <c r="AX75" s="946"/>
      <c r="AY75" s="946"/>
      <c r="AZ75" s="946"/>
      <c r="BA75" s="946"/>
      <c r="BB75" s="946"/>
      <c r="BC75" s="946"/>
      <c r="BD75" s="946"/>
      <c r="BE75" s="946"/>
      <c r="BF75" s="946"/>
      <c r="BG75" s="946"/>
      <c r="BH75" s="946"/>
      <c r="BI75" s="946"/>
      <c r="BJ75" s="946"/>
      <c r="BK75" s="946"/>
      <c r="BL75" s="946"/>
      <c r="BM75" s="946"/>
      <c r="BN75" s="946"/>
      <c r="BO75" s="948"/>
    </row>
    <row r="76" spans="25:67" ht="18.75" customHeight="1" x14ac:dyDescent="0.25">
      <c r="Y76" s="905"/>
      <c r="Z76" s="906"/>
      <c r="AA76" s="906"/>
      <c r="AB76" s="906"/>
      <c r="AC76" s="906"/>
      <c r="AD76" s="906"/>
      <c r="AE76" s="957"/>
      <c r="AF76" s="946"/>
      <c r="AG76" s="946"/>
      <c r="AH76" s="946"/>
      <c r="AI76" s="946"/>
      <c r="AJ76" s="946"/>
      <c r="AK76" s="946"/>
      <c r="AL76" s="946"/>
      <c r="AM76" s="946"/>
      <c r="AN76" s="946"/>
      <c r="AO76" s="946"/>
      <c r="AP76" s="946"/>
      <c r="AQ76" s="946"/>
      <c r="AR76" s="946"/>
      <c r="AS76" s="946"/>
      <c r="AT76" s="946"/>
      <c r="AU76" s="946"/>
      <c r="AV76" s="946"/>
      <c r="AW76" s="946"/>
      <c r="AX76" s="946"/>
      <c r="AY76" s="946"/>
      <c r="AZ76" s="946"/>
      <c r="BA76" s="946"/>
      <c r="BB76" s="946"/>
      <c r="BC76" s="946"/>
      <c r="BD76" s="946"/>
      <c r="BE76" s="946"/>
      <c r="BF76" s="946"/>
      <c r="BG76" s="946"/>
      <c r="BH76" s="946"/>
      <c r="BI76" s="946"/>
      <c r="BJ76" s="946"/>
      <c r="BK76" s="946"/>
      <c r="BL76" s="946"/>
      <c r="BM76" s="946"/>
      <c r="BN76" s="946"/>
      <c r="BO76" s="948"/>
    </row>
    <row r="77" spans="25:67" ht="18.75" customHeight="1" x14ac:dyDescent="0.25">
      <c r="Y77" s="941"/>
      <c r="Z77" s="936"/>
      <c r="AA77" s="936"/>
      <c r="AB77" s="936"/>
      <c r="AC77" s="936"/>
      <c r="AD77" s="936"/>
      <c r="AE77" s="958"/>
      <c r="AF77" s="946"/>
      <c r="AG77" s="946"/>
      <c r="AH77" s="946"/>
      <c r="AI77" s="946"/>
      <c r="AJ77" s="946"/>
      <c r="AK77" s="946"/>
      <c r="AL77" s="946"/>
      <c r="AM77" s="946"/>
      <c r="AN77" s="946"/>
      <c r="AO77" s="946"/>
      <c r="AP77" s="946"/>
      <c r="AQ77" s="946"/>
      <c r="AR77" s="946"/>
      <c r="AS77" s="946"/>
      <c r="AT77" s="946"/>
      <c r="AU77" s="946"/>
      <c r="AV77" s="946"/>
      <c r="AW77" s="946"/>
      <c r="AX77" s="946"/>
      <c r="AY77" s="946"/>
      <c r="AZ77" s="946"/>
      <c r="BA77" s="946"/>
      <c r="BB77" s="946"/>
      <c r="BC77" s="946"/>
      <c r="BD77" s="946"/>
      <c r="BE77" s="946"/>
      <c r="BF77" s="946"/>
      <c r="BG77" s="946"/>
      <c r="BH77" s="946"/>
      <c r="BI77" s="946"/>
      <c r="BJ77" s="946"/>
      <c r="BK77" s="946"/>
      <c r="BL77" s="946"/>
      <c r="BM77" s="946"/>
      <c r="BN77" s="946"/>
      <c r="BO77" s="949"/>
    </row>
    <row r="78" spans="25:67" ht="18.75" customHeight="1" x14ac:dyDescent="0.25">
      <c r="Y78" s="939" t="str">
        <f>$AC$60</f>
        <v>ティエラフットボールクラブＵ－１２</v>
      </c>
      <c r="Z78" s="940"/>
      <c r="AA78" s="940"/>
      <c r="AB78" s="940"/>
      <c r="AC78" s="940"/>
      <c r="AD78" s="940" t="s">
        <v>242</v>
      </c>
      <c r="AE78" s="940"/>
      <c r="AF78" s="950"/>
      <c r="AG78" s="942"/>
      <c r="AH78" s="942"/>
      <c r="AI78" s="942"/>
      <c r="AJ78" s="951"/>
      <c r="AK78" s="923" t="str">
        <f>IF(AK82="","",IF(AK82&gt;AN82,"○",IF(AK82&lt;AN82,"●",IF(AK80&gt;AN80,"△",IF(AK80&lt;AN80,"▲")))))</f>
        <v>○</v>
      </c>
      <c r="AL78" s="924"/>
      <c r="AM78" s="924"/>
      <c r="AN78" s="924"/>
      <c r="AO78" s="925"/>
      <c r="AP78" s="923" t="str">
        <f>IF(AP82="","",IF(AP82&gt;AS82,"○",IF(AP82&lt;AS82,"●",IF(AP80&gt;AS80,"△",IF(AP80&lt;AS80,"▲")))))</f>
        <v>○</v>
      </c>
      <c r="AQ78" s="924"/>
      <c r="AR78" s="924"/>
      <c r="AS78" s="924"/>
      <c r="AT78" s="925"/>
      <c r="AU78" s="903">
        <f>COUNTIF($AF$78:$AT$79,"○")</f>
        <v>2</v>
      </c>
      <c r="AV78" s="903"/>
      <c r="AW78" s="903">
        <f>COUNTIF($AF$78:$AT$79,"△")</f>
        <v>0</v>
      </c>
      <c r="AX78" s="903"/>
      <c r="AY78" s="903">
        <f>COUNTIF($AF$78:$AT$79,"▲")</f>
        <v>0</v>
      </c>
      <c r="AZ78" s="903"/>
      <c r="BA78" s="903">
        <f>COUNTIF($AF$78:$AT$79,"●")</f>
        <v>0</v>
      </c>
      <c r="BB78" s="903"/>
      <c r="BC78" s="903">
        <f>SUM($AK$82,$AP$82)</f>
        <v>11</v>
      </c>
      <c r="BD78" s="903"/>
      <c r="BE78" s="903">
        <f>SUM($AN$82,$AS$82)</f>
        <v>0</v>
      </c>
      <c r="BF78" s="903"/>
      <c r="BG78" s="903">
        <f>($AU$78*3)+($AW$78*2)+($AY$78*1)</f>
        <v>6</v>
      </c>
      <c r="BH78" s="903"/>
      <c r="BI78" s="910">
        <f>RANK($BG$78,$BG$78:$BH$95)</f>
        <v>1</v>
      </c>
      <c r="BJ78" s="910"/>
      <c r="BK78" s="903">
        <f>$BC$78-$BE$78</f>
        <v>11</v>
      </c>
      <c r="BL78" s="903"/>
      <c r="BM78" s="910">
        <f>RANK($BK$78,$BK$78:$BL$95)</f>
        <v>1</v>
      </c>
      <c r="BN78" s="910"/>
      <c r="BO78" s="912"/>
    </row>
    <row r="79" spans="25:67" ht="18.75" customHeight="1" x14ac:dyDescent="0.25">
      <c r="Y79" s="905"/>
      <c r="Z79" s="906"/>
      <c r="AA79" s="906"/>
      <c r="AB79" s="906"/>
      <c r="AC79" s="906"/>
      <c r="AD79" s="906"/>
      <c r="AE79" s="906"/>
      <c r="AF79" s="929"/>
      <c r="AG79" s="930"/>
      <c r="AH79" s="930"/>
      <c r="AI79" s="930"/>
      <c r="AJ79" s="931"/>
      <c r="AK79" s="917"/>
      <c r="AL79" s="918"/>
      <c r="AM79" s="918"/>
      <c r="AN79" s="918"/>
      <c r="AO79" s="920"/>
      <c r="AP79" s="917"/>
      <c r="AQ79" s="918"/>
      <c r="AR79" s="918"/>
      <c r="AS79" s="918"/>
      <c r="AT79" s="920"/>
      <c r="AU79" s="903"/>
      <c r="AV79" s="903"/>
      <c r="AW79" s="903"/>
      <c r="AX79" s="903"/>
      <c r="AY79" s="903"/>
      <c r="AZ79" s="903"/>
      <c r="BA79" s="903"/>
      <c r="BB79" s="903"/>
      <c r="BC79" s="903"/>
      <c r="BD79" s="903"/>
      <c r="BE79" s="903"/>
      <c r="BF79" s="903"/>
      <c r="BG79" s="903"/>
      <c r="BH79" s="903"/>
      <c r="BI79" s="910"/>
      <c r="BJ79" s="910"/>
      <c r="BK79" s="903"/>
      <c r="BL79" s="903"/>
      <c r="BM79" s="910"/>
      <c r="BN79" s="910"/>
      <c r="BO79" s="913"/>
    </row>
    <row r="80" spans="25:67" ht="18.75" customHeight="1" x14ac:dyDescent="0.25">
      <c r="Y80" s="905"/>
      <c r="Z80" s="906"/>
      <c r="AA80" s="906"/>
      <c r="AB80" s="906"/>
      <c r="AC80" s="906"/>
      <c r="AD80" s="906"/>
      <c r="AE80" s="906"/>
      <c r="AF80" s="929"/>
      <c r="AG80" s="930"/>
      <c r="AH80" s="930"/>
      <c r="AI80" s="930"/>
      <c r="AJ80" s="931"/>
      <c r="AK80" s="915" t="str">
        <f>IF($Q$14="","",$Q$14)</f>
        <v/>
      </c>
      <c r="AL80" s="916"/>
      <c r="AM80" s="916" t="s">
        <v>2011</v>
      </c>
      <c r="AN80" s="916" t="str">
        <f>IF($S$14="","",$S$14)</f>
        <v/>
      </c>
      <c r="AO80" s="919"/>
      <c r="AP80" s="915" t="str">
        <f>IF($S$50="","",$S$50)</f>
        <v/>
      </c>
      <c r="AQ80" s="916"/>
      <c r="AR80" s="916" t="s">
        <v>2011</v>
      </c>
      <c r="AS80" s="916" t="str">
        <f>IF($Q$50="","",$Q$50)</f>
        <v/>
      </c>
      <c r="AT80" s="919"/>
      <c r="AU80" s="903"/>
      <c r="AV80" s="903"/>
      <c r="AW80" s="903"/>
      <c r="AX80" s="903"/>
      <c r="AY80" s="903"/>
      <c r="AZ80" s="903"/>
      <c r="BA80" s="903"/>
      <c r="BB80" s="903"/>
      <c r="BC80" s="903"/>
      <c r="BD80" s="903"/>
      <c r="BE80" s="903"/>
      <c r="BF80" s="903"/>
      <c r="BG80" s="903"/>
      <c r="BH80" s="903"/>
      <c r="BI80" s="910"/>
      <c r="BJ80" s="910"/>
      <c r="BK80" s="903"/>
      <c r="BL80" s="903"/>
      <c r="BM80" s="910"/>
      <c r="BN80" s="910"/>
      <c r="BO80" s="913"/>
    </row>
    <row r="81" spans="25:67" ht="18.75" customHeight="1" x14ac:dyDescent="0.25">
      <c r="Y81" s="905"/>
      <c r="Z81" s="906"/>
      <c r="AA81" s="906"/>
      <c r="AB81" s="906"/>
      <c r="AC81" s="906"/>
      <c r="AD81" s="906" t="s">
        <v>2010</v>
      </c>
      <c r="AE81" s="906"/>
      <c r="AF81" s="929"/>
      <c r="AG81" s="930"/>
      <c r="AH81" s="930"/>
      <c r="AI81" s="930"/>
      <c r="AJ81" s="931"/>
      <c r="AK81" s="917"/>
      <c r="AL81" s="918"/>
      <c r="AM81" s="918"/>
      <c r="AN81" s="918"/>
      <c r="AO81" s="920"/>
      <c r="AP81" s="917"/>
      <c r="AQ81" s="918"/>
      <c r="AR81" s="918"/>
      <c r="AS81" s="918"/>
      <c r="AT81" s="920"/>
      <c r="AU81" s="903"/>
      <c r="AV81" s="903"/>
      <c r="AW81" s="903"/>
      <c r="AX81" s="903"/>
      <c r="AY81" s="903"/>
      <c r="AZ81" s="903"/>
      <c r="BA81" s="903"/>
      <c r="BB81" s="903"/>
      <c r="BC81" s="903"/>
      <c r="BD81" s="903"/>
      <c r="BE81" s="903"/>
      <c r="BF81" s="903"/>
      <c r="BG81" s="903"/>
      <c r="BH81" s="903"/>
      <c r="BI81" s="910"/>
      <c r="BJ81" s="910"/>
      <c r="BK81" s="903"/>
      <c r="BL81" s="903"/>
      <c r="BM81" s="910"/>
      <c r="BN81" s="910"/>
      <c r="BO81" s="913"/>
    </row>
    <row r="82" spans="25:67" ht="18.75" customHeight="1" x14ac:dyDescent="0.25">
      <c r="Y82" s="905"/>
      <c r="Z82" s="906"/>
      <c r="AA82" s="906"/>
      <c r="AB82" s="906"/>
      <c r="AC82" s="906"/>
      <c r="AD82" s="906"/>
      <c r="AE82" s="906"/>
      <c r="AF82" s="929"/>
      <c r="AG82" s="930"/>
      <c r="AH82" s="930"/>
      <c r="AI82" s="930"/>
      <c r="AJ82" s="931"/>
      <c r="AK82" s="915">
        <f>$O$12</f>
        <v>2</v>
      </c>
      <c r="AL82" s="916"/>
      <c r="AM82" s="916" t="s">
        <v>2011</v>
      </c>
      <c r="AN82" s="916">
        <f>$U$12</f>
        <v>0</v>
      </c>
      <c r="AO82" s="919"/>
      <c r="AP82" s="915">
        <f>$U$48</f>
        <v>9</v>
      </c>
      <c r="AQ82" s="916"/>
      <c r="AR82" s="916" t="s">
        <v>2011</v>
      </c>
      <c r="AS82" s="916">
        <f>$O$48</f>
        <v>0</v>
      </c>
      <c r="AT82" s="919"/>
      <c r="AU82" s="903"/>
      <c r="AV82" s="903"/>
      <c r="AW82" s="903"/>
      <c r="AX82" s="903"/>
      <c r="AY82" s="903"/>
      <c r="AZ82" s="903"/>
      <c r="BA82" s="903"/>
      <c r="BB82" s="903"/>
      <c r="BC82" s="903"/>
      <c r="BD82" s="903"/>
      <c r="BE82" s="903"/>
      <c r="BF82" s="903"/>
      <c r="BG82" s="903"/>
      <c r="BH82" s="903"/>
      <c r="BI82" s="910"/>
      <c r="BJ82" s="910"/>
      <c r="BK82" s="903"/>
      <c r="BL82" s="903"/>
      <c r="BM82" s="910"/>
      <c r="BN82" s="910"/>
      <c r="BO82" s="913"/>
    </row>
    <row r="83" spans="25:67" ht="18.75" customHeight="1" x14ac:dyDescent="0.25">
      <c r="Y83" s="941"/>
      <c r="Z83" s="936"/>
      <c r="AA83" s="936"/>
      <c r="AB83" s="936"/>
      <c r="AC83" s="936"/>
      <c r="AD83" s="936"/>
      <c r="AE83" s="936"/>
      <c r="AF83" s="952"/>
      <c r="AG83" s="943"/>
      <c r="AH83" s="943"/>
      <c r="AI83" s="943"/>
      <c r="AJ83" s="953"/>
      <c r="AK83" s="937"/>
      <c r="AL83" s="560"/>
      <c r="AM83" s="560"/>
      <c r="AN83" s="560"/>
      <c r="AO83" s="938"/>
      <c r="AP83" s="937"/>
      <c r="AQ83" s="560"/>
      <c r="AR83" s="560"/>
      <c r="AS83" s="560"/>
      <c r="AT83" s="938"/>
      <c r="AU83" s="903"/>
      <c r="AV83" s="903"/>
      <c r="AW83" s="903"/>
      <c r="AX83" s="903"/>
      <c r="AY83" s="903"/>
      <c r="AZ83" s="903"/>
      <c r="BA83" s="903"/>
      <c r="BB83" s="903"/>
      <c r="BC83" s="903"/>
      <c r="BD83" s="903"/>
      <c r="BE83" s="903"/>
      <c r="BF83" s="903"/>
      <c r="BG83" s="903"/>
      <c r="BH83" s="903"/>
      <c r="BI83" s="910"/>
      <c r="BJ83" s="910"/>
      <c r="BK83" s="903"/>
      <c r="BL83" s="903"/>
      <c r="BM83" s="910"/>
      <c r="BN83" s="910"/>
      <c r="BO83" s="935"/>
    </row>
    <row r="84" spans="25:67" ht="18.75" customHeight="1" x14ac:dyDescent="0.25">
      <c r="Y84" s="939" t="str">
        <f>$AC$62</f>
        <v>南大分サッカー少年団</v>
      </c>
      <c r="Z84" s="940"/>
      <c r="AA84" s="940"/>
      <c r="AB84" s="940"/>
      <c r="AC84" s="940"/>
      <c r="AD84" s="940" t="s">
        <v>242</v>
      </c>
      <c r="AE84" s="940"/>
      <c r="AF84" s="923" t="str">
        <f>IF(AF88="","",IF(AF88&gt;AI88,"○",IF(AF88&lt;AI88,"●",IF(AF86&gt;AI86,"△",IF(AF86&lt;AI86,"▲")))))</f>
        <v>●</v>
      </c>
      <c r="AG84" s="924"/>
      <c r="AH84" s="924"/>
      <c r="AI84" s="924"/>
      <c r="AJ84" s="925"/>
      <c r="AK84" s="942"/>
      <c r="AL84" s="942"/>
      <c r="AM84" s="942"/>
      <c r="AN84" s="942"/>
      <c r="AO84" s="942"/>
      <c r="AP84" s="923" t="str">
        <f>IF(AP88="","",IF(AP88&gt;AS88,"○",IF(AP88&lt;AS88,"●",IF(AP86&gt;AS86,"△",IF(AP86&lt;AS86,"▲")))))</f>
        <v>○</v>
      </c>
      <c r="AQ84" s="924"/>
      <c r="AR84" s="924"/>
      <c r="AS84" s="924"/>
      <c r="AT84" s="925"/>
      <c r="AU84" s="903">
        <f>COUNTIF($AF$84:$AT$85,"○")</f>
        <v>1</v>
      </c>
      <c r="AV84" s="903"/>
      <c r="AW84" s="903">
        <f>COUNTIF($AF$84:$AT$85,"△")</f>
        <v>0</v>
      </c>
      <c r="AX84" s="903"/>
      <c r="AY84" s="903">
        <f>COUNTIF($AF$84:$AT$85,"▲")</f>
        <v>0</v>
      </c>
      <c r="AZ84" s="903"/>
      <c r="BA84" s="903">
        <f>COUNTIF($AF$84:$AT$85,"●")</f>
        <v>1</v>
      </c>
      <c r="BB84" s="903"/>
      <c r="BC84" s="903">
        <f>SUM($AF$88,$AP$88)</f>
        <v>5</v>
      </c>
      <c r="BD84" s="903"/>
      <c r="BE84" s="903">
        <f>SUM($AI$88,$AS$88)</f>
        <v>2</v>
      </c>
      <c r="BF84" s="903"/>
      <c r="BG84" s="903">
        <f>($AU$84*3)+($AW$84*2)+($AY$84*1)</f>
        <v>3</v>
      </c>
      <c r="BH84" s="903"/>
      <c r="BI84" s="910">
        <f>RANK($BG$84,$BG$78:$BH$95)</f>
        <v>2</v>
      </c>
      <c r="BJ84" s="910"/>
      <c r="BK84" s="903">
        <f>$BC$84-$BE$84</f>
        <v>3</v>
      </c>
      <c r="BL84" s="903"/>
      <c r="BM84" s="910">
        <f>RANK($BK$84,$BK$78:$BL$95)</f>
        <v>2</v>
      </c>
      <c r="BN84" s="910"/>
      <c r="BO84" s="912"/>
    </row>
    <row r="85" spans="25:67" ht="18.75" customHeight="1" x14ac:dyDescent="0.25">
      <c r="Y85" s="905"/>
      <c r="Z85" s="906"/>
      <c r="AA85" s="906"/>
      <c r="AB85" s="906"/>
      <c r="AC85" s="906"/>
      <c r="AD85" s="906"/>
      <c r="AE85" s="906"/>
      <c r="AF85" s="917"/>
      <c r="AG85" s="918"/>
      <c r="AH85" s="918"/>
      <c r="AI85" s="918"/>
      <c r="AJ85" s="920"/>
      <c r="AK85" s="930"/>
      <c r="AL85" s="930"/>
      <c r="AM85" s="930"/>
      <c r="AN85" s="930"/>
      <c r="AO85" s="930"/>
      <c r="AP85" s="917"/>
      <c r="AQ85" s="918"/>
      <c r="AR85" s="918"/>
      <c r="AS85" s="918"/>
      <c r="AT85" s="920"/>
      <c r="AU85" s="903"/>
      <c r="AV85" s="903"/>
      <c r="AW85" s="903"/>
      <c r="AX85" s="903"/>
      <c r="AY85" s="903"/>
      <c r="AZ85" s="903"/>
      <c r="BA85" s="903"/>
      <c r="BB85" s="903"/>
      <c r="BC85" s="903"/>
      <c r="BD85" s="903"/>
      <c r="BE85" s="903"/>
      <c r="BF85" s="903"/>
      <c r="BG85" s="903"/>
      <c r="BH85" s="903"/>
      <c r="BI85" s="910"/>
      <c r="BJ85" s="910"/>
      <c r="BK85" s="903"/>
      <c r="BL85" s="903"/>
      <c r="BM85" s="910"/>
      <c r="BN85" s="910"/>
      <c r="BO85" s="913"/>
    </row>
    <row r="86" spans="25:67" ht="18.75" customHeight="1" x14ac:dyDescent="0.25">
      <c r="Y86" s="905"/>
      <c r="Z86" s="906"/>
      <c r="AA86" s="906"/>
      <c r="AB86" s="906"/>
      <c r="AC86" s="906"/>
      <c r="AD86" s="906"/>
      <c r="AE86" s="906"/>
      <c r="AF86" s="915" t="str">
        <f>AN80</f>
        <v/>
      </c>
      <c r="AG86" s="916"/>
      <c r="AH86" s="916" t="s">
        <v>2011</v>
      </c>
      <c r="AI86" s="916" t="str">
        <f>AK80</f>
        <v/>
      </c>
      <c r="AJ86" s="919"/>
      <c r="AK86" s="930"/>
      <c r="AL86" s="930"/>
      <c r="AM86" s="930"/>
      <c r="AN86" s="930"/>
      <c r="AO86" s="930"/>
      <c r="AP86" s="915" t="str">
        <f>IF($Q$32="","",$Q$32)</f>
        <v/>
      </c>
      <c r="AQ86" s="916"/>
      <c r="AR86" s="916" t="s">
        <v>2011</v>
      </c>
      <c r="AS86" s="916" t="str">
        <f>IF($S$32="","",$S$32)</f>
        <v/>
      </c>
      <c r="AT86" s="919"/>
      <c r="AU86" s="903"/>
      <c r="AV86" s="903"/>
      <c r="AW86" s="903"/>
      <c r="AX86" s="903"/>
      <c r="AY86" s="903"/>
      <c r="AZ86" s="903"/>
      <c r="BA86" s="903"/>
      <c r="BB86" s="903"/>
      <c r="BC86" s="903"/>
      <c r="BD86" s="903"/>
      <c r="BE86" s="903"/>
      <c r="BF86" s="903"/>
      <c r="BG86" s="903"/>
      <c r="BH86" s="903"/>
      <c r="BI86" s="910"/>
      <c r="BJ86" s="910"/>
      <c r="BK86" s="903"/>
      <c r="BL86" s="903"/>
      <c r="BM86" s="910"/>
      <c r="BN86" s="910"/>
      <c r="BO86" s="913"/>
    </row>
    <row r="87" spans="25:67" ht="18.75" customHeight="1" x14ac:dyDescent="0.25">
      <c r="Y87" s="905"/>
      <c r="Z87" s="906"/>
      <c r="AA87" s="906"/>
      <c r="AB87" s="906"/>
      <c r="AC87" s="906"/>
      <c r="AD87" s="906" t="s">
        <v>2010</v>
      </c>
      <c r="AE87" s="906"/>
      <c r="AF87" s="917"/>
      <c r="AG87" s="918"/>
      <c r="AH87" s="918"/>
      <c r="AI87" s="918"/>
      <c r="AJ87" s="920"/>
      <c r="AK87" s="930"/>
      <c r="AL87" s="930"/>
      <c r="AM87" s="930"/>
      <c r="AN87" s="930"/>
      <c r="AO87" s="930"/>
      <c r="AP87" s="917"/>
      <c r="AQ87" s="918"/>
      <c r="AR87" s="918"/>
      <c r="AS87" s="918"/>
      <c r="AT87" s="920"/>
      <c r="AU87" s="903"/>
      <c r="AV87" s="903"/>
      <c r="AW87" s="903"/>
      <c r="AX87" s="903"/>
      <c r="AY87" s="903"/>
      <c r="AZ87" s="903"/>
      <c r="BA87" s="903"/>
      <c r="BB87" s="903"/>
      <c r="BC87" s="903"/>
      <c r="BD87" s="903"/>
      <c r="BE87" s="903"/>
      <c r="BF87" s="903"/>
      <c r="BG87" s="903"/>
      <c r="BH87" s="903"/>
      <c r="BI87" s="910"/>
      <c r="BJ87" s="910"/>
      <c r="BK87" s="903"/>
      <c r="BL87" s="903"/>
      <c r="BM87" s="910"/>
      <c r="BN87" s="910"/>
      <c r="BO87" s="913"/>
    </row>
    <row r="88" spans="25:67" ht="18.75" customHeight="1" x14ac:dyDescent="0.25">
      <c r="Y88" s="905"/>
      <c r="Z88" s="906"/>
      <c r="AA88" s="906"/>
      <c r="AB88" s="906"/>
      <c r="AC88" s="906"/>
      <c r="AD88" s="906"/>
      <c r="AE88" s="906"/>
      <c r="AF88" s="915">
        <f>AN82</f>
        <v>0</v>
      </c>
      <c r="AG88" s="916"/>
      <c r="AH88" s="916" t="s">
        <v>2011</v>
      </c>
      <c r="AI88" s="916">
        <f>AK82</f>
        <v>2</v>
      </c>
      <c r="AJ88" s="919"/>
      <c r="AK88" s="930"/>
      <c r="AL88" s="930"/>
      <c r="AM88" s="930"/>
      <c r="AN88" s="930"/>
      <c r="AO88" s="930"/>
      <c r="AP88" s="915">
        <f>$O$30</f>
        <v>5</v>
      </c>
      <c r="AQ88" s="916"/>
      <c r="AR88" s="916" t="s">
        <v>2011</v>
      </c>
      <c r="AS88" s="916">
        <f>$U$30</f>
        <v>0</v>
      </c>
      <c r="AT88" s="919"/>
      <c r="AU88" s="903"/>
      <c r="AV88" s="903"/>
      <c r="AW88" s="903"/>
      <c r="AX88" s="903"/>
      <c r="AY88" s="903"/>
      <c r="AZ88" s="903"/>
      <c r="BA88" s="903"/>
      <c r="BB88" s="903"/>
      <c r="BC88" s="903"/>
      <c r="BD88" s="903"/>
      <c r="BE88" s="903"/>
      <c r="BF88" s="903"/>
      <c r="BG88" s="903"/>
      <c r="BH88" s="903"/>
      <c r="BI88" s="910"/>
      <c r="BJ88" s="910"/>
      <c r="BK88" s="903"/>
      <c r="BL88" s="903"/>
      <c r="BM88" s="910"/>
      <c r="BN88" s="910"/>
      <c r="BO88" s="913"/>
    </row>
    <row r="89" spans="25:67" ht="18.75" customHeight="1" x14ac:dyDescent="0.25">
      <c r="Y89" s="941"/>
      <c r="Z89" s="936"/>
      <c r="AA89" s="936"/>
      <c r="AB89" s="936"/>
      <c r="AC89" s="936"/>
      <c r="AD89" s="936"/>
      <c r="AE89" s="936"/>
      <c r="AF89" s="937"/>
      <c r="AG89" s="560"/>
      <c r="AH89" s="560"/>
      <c r="AI89" s="560"/>
      <c r="AJ89" s="938"/>
      <c r="AK89" s="943"/>
      <c r="AL89" s="943"/>
      <c r="AM89" s="943"/>
      <c r="AN89" s="943"/>
      <c r="AO89" s="943"/>
      <c r="AP89" s="937"/>
      <c r="AQ89" s="560"/>
      <c r="AR89" s="560"/>
      <c r="AS89" s="560"/>
      <c r="AT89" s="938"/>
      <c r="AU89" s="903"/>
      <c r="AV89" s="903"/>
      <c r="AW89" s="903"/>
      <c r="AX89" s="903"/>
      <c r="AY89" s="903"/>
      <c r="AZ89" s="903"/>
      <c r="BA89" s="903"/>
      <c r="BB89" s="903"/>
      <c r="BC89" s="903"/>
      <c r="BD89" s="903"/>
      <c r="BE89" s="903"/>
      <c r="BF89" s="903"/>
      <c r="BG89" s="903"/>
      <c r="BH89" s="903"/>
      <c r="BI89" s="910"/>
      <c r="BJ89" s="910"/>
      <c r="BK89" s="903"/>
      <c r="BL89" s="903"/>
      <c r="BM89" s="910"/>
      <c r="BN89" s="910"/>
      <c r="BO89" s="935"/>
    </row>
    <row r="90" spans="25:67" ht="18.75" customHeight="1" x14ac:dyDescent="0.25">
      <c r="Y90" s="905" t="str">
        <f>$AC$64</f>
        <v>ＦＣ　ＵＮＩＴＥ</v>
      </c>
      <c r="Z90" s="906"/>
      <c r="AA90" s="906"/>
      <c r="AB90" s="906"/>
      <c r="AC90" s="906"/>
      <c r="AD90" s="906" t="s">
        <v>242</v>
      </c>
      <c r="AE90" s="906"/>
      <c r="AF90" s="923" t="str">
        <f>IF(AF94="","",IF(AF94&gt;AI94,"○",IF(AF94&lt;AI94,"●",IF(AF92&gt;AI92,"△",IF(AF92&lt;AI92,"▲")))))</f>
        <v>●</v>
      </c>
      <c r="AG90" s="924"/>
      <c r="AH90" s="924"/>
      <c r="AI90" s="924"/>
      <c r="AJ90" s="925"/>
      <c r="AK90" s="923" t="str">
        <f>IF(AK94="","",IF(AK94&gt;AN94,"○",IF(AK94&lt;AN94,"●",IF(AK92&gt;AN92,"△",IF(AK92&lt;AN92,"▲")))))</f>
        <v>●</v>
      </c>
      <c r="AL90" s="924"/>
      <c r="AM90" s="924"/>
      <c r="AN90" s="924"/>
      <c r="AO90" s="925"/>
      <c r="AP90" s="926"/>
      <c r="AQ90" s="927"/>
      <c r="AR90" s="927"/>
      <c r="AS90" s="927"/>
      <c r="AT90" s="928"/>
      <c r="AU90" s="903">
        <f>COUNTIF($AF$90:$AT$91,"○")</f>
        <v>0</v>
      </c>
      <c r="AV90" s="903"/>
      <c r="AW90" s="902">
        <f>COUNTIF($AF$90:$AT$91,"△")</f>
        <v>0</v>
      </c>
      <c r="AX90" s="902"/>
      <c r="AY90" s="902">
        <f>COUNTIF($AF$90:$AT$91,"▲")</f>
        <v>0</v>
      </c>
      <c r="AZ90" s="902"/>
      <c r="BA90" s="902">
        <f>COUNTIF($AF$90:$AT$91,"●")</f>
        <v>2</v>
      </c>
      <c r="BB90" s="902"/>
      <c r="BC90" s="902">
        <f>SUM($AF$94,$AK$94)</f>
        <v>0</v>
      </c>
      <c r="BD90" s="902"/>
      <c r="BE90" s="902">
        <f>SUM($AI$94,$AN$94)</f>
        <v>14</v>
      </c>
      <c r="BF90" s="902"/>
      <c r="BG90" s="902">
        <f>($AU$90*3)+($AW$90*2)+($AY$90*1)</f>
        <v>0</v>
      </c>
      <c r="BH90" s="902"/>
      <c r="BI90" s="909">
        <f>RANK($BG$90,$BG$78:$BH$95)</f>
        <v>3</v>
      </c>
      <c r="BJ90" s="909"/>
      <c r="BK90" s="902">
        <f>$BC$90-$BE$90</f>
        <v>-14</v>
      </c>
      <c r="BL90" s="902"/>
      <c r="BM90" s="909">
        <f>RANK($BK$90,$BK$78:$BL$95)</f>
        <v>3</v>
      </c>
      <c r="BN90" s="909"/>
      <c r="BO90" s="912"/>
    </row>
    <row r="91" spans="25:67" ht="18.75" customHeight="1" x14ac:dyDescent="0.25">
      <c r="Y91" s="905"/>
      <c r="Z91" s="906"/>
      <c r="AA91" s="906"/>
      <c r="AB91" s="906"/>
      <c r="AC91" s="906"/>
      <c r="AD91" s="906"/>
      <c r="AE91" s="906"/>
      <c r="AF91" s="917"/>
      <c r="AG91" s="918"/>
      <c r="AH91" s="918"/>
      <c r="AI91" s="918"/>
      <c r="AJ91" s="920"/>
      <c r="AK91" s="917"/>
      <c r="AL91" s="918"/>
      <c r="AM91" s="918"/>
      <c r="AN91" s="918"/>
      <c r="AO91" s="920"/>
      <c r="AP91" s="929"/>
      <c r="AQ91" s="930"/>
      <c r="AR91" s="930"/>
      <c r="AS91" s="930"/>
      <c r="AT91" s="931"/>
      <c r="AU91" s="903"/>
      <c r="AV91" s="903"/>
      <c r="AW91" s="903"/>
      <c r="AX91" s="903"/>
      <c r="AY91" s="903"/>
      <c r="AZ91" s="903"/>
      <c r="BA91" s="903"/>
      <c r="BB91" s="903"/>
      <c r="BC91" s="903"/>
      <c r="BD91" s="903"/>
      <c r="BE91" s="903"/>
      <c r="BF91" s="903"/>
      <c r="BG91" s="903"/>
      <c r="BH91" s="903"/>
      <c r="BI91" s="910"/>
      <c r="BJ91" s="910"/>
      <c r="BK91" s="903"/>
      <c r="BL91" s="903"/>
      <c r="BM91" s="910"/>
      <c r="BN91" s="910"/>
      <c r="BO91" s="913"/>
    </row>
    <row r="92" spans="25:67" ht="18.75" customHeight="1" x14ac:dyDescent="0.25">
      <c r="Y92" s="905"/>
      <c r="Z92" s="906"/>
      <c r="AA92" s="906"/>
      <c r="AB92" s="906"/>
      <c r="AC92" s="906"/>
      <c r="AD92" s="906"/>
      <c r="AE92" s="906"/>
      <c r="AF92" s="915" t="str">
        <f>AS80</f>
        <v/>
      </c>
      <c r="AG92" s="916"/>
      <c r="AH92" s="916" t="s">
        <v>2011</v>
      </c>
      <c r="AI92" s="916" t="str">
        <f>AP80</f>
        <v/>
      </c>
      <c r="AJ92" s="919"/>
      <c r="AK92" s="915" t="str">
        <f>AS86</f>
        <v/>
      </c>
      <c r="AL92" s="916"/>
      <c r="AM92" s="916" t="s">
        <v>2011</v>
      </c>
      <c r="AN92" s="916" t="str">
        <f>AP86</f>
        <v/>
      </c>
      <c r="AO92" s="919"/>
      <c r="AP92" s="929"/>
      <c r="AQ92" s="930"/>
      <c r="AR92" s="930"/>
      <c r="AS92" s="930"/>
      <c r="AT92" s="931"/>
      <c r="AU92" s="903"/>
      <c r="AV92" s="903"/>
      <c r="AW92" s="903"/>
      <c r="AX92" s="903"/>
      <c r="AY92" s="903"/>
      <c r="AZ92" s="903"/>
      <c r="BA92" s="903"/>
      <c r="BB92" s="903"/>
      <c r="BC92" s="903"/>
      <c r="BD92" s="903"/>
      <c r="BE92" s="903"/>
      <c r="BF92" s="903"/>
      <c r="BG92" s="903"/>
      <c r="BH92" s="903"/>
      <c r="BI92" s="910"/>
      <c r="BJ92" s="910"/>
      <c r="BK92" s="903"/>
      <c r="BL92" s="903"/>
      <c r="BM92" s="910"/>
      <c r="BN92" s="910"/>
      <c r="BO92" s="913"/>
    </row>
    <row r="93" spans="25:67" ht="18.75" customHeight="1" x14ac:dyDescent="0.25">
      <c r="Y93" s="905"/>
      <c r="Z93" s="906"/>
      <c r="AA93" s="906"/>
      <c r="AB93" s="906"/>
      <c r="AC93" s="906"/>
      <c r="AD93" s="906" t="s">
        <v>2010</v>
      </c>
      <c r="AE93" s="906"/>
      <c r="AF93" s="917"/>
      <c r="AG93" s="918"/>
      <c r="AH93" s="918"/>
      <c r="AI93" s="918"/>
      <c r="AJ93" s="920"/>
      <c r="AK93" s="917"/>
      <c r="AL93" s="918"/>
      <c r="AM93" s="918"/>
      <c r="AN93" s="918"/>
      <c r="AO93" s="920"/>
      <c r="AP93" s="929"/>
      <c r="AQ93" s="930"/>
      <c r="AR93" s="930"/>
      <c r="AS93" s="930"/>
      <c r="AT93" s="931"/>
      <c r="AU93" s="903"/>
      <c r="AV93" s="903"/>
      <c r="AW93" s="903"/>
      <c r="AX93" s="903"/>
      <c r="AY93" s="903"/>
      <c r="AZ93" s="903"/>
      <c r="BA93" s="903"/>
      <c r="BB93" s="903"/>
      <c r="BC93" s="903"/>
      <c r="BD93" s="903"/>
      <c r="BE93" s="903"/>
      <c r="BF93" s="903"/>
      <c r="BG93" s="903"/>
      <c r="BH93" s="903"/>
      <c r="BI93" s="910"/>
      <c r="BJ93" s="910"/>
      <c r="BK93" s="903"/>
      <c r="BL93" s="903"/>
      <c r="BM93" s="910"/>
      <c r="BN93" s="910"/>
      <c r="BO93" s="913"/>
    </row>
    <row r="94" spans="25:67" ht="18.75" customHeight="1" x14ac:dyDescent="0.25">
      <c r="Y94" s="905"/>
      <c r="Z94" s="906"/>
      <c r="AA94" s="906"/>
      <c r="AB94" s="906"/>
      <c r="AC94" s="906"/>
      <c r="AD94" s="906"/>
      <c r="AE94" s="906"/>
      <c r="AF94" s="915">
        <f>AS82</f>
        <v>0</v>
      </c>
      <c r="AG94" s="916"/>
      <c r="AH94" s="916" t="s">
        <v>2011</v>
      </c>
      <c r="AI94" s="916">
        <f>AP82</f>
        <v>9</v>
      </c>
      <c r="AJ94" s="919"/>
      <c r="AK94" s="915">
        <f>AS88</f>
        <v>0</v>
      </c>
      <c r="AL94" s="916"/>
      <c r="AM94" s="916" t="s">
        <v>2011</v>
      </c>
      <c r="AN94" s="916">
        <f>AP88</f>
        <v>5</v>
      </c>
      <c r="AO94" s="919"/>
      <c r="AP94" s="929"/>
      <c r="AQ94" s="930"/>
      <c r="AR94" s="930"/>
      <c r="AS94" s="930"/>
      <c r="AT94" s="931"/>
      <c r="AU94" s="903"/>
      <c r="AV94" s="903"/>
      <c r="AW94" s="903"/>
      <c r="AX94" s="903"/>
      <c r="AY94" s="903"/>
      <c r="AZ94" s="903"/>
      <c r="BA94" s="903"/>
      <c r="BB94" s="903"/>
      <c r="BC94" s="903"/>
      <c r="BD94" s="903"/>
      <c r="BE94" s="903"/>
      <c r="BF94" s="903"/>
      <c r="BG94" s="903"/>
      <c r="BH94" s="903"/>
      <c r="BI94" s="910"/>
      <c r="BJ94" s="910"/>
      <c r="BK94" s="903"/>
      <c r="BL94" s="903"/>
      <c r="BM94" s="910"/>
      <c r="BN94" s="910"/>
      <c r="BO94" s="913"/>
    </row>
    <row r="95" spans="25:67" ht="18.75" customHeight="1" x14ac:dyDescent="0.25">
      <c r="Y95" s="907"/>
      <c r="Z95" s="908"/>
      <c r="AA95" s="908"/>
      <c r="AB95" s="908"/>
      <c r="AC95" s="908"/>
      <c r="AD95" s="908"/>
      <c r="AE95" s="908"/>
      <c r="AF95" s="921"/>
      <c r="AG95" s="565"/>
      <c r="AH95" s="565"/>
      <c r="AI95" s="565"/>
      <c r="AJ95" s="922"/>
      <c r="AK95" s="921"/>
      <c r="AL95" s="565"/>
      <c r="AM95" s="565"/>
      <c r="AN95" s="565"/>
      <c r="AO95" s="922"/>
      <c r="AP95" s="932"/>
      <c r="AQ95" s="933"/>
      <c r="AR95" s="933"/>
      <c r="AS95" s="933"/>
      <c r="AT95" s="934"/>
      <c r="AU95" s="904"/>
      <c r="AV95" s="904"/>
      <c r="AW95" s="904"/>
      <c r="AX95" s="904"/>
      <c r="AY95" s="904"/>
      <c r="AZ95" s="904"/>
      <c r="BA95" s="904"/>
      <c r="BB95" s="904"/>
      <c r="BC95" s="904"/>
      <c r="BD95" s="904"/>
      <c r="BE95" s="904"/>
      <c r="BF95" s="904"/>
      <c r="BG95" s="904"/>
      <c r="BH95" s="904"/>
      <c r="BI95" s="911"/>
      <c r="BJ95" s="911"/>
      <c r="BK95" s="904"/>
      <c r="BL95" s="904"/>
      <c r="BM95" s="911"/>
      <c r="BN95" s="911"/>
      <c r="BO95" s="914"/>
    </row>
    <row r="96" spans="25:67" ht="18.75" customHeight="1" x14ac:dyDescent="0.25"/>
    <row r="97" spans="25:58" ht="18.75" customHeight="1" x14ac:dyDescent="0.25">
      <c r="Y97" s="891" t="s">
        <v>2125</v>
      </c>
      <c r="Z97" s="891"/>
      <c r="AA97" s="891"/>
      <c r="AB97" s="891"/>
      <c r="AC97" s="891"/>
      <c r="AD97" s="891"/>
      <c r="AE97" s="891"/>
      <c r="AF97" s="891"/>
      <c r="AG97" s="891"/>
      <c r="AH97" s="891"/>
      <c r="AI97" s="891"/>
      <c r="AJ97" s="891"/>
      <c r="AK97" s="891"/>
      <c r="AL97" s="891"/>
      <c r="AM97" s="891"/>
      <c r="AN97" s="891"/>
      <c r="AO97" s="891"/>
      <c r="AP97" s="891"/>
      <c r="AQ97" s="891"/>
      <c r="AR97" s="891"/>
      <c r="AS97" s="891"/>
      <c r="AT97" s="891"/>
      <c r="AU97" s="891"/>
      <c r="AV97" s="891"/>
      <c r="AW97" s="891"/>
      <c r="AX97" s="891"/>
      <c r="AY97" s="891"/>
      <c r="AZ97" s="891"/>
      <c r="BA97" s="891"/>
      <c r="BB97" s="891"/>
      <c r="BC97" s="891"/>
      <c r="BD97" s="891"/>
      <c r="BE97" s="891"/>
      <c r="BF97" s="891"/>
    </row>
    <row r="98" spans="25:58" ht="18.75" customHeight="1" x14ac:dyDescent="0.25">
      <c r="Y98" s="891"/>
      <c r="Z98" s="891"/>
      <c r="AA98" s="891"/>
      <c r="AB98" s="891"/>
      <c r="AC98" s="891"/>
      <c r="AD98" s="891"/>
      <c r="AE98" s="891"/>
      <c r="AF98" s="891"/>
      <c r="AG98" s="891"/>
      <c r="AH98" s="891"/>
      <c r="AI98" s="891"/>
      <c r="AJ98" s="891"/>
      <c r="AK98" s="891"/>
      <c r="AL98" s="891"/>
      <c r="AM98" s="891"/>
      <c r="AN98" s="891"/>
      <c r="AO98" s="891"/>
      <c r="AP98" s="891"/>
      <c r="AQ98" s="891"/>
      <c r="AR98" s="891"/>
      <c r="AS98" s="891"/>
      <c r="AT98" s="891"/>
      <c r="AU98" s="891"/>
      <c r="AV98" s="891"/>
      <c r="AW98" s="891"/>
      <c r="AX98" s="891"/>
      <c r="AY98" s="891"/>
      <c r="AZ98" s="891"/>
      <c r="BA98" s="891"/>
      <c r="BB98" s="891"/>
      <c r="BC98" s="891"/>
      <c r="BD98" s="891"/>
      <c r="BE98" s="891"/>
      <c r="BF98" s="891"/>
    </row>
    <row r="99" spans="25:58" ht="18.75" customHeight="1" x14ac:dyDescent="0.25">
      <c r="Y99" s="892" t="s">
        <v>2013</v>
      </c>
      <c r="Z99" s="893"/>
      <c r="AA99" s="896" t="s">
        <v>159</v>
      </c>
      <c r="AB99" s="232" t="s">
        <v>408</v>
      </c>
      <c r="AC99" s="231"/>
      <c r="AD99" s="898" t="s">
        <v>2060</v>
      </c>
      <c r="AE99" s="232" t="s">
        <v>2015</v>
      </c>
      <c r="AF99" s="231"/>
      <c r="AG99" s="898" t="s">
        <v>1208</v>
      </c>
      <c r="AH99" s="232" t="s">
        <v>2126</v>
      </c>
      <c r="AI99" s="231"/>
      <c r="AJ99" s="900" t="s">
        <v>1727</v>
      </c>
      <c r="AK99" s="234" t="s">
        <v>2016</v>
      </c>
    </row>
    <row r="100" spans="25:58" ht="18.75" customHeight="1" x14ac:dyDescent="0.25">
      <c r="Y100" s="894"/>
      <c r="Z100" s="895"/>
      <c r="AA100" s="897"/>
      <c r="AB100" s="233">
        <v>3</v>
      </c>
      <c r="AC100" s="230"/>
      <c r="AD100" s="899"/>
      <c r="AE100" s="233">
        <v>2</v>
      </c>
      <c r="AF100" s="230"/>
      <c r="AG100" s="899"/>
      <c r="AH100" s="233">
        <v>1</v>
      </c>
      <c r="AI100" s="230"/>
      <c r="AJ100" s="901"/>
      <c r="AK100" s="235">
        <v>0</v>
      </c>
    </row>
    <row r="101" spans="25:58" ht="18.75" customHeight="1" x14ac:dyDescent="0.25"/>
    <row r="102" spans="25:58" ht="18.75" customHeight="1" x14ac:dyDescent="0.25"/>
    <row r="103" spans="25:58" ht="18.75" customHeight="1" x14ac:dyDescent="0.25"/>
    <row r="104" spans="25:58" ht="18.75" customHeight="1" x14ac:dyDescent="0.25"/>
    <row r="105" spans="25:58" ht="18.75" customHeight="1" x14ac:dyDescent="0.25"/>
    <row r="106" spans="25:58" ht="18.75" customHeight="1" x14ac:dyDescent="0.25"/>
    <row r="107" spans="25:58" ht="18.75" customHeight="1" x14ac:dyDescent="0.25"/>
    <row r="108" spans="25:58" ht="18.75" customHeight="1" x14ac:dyDescent="0.25"/>
    <row r="109" spans="25:58" ht="18.75" customHeight="1" x14ac:dyDescent="0.25"/>
    <row r="110" spans="25:58" ht="18.75" customHeight="1" x14ac:dyDescent="0.25"/>
    <row r="111" spans="25:58" ht="18.75" customHeight="1" x14ac:dyDescent="0.25"/>
    <row r="112" spans="25:58" ht="18.75" customHeight="1" x14ac:dyDescent="0.25"/>
    <row r="113" ht="18.75" customHeight="1" x14ac:dyDescent="0.25"/>
    <row r="114" ht="18.75" customHeight="1" x14ac:dyDescent="0.25"/>
    <row r="115" ht="18.75" customHeight="1" x14ac:dyDescent="0.25"/>
    <row r="116" ht="18.75" customHeight="1" x14ac:dyDescent="0.25"/>
    <row r="117" ht="18.75" customHeight="1" x14ac:dyDescent="0.25"/>
    <row r="118" ht="18.75" customHeight="1" x14ac:dyDescent="0.25"/>
    <row r="119" ht="18.75" customHeight="1" x14ac:dyDescent="0.25"/>
    <row r="120" ht="18.75" customHeight="1" x14ac:dyDescent="0.25"/>
    <row r="121" ht="18.75" customHeight="1" x14ac:dyDescent="0.25"/>
    <row r="122" ht="18.75" customHeight="1" x14ac:dyDescent="0.25"/>
    <row r="123" ht="18.75" customHeight="1" x14ac:dyDescent="0.25"/>
    <row r="124" ht="18.75" customHeight="1" x14ac:dyDescent="0.25"/>
    <row r="125" ht="18.75" customHeight="1" x14ac:dyDescent="0.25"/>
    <row r="126" ht="18.75" customHeight="1" x14ac:dyDescent="0.25"/>
    <row r="127" ht="18.75" customHeight="1" x14ac:dyDescent="0.25"/>
    <row r="128" ht="18.75" customHeight="1" x14ac:dyDescent="0.25"/>
    <row r="129" ht="18.75" customHeight="1" x14ac:dyDescent="0.25"/>
  </sheetData>
  <mergeCells count="441">
    <mergeCell ref="A1:I1"/>
    <mergeCell ref="J1:K1"/>
    <mergeCell ref="M1:U1"/>
    <mergeCell ref="V1:W1"/>
    <mergeCell ref="Y1:BG1"/>
    <mergeCell ref="BI1:BO1"/>
    <mergeCell ref="A2:K2"/>
    <mergeCell ref="M2:W2"/>
    <mergeCell ref="Y2:BG2"/>
    <mergeCell ref="D4:K4"/>
    <mergeCell ref="P4:W4"/>
    <mergeCell ref="Y4:AA4"/>
    <mergeCell ref="AB4:AG4"/>
    <mergeCell ref="AI4:AW4"/>
    <mergeCell ref="Y6:AA6"/>
    <mergeCell ref="AB6:AG6"/>
    <mergeCell ref="C7:I7"/>
    <mergeCell ref="J7:K7"/>
    <mergeCell ref="O7:U7"/>
    <mergeCell ref="V7:W7"/>
    <mergeCell ref="Z7:AB7"/>
    <mergeCell ref="AC7:AO7"/>
    <mergeCell ref="AP7:AS7"/>
    <mergeCell ref="C8:I8"/>
    <mergeCell ref="J8:K8"/>
    <mergeCell ref="O8:U8"/>
    <mergeCell ref="V8:W8"/>
    <mergeCell ref="Z8:AB8"/>
    <mergeCell ref="AC8:AO8"/>
    <mergeCell ref="AP8:AS8"/>
    <mergeCell ref="C9:I9"/>
    <mergeCell ref="J9:K9"/>
    <mergeCell ref="O9:U9"/>
    <mergeCell ref="V9:W9"/>
    <mergeCell ref="Z9:AB9"/>
    <mergeCell ref="AC9:AO9"/>
    <mergeCell ref="AP9:AS9"/>
    <mergeCell ref="B15:F15"/>
    <mergeCell ref="G15:I15"/>
    <mergeCell ref="J15:K15"/>
    <mergeCell ref="N15:R15"/>
    <mergeCell ref="S15:U15"/>
    <mergeCell ref="V15:W15"/>
    <mergeCell ref="B16:F16"/>
    <mergeCell ref="G16:I16"/>
    <mergeCell ref="J16:K16"/>
    <mergeCell ref="N16:R16"/>
    <mergeCell ref="S16:U16"/>
    <mergeCell ref="V16:W16"/>
    <mergeCell ref="B17:F17"/>
    <mergeCell ref="G17:I17"/>
    <mergeCell ref="J17:K17"/>
    <mergeCell ref="N17:R17"/>
    <mergeCell ref="S17:U17"/>
    <mergeCell ref="V17:W17"/>
    <mergeCell ref="E18:F18"/>
    <mergeCell ref="G18:I18"/>
    <mergeCell ref="J18:K18"/>
    <mergeCell ref="Q18:R18"/>
    <mergeCell ref="S18:U18"/>
    <mergeCell ref="V18:W18"/>
    <mergeCell ref="E19:F19"/>
    <mergeCell ref="G19:I19"/>
    <mergeCell ref="J19:K19"/>
    <mergeCell ref="Q19:R19"/>
    <mergeCell ref="S19:U19"/>
    <mergeCell ref="V19:W19"/>
    <mergeCell ref="E20:F20"/>
    <mergeCell ref="G20:I20"/>
    <mergeCell ref="J20:K20"/>
    <mergeCell ref="Q20:R20"/>
    <mergeCell ref="S20:U20"/>
    <mergeCell ref="V20:W20"/>
    <mergeCell ref="E21:F21"/>
    <mergeCell ref="G21:I21"/>
    <mergeCell ref="J21:K21"/>
    <mergeCell ref="Q21:R21"/>
    <mergeCell ref="S21:U21"/>
    <mergeCell ref="V21:W21"/>
    <mergeCell ref="B33:F33"/>
    <mergeCell ref="G33:I33"/>
    <mergeCell ref="J33:K33"/>
    <mergeCell ref="N33:R33"/>
    <mergeCell ref="S33:U33"/>
    <mergeCell ref="V33:W33"/>
    <mergeCell ref="H30:H32"/>
    <mergeCell ref="I30:I32"/>
    <mergeCell ref="J30:J32"/>
    <mergeCell ref="M30:M32"/>
    <mergeCell ref="N30:N32"/>
    <mergeCell ref="O30:O32"/>
    <mergeCell ref="P30:P32"/>
    <mergeCell ref="T30:T32"/>
    <mergeCell ref="U30:U32"/>
    <mergeCell ref="V30:V32"/>
    <mergeCell ref="B34:F34"/>
    <mergeCell ref="G34:I34"/>
    <mergeCell ref="J34:K34"/>
    <mergeCell ref="N34:R34"/>
    <mergeCell ref="S34:U34"/>
    <mergeCell ref="V34:W34"/>
    <mergeCell ref="B35:F35"/>
    <mergeCell ref="G35:I35"/>
    <mergeCell ref="J35:K35"/>
    <mergeCell ref="N35:R35"/>
    <mergeCell ref="S35:U35"/>
    <mergeCell ref="V35:W35"/>
    <mergeCell ref="E36:F36"/>
    <mergeCell ref="G36:I36"/>
    <mergeCell ref="J36:K36"/>
    <mergeCell ref="Q36:R36"/>
    <mergeCell ref="S36:U36"/>
    <mergeCell ref="V36:W36"/>
    <mergeCell ref="E37:F37"/>
    <mergeCell ref="G37:I37"/>
    <mergeCell ref="J37:K37"/>
    <mergeCell ref="Q37:R37"/>
    <mergeCell ref="S37:U37"/>
    <mergeCell ref="V37:W37"/>
    <mergeCell ref="E38:F38"/>
    <mergeCell ref="G38:I38"/>
    <mergeCell ref="J38:K38"/>
    <mergeCell ref="Q38:R38"/>
    <mergeCell ref="S38:U38"/>
    <mergeCell ref="V38:W38"/>
    <mergeCell ref="E39:F39"/>
    <mergeCell ref="G39:I39"/>
    <mergeCell ref="J39:K39"/>
    <mergeCell ref="Q39:R39"/>
    <mergeCell ref="S39:U39"/>
    <mergeCell ref="V39:W39"/>
    <mergeCell ref="B51:F51"/>
    <mergeCell ref="G51:I51"/>
    <mergeCell ref="J51:K51"/>
    <mergeCell ref="N51:R51"/>
    <mergeCell ref="S51:U51"/>
    <mergeCell ref="V51:W51"/>
    <mergeCell ref="B52:F52"/>
    <mergeCell ref="G52:I52"/>
    <mergeCell ref="J52:K52"/>
    <mergeCell ref="N52:R52"/>
    <mergeCell ref="S52:U52"/>
    <mergeCell ref="V52:W52"/>
    <mergeCell ref="B53:F53"/>
    <mergeCell ref="G53:I53"/>
    <mergeCell ref="J53:K53"/>
    <mergeCell ref="N53:R53"/>
    <mergeCell ref="S53:U53"/>
    <mergeCell ref="V53:W53"/>
    <mergeCell ref="E54:F54"/>
    <mergeCell ref="G54:I54"/>
    <mergeCell ref="J54:K54"/>
    <mergeCell ref="Q54:R54"/>
    <mergeCell ref="S54:U54"/>
    <mergeCell ref="V54:W54"/>
    <mergeCell ref="E55:F55"/>
    <mergeCell ref="G55:I55"/>
    <mergeCell ref="J55:K55"/>
    <mergeCell ref="Q55:R55"/>
    <mergeCell ref="S55:U55"/>
    <mergeCell ref="V55:W55"/>
    <mergeCell ref="E56:F56"/>
    <mergeCell ref="G56:I56"/>
    <mergeCell ref="J56:K56"/>
    <mergeCell ref="Q56:R56"/>
    <mergeCell ref="S56:U56"/>
    <mergeCell ref="V56:W56"/>
    <mergeCell ref="E57:F57"/>
    <mergeCell ref="G57:I57"/>
    <mergeCell ref="J57:K57"/>
    <mergeCell ref="Q57:R57"/>
    <mergeCell ref="S57:U57"/>
    <mergeCell ref="V57:W57"/>
    <mergeCell ref="A12:A14"/>
    <mergeCell ref="B12:B14"/>
    <mergeCell ref="C12:C14"/>
    <mergeCell ref="D12:D14"/>
    <mergeCell ref="H12:H14"/>
    <mergeCell ref="I12:I14"/>
    <mergeCell ref="J12:J14"/>
    <mergeCell ref="M12:M14"/>
    <mergeCell ref="N12:N14"/>
    <mergeCell ref="O12:O14"/>
    <mergeCell ref="P12:P14"/>
    <mergeCell ref="T12:T14"/>
    <mergeCell ref="U12:U14"/>
    <mergeCell ref="V12:V14"/>
    <mergeCell ref="A30:A32"/>
    <mergeCell ref="B30:B32"/>
    <mergeCell ref="C30:C32"/>
    <mergeCell ref="D30:D32"/>
    <mergeCell ref="Y15:AB20"/>
    <mergeCell ref="AC15:AE20"/>
    <mergeCell ref="AF15:AJ20"/>
    <mergeCell ref="AK15:AO20"/>
    <mergeCell ref="AP15:AT20"/>
    <mergeCell ref="AU15:AV20"/>
    <mergeCell ref="AW15:AX20"/>
    <mergeCell ref="AY15:AZ20"/>
    <mergeCell ref="BA15:BB20"/>
    <mergeCell ref="BC15:BD20"/>
    <mergeCell ref="BE15:BF20"/>
    <mergeCell ref="BG15:BH20"/>
    <mergeCell ref="BI15:BJ20"/>
    <mergeCell ref="BK15:BL20"/>
    <mergeCell ref="BM15:BN20"/>
    <mergeCell ref="BO15:BO20"/>
    <mergeCell ref="Y21:AC26"/>
    <mergeCell ref="AD21:AE23"/>
    <mergeCell ref="AF21:AJ26"/>
    <mergeCell ref="AK21:AO22"/>
    <mergeCell ref="AP21:AT22"/>
    <mergeCell ref="AU21:AV26"/>
    <mergeCell ref="AW21:AX26"/>
    <mergeCell ref="AY21:AZ26"/>
    <mergeCell ref="BA21:BB26"/>
    <mergeCell ref="BC21:BD26"/>
    <mergeCell ref="BE21:BF26"/>
    <mergeCell ref="BG21:BH26"/>
    <mergeCell ref="BI21:BJ26"/>
    <mergeCell ref="BK21:BL26"/>
    <mergeCell ref="BM21:BN26"/>
    <mergeCell ref="BO21:BO26"/>
    <mergeCell ref="AK23:AL24"/>
    <mergeCell ref="AM23:AM24"/>
    <mergeCell ref="AN23:AO24"/>
    <mergeCell ref="AP23:AQ24"/>
    <mergeCell ref="AR23:AR24"/>
    <mergeCell ref="AS23:AT24"/>
    <mergeCell ref="AD24:AE26"/>
    <mergeCell ref="AK25:AL26"/>
    <mergeCell ref="AM25:AM26"/>
    <mergeCell ref="AN25:AO26"/>
    <mergeCell ref="AP25:AQ26"/>
    <mergeCell ref="AR25:AR26"/>
    <mergeCell ref="AS25:AT26"/>
    <mergeCell ref="Y27:AC32"/>
    <mergeCell ref="AD27:AE29"/>
    <mergeCell ref="AF27:AJ28"/>
    <mergeCell ref="AK27:AO32"/>
    <mergeCell ref="AP27:AT28"/>
    <mergeCell ref="AU27:AV32"/>
    <mergeCell ref="AW27:AX32"/>
    <mergeCell ref="AY27:AZ32"/>
    <mergeCell ref="BA27:BB32"/>
    <mergeCell ref="AD30:AE32"/>
    <mergeCell ref="BC27:BD32"/>
    <mergeCell ref="BE27:BF32"/>
    <mergeCell ref="BG27:BH32"/>
    <mergeCell ref="BI27:BJ32"/>
    <mergeCell ref="BK27:BL32"/>
    <mergeCell ref="BM27:BN32"/>
    <mergeCell ref="BO27:BO32"/>
    <mergeCell ref="AF29:AG30"/>
    <mergeCell ref="AH29:AH30"/>
    <mergeCell ref="AI29:AJ30"/>
    <mergeCell ref="AP29:AQ30"/>
    <mergeCell ref="AR29:AR30"/>
    <mergeCell ref="AS29:AT30"/>
    <mergeCell ref="AF31:AG32"/>
    <mergeCell ref="AH31:AH32"/>
    <mergeCell ref="AI31:AJ32"/>
    <mergeCell ref="AP31:AQ32"/>
    <mergeCell ref="AR31:AR32"/>
    <mergeCell ref="AS31:AT32"/>
    <mergeCell ref="Y33:AC38"/>
    <mergeCell ref="AD33:AE35"/>
    <mergeCell ref="AF33:AJ34"/>
    <mergeCell ref="AK33:AO34"/>
    <mergeCell ref="AP33:AT38"/>
    <mergeCell ref="AU33:AV38"/>
    <mergeCell ref="AW33:AX38"/>
    <mergeCell ref="AY33:AZ38"/>
    <mergeCell ref="BA33:BB38"/>
    <mergeCell ref="AD36:AE38"/>
    <mergeCell ref="BC33:BD38"/>
    <mergeCell ref="BE33:BF38"/>
    <mergeCell ref="BG33:BH38"/>
    <mergeCell ref="BI33:BJ38"/>
    <mergeCell ref="BK33:BL38"/>
    <mergeCell ref="BM33:BN38"/>
    <mergeCell ref="BO33:BO38"/>
    <mergeCell ref="AF35:AG36"/>
    <mergeCell ref="AH35:AH36"/>
    <mergeCell ref="AI35:AJ36"/>
    <mergeCell ref="AK35:AL36"/>
    <mergeCell ref="AM35:AM36"/>
    <mergeCell ref="AN35:AO36"/>
    <mergeCell ref="AF37:AG38"/>
    <mergeCell ref="AH37:AH38"/>
    <mergeCell ref="AI37:AJ38"/>
    <mergeCell ref="AK37:AL38"/>
    <mergeCell ref="AM37:AM38"/>
    <mergeCell ref="AN37:AO38"/>
    <mergeCell ref="Y40:BF41"/>
    <mergeCell ref="Y42:Z43"/>
    <mergeCell ref="AA42:AA43"/>
    <mergeCell ref="AD42:AD43"/>
    <mergeCell ref="AG42:AG43"/>
    <mergeCell ref="AJ42:AJ43"/>
    <mergeCell ref="A48:A50"/>
    <mergeCell ref="B48:B50"/>
    <mergeCell ref="C48:C50"/>
    <mergeCell ref="D48:D50"/>
    <mergeCell ref="H48:H50"/>
    <mergeCell ref="I48:I50"/>
    <mergeCell ref="J48:J50"/>
    <mergeCell ref="M48:M50"/>
    <mergeCell ref="N48:N50"/>
    <mergeCell ref="O48:O50"/>
    <mergeCell ref="P48:P50"/>
    <mergeCell ref="T48:T50"/>
    <mergeCell ref="U48:U50"/>
    <mergeCell ref="V48:V50"/>
    <mergeCell ref="Y48:BG49"/>
    <mergeCell ref="BI48:BO49"/>
    <mergeCell ref="Y50:BG51"/>
    <mergeCell ref="Y54:AA55"/>
    <mergeCell ref="AB54:AG55"/>
    <mergeCell ref="AH54:AH55"/>
    <mergeCell ref="AI54:AW55"/>
    <mergeCell ref="Y58:AA59"/>
    <mergeCell ref="AB58:AG59"/>
    <mergeCell ref="Z60:AB61"/>
    <mergeCell ref="AC60:AO61"/>
    <mergeCell ref="AP60:AS61"/>
    <mergeCell ref="Z62:AB63"/>
    <mergeCell ref="AC62:AO63"/>
    <mergeCell ref="AP62:AS63"/>
    <mergeCell ref="Z64:AB65"/>
    <mergeCell ref="AC64:AO65"/>
    <mergeCell ref="AP64:AS65"/>
    <mergeCell ref="Y72:AB77"/>
    <mergeCell ref="AC72:AE77"/>
    <mergeCell ref="AF72:AJ77"/>
    <mergeCell ref="AK72:AO77"/>
    <mergeCell ref="AP72:AT77"/>
    <mergeCell ref="AU72:AV77"/>
    <mergeCell ref="AW72:AX77"/>
    <mergeCell ref="AY72:AZ77"/>
    <mergeCell ref="BA72:BB77"/>
    <mergeCell ref="BC72:BD77"/>
    <mergeCell ref="BE72:BF77"/>
    <mergeCell ref="BG72:BH77"/>
    <mergeCell ref="BI72:BJ77"/>
    <mergeCell ref="BK72:BL77"/>
    <mergeCell ref="BM72:BN77"/>
    <mergeCell ref="BO72:BO77"/>
    <mergeCell ref="Y78:AC83"/>
    <mergeCell ref="AD78:AE80"/>
    <mergeCell ref="AF78:AJ83"/>
    <mergeCell ref="AK78:AO79"/>
    <mergeCell ref="AP78:AT79"/>
    <mergeCell ref="AU78:AV83"/>
    <mergeCell ref="AW78:AX83"/>
    <mergeCell ref="AY78:AZ83"/>
    <mergeCell ref="BA78:BB83"/>
    <mergeCell ref="BC78:BD83"/>
    <mergeCell ref="BE78:BF83"/>
    <mergeCell ref="BG78:BH83"/>
    <mergeCell ref="BI78:BJ83"/>
    <mergeCell ref="BK78:BL83"/>
    <mergeCell ref="BM78:BN83"/>
    <mergeCell ref="BO78:BO83"/>
    <mergeCell ref="AK80:AL81"/>
    <mergeCell ref="AM80:AM81"/>
    <mergeCell ref="AN80:AO81"/>
    <mergeCell ref="AP80:AQ81"/>
    <mergeCell ref="AR80:AR81"/>
    <mergeCell ref="AS80:AT81"/>
    <mergeCell ref="AD81:AE83"/>
    <mergeCell ref="AK82:AL83"/>
    <mergeCell ref="AM82:AM83"/>
    <mergeCell ref="AN82:AO83"/>
    <mergeCell ref="AP82:AQ83"/>
    <mergeCell ref="AR82:AR83"/>
    <mergeCell ref="AS82:AT83"/>
    <mergeCell ref="Y84:AC89"/>
    <mergeCell ref="AD84:AE86"/>
    <mergeCell ref="AF84:AJ85"/>
    <mergeCell ref="AK84:AO89"/>
    <mergeCell ref="AP84:AT85"/>
    <mergeCell ref="BM84:BN89"/>
    <mergeCell ref="BO84:BO89"/>
    <mergeCell ref="AF86:AG87"/>
    <mergeCell ref="AH86:AH87"/>
    <mergeCell ref="AI86:AJ87"/>
    <mergeCell ref="AP86:AQ87"/>
    <mergeCell ref="AR86:AR87"/>
    <mergeCell ref="AS86:AT87"/>
    <mergeCell ref="AD87:AE89"/>
    <mergeCell ref="AF88:AG89"/>
    <mergeCell ref="AH88:AH89"/>
    <mergeCell ref="AI88:AJ89"/>
    <mergeCell ref="AP88:AQ89"/>
    <mergeCell ref="AR88:AR89"/>
    <mergeCell ref="AS88:AT89"/>
    <mergeCell ref="AU84:AV89"/>
    <mergeCell ref="AW84:AX89"/>
    <mergeCell ref="AY84:AZ89"/>
    <mergeCell ref="BA84:BB89"/>
    <mergeCell ref="BC84:BD89"/>
    <mergeCell ref="BE84:BF89"/>
    <mergeCell ref="BG84:BH89"/>
    <mergeCell ref="BI84:BJ89"/>
    <mergeCell ref="BK84:BL89"/>
    <mergeCell ref="BI90:BJ95"/>
    <mergeCell ref="BK90:BL95"/>
    <mergeCell ref="BM90:BN95"/>
    <mergeCell ref="BO90:BO95"/>
    <mergeCell ref="AF92:AG93"/>
    <mergeCell ref="AH92:AH93"/>
    <mergeCell ref="AI92:AJ93"/>
    <mergeCell ref="AK92:AL93"/>
    <mergeCell ref="AM92:AM93"/>
    <mergeCell ref="AN92:AO93"/>
    <mergeCell ref="AF94:AG95"/>
    <mergeCell ref="AH94:AH95"/>
    <mergeCell ref="AI94:AJ95"/>
    <mergeCell ref="AK94:AL95"/>
    <mergeCell ref="AM94:AM95"/>
    <mergeCell ref="AN94:AO95"/>
    <mergeCell ref="AF90:AJ91"/>
    <mergeCell ref="AK90:AO91"/>
    <mergeCell ref="AP90:AT95"/>
    <mergeCell ref="AU90:AV95"/>
    <mergeCell ref="AW90:AX95"/>
    <mergeCell ref="AY90:AZ95"/>
    <mergeCell ref="BA90:BB95"/>
    <mergeCell ref="Y97:BF98"/>
    <mergeCell ref="Y99:Z100"/>
    <mergeCell ref="AA99:AA100"/>
    <mergeCell ref="AD99:AD100"/>
    <mergeCell ref="AG99:AG100"/>
    <mergeCell ref="AJ99:AJ100"/>
    <mergeCell ref="BC90:BD95"/>
    <mergeCell ref="BE90:BF95"/>
    <mergeCell ref="BG90:BH95"/>
    <mergeCell ref="Y90:AC95"/>
    <mergeCell ref="AD90:AE92"/>
    <mergeCell ref="AD93:AE95"/>
  </mergeCells>
  <phoneticPr fontId="29"/>
  <printOptions horizontalCentered="1" verticalCentered="1"/>
  <pageMargins left="0" right="0" top="0" bottom="0" header="0.51181102362204722" footer="0.51181102362204722"/>
  <pageSetup paperSize="9" scale="42"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000-000000000000}">
          <x14:formula1>
            <xm:f>審判員!$I$1:$I$17</xm:f>
          </x14:formula1>
          <xm:sqref>E23:E27 E41:E45 E59:E63 G23:G27 G41:G45 G59:G63 Q23:Q27 Q41:Q45 Q59:Q63 S23:S27 S41:S45 S59:S63</xm:sqref>
        </x14:dataValidation>
        <x14:dataValidation type="list" allowBlank="1" showInputMessage="1" showErrorMessage="1" xr:uid="{00000000-0002-0000-1000-000001000000}">
          <x14:formula1>
            <xm:f>審判員!$G$1:$G$3</xm:f>
          </x14:formula1>
          <xm:sqref>A23:A27 K23:K27 A41:A45 K41:K45 A59:A63 K59:K63 M23:M27 W41:W45 W59:W63 M59:M63 W23:W27 M41:M45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FF99"/>
    <pageSetUpPr fitToPage="1"/>
  </sheetPr>
  <dimension ref="A1:BO100"/>
  <sheetViews>
    <sheetView view="pageBreakPreview" zoomScale="50" zoomScaleNormal="55" zoomScaleSheetLayoutView="50" workbookViewId="0">
      <selection activeCell="A3" sqref="A3"/>
    </sheetView>
  </sheetViews>
  <sheetFormatPr defaultColWidth="9" defaultRowHeight="18.75" x14ac:dyDescent="0.25"/>
  <cols>
    <col min="1" max="1" width="19.46484375" style="66" customWidth="1"/>
    <col min="2" max="2" width="39.86328125" style="66" customWidth="1"/>
    <col min="3" max="3" width="10.73046875" style="66" customWidth="1"/>
    <col min="4" max="4" width="4.46484375" style="66" customWidth="1"/>
    <col min="5" max="5" width="10.3984375" style="66" customWidth="1"/>
    <col min="6" max="6" width="5.73046875" style="66" bestFit="1" customWidth="1"/>
    <col min="7" max="7" width="10.3984375" style="66" customWidth="1"/>
    <col min="8" max="8" width="4.46484375" style="66" customWidth="1"/>
    <col min="9" max="9" width="10.73046875" style="66" bestFit="1" customWidth="1"/>
    <col min="10" max="10" width="39.86328125" style="66" customWidth="1"/>
    <col min="11" max="11" width="15.73046875" style="66" customWidth="1"/>
    <col min="12" max="12" width="3.46484375" style="66" customWidth="1"/>
    <col min="13" max="13" width="19.46484375" style="66" customWidth="1"/>
    <col min="14" max="14" width="39.86328125" style="66" customWidth="1"/>
    <col min="15" max="15" width="10.73046875" style="66" customWidth="1"/>
    <col min="16" max="16" width="4.46484375" style="66" customWidth="1"/>
    <col min="17" max="17" width="10.3984375" style="66" customWidth="1"/>
    <col min="18" max="18" width="5.73046875" style="66" bestFit="1" customWidth="1"/>
    <col min="19" max="19" width="10.3984375" style="66" customWidth="1"/>
    <col min="20" max="20" width="4.46484375" style="66" customWidth="1"/>
    <col min="21" max="21" width="10.73046875" style="66" customWidth="1"/>
    <col min="22" max="22" width="39.86328125" style="66" customWidth="1"/>
    <col min="23" max="23" width="15.73046875" style="66" customWidth="1"/>
    <col min="24" max="24" width="9" style="66"/>
    <col min="25" max="59" width="5.86328125" style="66" customWidth="1"/>
    <col min="60" max="16384" width="9" style="66"/>
  </cols>
  <sheetData>
    <row r="1" spans="1:67" ht="27.75" x14ac:dyDescent="0.25">
      <c r="A1" s="959" t="str">
        <f>抽選会資料!A1</f>
        <v>OFA 第 57 回大分県U-12サッカー大会　兼　KYFA 九州U-12サッカー大会大分県大会</v>
      </c>
      <c r="B1" s="959"/>
      <c r="C1" s="959"/>
      <c r="D1" s="959"/>
      <c r="E1" s="959"/>
      <c r="F1" s="959"/>
      <c r="G1" s="959"/>
      <c r="H1" s="959"/>
      <c r="I1" s="959"/>
      <c r="J1" s="959" t="s">
        <v>279</v>
      </c>
      <c r="K1" s="959"/>
      <c r="L1" s="228"/>
      <c r="M1" s="959" t="str">
        <f>抽選会資料!A1</f>
        <v>OFA 第 57 回大分県U-12サッカー大会　兼　KYFA 九州U-12サッカー大会大分県大会</v>
      </c>
      <c r="N1" s="959"/>
      <c r="O1" s="959"/>
      <c r="P1" s="959"/>
      <c r="Q1" s="959"/>
      <c r="R1" s="959"/>
      <c r="S1" s="959"/>
      <c r="T1" s="959"/>
      <c r="U1" s="959"/>
      <c r="V1" s="959" t="s">
        <v>279</v>
      </c>
      <c r="W1" s="959"/>
      <c r="Y1" s="959" t="str">
        <f>$A$1</f>
        <v>OFA 第 57 回大分県U-12サッカー大会　兼　KYFA 九州U-12サッカー大会大分県大会</v>
      </c>
      <c r="Z1" s="959"/>
      <c r="AA1" s="959"/>
      <c r="AB1" s="959"/>
      <c r="AC1" s="959"/>
      <c r="AD1" s="959"/>
      <c r="AE1" s="959"/>
      <c r="AF1" s="959"/>
      <c r="AG1" s="959"/>
      <c r="AH1" s="959"/>
      <c r="AI1" s="959"/>
      <c r="AJ1" s="959"/>
      <c r="AK1" s="959"/>
      <c r="AL1" s="959"/>
      <c r="AM1" s="959"/>
      <c r="AN1" s="959"/>
      <c r="AO1" s="959"/>
      <c r="AP1" s="959"/>
      <c r="AQ1" s="959"/>
      <c r="AR1" s="959"/>
      <c r="AS1" s="959"/>
      <c r="AT1" s="959"/>
      <c r="AU1" s="959"/>
      <c r="AV1" s="959"/>
      <c r="AW1" s="959"/>
      <c r="AX1" s="959"/>
      <c r="AY1" s="959"/>
      <c r="AZ1" s="959"/>
      <c r="BA1" s="959"/>
      <c r="BB1" s="959"/>
      <c r="BC1" s="959"/>
      <c r="BD1" s="959"/>
      <c r="BE1" s="959"/>
      <c r="BF1" s="959"/>
      <c r="BG1" s="959"/>
      <c r="BI1" s="959" t="str">
        <f>$J$1</f>
        <v>１次リーグ結果　報告用紙</v>
      </c>
      <c r="BJ1" s="959"/>
      <c r="BK1" s="959"/>
      <c r="BL1" s="959"/>
      <c r="BM1" s="959"/>
      <c r="BN1" s="959"/>
      <c r="BO1" s="959"/>
    </row>
    <row r="2" spans="1:67" ht="37.5" customHeight="1" x14ac:dyDescent="0.25">
      <c r="A2" s="959" t="s">
        <v>1962</v>
      </c>
      <c r="B2" s="959"/>
      <c r="C2" s="959"/>
      <c r="D2" s="959"/>
      <c r="E2" s="959"/>
      <c r="F2" s="959"/>
      <c r="G2" s="959"/>
      <c r="H2" s="959"/>
      <c r="I2" s="959"/>
      <c r="J2" s="959"/>
      <c r="K2" s="959"/>
      <c r="L2" s="189"/>
      <c r="M2" s="959" t="s">
        <v>1962</v>
      </c>
      <c r="N2" s="959"/>
      <c r="O2" s="959"/>
      <c r="P2" s="959"/>
      <c r="Q2" s="959"/>
      <c r="R2" s="959"/>
      <c r="S2" s="959"/>
      <c r="T2" s="959"/>
      <c r="U2" s="959"/>
      <c r="V2" s="959"/>
      <c r="W2" s="959"/>
      <c r="Y2" s="959" t="s">
        <v>1962</v>
      </c>
      <c r="Z2" s="959"/>
      <c r="AA2" s="959"/>
      <c r="AB2" s="959"/>
      <c r="AC2" s="959"/>
      <c r="AD2" s="959"/>
      <c r="AE2" s="959"/>
      <c r="AF2" s="959"/>
      <c r="AG2" s="959"/>
      <c r="AH2" s="959"/>
      <c r="AI2" s="959"/>
      <c r="AJ2" s="959"/>
      <c r="AK2" s="959"/>
      <c r="AL2" s="959"/>
      <c r="AM2" s="959"/>
      <c r="AN2" s="959"/>
      <c r="AO2" s="959"/>
      <c r="AP2" s="959"/>
      <c r="AQ2" s="959"/>
      <c r="AR2" s="959"/>
      <c r="AS2" s="959"/>
      <c r="AT2" s="959"/>
      <c r="AU2" s="959"/>
      <c r="AV2" s="959"/>
      <c r="AW2" s="959"/>
      <c r="AX2" s="959"/>
      <c r="AY2" s="959"/>
      <c r="AZ2" s="959"/>
      <c r="BA2" s="959"/>
      <c r="BB2" s="959"/>
      <c r="BC2" s="959"/>
      <c r="BD2" s="959"/>
      <c r="BE2" s="959"/>
      <c r="BF2" s="959"/>
      <c r="BG2" s="959"/>
    </row>
    <row r="3" spans="1:67" ht="37.5" customHeight="1" x14ac:dyDescent="0.25">
      <c r="A3" s="189"/>
      <c r="B3" s="189"/>
      <c r="C3" s="189"/>
      <c r="D3" s="189"/>
      <c r="E3" s="189"/>
      <c r="F3" s="189"/>
      <c r="G3" s="189"/>
      <c r="H3" s="189"/>
      <c r="I3" s="189"/>
      <c r="J3" s="189"/>
      <c r="K3" s="189"/>
      <c r="L3" s="189"/>
      <c r="M3" s="189"/>
      <c r="N3" s="189"/>
      <c r="O3" s="189"/>
      <c r="P3" s="189"/>
      <c r="Q3" s="189"/>
      <c r="R3" s="189"/>
      <c r="S3" s="189"/>
      <c r="T3" s="189"/>
      <c r="U3" s="189"/>
      <c r="V3" s="189"/>
      <c r="W3" s="189"/>
      <c r="Y3" s="189"/>
      <c r="Z3" s="189"/>
      <c r="AA3" s="189"/>
      <c r="AB3" s="189"/>
      <c r="AC3" s="189"/>
      <c r="AD3" s="189"/>
      <c r="AE3" s="189"/>
      <c r="AF3" s="189"/>
      <c r="AG3" s="189"/>
      <c r="AH3" s="189"/>
      <c r="AI3" s="189"/>
    </row>
    <row r="4" spans="1:67" ht="37.5" customHeight="1" x14ac:dyDescent="0.25">
      <c r="A4" s="58" t="s">
        <v>487</v>
      </c>
      <c r="B4" s="201" t="str">
        <f>組み合わせ!D8</f>
        <v>別府</v>
      </c>
      <c r="C4" s="58" t="s">
        <v>659</v>
      </c>
      <c r="D4" s="961" t="str">
        <f>VLOOKUP(B4,抽選会資料!$B$55:$F$63,2,FALSE)</f>
        <v>実相寺サッカー競技場(人工芝)</v>
      </c>
      <c r="E4" s="961"/>
      <c r="F4" s="961"/>
      <c r="G4" s="961"/>
      <c r="H4" s="961"/>
      <c r="I4" s="961"/>
      <c r="J4" s="961"/>
      <c r="K4" s="961"/>
      <c r="L4" s="68"/>
      <c r="M4" s="58" t="s">
        <v>487</v>
      </c>
      <c r="N4" s="201" t="str">
        <f>組み合わせ!D8</f>
        <v>別府</v>
      </c>
      <c r="O4" s="58" t="s">
        <v>659</v>
      </c>
      <c r="P4" s="961" t="str">
        <f>VLOOKUP(N4,抽選会資料!$B$55:$F$63,2,FALSE)</f>
        <v>実相寺サッカー競技場(人工芝)</v>
      </c>
      <c r="Q4" s="961"/>
      <c r="R4" s="961"/>
      <c r="S4" s="961"/>
      <c r="T4" s="961"/>
      <c r="U4" s="961"/>
      <c r="V4" s="961"/>
      <c r="W4" s="961"/>
      <c r="X4" s="39"/>
      <c r="Y4" s="590" t="s">
        <v>487</v>
      </c>
      <c r="Z4" s="590"/>
      <c r="AA4" s="590"/>
      <c r="AB4" s="960" t="str">
        <f>$B$4</f>
        <v>別府</v>
      </c>
      <c r="AC4" s="960"/>
      <c r="AD4" s="960"/>
      <c r="AE4" s="960"/>
      <c r="AF4" s="960"/>
      <c r="AG4" s="960"/>
      <c r="AH4" s="58" t="s">
        <v>659</v>
      </c>
      <c r="AI4" s="961" t="str">
        <f>$D$4</f>
        <v>実相寺サッカー競技場(人工芝)</v>
      </c>
      <c r="AJ4" s="961"/>
      <c r="AK4" s="961"/>
      <c r="AL4" s="961"/>
      <c r="AM4" s="961"/>
      <c r="AN4" s="961"/>
      <c r="AO4" s="961"/>
      <c r="AP4" s="961"/>
      <c r="AQ4" s="961"/>
      <c r="AR4" s="961"/>
      <c r="AS4" s="961"/>
      <c r="AT4" s="961"/>
      <c r="AU4" s="961"/>
      <c r="AV4" s="961"/>
      <c r="AW4" s="961"/>
    </row>
    <row r="5" spans="1:67" ht="37.5" customHeight="1" x14ac:dyDescent="0.25">
      <c r="A5" s="190"/>
      <c r="B5" s="190"/>
      <c r="C5" s="190"/>
      <c r="D5" s="190"/>
      <c r="E5" s="190"/>
      <c r="F5" s="190"/>
      <c r="G5" s="190"/>
      <c r="H5" s="190"/>
      <c r="I5" s="190"/>
      <c r="J5" s="190"/>
      <c r="K5" s="190"/>
      <c r="L5" s="190"/>
      <c r="M5" s="190"/>
      <c r="N5" s="190"/>
      <c r="O5" s="190"/>
      <c r="P5" s="190"/>
      <c r="Q5" s="190"/>
      <c r="R5" s="190"/>
      <c r="S5" s="190"/>
      <c r="T5" s="190"/>
      <c r="U5" s="190"/>
      <c r="V5" s="190"/>
      <c r="W5" s="190"/>
      <c r="Y5" s="190"/>
      <c r="Z5" s="190"/>
      <c r="AA5" s="190"/>
    </row>
    <row r="6" spans="1:67" ht="37.5" customHeight="1" x14ac:dyDescent="0.25">
      <c r="A6" s="58" t="s">
        <v>430</v>
      </c>
      <c r="B6" s="236" t="str">
        <f>VLOOKUP(B4,組み合わせ!$AL$95:$BU$112,13,FALSE)</f>
        <v>C</v>
      </c>
      <c r="C6" s="58"/>
      <c r="D6" s="58"/>
      <c r="M6" s="58" t="s">
        <v>430</v>
      </c>
      <c r="N6" s="236" t="str">
        <f>VLOOKUP(N4,組み合わせ!$AL$95:$BU$112,25,FALSE)</f>
        <v>H</v>
      </c>
      <c r="O6" s="229"/>
      <c r="P6" s="229"/>
      <c r="Y6" s="590" t="s">
        <v>430</v>
      </c>
      <c r="Z6" s="590"/>
      <c r="AA6" s="590"/>
      <c r="AB6" s="962" t="str">
        <f>$B$6</f>
        <v>C</v>
      </c>
      <c r="AC6" s="962"/>
      <c r="AD6" s="962"/>
      <c r="AE6" s="962"/>
      <c r="AF6" s="962"/>
      <c r="AG6" s="962"/>
    </row>
    <row r="7" spans="1:67" ht="37.5" customHeight="1" x14ac:dyDescent="0.25">
      <c r="A7" s="58"/>
      <c r="B7" s="202" t="str">
        <f>CONCATENATE($B$6,1)</f>
        <v>C1</v>
      </c>
      <c r="C7" s="998" t="str">
        <f>HLOOKUP(B7,組み合わせ!$B$48:$EO$86,2,FALSE)</f>
        <v>別府フットボールクラブ．ミネルバＵ－１２</v>
      </c>
      <c r="D7" s="998"/>
      <c r="E7" s="998"/>
      <c r="F7" s="998"/>
      <c r="G7" s="998"/>
      <c r="H7" s="998"/>
      <c r="I7" s="998"/>
      <c r="J7" s="998" t="str">
        <f>HLOOKUP(B7,組み合わせ!$B$48:$EO$86,32,FALSE)</f>
        <v>別府</v>
      </c>
      <c r="K7" s="999"/>
      <c r="M7" s="229"/>
      <c r="N7" s="202" t="str">
        <f>CONCATENATE($N$6,1)</f>
        <v>H1</v>
      </c>
      <c r="O7" s="998" t="str">
        <f>HLOOKUP(N7,組み合わせ!$B$48:$EO$86,2,FALSE)</f>
        <v>スマイス・セレソン</v>
      </c>
      <c r="P7" s="998"/>
      <c r="Q7" s="998"/>
      <c r="R7" s="998"/>
      <c r="S7" s="998"/>
      <c r="T7" s="998"/>
      <c r="U7" s="998"/>
      <c r="V7" s="998" t="str">
        <f>HLOOKUP(N7,組み合わせ!$B$48:$EO$86,32,FALSE)</f>
        <v>別府</v>
      </c>
      <c r="W7" s="999"/>
      <c r="Y7" s="58"/>
      <c r="Z7" s="713" t="str">
        <f>+B7</f>
        <v>C1</v>
      </c>
      <c r="AA7" s="713"/>
      <c r="AB7" s="713"/>
      <c r="AC7" s="713" t="str">
        <f>$C$7</f>
        <v>別府フットボールクラブ．ミネルバＵ－１２</v>
      </c>
      <c r="AD7" s="713"/>
      <c r="AE7" s="713"/>
      <c r="AF7" s="713"/>
      <c r="AG7" s="713"/>
      <c r="AH7" s="713"/>
      <c r="AI7" s="713"/>
      <c r="AJ7" s="713"/>
      <c r="AK7" s="713"/>
      <c r="AL7" s="713"/>
      <c r="AM7" s="713"/>
      <c r="AN7" s="713"/>
      <c r="AO7" s="713"/>
      <c r="AP7" s="713" t="str">
        <f>$J$7</f>
        <v>別府</v>
      </c>
      <c r="AQ7" s="713"/>
      <c r="AR7" s="713"/>
      <c r="AS7" s="713"/>
    </row>
    <row r="8" spans="1:67" ht="37.5" customHeight="1" x14ac:dyDescent="0.25">
      <c r="A8" s="58"/>
      <c r="B8" s="203" t="str">
        <f>CONCATENATE($B$6,2)</f>
        <v>C2</v>
      </c>
      <c r="C8" s="549" t="str">
        <f>HLOOKUP(B8,組み合わせ!$B$48:$EO$86,2,FALSE)</f>
        <v>カティオーラフットボールクラブＵ－１２　Ｎｅｘｔ</v>
      </c>
      <c r="D8" s="549"/>
      <c r="E8" s="549"/>
      <c r="F8" s="549"/>
      <c r="G8" s="549"/>
      <c r="H8" s="549"/>
      <c r="I8" s="549"/>
      <c r="J8" s="549" t="str">
        <f>HLOOKUP(B8,組み合わせ!$B$48:$EO$86,32,FALSE)</f>
        <v>大分</v>
      </c>
      <c r="K8" s="995"/>
      <c r="M8" s="229"/>
      <c r="N8" s="203" t="str">
        <f>CONCATENATE($N$6,2)</f>
        <v>H2</v>
      </c>
      <c r="O8" s="549" t="str">
        <f>HLOOKUP(N8,組み合わせ!$B$48:$EO$86,2,FALSE)</f>
        <v>明治北ＳＳＣ</v>
      </c>
      <c r="P8" s="549"/>
      <c r="Q8" s="549"/>
      <c r="R8" s="549"/>
      <c r="S8" s="549"/>
      <c r="T8" s="549"/>
      <c r="U8" s="549"/>
      <c r="V8" s="549" t="str">
        <f>HLOOKUP(N8,組み合わせ!$B$48:$EO$86,32,FALSE)</f>
        <v>大分</v>
      </c>
      <c r="W8" s="995"/>
      <c r="Y8" s="58"/>
      <c r="Z8" s="713" t="str">
        <f>+B8</f>
        <v>C2</v>
      </c>
      <c r="AA8" s="713"/>
      <c r="AB8" s="713"/>
      <c r="AC8" s="713" t="str">
        <f>$C$8</f>
        <v>カティオーラフットボールクラブＵ－１２　Ｎｅｘｔ</v>
      </c>
      <c r="AD8" s="713"/>
      <c r="AE8" s="713"/>
      <c r="AF8" s="713"/>
      <c r="AG8" s="713"/>
      <c r="AH8" s="713"/>
      <c r="AI8" s="713"/>
      <c r="AJ8" s="713"/>
      <c r="AK8" s="713"/>
      <c r="AL8" s="713"/>
      <c r="AM8" s="713"/>
      <c r="AN8" s="713"/>
      <c r="AO8" s="713"/>
      <c r="AP8" s="713" t="str">
        <f>$J$8</f>
        <v>大分</v>
      </c>
      <c r="AQ8" s="713"/>
      <c r="AR8" s="713"/>
      <c r="AS8" s="713"/>
    </row>
    <row r="9" spans="1:67" ht="37.5" customHeight="1" x14ac:dyDescent="0.25">
      <c r="A9" s="190"/>
      <c r="B9" s="204" t="str">
        <f>CONCATENATE($B$6,3)</f>
        <v>C3</v>
      </c>
      <c r="C9" s="996" t="str">
        <f>HLOOKUP(B9,組み合わせ!$B$48:$EO$86,2,FALSE)</f>
        <v>西の台ＪＦＣ</v>
      </c>
      <c r="D9" s="996"/>
      <c r="E9" s="996"/>
      <c r="F9" s="996"/>
      <c r="G9" s="996"/>
      <c r="H9" s="996"/>
      <c r="I9" s="996"/>
      <c r="J9" s="996" t="str">
        <f>HLOOKUP(B9,組み合わせ!$B$48:$EO$86,32,FALSE)</f>
        <v>大分</v>
      </c>
      <c r="K9" s="997"/>
      <c r="L9" s="190"/>
      <c r="M9" s="190"/>
      <c r="N9" s="204" t="str">
        <f>CONCATENATE($N$6,3)</f>
        <v>H3</v>
      </c>
      <c r="O9" s="996" t="str">
        <f>HLOOKUP(N9,組み合わせ!$B$48:$EO$86,2,FALSE)</f>
        <v>大分トリニータタートルズ</v>
      </c>
      <c r="P9" s="996"/>
      <c r="Q9" s="996"/>
      <c r="R9" s="996"/>
      <c r="S9" s="996"/>
      <c r="T9" s="996"/>
      <c r="U9" s="996"/>
      <c r="V9" s="996" t="str">
        <f>HLOOKUP(N9,組み合わせ!$B$48:$EO$86,32,FALSE)</f>
        <v>大分</v>
      </c>
      <c r="W9" s="997"/>
      <c r="Y9" s="190"/>
      <c r="Z9" s="713" t="str">
        <f>+B9</f>
        <v>C3</v>
      </c>
      <c r="AA9" s="713"/>
      <c r="AB9" s="713"/>
      <c r="AC9" s="713" t="str">
        <f>$C$9</f>
        <v>西の台ＪＦＣ</v>
      </c>
      <c r="AD9" s="713"/>
      <c r="AE9" s="713"/>
      <c r="AF9" s="713"/>
      <c r="AG9" s="713"/>
      <c r="AH9" s="713"/>
      <c r="AI9" s="713"/>
      <c r="AJ9" s="713"/>
      <c r="AK9" s="713"/>
      <c r="AL9" s="713"/>
      <c r="AM9" s="713"/>
      <c r="AN9" s="713"/>
      <c r="AO9" s="713"/>
      <c r="AP9" s="713" t="str">
        <f>$J$9</f>
        <v>大分</v>
      </c>
      <c r="AQ9" s="713"/>
      <c r="AR9" s="713"/>
      <c r="AS9" s="713"/>
    </row>
    <row r="10" spans="1:67" ht="37.5" customHeight="1" x14ac:dyDescent="0.25">
      <c r="A10" s="191" t="s">
        <v>497</v>
      </c>
      <c r="B10" s="189"/>
      <c r="C10" s="189"/>
      <c r="D10" s="189"/>
      <c r="E10" s="189"/>
      <c r="F10" s="189"/>
      <c r="G10" s="189"/>
      <c r="H10" s="189"/>
      <c r="I10" s="189"/>
      <c r="J10" s="189"/>
      <c r="K10" s="189"/>
      <c r="L10" s="189"/>
      <c r="M10" s="191" t="s">
        <v>637</v>
      </c>
      <c r="N10" s="189"/>
      <c r="O10" s="189"/>
      <c r="P10" s="189"/>
      <c r="Q10" s="189"/>
      <c r="R10" s="189"/>
      <c r="S10" s="189"/>
      <c r="T10" s="189"/>
      <c r="U10" s="189"/>
      <c r="V10" s="189"/>
      <c r="W10" s="189"/>
    </row>
    <row r="12" spans="1:67" ht="18.75" customHeight="1" x14ac:dyDescent="0.25">
      <c r="A12" s="963" t="s">
        <v>789</v>
      </c>
      <c r="B12" s="964" t="str">
        <f>C7</f>
        <v>別府フットボールクラブ．ミネルバＵ－１２</v>
      </c>
      <c r="C12" s="966">
        <f>IF(E12="","",SUM(E12:E13))</f>
        <v>3</v>
      </c>
      <c r="D12" s="940" t="s">
        <v>336</v>
      </c>
      <c r="E12" s="217">
        <v>0</v>
      </c>
      <c r="F12" s="217" t="s">
        <v>61</v>
      </c>
      <c r="G12" s="217">
        <v>0</v>
      </c>
      <c r="H12" s="940" t="s">
        <v>339</v>
      </c>
      <c r="I12" s="966">
        <f>IF(G12="","",SUM(G12:G13))</f>
        <v>0</v>
      </c>
      <c r="J12" s="968" t="str">
        <f>C8</f>
        <v>カティオーラフットボールクラブＵ－１２　Ｎｅｘｔ</v>
      </c>
      <c r="K12" s="190"/>
      <c r="L12" s="190"/>
      <c r="M12" s="969" t="s">
        <v>791</v>
      </c>
      <c r="N12" s="972" t="str">
        <f>O7</f>
        <v>スマイス・セレソン</v>
      </c>
      <c r="O12" s="966">
        <f>IF(Q12="","",SUM(Q12:Q13))</f>
        <v>0</v>
      </c>
      <c r="P12" s="940" t="s">
        <v>336</v>
      </c>
      <c r="Q12" s="217">
        <v>0</v>
      </c>
      <c r="R12" s="217" t="s">
        <v>61</v>
      </c>
      <c r="S12" s="217">
        <v>0</v>
      </c>
      <c r="T12" s="940" t="s">
        <v>339</v>
      </c>
      <c r="U12" s="966">
        <f>IF(S12="","",SUM(S12:S13))</f>
        <v>1</v>
      </c>
      <c r="V12" s="968" t="str">
        <f>O8</f>
        <v>明治北ＳＳＣ</v>
      </c>
    </row>
    <row r="13" spans="1:67" ht="18.75" customHeight="1" x14ac:dyDescent="0.25">
      <c r="A13" s="946"/>
      <c r="B13" s="965"/>
      <c r="C13" s="967"/>
      <c r="D13" s="906"/>
      <c r="E13" s="190">
        <v>3</v>
      </c>
      <c r="F13" s="190" t="s">
        <v>126</v>
      </c>
      <c r="G13" s="190">
        <v>0</v>
      </c>
      <c r="H13" s="906"/>
      <c r="I13" s="967"/>
      <c r="J13" s="957"/>
      <c r="K13" s="190"/>
      <c r="L13" s="190"/>
      <c r="M13" s="970"/>
      <c r="N13" s="973"/>
      <c r="O13" s="967"/>
      <c r="P13" s="906"/>
      <c r="Q13" s="190">
        <v>0</v>
      </c>
      <c r="R13" s="190" t="s">
        <v>126</v>
      </c>
      <c r="S13" s="190">
        <v>1</v>
      </c>
      <c r="T13" s="906"/>
      <c r="U13" s="967"/>
      <c r="V13" s="957"/>
    </row>
    <row r="14" spans="1:67" ht="19.5" customHeight="1" x14ac:dyDescent="0.25">
      <c r="A14" s="946"/>
      <c r="B14" s="980"/>
      <c r="C14" s="967"/>
      <c r="D14" s="906"/>
      <c r="E14" s="190"/>
      <c r="F14" s="190" t="s">
        <v>407</v>
      </c>
      <c r="G14" s="190"/>
      <c r="H14" s="906"/>
      <c r="I14" s="967"/>
      <c r="J14" s="958"/>
      <c r="K14" s="190"/>
      <c r="L14" s="190"/>
      <c r="M14" s="971"/>
      <c r="N14" s="974"/>
      <c r="O14" s="975"/>
      <c r="P14" s="908"/>
      <c r="Q14" s="190"/>
      <c r="R14" s="190" t="s">
        <v>407</v>
      </c>
      <c r="S14" s="190"/>
      <c r="T14" s="908"/>
      <c r="U14" s="975"/>
      <c r="V14" s="976"/>
    </row>
    <row r="15" spans="1:67" ht="18.75" customHeight="1" x14ac:dyDescent="0.25">
      <c r="A15" s="192" t="s">
        <v>2463</v>
      </c>
      <c r="B15" s="989" t="s">
        <v>15142</v>
      </c>
      <c r="C15" s="989"/>
      <c r="D15" s="989"/>
      <c r="E15" s="989"/>
      <c r="F15" s="989"/>
      <c r="G15" s="990" t="s">
        <v>2464</v>
      </c>
      <c r="H15" s="990"/>
      <c r="I15" s="990"/>
      <c r="J15" s="991" t="s">
        <v>15145</v>
      </c>
      <c r="K15" s="991"/>
      <c r="L15" s="190"/>
      <c r="M15" s="192" t="s">
        <v>2463</v>
      </c>
      <c r="N15" s="989" t="s">
        <v>15186</v>
      </c>
      <c r="O15" s="989"/>
      <c r="P15" s="989"/>
      <c r="Q15" s="989"/>
      <c r="R15" s="989"/>
      <c r="S15" s="990" t="s">
        <v>2464</v>
      </c>
      <c r="T15" s="990"/>
      <c r="U15" s="990"/>
      <c r="V15" s="991" t="s">
        <v>15145</v>
      </c>
      <c r="W15" s="991"/>
      <c r="Y15" s="954" t="str">
        <f>$Y$6</f>
        <v>パート</v>
      </c>
      <c r="Z15" s="955"/>
      <c r="AA15" s="955"/>
      <c r="AB15" s="955"/>
      <c r="AC15" s="955" t="str">
        <f>$AB$6</f>
        <v>C</v>
      </c>
      <c r="AD15" s="955"/>
      <c r="AE15" s="956"/>
      <c r="AF15" s="945" t="str">
        <f>$Y$21</f>
        <v>別府フットボールクラブ．ミネルバＵ－１２</v>
      </c>
      <c r="AG15" s="945"/>
      <c r="AH15" s="945"/>
      <c r="AI15" s="945"/>
      <c r="AJ15" s="945"/>
      <c r="AK15" s="945" t="str">
        <f>$Y$27</f>
        <v>カティオーラフットボールクラブＵ－１２　Ｎｅｘｔ</v>
      </c>
      <c r="AL15" s="945"/>
      <c r="AM15" s="945"/>
      <c r="AN15" s="945"/>
      <c r="AO15" s="945"/>
      <c r="AP15" s="945" t="str">
        <f>$Y$33</f>
        <v>西の台ＪＦＣ</v>
      </c>
      <c r="AQ15" s="945"/>
      <c r="AR15" s="945"/>
      <c r="AS15" s="945"/>
      <c r="AT15" s="945"/>
      <c r="AU15" s="945" t="s">
        <v>1535</v>
      </c>
      <c r="AV15" s="945"/>
      <c r="AW15" s="944" t="s">
        <v>2060</v>
      </c>
      <c r="AX15" s="945"/>
      <c r="AY15" s="944" t="s">
        <v>1208</v>
      </c>
      <c r="AZ15" s="945"/>
      <c r="BA15" s="945" t="s">
        <v>1727</v>
      </c>
      <c r="BB15" s="945"/>
      <c r="BC15" s="945" t="s">
        <v>2005</v>
      </c>
      <c r="BD15" s="945"/>
      <c r="BE15" s="945" t="s">
        <v>2006</v>
      </c>
      <c r="BF15" s="945"/>
      <c r="BG15" s="945" t="s">
        <v>1768</v>
      </c>
      <c r="BH15" s="945"/>
      <c r="BI15" s="944" t="s">
        <v>698</v>
      </c>
      <c r="BJ15" s="945"/>
      <c r="BK15" s="944" t="s">
        <v>1100</v>
      </c>
      <c r="BL15" s="945"/>
      <c r="BM15" s="944" t="s">
        <v>502</v>
      </c>
      <c r="BN15" s="945"/>
      <c r="BO15" s="947" t="s">
        <v>2127</v>
      </c>
    </row>
    <row r="16" spans="1:67" x14ac:dyDescent="0.25">
      <c r="A16" s="193" t="s">
        <v>2465</v>
      </c>
      <c r="B16" s="992" t="s">
        <v>15143</v>
      </c>
      <c r="C16" s="992"/>
      <c r="D16" s="992"/>
      <c r="E16" s="992"/>
      <c r="F16" s="992"/>
      <c r="G16" s="983" t="s">
        <v>2464</v>
      </c>
      <c r="H16" s="984"/>
      <c r="I16" s="985"/>
      <c r="J16" s="993" t="s">
        <v>15145</v>
      </c>
      <c r="K16" s="993"/>
      <c r="L16" s="190"/>
      <c r="M16" s="193" t="s">
        <v>2465</v>
      </c>
      <c r="N16" s="992" t="s">
        <v>15187</v>
      </c>
      <c r="O16" s="992"/>
      <c r="P16" s="992"/>
      <c r="Q16" s="992"/>
      <c r="R16" s="992"/>
      <c r="S16" s="983" t="s">
        <v>2464</v>
      </c>
      <c r="T16" s="984"/>
      <c r="U16" s="985"/>
      <c r="V16" s="993" t="s">
        <v>15145</v>
      </c>
      <c r="W16" s="993"/>
      <c r="Y16" s="905"/>
      <c r="Z16" s="906"/>
      <c r="AA16" s="906"/>
      <c r="AB16" s="906"/>
      <c r="AC16" s="906"/>
      <c r="AD16" s="906"/>
      <c r="AE16" s="957"/>
      <c r="AF16" s="946"/>
      <c r="AG16" s="946"/>
      <c r="AH16" s="946"/>
      <c r="AI16" s="946"/>
      <c r="AJ16" s="946"/>
      <c r="AK16" s="946"/>
      <c r="AL16" s="946"/>
      <c r="AM16" s="946"/>
      <c r="AN16" s="946"/>
      <c r="AO16" s="946"/>
      <c r="AP16" s="946"/>
      <c r="AQ16" s="946"/>
      <c r="AR16" s="946"/>
      <c r="AS16" s="946"/>
      <c r="AT16" s="946"/>
      <c r="AU16" s="946"/>
      <c r="AV16" s="946"/>
      <c r="AW16" s="946"/>
      <c r="AX16" s="946"/>
      <c r="AY16" s="946"/>
      <c r="AZ16" s="946"/>
      <c r="BA16" s="946"/>
      <c r="BB16" s="946"/>
      <c r="BC16" s="946"/>
      <c r="BD16" s="946"/>
      <c r="BE16" s="946"/>
      <c r="BF16" s="946"/>
      <c r="BG16" s="946"/>
      <c r="BH16" s="946"/>
      <c r="BI16" s="946"/>
      <c r="BJ16" s="946"/>
      <c r="BK16" s="946"/>
      <c r="BL16" s="946"/>
      <c r="BM16" s="946"/>
      <c r="BN16" s="946"/>
      <c r="BO16" s="948"/>
    </row>
    <row r="17" spans="1:67" x14ac:dyDescent="0.25">
      <c r="A17" s="194" t="s">
        <v>2466</v>
      </c>
      <c r="B17" s="982" t="s">
        <v>15144</v>
      </c>
      <c r="C17" s="982"/>
      <c r="D17" s="982"/>
      <c r="E17" s="982"/>
      <c r="F17" s="982"/>
      <c r="G17" s="983" t="s">
        <v>2464</v>
      </c>
      <c r="H17" s="984"/>
      <c r="I17" s="985"/>
      <c r="J17" s="986" t="s">
        <v>15145</v>
      </c>
      <c r="K17" s="986"/>
      <c r="L17" s="190"/>
      <c r="M17" s="194" t="s">
        <v>2466</v>
      </c>
      <c r="N17" s="982" t="s">
        <v>15188</v>
      </c>
      <c r="O17" s="982"/>
      <c r="P17" s="982"/>
      <c r="Q17" s="982"/>
      <c r="R17" s="982"/>
      <c r="S17" s="983" t="s">
        <v>2464</v>
      </c>
      <c r="T17" s="984"/>
      <c r="U17" s="985"/>
      <c r="V17" s="986" t="s">
        <v>15145</v>
      </c>
      <c r="W17" s="986"/>
      <c r="Y17" s="905"/>
      <c r="Z17" s="906"/>
      <c r="AA17" s="906"/>
      <c r="AB17" s="906"/>
      <c r="AC17" s="906"/>
      <c r="AD17" s="906"/>
      <c r="AE17" s="957"/>
      <c r="AF17" s="946"/>
      <c r="AG17" s="946"/>
      <c r="AH17" s="946"/>
      <c r="AI17" s="946"/>
      <c r="AJ17" s="946"/>
      <c r="AK17" s="946"/>
      <c r="AL17" s="946"/>
      <c r="AM17" s="946"/>
      <c r="AN17" s="946"/>
      <c r="AO17" s="946"/>
      <c r="AP17" s="946"/>
      <c r="AQ17" s="946"/>
      <c r="AR17" s="946"/>
      <c r="AS17" s="946"/>
      <c r="AT17" s="946"/>
      <c r="AU17" s="946"/>
      <c r="AV17" s="946"/>
      <c r="AW17" s="946"/>
      <c r="AX17" s="946"/>
      <c r="AY17" s="946"/>
      <c r="AZ17" s="946"/>
      <c r="BA17" s="946"/>
      <c r="BB17" s="946"/>
      <c r="BC17" s="946"/>
      <c r="BD17" s="946"/>
      <c r="BE17" s="946"/>
      <c r="BF17" s="946"/>
      <c r="BG17" s="946"/>
      <c r="BH17" s="946"/>
      <c r="BI17" s="946"/>
      <c r="BJ17" s="946"/>
      <c r="BK17" s="946"/>
      <c r="BL17" s="946"/>
      <c r="BM17" s="946"/>
      <c r="BN17" s="946"/>
      <c r="BO17" s="948"/>
    </row>
    <row r="18" spans="1:67" x14ac:dyDescent="0.25">
      <c r="A18" s="195" t="s">
        <v>609</v>
      </c>
      <c r="B18" s="205" t="str">
        <f>IF(ISERROR(VLOOKUP(G18,審判員!$A:$C,2,FALSE))=TRUE,"",VLOOKUP(G18,審判員!$A:$C,2,FALSE))</f>
        <v>後藤　樹明</v>
      </c>
      <c r="C18" s="211">
        <f>IF(ISERROR(VLOOKUP(G18,審判員!$A:$C,3,FALSE))=TRUE,"",VLOOKUP(G18,審判員!$A:$C,3,FALSE))</f>
        <v>2</v>
      </c>
      <c r="D18" s="218" t="s">
        <v>612</v>
      </c>
      <c r="E18" s="955" t="s">
        <v>201</v>
      </c>
      <c r="F18" s="955"/>
      <c r="G18" s="955" t="s">
        <v>15146</v>
      </c>
      <c r="H18" s="955"/>
      <c r="I18" s="955"/>
      <c r="J18" s="987" t="s">
        <v>788</v>
      </c>
      <c r="K18" s="988"/>
      <c r="L18" s="190"/>
      <c r="M18" s="195" t="s">
        <v>609</v>
      </c>
      <c r="N18" s="205" t="str">
        <f>IF(ISERROR(VLOOKUP(S18,審判員!$A:$C,2,FALSE))=TRUE,"",VLOOKUP(S18,審判員!$A:$C,2,FALSE))</f>
        <v>引地　弘幸</v>
      </c>
      <c r="O18" s="211">
        <f>IF(ISERROR(VLOOKUP(S18,審判員!$A:$C,3,FALSE))=TRUE,"",VLOOKUP(S18,審判員!$A:$C,3,FALSE))</f>
        <v>2</v>
      </c>
      <c r="P18" s="218" t="s">
        <v>612</v>
      </c>
      <c r="Q18" s="955" t="s">
        <v>201</v>
      </c>
      <c r="R18" s="955"/>
      <c r="S18" s="955" t="s">
        <v>15189</v>
      </c>
      <c r="T18" s="955"/>
      <c r="U18" s="955"/>
      <c r="V18" s="987" t="s">
        <v>788</v>
      </c>
      <c r="W18" s="988"/>
      <c r="Y18" s="905"/>
      <c r="Z18" s="906"/>
      <c r="AA18" s="906"/>
      <c r="AB18" s="906"/>
      <c r="AC18" s="906"/>
      <c r="AD18" s="906"/>
      <c r="AE18" s="957"/>
      <c r="AF18" s="946"/>
      <c r="AG18" s="946"/>
      <c r="AH18" s="946"/>
      <c r="AI18" s="946"/>
      <c r="AJ18" s="946"/>
      <c r="AK18" s="946"/>
      <c r="AL18" s="946"/>
      <c r="AM18" s="946"/>
      <c r="AN18" s="946"/>
      <c r="AO18" s="946"/>
      <c r="AP18" s="946"/>
      <c r="AQ18" s="946"/>
      <c r="AR18" s="946"/>
      <c r="AS18" s="946"/>
      <c r="AT18" s="946"/>
      <c r="AU18" s="946"/>
      <c r="AV18" s="946"/>
      <c r="AW18" s="946"/>
      <c r="AX18" s="946"/>
      <c r="AY18" s="946"/>
      <c r="AZ18" s="946"/>
      <c r="BA18" s="946"/>
      <c r="BB18" s="946"/>
      <c r="BC18" s="946"/>
      <c r="BD18" s="946"/>
      <c r="BE18" s="946"/>
      <c r="BF18" s="946"/>
      <c r="BG18" s="946"/>
      <c r="BH18" s="946"/>
      <c r="BI18" s="946"/>
      <c r="BJ18" s="946"/>
      <c r="BK18" s="946"/>
      <c r="BL18" s="946"/>
      <c r="BM18" s="946"/>
      <c r="BN18" s="946"/>
      <c r="BO18" s="948"/>
    </row>
    <row r="19" spans="1:67" x14ac:dyDescent="0.25">
      <c r="A19" s="196" t="s">
        <v>704</v>
      </c>
      <c r="B19" s="206" t="str">
        <f>IF(ISERROR(VLOOKUP(G19,審判員!$A:$C,2,FALSE))=TRUE,"",VLOOKUP(G19,審判員!$A:$C,2,FALSE))</f>
        <v>柳元　哲哉</v>
      </c>
      <c r="C19" s="212">
        <f>IF(ISERROR(VLOOKUP(G19,審判員!$A:$C,3,FALSE))=TRUE,"",VLOOKUP(G19,審判員!$A:$C,3,FALSE))</f>
        <v>3</v>
      </c>
      <c r="D19" s="219" t="s">
        <v>612</v>
      </c>
      <c r="E19" s="906" t="s">
        <v>1286</v>
      </c>
      <c r="F19" s="906"/>
      <c r="G19" s="906" t="s">
        <v>15147</v>
      </c>
      <c r="H19" s="906"/>
      <c r="I19" s="906"/>
      <c r="J19" s="891" t="str">
        <f>N12</f>
        <v>スマイス・セレソン</v>
      </c>
      <c r="K19" s="981"/>
      <c r="L19" s="190"/>
      <c r="M19" s="196" t="s">
        <v>704</v>
      </c>
      <c r="N19" s="206" t="str">
        <f>IF(ISERROR(VLOOKUP(S19,審判員!$A:$C,2,FALSE))=TRUE,"",VLOOKUP(S19,審判員!$A:$C,2,FALSE))</f>
        <v>寺坂　洸希</v>
      </c>
      <c r="O19" s="212">
        <f>IF(ISERROR(VLOOKUP(S19,審判員!$A:$C,3,FALSE))=TRUE,"",VLOOKUP(S19,審判員!$A:$C,3,FALSE))</f>
        <v>3</v>
      </c>
      <c r="P19" s="219" t="s">
        <v>612</v>
      </c>
      <c r="Q19" s="906" t="s">
        <v>1286</v>
      </c>
      <c r="R19" s="906"/>
      <c r="S19" s="906" t="s">
        <v>15190</v>
      </c>
      <c r="T19" s="906"/>
      <c r="U19" s="906"/>
      <c r="V19" s="891" t="str">
        <f>B12</f>
        <v>別府フットボールクラブ．ミネルバＵ－１２</v>
      </c>
      <c r="W19" s="981"/>
      <c r="Y19" s="905"/>
      <c r="Z19" s="906"/>
      <c r="AA19" s="906"/>
      <c r="AB19" s="906"/>
      <c r="AC19" s="906"/>
      <c r="AD19" s="906"/>
      <c r="AE19" s="957"/>
      <c r="AF19" s="946"/>
      <c r="AG19" s="946"/>
      <c r="AH19" s="946"/>
      <c r="AI19" s="946"/>
      <c r="AJ19" s="946"/>
      <c r="AK19" s="946"/>
      <c r="AL19" s="946"/>
      <c r="AM19" s="946"/>
      <c r="AN19" s="946"/>
      <c r="AO19" s="946"/>
      <c r="AP19" s="946"/>
      <c r="AQ19" s="946"/>
      <c r="AR19" s="946"/>
      <c r="AS19" s="946"/>
      <c r="AT19" s="946"/>
      <c r="AU19" s="946"/>
      <c r="AV19" s="946"/>
      <c r="AW19" s="946"/>
      <c r="AX19" s="946"/>
      <c r="AY19" s="946"/>
      <c r="AZ19" s="946"/>
      <c r="BA19" s="946"/>
      <c r="BB19" s="946"/>
      <c r="BC19" s="946"/>
      <c r="BD19" s="946"/>
      <c r="BE19" s="946"/>
      <c r="BF19" s="946"/>
      <c r="BG19" s="946"/>
      <c r="BH19" s="946"/>
      <c r="BI19" s="946"/>
      <c r="BJ19" s="946"/>
      <c r="BK19" s="946"/>
      <c r="BL19" s="946"/>
      <c r="BM19" s="946"/>
      <c r="BN19" s="946"/>
      <c r="BO19" s="948"/>
    </row>
    <row r="20" spans="1:67" x14ac:dyDescent="0.25">
      <c r="A20" s="196" t="s">
        <v>2007</v>
      </c>
      <c r="B20" s="206" t="str">
        <f>IF(ISERROR(VLOOKUP(G20,審判員!$A:$C,2,FALSE))=TRUE,"",VLOOKUP(G20,審判員!$A:$C,2,FALSE))</f>
        <v>廣戸　誠一</v>
      </c>
      <c r="C20" s="212">
        <f>IF(ISERROR(VLOOKUP(G20,審判員!$A:$C,3,FALSE))=TRUE,"",VLOOKUP(G20,審判員!$A:$C,3,FALSE))</f>
        <v>3</v>
      </c>
      <c r="D20" s="219" t="s">
        <v>612</v>
      </c>
      <c r="E20" s="906" t="s">
        <v>1286</v>
      </c>
      <c r="F20" s="906"/>
      <c r="G20" s="906" t="s">
        <v>15148</v>
      </c>
      <c r="H20" s="906"/>
      <c r="I20" s="906"/>
      <c r="J20" s="891" t="str">
        <f>V12</f>
        <v>明治北ＳＳＣ</v>
      </c>
      <c r="K20" s="981"/>
      <c r="L20" s="190"/>
      <c r="M20" s="196" t="s">
        <v>2007</v>
      </c>
      <c r="N20" s="206" t="str">
        <f>IF(ISERROR(VLOOKUP(S20,審判員!$A:$C,2,FALSE))=TRUE,"",VLOOKUP(S20,審判員!$A:$C,2,FALSE))</f>
        <v>藤本　勝爾</v>
      </c>
      <c r="O20" s="212">
        <f>IF(ISERROR(VLOOKUP(S20,審判員!$A:$C,3,FALSE))=TRUE,"",VLOOKUP(S20,審判員!$A:$C,3,FALSE))</f>
        <v>3</v>
      </c>
      <c r="P20" s="219" t="s">
        <v>612</v>
      </c>
      <c r="Q20" s="906" t="s">
        <v>1286</v>
      </c>
      <c r="R20" s="906"/>
      <c r="S20" s="906" t="s">
        <v>15191</v>
      </c>
      <c r="T20" s="906"/>
      <c r="U20" s="906"/>
      <c r="V20" s="891" t="str">
        <f>J12</f>
        <v>カティオーラフットボールクラブＵ－１２　Ｎｅｘｔ</v>
      </c>
      <c r="W20" s="981"/>
      <c r="Y20" s="941"/>
      <c r="Z20" s="936"/>
      <c r="AA20" s="936"/>
      <c r="AB20" s="936"/>
      <c r="AC20" s="936"/>
      <c r="AD20" s="936"/>
      <c r="AE20" s="958"/>
      <c r="AF20" s="946"/>
      <c r="AG20" s="946"/>
      <c r="AH20" s="946"/>
      <c r="AI20" s="946"/>
      <c r="AJ20" s="946"/>
      <c r="AK20" s="946"/>
      <c r="AL20" s="946"/>
      <c r="AM20" s="946"/>
      <c r="AN20" s="946"/>
      <c r="AO20" s="946"/>
      <c r="AP20" s="946"/>
      <c r="AQ20" s="946"/>
      <c r="AR20" s="946"/>
      <c r="AS20" s="946"/>
      <c r="AT20" s="946"/>
      <c r="AU20" s="946"/>
      <c r="AV20" s="946"/>
      <c r="AW20" s="946"/>
      <c r="AX20" s="946"/>
      <c r="AY20" s="946"/>
      <c r="AZ20" s="946"/>
      <c r="BA20" s="946"/>
      <c r="BB20" s="946"/>
      <c r="BC20" s="946"/>
      <c r="BD20" s="946"/>
      <c r="BE20" s="946"/>
      <c r="BF20" s="946"/>
      <c r="BG20" s="946"/>
      <c r="BH20" s="946"/>
      <c r="BI20" s="946"/>
      <c r="BJ20" s="946"/>
      <c r="BK20" s="946"/>
      <c r="BL20" s="946"/>
      <c r="BM20" s="946"/>
      <c r="BN20" s="946"/>
      <c r="BO20" s="949"/>
    </row>
    <row r="21" spans="1:67" ht="18.75" customHeight="1" x14ac:dyDescent="0.25">
      <c r="A21" s="197" t="s">
        <v>2008</v>
      </c>
      <c r="B21" s="207" t="str">
        <f>IF(ISERROR(VLOOKUP(G21,審判員!$A:$C,2,FALSE))=TRUE,"",VLOOKUP(G21,審判員!$A:$C,2,FALSE))</f>
        <v>東藤　正幸</v>
      </c>
      <c r="C21" s="213">
        <f>IF(ISERROR(VLOOKUP(G21,審判員!$A:$C,3,FALSE))=TRUE,"",VLOOKUP(G21,審判員!$A:$C,3,FALSE))</f>
        <v>3</v>
      </c>
      <c r="D21" s="220" t="s">
        <v>612</v>
      </c>
      <c r="E21" s="977" t="s">
        <v>1286</v>
      </c>
      <c r="F21" s="977"/>
      <c r="G21" s="977" t="s">
        <v>15149</v>
      </c>
      <c r="H21" s="977"/>
      <c r="I21" s="977"/>
      <c r="J21" s="978" t="s">
        <v>788</v>
      </c>
      <c r="K21" s="979"/>
      <c r="L21" s="190"/>
      <c r="M21" s="197" t="s">
        <v>2008</v>
      </c>
      <c r="N21" s="207" t="str">
        <f>IF(ISERROR(VLOOKUP(S21,審判員!$A:$C,2,FALSE))=TRUE,"",VLOOKUP(S21,審判員!$A:$C,2,FALSE))</f>
        <v>伊藤　宏充</v>
      </c>
      <c r="O21" s="213">
        <f>IF(ISERROR(VLOOKUP(S21,審判員!$A:$C,3,FALSE))=TRUE,"",VLOOKUP(S21,審判員!$A:$C,3,FALSE))</f>
        <v>3</v>
      </c>
      <c r="P21" s="220" t="s">
        <v>612</v>
      </c>
      <c r="Q21" s="977" t="s">
        <v>1286</v>
      </c>
      <c r="R21" s="977"/>
      <c r="S21" s="977" t="s">
        <v>15192</v>
      </c>
      <c r="T21" s="977"/>
      <c r="U21" s="977"/>
      <c r="V21" s="978" t="s">
        <v>788</v>
      </c>
      <c r="W21" s="979"/>
      <c r="Y21" s="939" t="str">
        <f>$AC$7</f>
        <v>別府フットボールクラブ．ミネルバＵ－１２</v>
      </c>
      <c r="Z21" s="940"/>
      <c r="AA21" s="940"/>
      <c r="AB21" s="940"/>
      <c r="AC21" s="940"/>
      <c r="AD21" s="940" t="s">
        <v>242</v>
      </c>
      <c r="AE21" s="940"/>
      <c r="AF21" s="950"/>
      <c r="AG21" s="942"/>
      <c r="AH21" s="942"/>
      <c r="AI21" s="942"/>
      <c r="AJ21" s="951"/>
      <c r="AK21" s="923" t="str">
        <f>IF(AK25="","",IF(AK25&gt;AN25,"○",IF(AK25&lt;AN25,"●",IF(AK23&gt;AN23,"△",IF(AK23&lt;AN23,"▲")))))</f>
        <v>○</v>
      </c>
      <c r="AL21" s="924"/>
      <c r="AM21" s="924"/>
      <c r="AN21" s="924"/>
      <c r="AO21" s="925"/>
      <c r="AP21" s="923" t="str">
        <f>IF(AP25="","",IF(AP25&gt;AS25,"○",IF(AP25&lt;AS25,"●",IF(AP23&gt;AS23,"△",IF(AP23&lt;AS23,"▲")))))</f>
        <v>○</v>
      </c>
      <c r="AQ21" s="924"/>
      <c r="AR21" s="924"/>
      <c r="AS21" s="924"/>
      <c r="AT21" s="925"/>
      <c r="AU21" s="903">
        <f>COUNTIF($AF$21:$AT$22,"○")</f>
        <v>2</v>
      </c>
      <c r="AV21" s="903"/>
      <c r="AW21" s="903">
        <f>COUNTIF($AF$21:$AT$22,"△")</f>
        <v>0</v>
      </c>
      <c r="AX21" s="903"/>
      <c r="AY21" s="903">
        <f>COUNTIF($AF$21:$AT$22,"▲")</f>
        <v>0</v>
      </c>
      <c r="AZ21" s="903"/>
      <c r="BA21" s="903">
        <f>COUNTIF($AF$21:$AT$22,"●")</f>
        <v>0</v>
      </c>
      <c r="BB21" s="903"/>
      <c r="BC21" s="903">
        <f>SUM($AK$25,$AP$25)</f>
        <v>6</v>
      </c>
      <c r="BD21" s="903"/>
      <c r="BE21" s="903">
        <f>SUM($AN$25,$AS$25)</f>
        <v>0</v>
      </c>
      <c r="BF21" s="903"/>
      <c r="BG21" s="903">
        <f>($AU$21*3)+($AW$21*2)+($AY$21*1)</f>
        <v>6</v>
      </c>
      <c r="BH21" s="903"/>
      <c r="BI21" s="910">
        <f>RANK($BG$21,$BG$21:$BH$38)</f>
        <v>1</v>
      </c>
      <c r="BJ21" s="910"/>
      <c r="BK21" s="903">
        <f>$BC$21-$BE$21</f>
        <v>6</v>
      </c>
      <c r="BL21" s="903"/>
      <c r="BM21" s="910">
        <f>RANK($BK$21,$BK$21:$BL$38)</f>
        <v>1</v>
      </c>
      <c r="BN21" s="910"/>
      <c r="BO21" s="912"/>
    </row>
    <row r="22" spans="1:67" ht="18.75" customHeight="1" x14ac:dyDescent="0.25">
      <c r="A22" s="198" t="s">
        <v>469</v>
      </c>
      <c r="B22" s="208" t="s">
        <v>606</v>
      </c>
      <c r="C22" s="208" t="s">
        <v>234</v>
      </c>
      <c r="D22" s="208" t="s">
        <v>272</v>
      </c>
      <c r="E22" s="208" t="s">
        <v>750</v>
      </c>
      <c r="F22" s="223"/>
      <c r="G22" s="208" t="s">
        <v>750</v>
      </c>
      <c r="H22" s="208" t="s">
        <v>272</v>
      </c>
      <c r="I22" s="208" t="s">
        <v>234</v>
      </c>
      <c r="J22" s="208" t="s">
        <v>606</v>
      </c>
      <c r="K22" s="225" t="s">
        <v>469</v>
      </c>
      <c r="L22" s="190"/>
      <c r="M22" s="198" t="s">
        <v>469</v>
      </c>
      <c r="N22" s="208" t="s">
        <v>606</v>
      </c>
      <c r="O22" s="208" t="s">
        <v>234</v>
      </c>
      <c r="P22" s="208" t="s">
        <v>272</v>
      </c>
      <c r="Q22" s="208" t="s">
        <v>750</v>
      </c>
      <c r="R22" s="223"/>
      <c r="S22" s="208" t="s">
        <v>750</v>
      </c>
      <c r="T22" s="208" t="s">
        <v>272</v>
      </c>
      <c r="U22" s="208" t="s">
        <v>234</v>
      </c>
      <c r="V22" s="208" t="s">
        <v>606</v>
      </c>
      <c r="W22" s="225" t="s">
        <v>469</v>
      </c>
      <c r="Y22" s="905"/>
      <c r="Z22" s="906"/>
      <c r="AA22" s="906"/>
      <c r="AB22" s="906"/>
      <c r="AC22" s="906"/>
      <c r="AD22" s="906"/>
      <c r="AE22" s="906"/>
      <c r="AF22" s="929"/>
      <c r="AG22" s="930"/>
      <c r="AH22" s="930"/>
      <c r="AI22" s="930"/>
      <c r="AJ22" s="931"/>
      <c r="AK22" s="917"/>
      <c r="AL22" s="918"/>
      <c r="AM22" s="918"/>
      <c r="AN22" s="918"/>
      <c r="AO22" s="920"/>
      <c r="AP22" s="917"/>
      <c r="AQ22" s="918"/>
      <c r="AR22" s="918"/>
      <c r="AS22" s="918"/>
      <c r="AT22" s="920"/>
      <c r="AU22" s="903"/>
      <c r="AV22" s="903"/>
      <c r="AW22" s="903"/>
      <c r="AX22" s="903"/>
      <c r="AY22" s="903"/>
      <c r="AZ22" s="903"/>
      <c r="BA22" s="903"/>
      <c r="BB22" s="903"/>
      <c r="BC22" s="903"/>
      <c r="BD22" s="903"/>
      <c r="BE22" s="903"/>
      <c r="BF22" s="903"/>
      <c r="BG22" s="903"/>
      <c r="BH22" s="903"/>
      <c r="BI22" s="910"/>
      <c r="BJ22" s="910"/>
      <c r="BK22" s="903"/>
      <c r="BL22" s="903"/>
      <c r="BM22" s="910"/>
      <c r="BN22" s="910"/>
      <c r="BO22" s="913"/>
    </row>
    <row r="23" spans="1:67" ht="18.75" customHeight="1" x14ac:dyDescent="0.25">
      <c r="A23" s="199"/>
      <c r="B23" s="209" t="str">
        <f>IF(ISERROR(VLOOKUP(CONCATENATE($B$12,"_",C23),選手名簿!$A:$E,5,FALSE))=TRUE,"",VLOOKUP(CONCATENATE($B$12,"_",C23),選手名簿!$A:$E,5,FALSE))</f>
        <v/>
      </c>
      <c r="C23" s="214"/>
      <c r="D23" s="214"/>
      <c r="E23" s="221"/>
      <c r="F23" s="223"/>
      <c r="G23" s="221" t="s">
        <v>742</v>
      </c>
      <c r="H23" s="214">
        <v>18</v>
      </c>
      <c r="I23" s="214">
        <v>8</v>
      </c>
      <c r="J23" s="206" t="str">
        <f>IF(ISERROR(VLOOKUP(CONCATENATE($J$12,"_",I23),選手名簿!$A:$E,5,FALSE))=TRUE,"",VLOOKUP(CONCATENATE($J$12,"_",I23),選手名簿!$A:$E,5,FALSE))</f>
        <v>江藤　浩介</v>
      </c>
      <c r="K23" s="226" t="s">
        <v>579</v>
      </c>
      <c r="L23" s="190"/>
      <c r="M23" s="199"/>
      <c r="N23" s="209" t="str">
        <f>IF(ISERROR(VLOOKUP(CONCATENATE($N$12,"_",O23),選手名簿!$A:$E,5,FALSE))=TRUE,"",VLOOKUP(CONCATENATE($N$12,"_",O23),選手名簿!$A:$E,5,FALSE))</f>
        <v/>
      </c>
      <c r="O23" s="214"/>
      <c r="P23" s="214"/>
      <c r="Q23" s="221"/>
      <c r="R23" s="223"/>
      <c r="S23" s="221"/>
      <c r="T23" s="214"/>
      <c r="U23" s="214"/>
      <c r="V23" s="206" t="str">
        <f>IF(ISERROR(VLOOKUP(CONCATENATE($V$12,"_",U23),選手名簿!$A:$E,5,FALSE))=TRUE,"",VLOOKUP(CONCATENATE($V$12,"_",U23),選手名簿!$A:$E,5,FALSE))</f>
        <v/>
      </c>
      <c r="W23" s="226"/>
      <c r="Y23" s="905"/>
      <c r="Z23" s="906"/>
      <c r="AA23" s="906"/>
      <c r="AB23" s="906"/>
      <c r="AC23" s="906"/>
      <c r="AD23" s="906"/>
      <c r="AE23" s="906"/>
      <c r="AF23" s="929"/>
      <c r="AG23" s="930"/>
      <c r="AH23" s="930"/>
      <c r="AI23" s="930"/>
      <c r="AJ23" s="931"/>
      <c r="AK23" s="915" t="str">
        <f>IF($E$14="","",$E$14)</f>
        <v/>
      </c>
      <c r="AL23" s="916"/>
      <c r="AM23" s="916" t="s">
        <v>2011</v>
      </c>
      <c r="AN23" s="916" t="str">
        <f>IF($G$14="","",$G$14)</f>
        <v/>
      </c>
      <c r="AO23" s="919"/>
      <c r="AP23" s="915" t="str">
        <f>IF($G$50="","",$G$50)</f>
        <v/>
      </c>
      <c r="AQ23" s="916"/>
      <c r="AR23" s="916" t="s">
        <v>2011</v>
      </c>
      <c r="AS23" s="916" t="str">
        <f>IF($E$50="","",$E$50)</f>
        <v/>
      </c>
      <c r="AT23" s="919"/>
      <c r="AU23" s="903"/>
      <c r="AV23" s="903"/>
      <c r="AW23" s="903"/>
      <c r="AX23" s="903"/>
      <c r="AY23" s="903"/>
      <c r="AZ23" s="903"/>
      <c r="BA23" s="903"/>
      <c r="BB23" s="903"/>
      <c r="BC23" s="903"/>
      <c r="BD23" s="903"/>
      <c r="BE23" s="903"/>
      <c r="BF23" s="903"/>
      <c r="BG23" s="903"/>
      <c r="BH23" s="903"/>
      <c r="BI23" s="910"/>
      <c r="BJ23" s="910"/>
      <c r="BK23" s="903"/>
      <c r="BL23" s="903"/>
      <c r="BM23" s="910"/>
      <c r="BN23" s="910"/>
      <c r="BO23" s="913"/>
    </row>
    <row r="24" spans="1:67" ht="18.75" customHeight="1" x14ac:dyDescent="0.25">
      <c r="A24" s="199"/>
      <c r="B24" s="209" t="str">
        <f>IF(ISERROR(VLOOKUP(CONCATENATE($B$12,"_",C24),選手名簿!$A:$E,5,FALSE))=TRUE,"",VLOOKUP(CONCATENATE($B$12,"_",C24),選手名簿!$A:$E,5,FALSE))</f>
        <v/>
      </c>
      <c r="C24" s="214"/>
      <c r="D24" s="214"/>
      <c r="E24" s="221"/>
      <c r="F24" s="223"/>
      <c r="G24" s="221"/>
      <c r="H24" s="214"/>
      <c r="I24" s="214"/>
      <c r="J24" s="209" t="str">
        <f>IF(ISERROR(VLOOKUP(CONCATENATE($J$12,"_",I24),選手名簿!$A:$E,5,FALSE))=TRUE,"",VLOOKUP(CONCATENATE($J$12,"_",I24),選手名簿!$A:$E,5,FALSE))</f>
        <v/>
      </c>
      <c r="K24" s="226"/>
      <c r="L24" s="190"/>
      <c r="M24" s="199"/>
      <c r="N24" s="209" t="str">
        <f>IF(ISERROR(VLOOKUP(CONCATENATE($N$12,"_",O24),選手名簿!$A:$E,5,FALSE))=TRUE,"",VLOOKUP(CONCATENATE($N$12,"_",O24),選手名簿!$A:$E,5,FALSE))</f>
        <v/>
      </c>
      <c r="O24" s="214"/>
      <c r="P24" s="214"/>
      <c r="Q24" s="221"/>
      <c r="R24" s="223"/>
      <c r="S24" s="221"/>
      <c r="T24" s="214"/>
      <c r="U24" s="214"/>
      <c r="V24" s="209" t="str">
        <f>IF(ISERROR(VLOOKUP(CONCATENATE($V$12,"_",U24),選手名簿!$A:$E,5,FALSE))=TRUE,"",VLOOKUP(CONCATENATE($V$12,"_",U24),選手名簿!$A:$E,5,FALSE))</f>
        <v/>
      </c>
      <c r="W24" s="226"/>
      <c r="Y24" s="905"/>
      <c r="Z24" s="906"/>
      <c r="AA24" s="906"/>
      <c r="AB24" s="906"/>
      <c r="AC24" s="906"/>
      <c r="AD24" s="906" t="s">
        <v>2010</v>
      </c>
      <c r="AE24" s="906"/>
      <c r="AF24" s="929"/>
      <c r="AG24" s="930"/>
      <c r="AH24" s="930"/>
      <c r="AI24" s="930"/>
      <c r="AJ24" s="931"/>
      <c r="AK24" s="917"/>
      <c r="AL24" s="918"/>
      <c r="AM24" s="918"/>
      <c r="AN24" s="918"/>
      <c r="AO24" s="920"/>
      <c r="AP24" s="917"/>
      <c r="AQ24" s="918"/>
      <c r="AR24" s="918"/>
      <c r="AS24" s="918"/>
      <c r="AT24" s="920"/>
      <c r="AU24" s="903"/>
      <c r="AV24" s="903"/>
      <c r="AW24" s="903"/>
      <c r="AX24" s="903"/>
      <c r="AY24" s="903"/>
      <c r="AZ24" s="903"/>
      <c r="BA24" s="903"/>
      <c r="BB24" s="903"/>
      <c r="BC24" s="903"/>
      <c r="BD24" s="903"/>
      <c r="BE24" s="903"/>
      <c r="BF24" s="903"/>
      <c r="BG24" s="903"/>
      <c r="BH24" s="903"/>
      <c r="BI24" s="910"/>
      <c r="BJ24" s="910"/>
      <c r="BK24" s="903"/>
      <c r="BL24" s="903"/>
      <c r="BM24" s="910"/>
      <c r="BN24" s="910"/>
      <c r="BO24" s="913"/>
    </row>
    <row r="25" spans="1:67" ht="18.75" customHeight="1" x14ac:dyDescent="0.25">
      <c r="A25" s="199"/>
      <c r="B25" s="209" t="str">
        <f>IF(ISERROR(VLOOKUP(CONCATENATE($B$12,"_",C25),選手名簿!$A:$E,5,FALSE))=TRUE,"",VLOOKUP(CONCATENATE($B$12,"_",C25),選手名簿!$A:$E,5,FALSE))</f>
        <v/>
      </c>
      <c r="C25" s="214"/>
      <c r="D25" s="214"/>
      <c r="E25" s="221"/>
      <c r="F25" s="223"/>
      <c r="G25" s="221"/>
      <c r="H25" s="214"/>
      <c r="I25" s="214"/>
      <c r="J25" s="209" t="str">
        <f>IF(ISERROR(VLOOKUP(CONCATENATE($J$12,"_",I25),選手名簿!$A:$E,5,FALSE))=TRUE,"",VLOOKUP(CONCATENATE($J$12,"_",I25),選手名簿!$A:$E,5,FALSE))</f>
        <v/>
      </c>
      <c r="K25" s="226"/>
      <c r="L25" s="190"/>
      <c r="M25" s="199"/>
      <c r="N25" s="209" t="str">
        <f>IF(ISERROR(VLOOKUP(CONCATENATE($N$12,"_",O25),選手名簿!$A:$E,5,FALSE))=TRUE,"",VLOOKUP(CONCATENATE($N$12,"_",O25),選手名簿!$A:$E,5,FALSE))</f>
        <v/>
      </c>
      <c r="O25" s="214"/>
      <c r="P25" s="214"/>
      <c r="Q25" s="221"/>
      <c r="R25" s="223"/>
      <c r="S25" s="221"/>
      <c r="T25" s="214"/>
      <c r="U25" s="214"/>
      <c r="V25" s="209" t="str">
        <f>IF(ISERROR(VLOOKUP(CONCATENATE($V$12,"_",U25),選手名簿!$A:$E,5,FALSE))=TRUE,"",VLOOKUP(CONCATENATE($V$12,"_",U25),選手名簿!$A:$E,5,FALSE))</f>
        <v/>
      </c>
      <c r="W25" s="226"/>
      <c r="Y25" s="905"/>
      <c r="Z25" s="906"/>
      <c r="AA25" s="906"/>
      <c r="AB25" s="906"/>
      <c r="AC25" s="906"/>
      <c r="AD25" s="906"/>
      <c r="AE25" s="906"/>
      <c r="AF25" s="929"/>
      <c r="AG25" s="930"/>
      <c r="AH25" s="930"/>
      <c r="AI25" s="930"/>
      <c r="AJ25" s="931"/>
      <c r="AK25" s="915">
        <f>$C$12</f>
        <v>3</v>
      </c>
      <c r="AL25" s="916"/>
      <c r="AM25" s="916" t="s">
        <v>2011</v>
      </c>
      <c r="AN25" s="916">
        <f>$I$12</f>
        <v>0</v>
      </c>
      <c r="AO25" s="919"/>
      <c r="AP25" s="915">
        <f>$I$48</f>
        <v>3</v>
      </c>
      <c r="AQ25" s="916"/>
      <c r="AR25" s="916" t="s">
        <v>2011</v>
      </c>
      <c r="AS25" s="916">
        <f>$C$48</f>
        <v>0</v>
      </c>
      <c r="AT25" s="919"/>
      <c r="AU25" s="903"/>
      <c r="AV25" s="903"/>
      <c r="AW25" s="903"/>
      <c r="AX25" s="903"/>
      <c r="AY25" s="903"/>
      <c r="AZ25" s="903"/>
      <c r="BA25" s="903"/>
      <c r="BB25" s="903"/>
      <c r="BC25" s="903"/>
      <c r="BD25" s="903"/>
      <c r="BE25" s="903"/>
      <c r="BF25" s="903"/>
      <c r="BG25" s="903"/>
      <c r="BH25" s="903"/>
      <c r="BI25" s="910"/>
      <c r="BJ25" s="910"/>
      <c r="BK25" s="903"/>
      <c r="BL25" s="903"/>
      <c r="BM25" s="910"/>
      <c r="BN25" s="910"/>
      <c r="BO25" s="913"/>
    </row>
    <row r="26" spans="1:67" ht="18.75" customHeight="1" x14ac:dyDescent="0.25">
      <c r="A26" s="199"/>
      <c r="B26" s="209" t="str">
        <f>IF(ISERROR(VLOOKUP(CONCATENATE($B$12,"_",C26),選手名簿!$A:$E,5,FALSE))=TRUE,"",VLOOKUP(CONCATENATE($B$12,"_",C26),選手名簿!$A:$E,5,FALSE))</f>
        <v/>
      </c>
      <c r="C26" s="214"/>
      <c r="D26" s="214"/>
      <c r="E26" s="221"/>
      <c r="F26" s="223"/>
      <c r="G26" s="221"/>
      <c r="H26" s="214"/>
      <c r="I26" s="214"/>
      <c r="J26" s="209" t="str">
        <f>IF(ISERROR(VLOOKUP(CONCATENATE($J$12,"_",I26),選手名簿!$A:$E,5,FALSE))=TRUE,"",VLOOKUP(CONCATENATE($J$12,"_",I26),選手名簿!$A:$E,5,FALSE))</f>
        <v/>
      </c>
      <c r="K26" s="226"/>
      <c r="L26" s="190"/>
      <c r="M26" s="199"/>
      <c r="N26" s="209" t="str">
        <f>IF(ISERROR(VLOOKUP(CONCATENATE($N$12,"_",O26),選手名簿!$A:$E,5,FALSE))=TRUE,"",VLOOKUP(CONCATENATE($N$12,"_",O26),選手名簿!$A:$E,5,FALSE))</f>
        <v/>
      </c>
      <c r="O26" s="214"/>
      <c r="P26" s="214"/>
      <c r="Q26" s="221"/>
      <c r="R26" s="223"/>
      <c r="S26" s="221"/>
      <c r="T26" s="214"/>
      <c r="U26" s="214"/>
      <c r="V26" s="209" t="str">
        <f>IF(ISERROR(VLOOKUP(CONCATENATE($V$12,"_",U26),選手名簿!$A:$E,5,FALSE))=TRUE,"",VLOOKUP(CONCATENATE($V$12,"_",U26),選手名簿!$A:$E,5,FALSE))</f>
        <v/>
      </c>
      <c r="W26" s="226"/>
      <c r="Y26" s="941"/>
      <c r="Z26" s="936"/>
      <c r="AA26" s="936"/>
      <c r="AB26" s="936"/>
      <c r="AC26" s="936"/>
      <c r="AD26" s="936"/>
      <c r="AE26" s="936"/>
      <c r="AF26" s="952"/>
      <c r="AG26" s="943"/>
      <c r="AH26" s="943"/>
      <c r="AI26" s="943"/>
      <c r="AJ26" s="953"/>
      <c r="AK26" s="937"/>
      <c r="AL26" s="560"/>
      <c r="AM26" s="560"/>
      <c r="AN26" s="560"/>
      <c r="AO26" s="938"/>
      <c r="AP26" s="937"/>
      <c r="AQ26" s="560"/>
      <c r="AR26" s="560"/>
      <c r="AS26" s="560"/>
      <c r="AT26" s="938"/>
      <c r="AU26" s="903"/>
      <c r="AV26" s="903"/>
      <c r="AW26" s="903"/>
      <c r="AX26" s="903"/>
      <c r="AY26" s="903"/>
      <c r="AZ26" s="903"/>
      <c r="BA26" s="903"/>
      <c r="BB26" s="903"/>
      <c r="BC26" s="903"/>
      <c r="BD26" s="903"/>
      <c r="BE26" s="903"/>
      <c r="BF26" s="903"/>
      <c r="BG26" s="903"/>
      <c r="BH26" s="903"/>
      <c r="BI26" s="910"/>
      <c r="BJ26" s="910"/>
      <c r="BK26" s="903"/>
      <c r="BL26" s="903"/>
      <c r="BM26" s="910"/>
      <c r="BN26" s="910"/>
      <c r="BO26" s="935"/>
    </row>
    <row r="27" spans="1:67" ht="18.75" customHeight="1" x14ac:dyDescent="0.25">
      <c r="A27" s="200"/>
      <c r="B27" s="210" t="str">
        <f>IF(ISERROR(VLOOKUP(CONCATENATE($B$12,"_",C27),選手名簿!$A:$E,5,FALSE))=TRUE,"",VLOOKUP(CONCATENATE($B$12,"_",C27),選手名簿!$A:$E,5,FALSE))</f>
        <v/>
      </c>
      <c r="C27" s="215"/>
      <c r="D27" s="215"/>
      <c r="E27" s="222"/>
      <c r="F27" s="224"/>
      <c r="G27" s="222"/>
      <c r="H27" s="215"/>
      <c r="I27" s="215"/>
      <c r="J27" s="210" t="str">
        <f>IF(ISERROR(VLOOKUP(CONCATENATE($J$12,"_",I27),選手名簿!$A:$E,5,FALSE))=TRUE,"",VLOOKUP(CONCATENATE($J$12,"_",I27),選手名簿!$A:$E,5,FALSE))</f>
        <v/>
      </c>
      <c r="K27" s="227"/>
      <c r="L27" s="190"/>
      <c r="M27" s="200"/>
      <c r="N27" s="210" t="str">
        <f>IF(ISERROR(VLOOKUP(CONCATENATE($N$12,"_",O27),選手名簿!$A:$E,5,FALSE))=TRUE,"",VLOOKUP(CONCATENATE($N$12,"_",O27),選手名簿!$A:$E,5,FALSE))</f>
        <v/>
      </c>
      <c r="O27" s="215"/>
      <c r="P27" s="215"/>
      <c r="Q27" s="222"/>
      <c r="R27" s="224"/>
      <c r="S27" s="222"/>
      <c r="T27" s="215"/>
      <c r="U27" s="215"/>
      <c r="V27" s="210" t="str">
        <f>IF(ISERROR(VLOOKUP(CONCATENATE($V$12,"_",U27),選手名簿!$A:$E,5,FALSE))=TRUE,"",VLOOKUP(CONCATENATE($V$12,"_",U27),選手名簿!$A:$E,5,FALSE))</f>
        <v/>
      </c>
      <c r="W27" s="227"/>
      <c r="Y27" s="939" t="str">
        <f>$AC$8</f>
        <v>カティオーラフットボールクラブＵ－１２　Ｎｅｘｔ</v>
      </c>
      <c r="Z27" s="940"/>
      <c r="AA27" s="940"/>
      <c r="AB27" s="940"/>
      <c r="AC27" s="940"/>
      <c r="AD27" s="940" t="s">
        <v>242</v>
      </c>
      <c r="AE27" s="940"/>
      <c r="AF27" s="923" t="str">
        <f>IF(AF31="","",IF(AF31&gt;AI31,"○",IF(AF31&lt;AI31,"●",IF(AF29&gt;AI29,"△",IF(AF29&lt;AI29,"▲")))))</f>
        <v>●</v>
      </c>
      <c r="AG27" s="924"/>
      <c r="AH27" s="924"/>
      <c r="AI27" s="924"/>
      <c r="AJ27" s="925"/>
      <c r="AK27" s="942"/>
      <c r="AL27" s="942"/>
      <c r="AM27" s="942"/>
      <c r="AN27" s="942"/>
      <c r="AO27" s="942"/>
      <c r="AP27" s="923" t="str">
        <f>IF(AP31="","",IF(AP31&gt;AS31,"○",IF(AP31&lt;AS31,"●",IF(AP29&gt;AS29,"△",IF(AP29&lt;AS29,"▲")))))</f>
        <v>●</v>
      </c>
      <c r="AQ27" s="924"/>
      <c r="AR27" s="924"/>
      <c r="AS27" s="924"/>
      <c r="AT27" s="925"/>
      <c r="AU27" s="903">
        <f>COUNTIF($AF$27:$AT$28,"○")</f>
        <v>0</v>
      </c>
      <c r="AV27" s="903"/>
      <c r="AW27" s="903">
        <f>COUNTIF($AF$27:$AT$28,"△")</f>
        <v>0</v>
      </c>
      <c r="AX27" s="903"/>
      <c r="AY27" s="903">
        <f>COUNTIF($AF$27:$AT$28,"▲")</f>
        <v>0</v>
      </c>
      <c r="AZ27" s="903"/>
      <c r="BA27" s="903">
        <f>COUNTIF($AF$27:$AT$28,"●")</f>
        <v>2</v>
      </c>
      <c r="BB27" s="903"/>
      <c r="BC27" s="903">
        <f>SUM($AF$31,$AP$31)</f>
        <v>1</v>
      </c>
      <c r="BD27" s="903"/>
      <c r="BE27" s="903">
        <f>SUM($AI$31,$AS$31)</f>
        <v>5</v>
      </c>
      <c r="BF27" s="903"/>
      <c r="BG27" s="903">
        <f>($AU$27*3)+($AW$27*2)+($AY$27*1)</f>
        <v>0</v>
      </c>
      <c r="BH27" s="903"/>
      <c r="BI27" s="910">
        <f>RANK($BG$27,$BG$21:$BH$38)</f>
        <v>3</v>
      </c>
      <c r="BJ27" s="910"/>
      <c r="BK27" s="903">
        <f>$BC$27-$BE$27</f>
        <v>-4</v>
      </c>
      <c r="BL27" s="903"/>
      <c r="BM27" s="910">
        <f>RANK($BK$27,$BK$21:$BL$38)</f>
        <v>3</v>
      </c>
      <c r="BN27" s="910"/>
      <c r="BO27" s="912"/>
    </row>
    <row r="28" spans="1:67" ht="18.75" customHeight="1" x14ac:dyDescent="0.25">
      <c r="A28" s="190"/>
      <c r="B28" s="190"/>
      <c r="C28" s="190"/>
      <c r="D28" s="190"/>
      <c r="E28" s="190"/>
      <c r="F28" s="190"/>
      <c r="G28" s="190"/>
      <c r="H28" s="190"/>
      <c r="I28" s="190"/>
      <c r="J28" s="190"/>
      <c r="K28" s="190"/>
      <c r="L28" s="190"/>
      <c r="M28" s="190"/>
      <c r="N28" s="190"/>
      <c r="O28" s="190"/>
      <c r="P28" s="190"/>
      <c r="Q28" s="190"/>
      <c r="R28" s="190"/>
      <c r="S28" s="190"/>
      <c r="T28" s="190"/>
      <c r="U28" s="190"/>
      <c r="V28" s="190"/>
      <c r="Y28" s="905"/>
      <c r="Z28" s="906"/>
      <c r="AA28" s="906"/>
      <c r="AB28" s="906"/>
      <c r="AC28" s="906"/>
      <c r="AD28" s="906"/>
      <c r="AE28" s="906"/>
      <c r="AF28" s="917"/>
      <c r="AG28" s="918"/>
      <c r="AH28" s="918"/>
      <c r="AI28" s="918"/>
      <c r="AJ28" s="920"/>
      <c r="AK28" s="930"/>
      <c r="AL28" s="930"/>
      <c r="AM28" s="930"/>
      <c r="AN28" s="930"/>
      <c r="AO28" s="930"/>
      <c r="AP28" s="917"/>
      <c r="AQ28" s="918"/>
      <c r="AR28" s="918"/>
      <c r="AS28" s="918"/>
      <c r="AT28" s="920"/>
      <c r="AU28" s="903"/>
      <c r="AV28" s="903"/>
      <c r="AW28" s="903"/>
      <c r="AX28" s="903"/>
      <c r="AY28" s="903"/>
      <c r="AZ28" s="903"/>
      <c r="BA28" s="903"/>
      <c r="BB28" s="903"/>
      <c r="BC28" s="903"/>
      <c r="BD28" s="903"/>
      <c r="BE28" s="903"/>
      <c r="BF28" s="903"/>
      <c r="BG28" s="903"/>
      <c r="BH28" s="903"/>
      <c r="BI28" s="910"/>
      <c r="BJ28" s="910"/>
      <c r="BK28" s="903"/>
      <c r="BL28" s="903"/>
      <c r="BM28" s="910"/>
      <c r="BN28" s="910"/>
      <c r="BO28" s="913"/>
    </row>
    <row r="29" spans="1:67" ht="18.75" customHeight="1" x14ac:dyDescent="0.25">
      <c r="A29" s="190"/>
      <c r="B29" s="190"/>
      <c r="C29" s="190"/>
      <c r="D29" s="190"/>
      <c r="E29" s="190"/>
      <c r="F29" s="190"/>
      <c r="G29" s="190"/>
      <c r="H29" s="190"/>
      <c r="I29" s="190"/>
      <c r="J29" s="190"/>
      <c r="K29" s="190"/>
      <c r="L29" s="190"/>
      <c r="M29" s="190"/>
      <c r="N29" s="190"/>
      <c r="O29" s="190"/>
      <c r="P29" s="190"/>
      <c r="Q29" s="190"/>
      <c r="R29" s="190"/>
      <c r="S29" s="190"/>
      <c r="T29" s="190"/>
      <c r="U29" s="190"/>
      <c r="V29" s="190"/>
      <c r="Y29" s="905"/>
      <c r="Z29" s="906"/>
      <c r="AA29" s="906"/>
      <c r="AB29" s="906"/>
      <c r="AC29" s="906"/>
      <c r="AD29" s="906"/>
      <c r="AE29" s="906"/>
      <c r="AF29" s="915" t="str">
        <f>AN23</f>
        <v/>
      </c>
      <c r="AG29" s="916"/>
      <c r="AH29" s="916" t="s">
        <v>2011</v>
      </c>
      <c r="AI29" s="916" t="str">
        <f>AK23</f>
        <v/>
      </c>
      <c r="AJ29" s="919"/>
      <c r="AK29" s="930"/>
      <c r="AL29" s="930"/>
      <c r="AM29" s="930"/>
      <c r="AN29" s="930"/>
      <c r="AO29" s="930"/>
      <c r="AP29" s="915" t="str">
        <f>IF($E$32="","",$E$32)</f>
        <v/>
      </c>
      <c r="AQ29" s="916"/>
      <c r="AR29" s="916" t="s">
        <v>2011</v>
      </c>
      <c r="AS29" s="916" t="str">
        <f>IF($G$32="","",$G$32)</f>
        <v/>
      </c>
      <c r="AT29" s="919"/>
      <c r="AU29" s="903"/>
      <c r="AV29" s="903"/>
      <c r="AW29" s="903"/>
      <c r="AX29" s="903"/>
      <c r="AY29" s="903"/>
      <c r="AZ29" s="903"/>
      <c r="BA29" s="903"/>
      <c r="BB29" s="903"/>
      <c r="BC29" s="903"/>
      <c r="BD29" s="903"/>
      <c r="BE29" s="903"/>
      <c r="BF29" s="903"/>
      <c r="BG29" s="903"/>
      <c r="BH29" s="903"/>
      <c r="BI29" s="910"/>
      <c r="BJ29" s="910"/>
      <c r="BK29" s="903"/>
      <c r="BL29" s="903"/>
      <c r="BM29" s="910"/>
      <c r="BN29" s="910"/>
      <c r="BO29" s="913"/>
    </row>
    <row r="30" spans="1:67" ht="18.75" customHeight="1" x14ac:dyDescent="0.25">
      <c r="A30" s="963" t="s">
        <v>1217</v>
      </c>
      <c r="B30" s="964" t="str">
        <f>C8</f>
        <v>カティオーラフットボールクラブＵ－１２　Ｎｅｘｔ</v>
      </c>
      <c r="C30" s="966">
        <f>IF(E30="","",SUM(E30:E31))</f>
        <v>1</v>
      </c>
      <c r="D30" s="940" t="s">
        <v>336</v>
      </c>
      <c r="E30" s="217">
        <v>0</v>
      </c>
      <c r="F30" s="217" t="s">
        <v>61</v>
      </c>
      <c r="G30" s="217">
        <v>2</v>
      </c>
      <c r="H30" s="940" t="s">
        <v>339</v>
      </c>
      <c r="I30" s="966">
        <f>IF(G30="","",SUM(G30:G31))</f>
        <v>2</v>
      </c>
      <c r="J30" s="968" t="str">
        <f>C9</f>
        <v>西の台ＪＦＣ</v>
      </c>
      <c r="K30" s="190"/>
      <c r="L30" s="190"/>
      <c r="M30" s="969" t="s">
        <v>2018</v>
      </c>
      <c r="N30" s="964" t="str">
        <f>O8</f>
        <v>明治北ＳＳＣ</v>
      </c>
      <c r="O30" s="966">
        <f>IF(Q30="","",SUM(Q30:Q31))</f>
        <v>2</v>
      </c>
      <c r="P30" s="940" t="s">
        <v>336</v>
      </c>
      <c r="Q30" s="217">
        <v>1</v>
      </c>
      <c r="R30" s="217" t="s">
        <v>61</v>
      </c>
      <c r="S30" s="217">
        <v>2</v>
      </c>
      <c r="T30" s="940" t="s">
        <v>339</v>
      </c>
      <c r="U30" s="966">
        <f>IF(S30="","",SUM(S30:S31))</f>
        <v>4</v>
      </c>
      <c r="V30" s="968" t="str">
        <f>O9</f>
        <v>大分トリニータタートルズ</v>
      </c>
      <c r="Y30" s="905"/>
      <c r="Z30" s="906"/>
      <c r="AA30" s="906"/>
      <c r="AB30" s="906"/>
      <c r="AC30" s="906"/>
      <c r="AD30" s="906" t="s">
        <v>2010</v>
      </c>
      <c r="AE30" s="906"/>
      <c r="AF30" s="917"/>
      <c r="AG30" s="918"/>
      <c r="AH30" s="918"/>
      <c r="AI30" s="918"/>
      <c r="AJ30" s="920"/>
      <c r="AK30" s="930"/>
      <c r="AL30" s="930"/>
      <c r="AM30" s="930"/>
      <c r="AN30" s="930"/>
      <c r="AO30" s="930"/>
      <c r="AP30" s="917"/>
      <c r="AQ30" s="918"/>
      <c r="AR30" s="918"/>
      <c r="AS30" s="918"/>
      <c r="AT30" s="920"/>
      <c r="AU30" s="903"/>
      <c r="AV30" s="903"/>
      <c r="AW30" s="903"/>
      <c r="AX30" s="903"/>
      <c r="AY30" s="903"/>
      <c r="AZ30" s="903"/>
      <c r="BA30" s="903"/>
      <c r="BB30" s="903"/>
      <c r="BC30" s="903"/>
      <c r="BD30" s="903"/>
      <c r="BE30" s="903"/>
      <c r="BF30" s="903"/>
      <c r="BG30" s="903"/>
      <c r="BH30" s="903"/>
      <c r="BI30" s="910"/>
      <c r="BJ30" s="910"/>
      <c r="BK30" s="903"/>
      <c r="BL30" s="903"/>
      <c r="BM30" s="910"/>
      <c r="BN30" s="910"/>
      <c r="BO30" s="913"/>
    </row>
    <row r="31" spans="1:67" ht="18.75" customHeight="1" x14ac:dyDescent="0.25">
      <c r="A31" s="946"/>
      <c r="B31" s="965"/>
      <c r="C31" s="967"/>
      <c r="D31" s="906"/>
      <c r="E31" s="190">
        <v>1</v>
      </c>
      <c r="F31" s="190" t="s">
        <v>126</v>
      </c>
      <c r="G31" s="190">
        <v>0</v>
      </c>
      <c r="H31" s="906"/>
      <c r="I31" s="967"/>
      <c r="J31" s="957"/>
      <c r="K31" s="190"/>
      <c r="L31" s="190"/>
      <c r="M31" s="970"/>
      <c r="N31" s="965"/>
      <c r="O31" s="967"/>
      <c r="P31" s="906"/>
      <c r="Q31" s="190">
        <v>1</v>
      </c>
      <c r="R31" s="190" t="s">
        <v>126</v>
      </c>
      <c r="S31" s="190">
        <v>2</v>
      </c>
      <c r="T31" s="906"/>
      <c r="U31" s="967"/>
      <c r="V31" s="957"/>
      <c r="Y31" s="905"/>
      <c r="Z31" s="906"/>
      <c r="AA31" s="906"/>
      <c r="AB31" s="906"/>
      <c r="AC31" s="906"/>
      <c r="AD31" s="906"/>
      <c r="AE31" s="906"/>
      <c r="AF31" s="915">
        <f>AN25</f>
        <v>0</v>
      </c>
      <c r="AG31" s="916"/>
      <c r="AH31" s="916" t="s">
        <v>2011</v>
      </c>
      <c r="AI31" s="916">
        <f>AK25</f>
        <v>3</v>
      </c>
      <c r="AJ31" s="919"/>
      <c r="AK31" s="930"/>
      <c r="AL31" s="930"/>
      <c r="AM31" s="930"/>
      <c r="AN31" s="930"/>
      <c r="AO31" s="930"/>
      <c r="AP31" s="915">
        <f>$C$30</f>
        <v>1</v>
      </c>
      <c r="AQ31" s="916"/>
      <c r="AR31" s="916" t="s">
        <v>2011</v>
      </c>
      <c r="AS31" s="916">
        <f>$I$30</f>
        <v>2</v>
      </c>
      <c r="AT31" s="919"/>
      <c r="AU31" s="903"/>
      <c r="AV31" s="903"/>
      <c r="AW31" s="903"/>
      <c r="AX31" s="903"/>
      <c r="AY31" s="903"/>
      <c r="AZ31" s="903"/>
      <c r="BA31" s="903"/>
      <c r="BB31" s="903"/>
      <c r="BC31" s="903"/>
      <c r="BD31" s="903"/>
      <c r="BE31" s="903"/>
      <c r="BF31" s="903"/>
      <c r="BG31" s="903"/>
      <c r="BH31" s="903"/>
      <c r="BI31" s="910"/>
      <c r="BJ31" s="910"/>
      <c r="BK31" s="903"/>
      <c r="BL31" s="903"/>
      <c r="BM31" s="910"/>
      <c r="BN31" s="910"/>
      <c r="BO31" s="913"/>
    </row>
    <row r="32" spans="1:67" ht="18.75" customHeight="1" x14ac:dyDescent="0.25">
      <c r="A32" s="946"/>
      <c r="B32" s="965"/>
      <c r="C32" s="967"/>
      <c r="D32" s="906"/>
      <c r="E32" s="190"/>
      <c r="F32" s="190" t="s">
        <v>407</v>
      </c>
      <c r="G32" s="190"/>
      <c r="H32" s="906"/>
      <c r="I32" s="967"/>
      <c r="J32" s="957"/>
      <c r="K32" s="190"/>
      <c r="L32" s="190"/>
      <c r="M32" s="971"/>
      <c r="N32" s="994"/>
      <c r="O32" s="975"/>
      <c r="P32" s="908"/>
      <c r="Q32" s="190"/>
      <c r="R32" s="190" t="s">
        <v>407</v>
      </c>
      <c r="S32" s="190"/>
      <c r="T32" s="908"/>
      <c r="U32" s="975"/>
      <c r="V32" s="976"/>
      <c r="Y32" s="941"/>
      <c r="Z32" s="936"/>
      <c r="AA32" s="936"/>
      <c r="AB32" s="936"/>
      <c r="AC32" s="936"/>
      <c r="AD32" s="936"/>
      <c r="AE32" s="936"/>
      <c r="AF32" s="937"/>
      <c r="AG32" s="560"/>
      <c r="AH32" s="560"/>
      <c r="AI32" s="560"/>
      <c r="AJ32" s="938"/>
      <c r="AK32" s="943"/>
      <c r="AL32" s="943"/>
      <c r="AM32" s="943"/>
      <c r="AN32" s="943"/>
      <c r="AO32" s="943"/>
      <c r="AP32" s="937"/>
      <c r="AQ32" s="560"/>
      <c r="AR32" s="560"/>
      <c r="AS32" s="560"/>
      <c r="AT32" s="938"/>
      <c r="AU32" s="903"/>
      <c r="AV32" s="903"/>
      <c r="AW32" s="903"/>
      <c r="AX32" s="903"/>
      <c r="AY32" s="903"/>
      <c r="AZ32" s="903"/>
      <c r="BA32" s="903"/>
      <c r="BB32" s="903"/>
      <c r="BC32" s="903"/>
      <c r="BD32" s="903"/>
      <c r="BE32" s="903"/>
      <c r="BF32" s="903"/>
      <c r="BG32" s="903"/>
      <c r="BH32" s="903"/>
      <c r="BI32" s="910"/>
      <c r="BJ32" s="910"/>
      <c r="BK32" s="903"/>
      <c r="BL32" s="903"/>
      <c r="BM32" s="910"/>
      <c r="BN32" s="910"/>
      <c r="BO32" s="935"/>
    </row>
    <row r="33" spans="1:67" ht="18.75" customHeight="1" x14ac:dyDescent="0.25">
      <c r="A33" s="192" t="s">
        <v>2463</v>
      </c>
      <c r="B33" s="989" t="s">
        <v>15142</v>
      </c>
      <c r="C33" s="989"/>
      <c r="D33" s="989"/>
      <c r="E33" s="989"/>
      <c r="F33" s="989"/>
      <c r="G33" s="990" t="s">
        <v>2464</v>
      </c>
      <c r="H33" s="990"/>
      <c r="I33" s="990"/>
      <c r="J33" s="991" t="s">
        <v>15145</v>
      </c>
      <c r="K33" s="991"/>
      <c r="L33" s="190"/>
      <c r="M33" s="192" t="s">
        <v>2463</v>
      </c>
      <c r="N33" s="989" t="s">
        <v>15186</v>
      </c>
      <c r="O33" s="989"/>
      <c r="P33" s="989"/>
      <c r="Q33" s="989"/>
      <c r="R33" s="989"/>
      <c r="S33" s="990" t="s">
        <v>2464</v>
      </c>
      <c r="T33" s="990"/>
      <c r="U33" s="990"/>
      <c r="V33" s="991" t="s">
        <v>15145</v>
      </c>
      <c r="W33" s="991"/>
      <c r="Y33" s="905" t="str">
        <f>$AC$9</f>
        <v>西の台ＪＦＣ</v>
      </c>
      <c r="Z33" s="906"/>
      <c r="AA33" s="906"/>
      <c r="AB33" s="906"/>
      <c r="AC33" s="906"/>
      <c r="AD33" s="906" t="s">
        <v>242</v>
      </c>
      <c r="AE33" s="906"/>
      <c r="AF33" s="923" t="str">
        <f>IF(AF37="","",IF(AF37&gt;AI37,"○",IF(AF37&lt;AI37,"●",IF(AF35&gt;AI35,"△",IF(AF35&lt;AI35,"▲")))))</f>
        <v>●</v>
      </c>
      <c r="AG33" s="924"/>
      <c r="AH33" s="924"/>
      <c r="AI33" s="924"/>
      <c r="AJ33" s="925"/>
      <c r="AK33" s="923" t="str">
        <f>IF(AK37="","",IF(AK37&gt;AN37,"○",IF(AK37&lt;AN37,"●",IF(AK35&gt;AN35,"△",IF(AK35&lt;AN35,"▲")))))</f>
        <v>○</v>
      </c>
      <c r="AL33" s="924"/>
      <c r="AM33" s="924"/>
      <c r="AN33" s="924"/>
      <c r="AO33" s="925"/>
      <c r="AP33" s="926"/>
      <c r="AQ33" s="927"/>
      <c r="AR33" s="927"/>
      <c r="AS33" s="927"/>
      <c r="AT33" s="928"/>
      <c r="AU33" s="903">
        <f>COUNTIF($AF$33:$AT$34,"○")</f>
        <v>1</v>
      </c>
      <c r="AV33" s="903"/>
      <c r="AW33" s="902">
        <f>COUNTIF($AF$33:$AT$34,"△")</f>
        <v>0</v>
      </c>
      <c r="AX33" s="902"/>
      <c r="AY33" s="902">
        <f>COUNTIF($AF$33:$AT$34,"▲")</f>
        <v>0</v>
      </c>
      <c r="AZ33" s="902"/>
      <c r="BA33" s="902">
        <f>COUNTIF($AF$33:$AT$34,"●")</f>
        <v>1</v>
      </c>
      <c r="BB33" s="902"/>
      <c r="BC33" s="902">
        <f>SUM($AF$37,$AK$37)</f>
        <v>2</v>
      </c>
      <c r="BD33" s="902"/>
      <c r="BE33" s="902">
        <f>SUM($AI$37,$AN$37)</f>
        <v>4</v>
      </c>
      <c r="BF33" s="902"/>
      <c r="BG33" s="902">
        <f>($AU$33*3)+($AW$33*2)+($AY$33*1)</f>
        <v>3</v>
      </c>
      <c r="BH33" s="902"/>
      <c r="BI33" s="909">
        <f>RANK($BG$33,$BG$21:$BH$38)</f>
        <v>2</v>
      </c>
      <c r="BJ33" s="909"/>
      <c r="BK33" s="902">
        <f>$BC$33-$BE$33</f>
        <v>-2</v>
      </c>
      <c r="BL33" s="902"/>
      <c r="BM33" s="909">
        <f>RANK($BK$33,$BK$21:$BL$38)</f>
        <v>2</v>
      </c>
      <c r="BN33" s="909"/>
      <c r="BO33" s="912"/>
    </row>
    <row r="34" spans="1:67" ht="18.75" customHeight="1" x14ac:dyDescent="0.25">
      <c r="A34" s="193" t="s">
        <v>2465</v>
      </c>
      <c r="B34" s="992" t="s">
        <v>15143</v>
      </c>
      <c r="C34" s="992"/>
      <c r="D34" s="992"/>
      <c r="E34" s="992"/>
      <c r="F34" s="992"/>
      <c r="G34" s="983" t="s">
        <v>2464</v>
      </c>
      <c r="H34" s="984"/>
      <c r="I34" s="985"/>
      <c r="J34" s="993" t="s">
        <v>15145</v>
      </c>
      <c r="K34" s="993"/>
      <c r="L34" s="190"/>
      <c r="M34" s="193" t="s">
        <v>2465</v>
      </c>
      <c r="N34" s="992" t="s">
        <v>15187</v>
      </c>
      <c r="O34" s="992"/>
      <c r="P34" s="992"/>
      <c r="Q34" s="992"/>
      <c r="R34" s="992"/>
      <c r="S34" s="983" t="s">
        <v>2464</v>
      </c>
      <c r="T34" s="984"/>
      <c r="U34" s="985"/>
      <c r="V34" s="993" t="s">
        <v>15145</v>
      </c>
      <c r="W34" s="993"/>
      <c r="Y34" s="905"/>
      <c r="Z34" s="906"/>
      <c r="AA34" s="906"/>
      <c r="AB34" s="906"/>
      <c r="AC34" s="906"/>
      <c r="AD34" s="906"/>
      <c r="AE34" s="906"/>
      <c r="AF34" s="917"/>
      <c r="AG34" s="918"/>
      <c r="AH34" s="918"/>
      <c r="AI34" s="918"/>
      <c r="AJ34" s="920"/>
      <c r="AK34" s="917"/>
      <c r="AL34" s="918"/>
      <c r="AM34" s="918"/>
      <c r="AN34" s="918"/>
      <c r="AO34" s="920"/>
      <c r="AP34" s="929"/>
      <c r="AQ34" s="930"/>
      <c r="AR34" s="930"/>
      <c r="AS34" s="930"/>
      <c r="AT34" s="931"/>
      <c r="AU34" s="903"/>
      <c r="AV34" s="903"/>
      <c r="AW34" s="903"/>
      <c r="AX34" s="903"/>
      <c r="AY34" s="903"/>
      <c r="AZ34" s="903"/>
      <c r="BA34" s="903"/>
      <c r="BB34" s="903"/>
      <c r="BC34" s="903"/>
      <c r="BD34" s="903"/>
      <c r="BE34" s="903"/>
      <c r="BF34" s="903"/>
      <c r="BG34" s="903"/>
      <c r="BH34" s="903"/>
      <c r="BI34" s="910"/>
      <c r="BJ34" s="910"/>
      <c r="BK34" s="903"/>
      <c r="BL34" s="903"/>
      <c r="BM34" s="910"/>
      <c r="BN34" s="910"/>
      <c r="BO34" s="913"/>
    </row>
    <row r="35" spans="1:67" ht="18.75" customHeight="1" x14ac:dyDescent="0.25">
      <c r="A35" s="194" t="s">
        <v>2466</v>
      </c>
      <c r="B35" s="982" t="s">
        <v>15144</v>
      </c>
      <c r="C35" s="982"/>
      <c r="D35" s="982"/>
      <c r="E35" s="982"/>
      <c r="F35" s="982"/>
      <c r="G35" s="983" t="s">
        <v>2464</v>
      </c>
      <c r="H35" s="984"/>
      <c r="I35" s="985"/>
      <c r="J35" s="986" t="s">
        <v>15145</v>
      </c>
      <c r="K35" s="986"/>
      <c r="L35" s="190"/>
      <c r="M35" s="194" t="s">
        <v>2466</v>
      </c>
      <c r="N35" s="982" t="s">
        <v>15188</v>
      </c>
      <c r="O35" s="982"/>
      <c r="P35" s="982"/>
      <c r="Q35" s="982"/>
      <c r="R35" s="982"/>
      <c r="S35" s="983" t="s">
        <v>2464</v>
      </c>
      <c r="T35" s="984"/>
      <c r="U35" s="985"/>
      <c r="V35" s="986" t="s">
        <v>15145</v>
      </c>
      <c r="W35" s="986"/>
      <c r="Y35" s="905"/>
      <c r="Z35" s="906"/>
      <c r="AA35" s="906"/>
      <c r="AB35" s="906"/>
      <c r="AC35" s="906"/>
      <c r="AD35" s="906"/>
      <c r="AE35" s="906"/>
      <c r="AF35" s="915" t="str">
        <f>AS23</f>
        <v/>
      </c>
      <c r="AG35" s="916"/>
      <c r="AH35" s="916" t="s">
        <v>2011</v>
      </c>
      <c r="AI35" s="916" t="str">
        <f>AP23</f>
        <v/>
      </c>
      <c r="AJ35" s="919"/>
      <c r="AK35" s="915" t="str">
        <f>AS29</f>
        <v/>
      </c>
      <c r="AL35" s="916"/>
      <c r="AM35" s="916" t="s">
        <v>2011</v>
      </c>
      <c r="AN35" s="916" t="str">
        <f>AP29</f>
        <v/>
      </c>
      <c r="AO35" s="919"/>
      <c r="AP35" s="929"/>
      <c r="AQ35" s="930"/>
      <c r="AR35" s="930"/>
      <c r="AS35" s="930"/>
      <c r="AT35" s="931"/>
      <c r="AU35" s="903"/>
      <c r="AV35" s="903"/>
      <c r="AW35" s="903"/>
      <c r="AX35" s="903"/>
      <c r="AY35" s="903"/>
      <c r="AZ35" s="903"/>
      <c r="BA35" s="903"/>
      <c r="BB35" s="903"/>
      <c r="BC35" s="903"/>
      <c r="BD35" s="903"/>
      <c r="BE35" s="903"/>
      <c r="BF35" s="903"/>
      <c r="BG35" s="903"/>
      <c r="BH35" s="903"/>
      <c r="BI35" s="910"/>
      <c r="BJ35" s="910"/>
      <c r="BK35" s="903"/>
      <c r="BL35" s="903"/>
      <c r="BM35" s="910"/>
      <c r="BN35" s="910"/>
      <c r="BO35" s="913"/>
    </row>
    <row r="36" spans="1:67" ht="18.75" customHeight="1" x14ac:dyDescent="0.25">
      <c r="A36" s="195" t="s">
        <v>609</v>
      </c>
      <c r="B36" s="205" t="str">
        <f>IF(ISERROR(VLOOKUP(G36,審判員!$A:$C,2,FALSE))=TRUE,"",VLOOKUP(G36,審判員!$A:$C,2,FALSE))</f>
        <v>後藤　樹明</v>
      </c>
      <c r="C36" s="211">
        <f>IF(ISERROR(VLOOKUP(G36,審判員!$A:$C,3,FALSE))=TRUE,"",VLOOKUP(G36,審判員!$A:$C,3,FALSE))</f>
        <v>2</v>
      </c>
      <c r="D36" s="218" t="s">
        <v>612</v>
      </c>
      <c r="E36" s="955" t="s">
        <v>201</v>
      </c>
      <c r="F36" s="955"/>
      <c r="G36" s="955" t="s">
        <v>15146</v>
      </c>
      <c r="H36" s="955"/>
      <c r="I36" s="955"/>
      <c r="J36" s="987" t="s">
        <v>788</v>
      </c>
      <c r="K36" s="988"/>
      <c r="L36" s="190"/>
      <c r="M36" s="195" t="s">
        <v>609</v>
      </c>
      <c r="N36" s="205" t="str">
        <f>IF(ISERROR(VLOOKUP(S36,審判員!$A:$C,2,FALSE))=TRUE,"",VLOOKUP(S36,審判員!$A:$C,2,FALSE))</f>
        <v>引地　弘幸</v>
      </c>
      <c r="O36" s="211">
        <f>IF(ISERROR(VLOOKUP(S36,審判員!$A:$C,3,FALSE))=TRUE,"",VLOOKUP(S36,審判員!$A:$C,3,FALSE))</f>
        <v>2</v>
      </c>
      <c r="P36" s="218" t="s">
        <v>612</v>
      </c>
      <c r="Q36" s="955" t="s">
        <v>201</v>
      </c>
      <c r="R36" s="955"/>
      <c r="S36" s="955" t="s">
        <v>15189</v>
      </c>
      <c r="T36" s="955"/>
      <c r="U36" s="955"/>
      <c r="V36" s="987" t="s">
        <v>788</v>
      </c>
      <c r="W36" s="988"/>
      <c r="Y36" s="905"/>
      <c r="Z36" s="906"/>
      <c r="AA36" s="906"/>
      <c r="AB36" s="906"/>
      <c r="AC36" s="906"/>
      <c r="AD36" s="906" t="s">
        <v>2010</v>
      </c>
      <c r="AE36" s="906"/>
      <c r="AF36" s="917"/>
      <c r="AG36" s="918"/>
      <c r="AH36" s="918"/>
      <c r="AI36" s="918"/>
      <c r="AJ36" s="920"/>
      <c r="AK36" s="917"/>
      <c r="AL36" s="918"/>
      <c r="AM36" s="918"/>
      <c r="AN36" s="918"/>
      <c r="AO36" s="920"/>
      <c r="AP36" s="929"/>
      <c r="AQ36" s="930"/>
      <c r="AR36" s="930"/>
      <c r="AS36" s="930"/>
      <c r="AT36" s="931"/>
      <c r="AU36" s="903"/>
      <c r="AV36" s="903"/>
      <c r="AW36" s="903"/>
      <c r="AX36" s="903"/>
      <c r="AY36" s="903"/>
      <c r="AZ36" s="903"/>
      <c r="BA36" s="903"/>
      <c r="BB36" s="903"/>
      <c r="BC36" s="903"/>
      <c r="BD36" s="903"/>
      <c r="BE36" s="903"/>
      <c r="BF36" s="903"/>
      <c r="BG36" s="903"/>
      <c r="BH36" s="903"/>
      <c r="BI36" s="910"/>
      <c r="BJ36" s="910"/>
      <c r="BK36" s="903"/>
      <c r="BL36" s="903"/>
      <c r="BM36" s="910"/>
      <c r="BN36" s="910"/>
      <c r="BO36" s="913"/>
    </row>
    <row r="37" spans="1:67" ht="18.75" customHeight="1" x14ac:dyDescent="0.25">
      <c r="A37" s="196" t="s">
        <v>704</v>
      </c>
      <c r="B37" s="206" t="str">
        <f>IF(ISERROR(VLOOKUP(G37,審判員!$A:$C,2,FALSE))=TRUE,"",VLOOKUP(G37,審判員!$A:$C,2,FALSE))</f>
        <v>廣戸　誠一</v>
      </c>
      <c r="C37" s="212">
        <f>IF(ISERROR(VLOOKUP(G37,審判員!$A:$C,3,FALSE))=TRUE,"",VLOOKUP(G37,審判員!$A:$C,3,FALSE))</f>
        <v>3</v>
      </c>
      <c r="D37" s="219" t="s">
        <v>612</v>
      </c>
      <c r="E37" s="906" t="s">
        <v>1286</v>
      </c>
      <c r="F37" s="906"/>
      <c r="G37" s="906" t="s">
        <v>15148</v>
      </c>
      <c r="H37" s="906"/>
      <c r="I37" s="906"/>
      <c r="J37" s="891" t="str">
        <f>N30</f>
        <v>明治北ＳＳＣ</v>
      </c>
      <c r="K37" s="981"/>
      <c r="L37" s="190"/>
      <c r="M37" s="196" t="s">
        <v>704</v>
      </c>
      <c r="N37" s="206" t="str">
        <f>IF(ISERROR(VLOOKUP(S37,審判員!$A:$C,2,FALSE))=TRUE,"",VLOOKUP(S37,審判員!$A:$C,2,FALSE))</f>
        <v>藤本　勝爾</v>
      </c>
      <c r="O37" s="212">
        <f>IF(ISERROR(VLOOKUP(S37,審判員!$A:$C,3,FALSE))=TRUE,"",VLOOKUP(S37,審判員!$A:$C,3,FALSE))</f>
        <v>3</v>
      </c>
      <c r="P37" s="219" t="s">
        <v>612</v>
      </c>
      <c r="Q37" s="906" t="s">
        <v>1286</v>
      </c>
      <c r="R37" s="906"/>
      <c r="S37" s="906" t="s">
        <v>15191</v>
      </c>
      <c r="T37" s="906"/>
      <c r="U37" s="906"/>
      <c r="V37" s="891" t="str">
        <f>B30</f>
        <v>カティオーラフットボールクラブＵ－１２　Ｎｅｘｔ</v>
      </c>
      <c r="W37" s="981"/>
      <c r="Y37" s="905"/>
      <c r="Z37" s="906"/>
      <c r="AA37" s="906"/>
      <c r="AB37" s="906"/>
      <c r="AC37" s="906"/>
      <c r="AD37" s="906"/>
      <c r="AE37" s="906"/>
      <c r="AF37" s="915">
        <f>AS25</f>
        <v>0</v>
      </c>
      <c r="AG37" s="916"/>
      <c r="AH37" s="916" t="s">
        <v>2011</v>
      </c>
      <c r="AI37" s="916">
        <f>AP25</f>
        <v>3</v>
      </c>
      <c r="AJ37" s="919"/>
      <c r="AK37" s="915">
        <f>AS31</f>
        <v>2</v>
      </c>
      <c r="AL37" s="916"/>
      <c r="AM37" s="916" t="s">
        <v>2011</v>
      </c>
      <c r="AN37" s="916">
        <f>AP31</f>
        <v>1</v>
      </c>
      <c r="AO37" s="919"/>
      <c r="AP37" s="929"/>
      <c r="AQ37" s="930"/>
      <c r="AR37" s="930"/>
      <c r="AS37" s="930"/>
      <c r="AT37" s="931"/>
      <c r="AU37" s="903"/>
      <c r="AV37" s="903"/>
      <c r="AW37" s="903"/>
      <c r="AX37" s="903"/>
      <c r="AY37" s="903"/>
      <c r="AZ37" s="903"/>
      <c r="BA37" s="903"/>
      <c r="BB37" s="903"/>
      <c r="BC37" s="903"/>
      <c r="BD37" s="903"/>
      <c r="BE37" s="903"/>
      <c r="BF37" s="903"/>
      <c r="BG37" s="903"/>
      <c r="BH37" s="903"/>
      <c r="BI37" s="910"/>
      <c r="BJ37" s="910"/>
      <c r="BK37" s="903"/>
      <c r="BL37" s="903"/>
      <c r="BM37" s="910"/>
      <c r="BN37" s="910"/>
      <c r="BO37" s="913"/>
    </row>
    <row r="38" spans="1:67" ht="19.5" customHeight="1" x14ac:dyDescent="0.25">
      <c r="A38" s="196" t="s">
        <v>2007</v>
      </c>
      <c r="B38" s="206" t="str">
        <f>IF(ISERROR(VLOOKUP(G38,審判員!$A:$C,2,FALSE))=TRUE,"",VLOOKUP(G38,審判員!$A:$C,2,FALSE))</f>
        <v>野元　雅矢</v>
      </c>
      <c r="C38" s="212">
        <f>IF(ISERROR(VLOOKUP(G38,審判員!$A:$C,3,FALSE))=TRUE,"",VLOOKUP(G38,審判員!$A:$C,3,FALSE))</f>
        <v>3</v>
      </c>
      <c r="D38" s="219" t="s">
        <v>612</v>
      </c>
      <c r="E38" s="906" t="s">
        <v>1286</v>
      </c>
      <c r="F38" s="906"/>
      <c r="G38" s="906" t="s">
        <v>15220</v>
      </c>
      <c r="H38" s="906"/>
      <c r="I38" s="906"/>
      <c r="J38" s="891" t="str">
        <f>V30</f>
        <v>大分トリニータタートルズ</v>
      </c>
      <c r="K38" s="981"/>
      <c r="L38" s="190"/>
      <c r="M38" s="196" t="s">
        <v>2007</v>
      </c>
      <c r="N38" s="206" t="str">
        <f>IF(ISERROR(VLOOKUP(S38,審判員!$A:$C,2,FALSE))=TRUE,"",VLOOKUP(S38,審判員!$A:$C,2,FALSE))</f>
        <v>佐藤　秀昭</v>
      </c>
      <c r="O38" s="212">
        <f>IF(ISERROR(VLOOKUP(S38,審判員!$A:$C,3,FALSE))=TRUE,"",VLOOKUP(S38,審判員!$A:$C,3,FALSE))</f>
        <v>3</v>
      </c>
      <c r="P38" s="219" t="s">
        <v>612</v>
      </c>
      <c r="Q38" s="906" t="s">
        <v>1286</v>
      </c>
      <c r="R38" s="906"/>
      <c r="S38" s="906" t="s">
        <v>15252</v>
      </c>
      <c r="T38" s="906"/>
      <c r="U38" s="906"/>
      <c r="V38" s="891" t="str">
        <f>J30</f>
        <v>西の台ＪＦＣ</v>
      </c>
      <c r="W38" s="981"/>
      <c r="Y38" s="907"/>
      <c r="Z38" s="908"/>
      <c r="AA38" s="908"/>
      <c r="AB38" s="908"/>
      <c r="AC38" s="908"/>
      <c r="AD38" s="908"/>
      <c r="AE38" s="908"/>
      <c r="AF38" s="921"/>
      <c r="AG38" s="565"/>
      <c r="AH38" s="565"/>
      <c r="AI38" s="565"/>
      <c r="AJ38" s="922"/>
      <c r="AK38" s="921"/>
      <c r="AL38" s="565"/>
      <c r="AM38" s="565"/>
      <c r="AN38" s="565"/>
      <c r="AO38" s="922"/>
      <c r="AP38" s="932"/>
      <c r="AQ38" s="933"/>
      <c r="AR38" s="933"/>
      <c r="AS38" s="933"/>
      <c r="AT38" s="934"/>
      <c r="AU38" s="904"/>
      <c r="AV38" s="904"/>
      <c r="AW38" s="904"/>
      <c r="AX38" s="904"/>
      <c r="AY38" s="904"/>
      <c r="AZ38" s="904"/>
      <c r="BA38" s="904"/>
      <c r="BB38" s="904"/>
      <c r="BC38" s="904"/>
      <c r="BD38" s="904"/>
      <c r="BE38" s="904"/>
      <c r="BF38" s="904"/>
      <c r="BG38" s="904"/>
      <c r="BH38" s="904"/>
      <c r="BI38" s="911"/>
      <c r="BJ38" s="911"/>
      <c r="BK38" s="904"/>
      <c r="BL38" s="904"/>
      <c r="BM38" s="911"/>
      <c r="BN38" s="911"/>
      <c r="BO38" s="914"/>
    </row>
    <row r="39" spans="1:67" x14ac:dyDescent="0.25">
      <c r="A39" s="197" t="s">
        <v>2008</v>
      </c>
      <c r="B39" s="207" t="str">
        <f>IF(ISERROR(VLOOKUP(G39,審判員!$A:$C,2,FALSE))=TRUE,"",VLOOKUP(G39,審判員!$A:$C,2,FALSE))</f>
        <v>東藤　正幸</v>
      </c>
      <c r="C39" s="213">
        <f>IF(ISERROR(VLOOKUP(G39,審判員!$A:$C,3,FALSE))=TRUE,"",VLOOKUP(G39,審判員!$A:$C,3,FALSE))</f>
        <v>3</v>
      </c>
      <c r="D39" s="220" t="s">
        <v>612</v>
      </c>
      <c r="E39" s="977" t="s">
        <v>1286</v>
      </c>
      <c r="F39" s="977"/>
      <c r="G39" s="977" t="s">
        <v>15149</v>
      </c>
      <c r="H39" s="977"/>
      <c r="I39" s="977"/>
      <c r="J39" s="978" t="s">
        <v>788</v>
      </c>
      <c r="K39" s="979"/>
      <c r="L39" s="190"/>
      <c r="M39" s="197" t="s">
        <v>2008</v>
      </c>
      <c r="N39" s="207" t="str">
        <f>IF(ISERROR(VLOOKUP(S39,審判員!$A:$C,2,FALSE))=TRUE,"",VLOOKUP(S39,審判員!$A:$C,2,FALSE))</f>
        <v>伊藤　宏充</v>
      </c>
      <c r="O39" s="213">
        <f>IF(ISERROR(VLOOKUP(S39,審判員!$A:$C,3,FALSE))=TRUE,"",VLOOKUP(S39,審判員!$A:$C,3,FALSE))</f>
        <v>3</v>
      </c>
      <c r="P39" s="220" t="s">
        <v>612</v>
      </c>
      <c r="Q39" s="977" t="s">
        <v>1286</v>
      </c>
      <c r="R39" s="977"/>
      <c r="S39" s="977" t="s">
        <v>15192</v>
      </c>
      <c r="T39" s="977"/>
      <c r="U39" s="977"/>
      <c r="V39" s="978" t="s">
        <v>788</v>
      </c>
      <c r="W39" s="979"/>
    </row>
    <row r="40" spans="1:67" x14ac:dyDescent="0.25">
      <c r="A40" s="198" t="s">
        <v>469</v>
      </c>
      <c r="B40" s="208" t="s">
        <v>606</v>
      </c>
      <c r="C40" s="208" t="s">
        <v>234</v>
      </c>
      <c r="D40" s="208" t="s">
        <v>272</v>
      </c>
      <c r="E40" s="208" t="s">
        <v>750</v>
      </c>
      <c r="F40" s="223"/>
      <c r="G40" s="208" t="s">
        <v>750</v>
      </c>
      <c r="H40" s="208" t="s">
        <v>272</v>
      </c>
      <c r="I40" s="208" t="s">
        <v>234</v>
      </c>
      <c r="J40" s="208" t="s">
        <v>606</v>
      </c>
      <c r="K40" s="225" t="s">
        <v>469</v>
      </c>
      <c r="L40" s="190"/>
      <c r="M40" s="198" t="s">
        <v>469</v>
      </c>
      <c r="N40" s="208" t="s">
        <v>606</v>
      </c>
      <c r="O40" s="208" t="s">
        <v>234</v>
      </c>
      <c r="P40" s="208" t="s">
        <v>272</v>
      </c>
      <c r="Q40" s="208" t="s">
        <v>750</v>
      </c>
      <c r="R40" s="223"/>
      <c r="S40" s="208" t="s">
        <v>750</v>
      </c>
      <c r="T40" s="208" t="s">
        <v>272</v>
      </c>
      <c r="U40" s="208" t="s">
        <v>234</v>
      </c>
      <c r="V40" s="208" t="s">
        <v>606</v>
      </c>
      <c r="W40" s="225" t="s">
        <v>469</v>
      </c>
      <c r="Y40" s="891" t="s">
        <v>2125</v>
      </c>
      <c r="Z40" s="891"/>
      <c r="AA40" s="891"/>
      <c r="AB40" s="891"/>
      <c r="AC40" s="891"/>
      <c r="AD40" s="891"/>
      <c r="AE40" s="891"/>
      <c r="AF40" s="891"/>
      <c r="AG40" s="891"/>
      <c r="AH40" s="891"/>
      <c r="AI40" s="891"/>
      <c r="AJ40" s="891"/>
      <c r="AK40" s="891"/>
      <c r="AL40" s="891"/>
      <c r="AM40" s="891"/>
      <c r="AN40" s="891"/>
      <c r="AO40" s="891"/>
      <c r="AP40" s="891"/>
      <c r="AQ40" s="891"/>
      <c r="AR40" s="891"/>
      <c r="AS40" s="891"/>
      <c r="AT40" s="891"/>
      <c r="AU40" s="891"/>
      <c r="AV40" s="891"/>
      <c r="AW40" s="891"/>
      <c r="AX40" s="891"/>
      <c r="AY40" s="891"/>
      <c r="AZ40" s="891"/>
      <c r="BA40" s="891"/>
      <c r="BB40" s="891"/>
      <c r="BC40" s="891"/>
      <c r="BD40" s="891"/>
      <c r="BE40" s="891"/>
      <c r="BF40" s="891"/>
    </row>
    <row r="41" spans="1:67" x14ac:dyDescent="0.25">
      <c r="A41" s="199"/>
      <c r="B41" s="209" t="str">
        <f>IF(ISERROR(VLOOKUP(CONCATENATE($B$30,"_",C41),選手名簿!$A:$E,5,FALSE))=TRUE,"",VLOOKUP(CONCATENATE($B$30,"_",C41),選手名簿!$A:$E,5,FALSE))</f>
        <v/>
      </c>
      <c r="C41" s="214"/>
      <c r="D41" s="214"/>
      <c r="E41" s="221"/>
      <c r="F41" s="223"/>
      <c r="G41" s="221"/>
      <c r="H41" s="214"/>
      <c r="I41" s="214"/>
      <c r="J41" s="209" t="str">
        <f>IF(ISERROR(VLOOKUP(CONCATENATE($J$30,"_",I41),選手名簿!$A:$E,5,FALSE))=TRUE,"",VLOOKUP(CONCATENATE($J$30,"_",I41),選手名簿!$A:$E,5,FALSE))</f>
        <v/>
      </c>
      <c r="K41" s="226"/>
      <c r="L41" s="190"/>
      <c r="M41" s="199"/>
      <c r="N41" s="209" t="str">
        <f>IF(ISERROR(VLOOKUP(CONCATENATE($N$30,"_",O41),選手名簿!$A:$E,5,FALSE))=TRUE,"",VLOOKUP(CONCATENATE($N$30,"_",O41),選手名簿!$A:$E,5,FALSE))</f>
        <v/>
      </c>
      <c r="O41" s="214"/>
      <c r="P41" s="214"/>
      <c r="Q41" s="221"/>
      <c r="R41" s="223"/>
      <c r="S41" s="221"/>
      <c r="T41" s="214"/>
      <c r="U41" s="214"/>
      <c r="V41" s="206" t="str">
        <f>IF(ISERROR(VLOOKUP(CONCATENATE($V$30,"_",U41),選手名簿!$A:$E,5,FALSE))=TRUE,"",VLOOKUP(CONCATENATE($V$30,"_",U41),選手名簿!$A:$E,5,FALSE))</f>
        <v/>
      </c>
      <c r="W41" s="226"/>
      <c r="Y41" s="891"/>
      <c r="Z41" s="891"/>
      <c r="AA41" s="891"/>
      <c r="AB41" s="891"/>
      <c r="AC41" s="891"/>
      <c r="AD41" s="891"/>
      <c r="AE41" s="891"/>
      <c r="AF41" s="891"/>
      <c r="AG41" s="891"/>
      <c r="AH41" s="891"/>
      <c r="AI41" s="891"/>
      <c r="AJ41" s="891"/>
      <c r="AK41" s="891"/>
      <c r="AL41" s="891"/>
      <c r="AM41" s="891"/>
      <c r="AN41" s="891"/>
      <c r="AO41" s="891"/>
      <c r="AP41" s="891"/>
      <c r="AQ41" s="891"/>
      <c r="AR41" s="891"/>
      <c r="AS41" s="891"/>
      <c r="AT41" s="891"/>
      <c r="AU41" s="891"/>
      <c r="AV41" s="891"/>
      <c r="AW41" s="891"/>
      <c r="AX41" s="891"/>
      <c r="AY41" s="891"/>
      <c r="AZ41" s="891"/>
      <c r="BA41" s="891"/>
      <c r="BB41" s="891"/>
      <c r="BC41" s="891"/>
      <c r="BD41" s="891"/>
      <c r="BE41" s="891"/>
      <c r="BF41" s="891"/>
    </row>
    <row r="42" spans="1:67" ht="18.75" customHeight="1" x14ac:dyDescent="0.25">
      <c r="A42" s="199"/>
      <c r="B42" s="209" t="str">
        <f>IF(ISERROR(VLOOKUP(CONCATENATE($B$30,"_",C42),選手名簿!$A:$E,5,FALSE))=TRUE,"",VLOOKUP(CONCATENATE($B$30,"_",C42),選手名簿!$A:$E,5,FALSE))</f>
        <v/>
      </c>
      <c r="C42" s="214"/>
      <c r="D42" s="214"/>
      <c r="E42" s="221"/>
      <c r="F42" s="223"/>
      <c r="G42" s="221"/>
      <c r="H42" s="214"/>
      <c r="I42" s="214"/>
      <c r="J42" s="209" t="str">
        <f>IF(ISERROR(VLOOKUP(CONCATENATE($J$30,"_",I42),選手名簿!$A:$E,5,FALSE))=TRUE,"",VLOOKUP(CONCATENATE($J$30,"_",I42),選手名簿!$A:$E,5,FALSE))</f>
        <v/>
      </c>
      <c r="K42" s="226"/>
      <c r="L42" s="190"/>
      <c r="M42" s="199"/>
      <c r="N42" s="209" t="str">
        <f>IF(ISERROR(VLOOKUP(CONCATENATE($N$30,"_",O42),選手名簿!$A:$E,5,FALSE))=TRUE,"",VLOOKUP(CONCATENATE($N$30,"_",O42),選手名簿!$A:$E,5,FALSE))</f>
        <v/>
      </c>
      <c r="O42" s="214"/>
      <c r="P42" s="214"/>
      <c r="Q42" s="221"/>
      <c r="R42" s="223"/>
      <c r="S42" s="221"/>
      <c r="T42" s="214"/>
      <c r="U42" s="214"/>
      <c r="V42" s="209" t="str">
        <f>IF(ISERROR(VLOOKUP(CONCATENATE($V$30,"_",U42),選手名簿!$A:$E,5,FALSE))=TRUE,"",VLOOKUP(CONCATENATE($V$30,"_",U42),選手名簿!$A:$E,5,FALSE))</f>
        <v/>
      </c>
      <c r="W42" s="226"/>
      <c r="Y42" s="892" t="s">
        <v>2013</v>
      </c>
      <c r="Z42" s="893"/>
      <c r="AA42" s="896" t="s">
        <v>159</v>
      </c>
      <c r="AB42" s="232" t="s">
        <v>408</v>
      </c>
      <c r="AC42" s="231"/>
      <c r="AD42" s="898" t="s">
        <v>2060</v>
      </c>
      <c r="AE42" s="232" t="s">
        <v>2015</v>
      </c>
      <c r="AF42" s="231"/>
      <c r="AG42" s="898" t="s">
        <v>1208</v>
      </c>
      <c r="AH42" s="232" t="s">
        <v>2126</v>
      </c>
      <c r="AI42" s="231"/>
      <c r="AJ42" s="900" t="s">
        <v>1727</v>
      </c>
      <c r="AK42" s="234" t="s">
        <v>2016</v>
      </c>
    </row>
    <row r="43" spans="1:67" ht="19.5" customHeight="1" x14ac:dyDescent="0.25">
      <c r="A43" s="199"/>
      <c r="B43" s="209" t="str">
        <f>IF(ISERROR(VLOOKUP(CONCATENATE($B$30,"_",C43),選手名簿!$A:$E,5,FALSE))=TRUE,"",VLOOKUP(CONCATENATE($B$30,"_",C43),選手名簿!$A:$E,5,FALSE))</f>
        <v/>
      </c>
      <c r="C43" s="214"/>
      <c r="D43" s="214"/>
      <c r="E43" s="221"/>
      <c r="F43" s="223"/>
      <c r="G43" s="221"/>
      <c r="H43" s="214"/>
      <c r="I43" s="214"/>
      <c r="J43" s="209" t="str">
        <f>IF(ISERROR(VLOOKUP(CONCATENATE($J$30,"_",I43),選手名簿!$A:$E,5,FALSE))=TRUE,"",VLOOKUP(CONCATENATE($J$30,"_",I43),選手名簿!$A:$E,5,FALSE))</f>
        <v/>
      </c>
      <c r="K43" s="226"/>
      <c r="L43" s="190"/>
      <c r="M43" s="199"/>
      <c r="N43" s="209" t="str">
        <f>IF(ISERROR(VLOOKUP(CONCATENATE($N$30,"_",O43),選手名簿!$A:$E,5,FALSE))=TRUE,"",VLOOKUP(CONCATENATE($N$30,"_",O43),選手名簿!$A:$E,5,FALSE))</f>
        <v/>
      </c>
      <c r="O43" s="214"/>
      <c r="P43" s="214"/>
      <c r="Q43" s="221"/>
      <c r="R43" s="223"/>
      <c r="S43" s="221"/>
      <c r="T43" s="214"/>
      <c r="U43" s="214"/>
      <c r="V43" s="209" t="str">
        <f>IF(ISERROR(VLOOKUP(CONCATENATE($V$30,"_",U43),選手名簿!$A:$E,5,FALSE))=TRUE,"",VLOOKUP(CONCATENATE($V$30,"_",U43),選手名簿!$A:$E,5,FALSE))</f>
        <v/>
      </c>
      <c r="W43" s="226"/>
      <c r="Y43" s="894"/>
      <c r="Z43" s="895"/>
      <c r="AA43" s="897"/>
      <c r="AB43" s="233">
        <v>3</v>
      </c>
      <c r="AC43" s="230"/>
      <c r="AD43" s="899"/>
      <c r="AE43" s="233">
        <v>2</v>
      </c>
      <c r="AF43" s="230"/>
      <c r="AG43" s="899"/>
      <c r="AH43" s="233">
        <v>1</v>
      </c>
      <c r="AI43" s="230"/>
      <c r="AJ43" s="901"/>
      <c r="AK43" s="235">
        <v>0</v>
      </c>
    </row>
    <row r="44" spans="1:67" ht="19.5" customHeight="1" x14ac:dyDescent="0.25">
      <c r="A44" s="199"/>
      <c r="B44" s="209" t="str">
        <f>IF(ISERROR(VLOOKUP(CONCATENATE($B$30,"_",C44),選手名簿!$A:$E,5,FALSE))=TRUE,"",VLOOKUP(CONCATENATE($B$30,"_",C44),選手名簿!$A:$E,5,FALSE))</f>
        <v/>
      </c>
      <c r="C44" s="214"/>
      <c r="D44" s="214"/>
      <c r="E44" s="221"/>
      <c r="F44" s="223"/>
      <c r="G44" s="221"/>
      <c r="H44" s="214"/>
      <c r="I44" s="214"/>
      <c r="J44" s="209" t="str">
        <f>IF(ISERROR(VLOOKUP(CONCATENATE($J$30,"_",I44),選手名簿!$A:$E,5,FALSE))=TRUE,"",VLOOKUP(CONCATENATE($J$30,"_",I44),選手名簿!$A:$E,5,FALSE))</f>
        <v/>
      </c>
      <c r="K44" s="226"/>
      <c r="L44" s="190"/>
      <c r="M44" s="199"/>
      <c r="N44" s="209" t="str">
        <f>IF(ISERROR(VLOOKUP(CONCATENATE($N$30,"_",O44),選手名簿!$A:$E,5,FALSE))=TRUE,"",VLOOKUP(CONCATENATE($N$30,"_",O44),選手名簿!$A:$E,5,FALSE))</f>
        <v/>
      </c>
      <c r="O44" s="214"/>
      <c r="P44" s="214"/>
      <c r="Q44" s="221"/>
      <c r="R44" s="223"/>
      <c r="S44" s="221"/>
      <c r="T44" s="214"/>
      <c r="U44" s="214"/>
      <c r="V44" s="209" t="str">
        <f>IF(ISERROR(VLOOKUP(CONCATENATE($V$30,"_",U44),選手名簿!$A:$E,5,FALSE))=TRUE,"",VLOOKUP(CONCATENATE($V$30,"_",U44),選手名簿!$A:$E,5,FALSE))</f>
        <v/>
      </c>
      <c r="W44" s="226"/>
    </row>
    <row r="45" spans="1:67" x14ac:dyDescent="0.25">
      <c r="A45" s="200"/>
      <c r="B45" s="210" t="str">
        <f>IF(ISERROR(VLOOKUP(CONCATENATE($B$30,"_",C45),選手名簿!$A:$E,5,FALSE))=TRUE,"",VLOOKUP(CONCATENATE($B$30,"_",C45),選手名簿!$A:$E,5,FALSE))</f>
        <v/>
      </c>
      <c r="C45" s="215"/>
      <c r="D45" s="215"/>
      <c r="E45" s="222"/>
      <c r="F45" s="224"/>
      <c r="G45" s="222"/>
      <c r="H45" s="215"/>
      <c r="I45" s="215"/>
      <c r="J45" s="210" t="str">
        <f>IF(ISERROR(VLOOKUP(CONCATENATE($J$30,"_",I45),選手名簿!$A:$E,5,FALSE))=TRUE,"",VLOOKUP(CONCATENATE($J$30,"_",I45),選手名簿!$A:$E,5,FALSE))</f>
        <v/>
      </c>
      <c r="K45" s="227"/>
      <c r="L45" s="190"/>
      <c r="M45" s="200"/>
      <c r="N45" s="210" t="str">
        <f>IF(ISERROR(VLOOKUP(CONCATENATE($N$30,"_",O45),選手名簿!$A:$E,5,FALSE))=TRUE,"",VLOOKUP(CONCATENATE($N$30,"_",O45),選手名簿!$A:$E,5,FALSE))</f>
        <v/>
      </c>
      <c r="O45" s="215"/>
      <c r="P45" s="215"/>
      <c r="Q45" s="222"/>
      <c r="R45" s="224"/>
      <c r="S45" s="222"/>
      <c r="T45" s="215"/>
      <c r="U45" s="215"/>
      <c r="V45" s="210" t="str">
        <f>IF(ISERROR(VLOOKUP(CONCATENATE($V$30,"_",U45),選手名簿!$A:$E,5,FALSE))=TRUE,"",VLOOKUP(CONCATENATE($V$30,"_",U45),選手名簿!$A:$E,5,FALSE))</f>
        <v/>
      </c>
      <c r="W45" s="227"/>
    </row>
    <row r="46" spans="1:67" x14ac:dyDescent="0.25">
      <c r="A46" s="190"/>
      <c r="B46" s="190"/>
      <c r="C46" s="190"/>
      <c r="D46" s="190"/>
      <c r="E46" s="190"/>
      <c r="F46" s="190"/>
      <c r="G46" s="190"/>
      <c r="H46" s="190"/>
      <c r="I46" s="190"/>
      <c r="J46" s="190"/>
      <c r="K46" s="190"/>
      <c r="L46" s="190"/>
      <c r="M46" s="190"/>
      <c r="N46" s="190"/>
      <c r="O46" s="190"/>
      <c r="P46" s="190"/>
      <c r="Q46" s="190"/>
      <c r="R46" s="190"/>
      <c r="S46" s="190"/>
      <c r="T46" s="190"/>
      <c r="U46" s="190"/>
      <c r="V46" s="190"/>
    </row>
    <row r="47" spans="1:67" x14ac:dyDescent="0.25">
      <c r="A47" s="190"/>
      <c r="B47" s="190"/>
      <c r="C47" s="190"/>
      <c r="D47" s="190"/>
      <c r="E47" s="190"/>
      <c r="F47" s="190"/>
      <c r="G47" s="190"/>
      <c r="H47" s="190"/>
      <c r="I47" s="190"/>
      <c r="J47" s="190"/>
      <c r="K47" s="190"/>
      <c r="L47" s="190"/>
      <c r="M47" s="190"/>
      <c r="N47" s="190"/>
      <c r="O47" s="190"/>
      <c r="P47" s="190"/>
      <c r="Q47" s="190"/>
      <c r="R47" s="190"/>
      <c r="S47" s="190"/>
      <c r="T47" s="190"/>
      <c r="U47" s="190"/>
      <c r="V47" s="190"/>
    </row>
    <row r="48" spans="1:67" ht="18.75" customHeight="1" x14ac:dyDescent="0.25">
      <c r="A48" s="963" t="s">
        <v>1703</v>
      </c>
      <c r="B48" s="964" t="str">
        <f>C9</f>
        <v>西の台ＪＦＣ</v>
      </c>
      <c r="C48" s="966">
        <f>IF(E48="","",SUM(E48:E49))</f>
        <v>0</v>
      </c>
      <c r="D48" s="940" t="s">
        <v>336</v>
      </c>
      <c r="E48" s="217">
        <v>0</v>
      </c>
      <c r="F48" s="217" t="s">
        <v>61</v>
      </c>
      <c r="G48" s="217">
        <v>1</v>
      </c>
      <c r="H48" s="940" t="s">
        <v>339</v>
      </c>
      <c r="I48" s="966">
        <f>IF(G48="","",SUM(G48:G49))</f>
        <v>3</v>
      </c>
      <c r="J48" s="968" t="str">
        <f>C7</f>
        <v>別府フットボールクラブ．ミネルバＵ－１２</v>
      </c>
      <c r="K48" s="190"/>
      <c r="M48" s="969" t="s">
        <v>1596</v>
      </c>
      <c r="N48" s="972" t="str">
        <f>O9</f>
        <v>大分トリニータタートルズ</v>
      </c>
      <c r="O48" s="966">
        <f>IF(Q48="","",SUM(Q48:Q49))</f>
        <v>1</v>
      </c>
      <c r="P48" s="940" t="s">
        <v>336</v>
      </c>
      <c r="Q48" s="217">
        <v>1</v>
      </c>
      <c r="R48" s="217" t="s">
        <v>61</v>
      </c>
      <c r="S48" s="217">
        <v>1</v>
      </c>
      <c r="T48" s="940" t="s">
        <v>339</v>
      </c>
      <c r="U48" s="966">
        <f>IF(S48="","",SUM(S48:S49))</f>
        <v>1</v>
      </c>
      <c r="V48" s="968" t="str">
        <f>O7</f>
        <v>スマイス・セレソン</v>
      </c>
      <c r="Y48" s="959" t="str">
        <f>$Y$1</f>
        <v>OFA 第 57 回大分県U-12サッカー大会　兼　KYFA 九州U-12サッカー大会大分県大会</v>
      </c>
      <c r="Z48" s="959"/>
      <c r="AA48" s="959"/>
      <c r="AB48" s="959"/>
      <c r="AC48" s="959"/>
      <c r="AD48" s="959"/>
      <c r="AE48" s="959"/>
      <c r="AF48" s="959"/>
      <c r="AG48" s="959"/>
      <c r="AH48" s="959"/>
      <c r="AI48" s="959"/>
      <c r="AJ48" s="959"/>
      <c r="AK48" s="959"/>
      <c r="AL48" s="959"/>
      <c r="AM48" s="959"/>
      <c r="AN48" s="959"/>
      <c r="AO48" s="959"/>
      <c r="AP48" s="959"/>
      <c r="AQ48" s="959"/>
      <c r="AR48" s="959"/>
      <c r="AS48" s="959"/>
      <c r="AT48" s="959"/>
      <c r="AU48" s="959"/>
      <c r="AV48" s="959"/>
      <c r="AW48" s="959"/>
      <c r="AX48" s="959"/>
      <c r="AY48" s="959"/>
      <c r="AZ48" s="959"/>
      <c r="BA48" s="959"/>
      <c r="BB48" s="959"/>
      <c r="BC48" s="959"/>
      <c r="BD48" s="959"/>
      <c r="BE48" s="959"/>
      <c r="BF48" s="959"/>
      <c r="BG48" s="959"/>
      <c r="BI48" s="959" t="str">
        <f>$BI$1</f>
        <v>１次リーグ結果　報告用紙</v>
      </c>
      <c r="BJ48" s="959"/>
      <c r="BK48" s="959"/>
      <c r="BL48" s="959"/>
      <c r="BM48" s="959"/>
      <c r="BN48" s="959"/>
      <c r="BO48" s="959"/>
    </row>
    <row r="49" spans="1:67" ht="18.75" customHeight="1" x14ac:dyDescent="0.25">
      <c r="A49" s="946"/>
      <c r="B49" s="965"/>
      <c r="C49" s="967"/>
      <c r="D49" s="906"/>
      <c r="E49" s="190">
        <v>0</v>
      </c>
      <c r="F49" s="190" t="s">
        <v>126</v>
      </c>
      <c r="G49" s="190">
        <v>2</v>
      </c>
      <c r="H49" s="906"/>
      <c r="I49" s="967"/>
      <c r="J49" s="957"/>
      <c r="K49" s="190"/>
      <c r="M49" s="970"/>
      <c r="N49" s="973"/>
      <c r="O49" s="967"/>
      <c r="P49" s="906"/>
      <c r="Q49" s="190">
        <v>0</v>
      </c>
      <c r="R49" s="190" t="s">
        <v>126</v>
      </c>
      <c r="S49" s="190">
        <v>0</v>
      </c>
      <c r="T49" s="906"/>
      <c r="U49" s="967"/>
      <c r="V49" s="957"/>
      <c r="Y49" s="959"/>
      <c r="Z49" s="959"/>
      <c r="AA49" s="959"/>
      <c r="AB49" s="959"/>
      <c r="AC49" s="959"/>
      <c r="AD49" s="959"/>
      <c r="AE49" s="959"/>
      <c r="AF49" s="959"/>
      <c r="AG49" s="959"/>
      <c r="AH49" s="959"/>
      <c r="AI49" s="959"/>
      <c r="AJ49" s="959"/>
      <c r="AK49" s="959"/>
      <c r="AL49" s="959"/>
      <c r="AM49" s="959"/>
      <c r="AN49" s="959"/>
      <c r="AO49" s="959"/>
      <c r="AP49" s="959"/>
      <c r="AQ49" s="959"/>
      <c r="AR49" s="959"/>
      <c r="AS49" s="959"/>
      <c r="AT49" s="959"/>
      <c r="AU49" s="959"/>
      <c r="AV49" s="959"/>
      <c r="AW49" s="959"/>
      <c r="AX49" s="959"/>
      <c r="AY49" s="959"/>
      <c r="AZ49" s="959"/>
      <c r="BA49" s="959"/>
      <c r="BB49" s="959"/>
      <c r="BC49" s="959"/>
      <c r="BD49" s="959"/>
      <c r="BE49" s="959"/>
      <c r="BF49" s="959"/>
      <c r="BG49" s="959"/>
      <c r="BI49" s="959"/>
      <c r="BJ49" s="959"/>
      <c r="BK49" s="959"/>
      <c r="BL49" s="959"/>
      <c r="BM49" s="959"/>
      <c r="BN49" s="959"/>
      <c r="BO49" s="959"/>
    </row>
    <row r="50" spans="1:67" ht="19.5" customHeight="1" x14ac:dyDescent="0.25">
      <c r="A50" s="946"/>
      <c r="B50" s="965"/>
      <c r="C50" s="967"/>
      <c r="D50" s="906"/>
      <c r="E50" s="190"/>
      <c r="F50" s="190" t="s">
        <v>407</v>
      </c>
      <c r="G50" s="190"/>
      <c r="H50" s="906"/>
      <c r="I50" s="967"/>
      <c r="J50" s="957"/>
      <c r="K50" s="190"/>
      <c r="M50" s="971"/>
      <c r="N50" s="974"/>
      <c r="O50" s="975"/>
      <c r="P50" s="908"/>
      <c r="Q50" s="190"/>
      <c r="R50" s="190" t="s">
        <v>407</v>
      </c>
      <c r="S50" s="190"/>
      <c r="T50" s="908"/>
      <c r="U50" s="975"/>
      <c r="V50" s="976"/>
      <c r="Y50" s="959" t="s">
        <v>1962</v>
      </c>
      <c r="Z50" s="959"/>
      <c r="AA50" s="959"/>
      <c r="AB50" s="959"/>
      <c r="AC50" s="959"/>
      <c r="AD50" s="959"/>
      <c r="AE50" s="959"/>
      <c r="AF50" s="959"/>
      <c r="AG50" s="959"/>
      <c r="AH50" s="959"/>
      <c r="AI50" s="959"/>
      <c r="AJ50" s="959"/>
      <c r="AK50" s="959"/>
      <c r="AL50" s="959"/>
      <c r="AM50" s="959"/>
      <c r="AN50" s="959"/>
      <c r="AO50" s="959"/>
      <c r="AP50" s="959"/>
      <c r="AQ50" s="959"/>
      <c r="AR50" s="959"/>
      <c r="AS50" s="959"/>
      <c r="AT50" s="959"/>
      <c r="AU50" s="959"/>
      <c r="AV50" s="959"/>
      <c r="AW50" s="959"/>
      <c r="AX50" s="959"/>
      <c r="AY50" s="959"/>
      <c r="AZ50" s="959"/>
      <c r="BA50" s="959"/>
      <c r="BB50" s="959"/>
      <c r="BC50" s="959"/>
      <c r="BD50" s="959"/>
      <c r="BE50" s="959"/>
      <c r="BF50" s="959"/>
      <c r="BG50" s="959"/>
    </row>
    <row r="51" spans="1:67" ht="18.75" customHeight="1" x14ac:dyDescent="0.25">
      <c r="A51" s="192" t="s">
        <v>2463</v>
      </c>
      <c r="B51" s="989" t="s">
        <v>15142</v>
      </c>
      <c r="C51" s="989"/>
      <c r="D51" s="989"/>
      <c r="E51" s="989"/>
      <c r="F51" s="989"/>
      <c r="G51" s="990" t="s">
        <v>2464</v>
      </c>
      <c r="H51" s="990"/>
      <c r="I51" s="990"/>
      <c r="J51" s="991" t="s">
        <v>15145</v>
      </c>
      <c r="K51" s="991"/>
      <c r="M51" s="192" t="s">
        <v>2463</v>
      </c>
      <c r="N51" s="989" t="s">
        <v>15186</v>
      </c>
      <c r="O51" s="989"/>
      <c r="P51" s="989"/>
      <c r="Q51" s="989"/>
      <c r="R51" s="989"/>
      <c r="S51" s="990" t="s">
        <v>2464</v>
      </c>
      <c r="T51" s="990"/>
      <c r="U51" s="990"/>
      <c r="V51" s="991" t="s">
        <v>15145</v>
      </c>
      <c r="W51" s="991"/>
      <c r="Y51" s="959"/>
      <c r="Z51" s="959"/>
      <c r="AA51" s="959"/>
      <c r="AB51" s="959"/>
      <c r="AC51" s="959"/>
      <c r="AD51" s="959"/>
      <c r="AE51" s="959"/>
      <c r="AF51" s="959"/>
      <c r="AG51" s="959"/>
      <c r="AH51" s="959"/>
      <c r="AI51" s="959"/>
      <c r="AJ51" s="959"/>
      <c r="AK51" s="959"/>
      <c r="AL51" s="959"/>
      <c r="AM51" s="959"/>
      <c r="AN51" s="959"/>
      <c r="AO51" s="959"/>
      <c r="AP51" s="959"/>
      <c r="AQ51" s="959"/>
      <c r="AR51" s="959"/>
      <c r="AS51" s="959"/>
      <c r="AT51" s="959"/>
      <c r="AU51" s="959"/>
      <c r="AV51" s="959"/>
      <c r="AW51" s="959"/>
      <c r="AX51" s="959"/>
      <c r="AY51" s="959"/>
      <c r="AZ51" s="959"/>
      <c r="BA51" s="959"/>
      <c r="BB51" s="959"/>
      <c r="BC51" s="959"/>
      <c r="BD51" s="959"/>
      <c r="BE51" s="959"/>
      <c r="BF51" s="959"/>
      <c r="BG51" s="959"/>
    </row>
    <row r="52" spans="1:67" ht="18.75" customHeight="1" x14ac:dyDescent="0.25">
      <c r="A52" s="193" t="s">
        <v>2465</v>
      </c>
      <c r="B52" s="992" t="s">
        <v>15143</v>
      </c>
      <c r="C52" s="992"/>
      <c r="D52" s="992"/>
      <c r="E52" s="992"/>
      <c r="F52" s="992"/>
      <c r="G52" s="983" t="s">
        <v>2464</v>
      </c>
      <c r="H52" s="984"/>
      <c r="I52" s="985"/>
      <c r="J52" s="993" t="s">
        <v>15145</v>
      </c>
      <c r="K52" s="993"/>
      <c r="M52" s="193" t="s">
        <v>2465</v>
      </c>
      <c r="N52" s="992" t="s">
        <v>15187</v>
      </c>
      <c r="O52" s="992"/>
      <c r="P52" s="992"/>
      <c r="Q52" s="992"/>
      <c r="R52" s="992"/>
      <c r="S52" s="983" t="s">
        <v>2464</v>
      </c>
      <c r="T52" s="984"/>
      <c r="U52" s="985"/>
      <c r="V52" s="993" t="s">
        <v>15145</v>
      </c>
      <c r="W52" s="993"/>
      <c r="Y52" s="189"/>
      <c r="Z52" s="189"/>
      <c r="AA52" s="189"/>
      <c r="AB52" s="189"/>
      <c r="AC52" s="189"/>
      <c r="AD52" s="189"/>
      <c r="AE52" s="189"/>
      <c r="AF52" s="189"/>
      <c r="AG52" s="189"/>
      <c r="AH52" s="189"/>
      <c r="AI52" s="189"/>
      <c r="AJ52" s="189"/>
      <c r="AK52" s="189"/>
      <c r="AL52" s="189"/>
      <c r="AM52" s="189"/>
      <c r="AN52" s="189"/>
      <c r="AO52" s="189"/>
      <c r="AP52" s="189"/>
      <c r="AQ52" s="189"/>
      <c r="AR52" s="189"/>
      <c r="AS52" s="189"/>
      <c r="AT52" s="189"/>
      <c r="AU52" s="189"/>
      <c r="AV52" s="189"/>
      <c r="AW52" s="189"/>
      <c r="AX52" s="189"/>
      <c r="AY52" s="189"/>
      <c r="AZ52" s="189"/>
      <c r="BA52" s="189"/>
      <c r="BB52" s="189"/>
      <c r="BC52" s="189"/>
      <c r="BD52" s="189"/>
      <c r="BE52" s="189"/>
      <c r="BF52" s="189"/>
      <c r="BG52" s="189"/>
    </row>
    <row r="53" spans="1:67" ht="18.75" customHeight="1" x14ac:dyDescent="0.25">
      <c r="A53" s="194" t="s">
        <v>2466</v>
      </c>
      <c r="B53" s="982" t="s">
        <v>15144</v>
      </c>
      <c r="C53" s="982"/>
      <c r="D53" s="982"/>
      <c r="E53" s="982"/>
      <c r="F53" s="982"/>
      <c r="G53" s="983" t="s">
        <v>2464</v>
      </c>
      <c r="H53" s="984"/>
      <c r="I53" s="985"/>
      <c r="J53" s="986" t="s">
        <v>15145</v>
      </c>
      <c r="K53" s="986"/>
      <c r="M53" s="194" t="s">
        <v>2466</v>
      </c>
      <c r="N53" s="982" t="s">
        <v>15188</v>
      </c>
      <c r="O53" s="982"/>
      <c r="P53" s="982"/>
      <c r="Q53" s="982"/>
      <c r="R53" s="982"/>
      <c r="S53" s="983" t="s">
        <v>2464</v>
      </c>
      <c r="T53" s="984"/>
      <c r="U53" s="985"/>
      <c r="V53" s="986" t="s">
        <v>15145</v>
      </c>
      <c r="W53" s="986"/>
      <c r="Y53" s="189"/>
      <c r="Z53" s="189"/>
      <c r="AA53" s="189"/>
      <c r="AB53" s="189"/>
      <c r="AC53" s="189"/>
      <c r="AD53" s="189"/>
      <c r="AE53" s="189"/>
      <c r="AF53" s="189"/>
      <c r="AG53" s="189"/>
      <c r="AH53" s="189"/>
      <c r="AI53" s="189"/>
    </row>
    <row r="54" spans="1:67" x14ac:dyDescent="0.25">
      <c r="A54" s="195" t="s">
        <v>609</v>
      </c>
      <c r="B54" s="205" t="str">
        <f>IF(ISERROR(VLOOKUP(G54,審判員!$A:$C,2,FALSE))=TRUE,"",VLOOKUP(G54,審判員!$A:$C,2,FALSE))</f>
        <v>後藤　樹明</v>
      </c>
      <c r="C54" s="211">
        <f>IF(ISERROR(VLOOKUP(G54,審判員!$A:$C,3,FALSE))=TRUE,"",VLOOKUP(G54,審判員!$A:$C,3,FALSE))</f>
        <v>2</v>
      </c>
      <c r="D54" s="218" t="s">
        <v>612</v>
      </c>
      <c r="E54" s="955" t="s">
        <v>201</v>
      </c>
      <c r="F54" s="955"/>
      <c r="G54" s="955" t="s">
        <v>15146</v>
      </c>
      <c r="H54" s="955"/>
      <c r="I54" s="955"/>
      <c r="J54" s="987" t="s">
        <v>788</v>
      </c>
      <c r="K54" s="988"/>
      <c r="L54" s="190"/>
      <c r="M54" s="195" t="s">
        <v>609</v>
      </c>
      <c r="N54" s="205" t="str">
        <f>IF(ISERROR(VLOOKUP(S54,審判員!$A:$C,2,FALSE))=TRUE,"",VLOOKUP(S54,審判員!$A:$C,2,FALSE))</f>
        <v>引地　弘幸</v>
      </c>
      <c r="O54" s="211">
        <f>IF(ISERROR(VLOOKUP(S54,審判員!$A:$C,3,FALSE))=TRUE,"",VLOOKUP(S54,審判員!$A:$C,3,FALSE))</f>
        <v>2</v>
      </c>
      <c r="P54" s="218" t="s">
        <v>612</v>
      </c>
      <c r="Q54" s="955" t="s">
        <v>201</v>
      </c>
      <c r="R54" s="955"/>
      <c r="S54" s="955" t="s">
        <v>15189</v>
      </c>
      <c r="T54" s="955"/>
      <c r="U54" s="955"/>
      <c r="V54" s="987" t="s">
        <v>788</v>
      </c>
      <c r="W54" s="988"/>
      <c r="Y54" s="590" t="s">
        <v>487</v>
      </c>
      <c r="Z54" s="590"/>
      <c r="AA54" s="590"/>
      <c r="AB54" s="960" t="str">
        <f>$N$4</f>
        <v>別府</v>
      </c>
      <c r="AC54" s="960"/>
      <c r="AD54" s="960"/>
      <c r="AE54" s="960"/>
      <c r="AF54" s="960"/>
      <c r="AG54" s="960"/>
      <c r="AH54" s="590" t="s">
        <v>659</v>
      </c>
      <c r="AI54" s="961" t="str">
        <f>$P$4</f>
        <v>実相寺サッカー競技場(人工芝)</v>
      </c>
      <c r="AJ54" s="961"/>
      <c r="AK54" s="961"/>
      <c r="AL54" s="961"/>
      <c r="AM54" s="961"/>
      <c r="AN54" s="961"/>
      <c r="AO54" s="961"/>
      <c r="AP54" s="961"/>
      <c r="AQ54" s="961"/>
      <c r="AR54" s="961"/>
      <c r="AS54" s="961"/>
      <c r="AT54" s="961"/>
      <c r="AU54" s="961"/>
      <c r="AV54" s="961"/>
      <c r="AW54" s="961"/>
    </row>
    <row r="55" spans="1:67" x14ac:dyDescent="0.25">
      <c r="A55" s="196" t="s">
        <v>704</v>
      </c>
      <c r="B55" s="206" t="str">
        <f>IF(ISERROR(VLOOKUP(G55,審判員!$A:$C,2,FALSE))=TRUE,"",VLOOKUP(G55,審判員!$A:$C,2,FALSE))</f>
        <v>野元　雅矢</v>
      </c>
      <c r="C55" s="212">
        <f>IF(ISERROR(VLOOKUP(G55,審判員!$A:$C,3,FALSE))=TRUE,"",VLOOKUP(G55,審判員!$A:$C,3,FALSE))</f>
        <v>3</v>
      </c>
      <c r="D55" s="219" t="s">
        <v>612</v>
      </c>
      <c r="E55" s="906" t="s">
        <v>1286</v>
      </c>
      <c r="F55" s="906"/>
      <c r="G55" s="906" t="s">
        <v>15220</v>
      </c>
      <c r="H55" s="906"/>
      <c r="I55" s="906"/>
      <c r="J55" s="891" t="str">
        <f>N48</f>
        <v>大分トリニータタートルズ</v>
      </c>
      <c r="K55" s="981"/>
      <c r="L55" s="190"/>
      <c r="M55" s="196" t="s">
        <v>704</v>
      </c>
      <c r="N55" s="206" t="str">
        <f>IF(ISERROR(VLOOKUP(S55,審判員!$A:$C,2,FALSE))=TRUE,"",VLOOKUP(S55,審判員!$A:$C,2,FALSE))</f>
        <v>安藤　昭徳</v>
      </c>
      <c r="O55" s="212">
        <f>IF(ISERROR(VLOOKUP(S55,審判員!$A:$C,3,FALSE))=TRUE,"",VLOOKUP(S55,審判員!$A:$C,3,FALSE))</f>
        <v>3</v>
      </c>
      <c r="P55" s="219" t="s">
        <v>612</v>
      </c>
      <c r="Q55" s="906" t="s">
        <v>1286</v>
      </c>
      <c r="R55" s="906"/>
      <c r="S55" s="906" t="s">
        <v>15264</v>
      </c>
      <c r="T55" s="906"/>
      <c r="U55" s="906"/>
      <c r="V55" s="891" t="str">
        <f>B48</f>
        <v>西の台ＪＦＣ</v>
      </c>
      <c r="W55" s="981"/>
      <c r="Y55" s="590"/>
      <c r="Z55" s="590"/>
      <c r="AA55" s="590"/>
      <c r="AB55" s="960"/>
      <c r="AC55" s="960"/>
      <c r="AD55" s="960"/>
      <c r="AE55" s="960"/>
      <c r="AF55" s="960"/>
      <c r="AG55" s="960"/>
      <c r="AH55" s="590"/>
      <c r="AI55" s="961"/>
      <c r="AJ55" s="961"/>
      <c r="AK55" s="961"/>
      <c r="AL55" s="961"/>
      <c r="AM55" s="961"/>
      <c r="AN55" s="961"/>
      <c r="AO55" s="961"/>
      <c r="AP55" s="961"/>
      <c r="AQ55" s="961"/>
      <c r="AR55" s="961"/>
      <c r="AS55" s="961"/>
      <c r="AT55" s="961"/>
      <c r="AU55" s="961"/>
      <c r="AV55" s="961"/>
      <c r="AW55" s="961"/>
    </row>
    <row r="56" spans="1:67" x14ac:dyDescent="0.25">
      <c r="A56" s="196" t="s">
        <v>2007</v>
      </c>
      <c r="B56" s="206" t="str">
        <f>IF(ISERROR(VLOOKUP(G56,審判員!$A:$C,2,FALSE))=TRUE,"",VLOOKUP(G56,審判員!$A:$C,2,FALSE))</f>
        <v>柳元　哲哉</v>
      </c>
      <c r="C56" s="212">
        <f>IF(ISERROR(VLOOKUP(G56,審判員!$A:$C,3,FALSE))=TRUE,"",VLOOKUP(G56,審判員!$A:$C,3,FALSE))</f>
        <v>3</v>
      </c>
      <c r="D56" s="219" t="s">
        <v>612</v>
      </c>
      <c r="E56" s="906" t="s">
        <v>1286</v>
      </c>
      <c r="F56" s="906"/>
      <c r="G56" s="906" t="s">
        <v>15147</v>
      </c>
      <c r="H56" s="906"/>
      <c r="I56" s="906"/>
      <c r="J56" s="891" t="str">
        <f>V48</f>
        <v>スマイス・セレソン</v>
      </c>
      <c r="K56" s="981"/>
      <c r="L56" s="190"/>
      <c r="M56" s="196" t="s">
        <v>2007</v>
      </c>
      <c r="N56" s="206" t="str">
        <f>IF(ISERROR(VLOOKUP(S56,審判員!$A:$C,2,FALSE))=TRUE,"",VLOOKUP(S56,審判員!$A:$C,2,FALSE))</f>
        <v>寺坂　洸希</v>
      </c>
      <c r="O56" s="212">
        <f>IF(ISERROR(VLOOKUP(S56,審判員!$A:$C,3,FALSE))=TRUE,"",VLOOKUP(S56,審判員!$A:$C,3,FALSE))</f>
        <v>3</v>
      </c>
      <c r="P56" s="219" t="s">
        <v>612</v>
      </c>
      <c r="Q56" s="906" t="s">
        <v>1286</v>
      </c>
      <c r="R56" s="906"/>
      <c r="S56" s="906" t="s">
        <v>15190</v>
      </c>
      <c r="T56" s="906"/>
      <c r="U56" s="906"/>
      <c r="V56" s="891" t="str">
        <f>J48</f>
        <v>別府フットボールクラブ．ミネルバＵ－１２</v>
      </c>
      <c r="W56" s="981"/>
      <c r="Y56" s="58"/>
      <c r="Z56" s="58"/>
      <c r="AA56" s="58"/>
      <c r="AB56" s="58"/>
      <c r="AC56" s="58"/>
      <c r="AD56" s="58"/>
      <c r="AE56" s="58"/>
      <c r="AF56" s="58"/>
      <c r="AG56" s="58"/>
      <c r="AH56" s="58"/>
      <c r="AI56" s="216"/>
      <c r="AJ56" s="216"/>
      <c r="AK56" s="216"/>
      <c r="AL56" s="216"/>
      <c r="AM56" s="216"/>
      <c r="AN56" s="216"/>
      <c r="AO56" s="216"/>
      <c r="AP56" s="216"/>
      <c r="AQ56" s="216"/>
      <c r="AR56" s="216"/>
      <c r="AS56" s="216"/>
      <c r="AT56" s="216"/>
      <c r="AU56" s="216"/>
      <c r="AV56" s="216"/>
      <c r="AW56" s="216"/>
    </row>
    <row r="57" spans="1:67" x14ac:dyDescent="0.25">
      <c r="A57" s="197" t="s">
        <v>2008</v>
      </c>
      <c r="B57" s="207" t="str">
        <f>IF(ISERROR(VLOOKUP(G57,審判員!$A:$C,2,FALSE))=TRUE,"",VLOOKUP(G57,審判員!$A:$C,2,FALSE))</f>
        <v>東藤　正幸</v>
      </c>
      <c r="C57" s="213">
        <f>IF(ISERROR(VLOOKUP(G57,審判員!$A:$C,3,FALSE))=TRUE,"",VLOOKUP(G57,審判員!$A:$C,3,FALSE))</f>
        <v>3</v>
      </c>
      <c r="D57" s="220" t="s">
        <v>612</v>
      </c>
      <c r="E57" s="977" t="s">
        <v>1286</v>
      </c>
      <c r="F57" s="977"/>
      <c r="G57" s="977" t="s">
        <v>15149</v>
      </c>
      <c r="H57" s="977"/>
      <c r="I57" s="977"/>
      <c r="J57" s="978" t="s">
        <v>788</v>
      </c>
      <c r="K57" s="979"/>
      <c r="L57" s="190"/>
      <c r="M57" s="197" t="s">
        <v>2008</v>
      </c>
      <c r="N57" s="207" t="str">
        <f>IF(ISERROR(VLOOKUP(S57,審判員!$A:$C,2,FALSE))=TRUE,"",VLOOKUP(S57,審判員!$A:$C,2,FALSE))</f>
        <v>伊藤　宏充</v>
      </c>
      <c r="O57" s="213">
        <f>IF(ISERROR(VLOOKUP(S57,審判員!$A:$C,3,FALSE))=TRUE,"",VLOOKUP(S57,審判員!$A:$C,3,FALSE))</f>
        <v>3</v>
      </c>
      <c r="P57" s="220" t="s">
        <v>612</v>
      </c>
      <c r="Q57" s="977" t="s">
        <v>1286</v>
      </c>
      <c r="R57" s="977"/>
      <c r="S57" s="977" t="s">
        <v>15192</v>
      </c>
      <c r="T57" s="977"/>
      <c r="U57" s="977"/>
      <c r="V57" s="978" t="s">
        <v>788</v>
      </c>
      <c r="W57" s="979"/>
      <c r="Y57" s="190"/>
      <c r="Z57" s="190"/>
      <c r="AA57" s="190"/>
    </row>
    <row r="58" spans="1:67" x14ac:dyDescent="0.25">
      <c r="A58" s="198" t="s">
        <v>469</v>
      </c>
      <c r="B58" s="208" t="s">
        <v>606</v>
      </c>
      <c r="C58" s="208" t="s">
        <v>234</v>
      </c>
      <c r="D58" s="208" t="s">
        <v>272</v>
      </c>
      <c r="E58" s="208" t="s">
        <v>750</v>
      </c>
      <c r="F58" s="223"/>
      <c r="G58" s="208" t="s">
        <v>750</v>
      </c>
      <c r="H58" s="208" t="s">
        <v>272</v>
      </c>
      <c r="I58" s="208" t="s">
        <v>234</v>
      </c>
      <c r="J58" s="208" t="s">
        <v>606</v>
      </c>
      <c r="K58" s="225" t="s">
        <v>469</v>
      </c>
      <c r="L58" s="190"/>
      <c r="M58" s="198" t="s">
        <v>469</v>
      </c>
      <c r="N58" s="208" t="s">
        <v>606</v>
      </c>
      <c r="O58" s="208" t="s">
        <v>234</v>
      </c>
      <c r="P58" s="208" t="s">
        <v>272</v>
      </c>
      <c r="Q58" s="208" t="s">
        <v>750</v>
      </c>
      <c r="R58" s="223"/>
      <c r="S58" s="208" t="s">
        <v>750</v>
      </c>
      <c r="T58" s="208" t="s">
        <v>272</v>
      </c>
      <c r="U58" s="208" t="s">
        <v>234</v>
      </c>
      <c r="V58" s="208" t="s">
        <v>606</v>
      </c>
      <c r="W58" s="225" t="s">
        <v>469</v>
      </c>
      <c r="Y58" s="590" t="s">
        <v>430</v>
      </c>
      <c r="Z58" s="590"/>
      <c r="AA58" s="590"/>
      <c r="AB58" s="960" t="str">
        <f>$N$6</f>
        <v>H</v>
      </c>
      <c r="AC58" s="960"/>
      <c r="AD58" s="960"/>
      <c r="AE58" s="960"/>
      <c r="AF58" s="960"/>
      <c r="AG58" s="960"/>
    </row>
    <row r="59" spans="1:67" x14ac:dyDescent="0.25">
      <c r="A59" s="199"/>
      <c r="B59" s="209" t="str">
        <f>IF(ISERROR(VLOOKUP(CONCATENATE($B$48,"_",C59),選手名簿!$A:$E,5,FALSE))=TRUE,"",VLOOKUP(CONCATENATE($B$48,"_",C59),選手名簿!$A:$E,5,FALSE))</f>
        <v/>
      </c>
      <c r="C59" s="214"/>
      <c r="D59" s="214"/>
      <c r="E59" s="221"/>
      <c r="F59" s="223"/>
      <c r="G59" s="221"/>
      <c r="H59" s="214"/>
      <c r="I59" s="214"/>
      <c r="J59" s="209" t="str">
        <f>IF(ISERROR(VLOOKUP(CONCATENATE($J$48,"_",I59),選手名簿!$A:$E,5,FALSE))=TRUE,"",VLOOKUP(CONCATENATE($J$48,"_",I59),選手名簿!$A:$E,5,FALSE))</f>
        <v/>
      </c>
      <c r="K59" s="226"/>
      <c r="L59" s="190"/>
      <c r="M59" s="199"/>
      <c r="N59" s="209" t="str">
        <f>IF(ISERROR(VLOOKUP(CONCATENATE($N$48,"_",O59),選手名簿!$A:$E,5,FALSE))=TRUE,"",VLOOKUP(CONCATENATE($N$48,"_",O59),選手名簿!$A:$E,5,FALSE))</f>
        <v/>
      </c>
      <c r="O59" s="214"/>
      <c r="P59" s="214"/>
      <c r="Q59" s="221"/>
      <c r="R59" s="223"/>
      <c r="S59" s="221"/>
      <c r="T59" s="214"/>
      <c r="U59" s="214"/>
      <c r="V59" s="206" t="str">
        <f>IF(ISERROR(VLOOKUP(CONCATENATE($V$48,"_",U59),選手名簿!$A:$E,5,FALSE))=TRUE,"",VLOOKUP(CONCATENATE($V$48,"_",U59),選手名簿!$A:$E,5,FALSE))</f>
        <v/>
      </c>
      <c r="W59" s="226"/>
      <c r="Y59" s="590"/>
      <c r="Z59" s="590"/>
      <c r="AA59" s="590"/>
      <c r="AB59" s="962"/>
      <c r="AC59" s="962"/>
      <c r="AD59" s="962"/>
      <c r="AE59" s="962"/>
      <c r="AF59" s="962"/>
      <c r="AG59" s="962"/>
    </row>
    <row r="60" spans="1:67" x14ac:dyDescent="0.25">
      <c r="A60" s="199"/>
      <c r="B60" s="209" t="str">
        <f>IF(ISERROR(VLOOKUP(CONCATENATE($B$48,"_",C60),選手名簿!$A:$E,5,FALSE))=TRUE,"",VLOOKUP(CONCATENATE($B$48,"_",C60),選手名簿!$A:$E,5,FALSE))</f>
        <v/>
      </c>
      <c r="C60" s="214"/>
      <c r="D60" s="214"/>
      <c r="E60" s="221"/>
      <c r="F60" s="223"/>
      <c r="G60" s="221"/>
      <c r="H60" s="214"/>
      <c r="I60" s="214"/>
      <c r="J60" s="209" t="str">
        <f>IF(ISERROR(VLOOKUP(CONCATENATE($J$48,"_",I60),選手名簿!$A:$E,5,FALSE))=TRUE,"",VLOOKUP(CONCATENATE($J$48,"_",I60),選手名簿!$A:$E,5,FALSE))</f>
        <v/>
      </c>
      <c r="K60" s="226"/>
      <c r="L60" s="190"/>
      <c r="M60" s="199"/>
      <c r="N60" s="209" t="str">
        <f>IF(ISERROR(VLOOKUP(CONCATENATE($N$48,"_",O60),選手名簿!$A:$E,5,FALSE))=TRUE,"",VLOOKUP(CONCATENATE($N$48,"_",O60),選手名簿!$A:$E,5,FALSE))</f>
        <v/>
      </c>
      <c r="O60" s="214"/>
      <c r="P60" s="214"/>
      <c r="Q60" s="221"/>
      <c r="R60" s="223"/>
      <c r="S60" s="221"/>
      <c r="T60" s="214"/>
      <c r="U60" s="214"/>
      <c r="V60" s="209" t="str">
        <f>IF(ISERROR(VLOOKUP(CONCATENATE($V$48,"_",U60),選手名簿!$A:$E,5,FALSE))=TRUE,"",VLOOKUP(CONCATENATE($V$48,"_",U60),選手名簿!$A:$E,5,FALSE))</f>
        <v/>
      </c>
      <c r="W60" s="226"/>
      <c r="Y60" s="58"/>
      <c r="Z60" s="713" t="str">
        <f>$N$7</f>
        <v>H1</v>
      </c>
      <c r="AA60" s="713"/>
      <c r="AB60" s="713"/>
      <c r="AC60" s="713" t="str">
        <f>$O$7</f>
        <v>スマイス・セレソン</v>
      </c>
      <c r="AD60" s="713"/>
      <c r="AE60" s="713"/>
      <c r="AF60" s="713"/>
      <c r="AG60" s="713"/>
      <c r="AH60" s="713"/>
      <c r="AI60" s="713"/>
      <c r="AJ60" s="713"/>
      <c r="AK60" s="713"/>
      <c r="AL60" s="713"/>
      <c r="AM60" s="713"/>
      <c r="AN60" s="713"/>
      <c r="AO60" s="713"/>
      <c r="AP60" s="713" t="str">
        <f>$V$7</f>
        <v>別府</v>
      </c>
      <c r="AQ60" s="713"/>
      <c r="AR60" s="713"/>
      <c r="AS60" s="713"/>
    </row>
    <row r="61" spans="1:67" x14ac:dyDescent="0.25">
      <c r="A61" s="199"/>
      <c r="B61" s="209" t="str">
        <f>IF(ISERROR(VLOOKUP(CONCATENATE($B$48,"_",C61),選手名簿!$A:$E,5,FALSE))=TRUE,"",VLOOKUP(CONCATENATE($B$48,"_",C61),選手名簿!$A:$E,5,FALSE))</f>
        <v/>
      </c>
      <c r="C61" s="214"/>
      <c r="D61" s="214"/>
      <c r="E61" s="221"/>
      <c r="F61" s="223"/>
      <c r="G61" s="221"/>
      <c r="H61" s="214"/>
      <c r="I61" s="214"/>
      <c r="J61" s="209" t="str">
        <f>IF(ISERROR(VLOOKUP(CONCATENATE($J$48,"_",I61),選手名簿!$A:$E,5,FALSE))=TRUE,"",VLOOKUP(CONCATENATE($J$48,"_",I61),選手名簿!$A:$E,5,FALSE))</f>
        <v/>
      </c>
      <c r="K61" s="226"/>
      <c r="L61" s="190"/>
      <c r="M61" s="199"/>
      <c r="N61" s="209" t="str">
        <f>IF(ISERROR(VLOOKUP(CONCATENATE($N$48,"_",O61),選手名簿!$A:$E,5,FALSE))=TRUE,"",VLOOKUP(CONCATENATE($N$48,"_",O61),選手名簿!$A:$E,5,FALSE))</f>
        <v/>
      </c>
      <c r="O61" s="214"/>
      <c r="P61" s="214"/>
      <c r="Q61" s="221"/>
      <c r="R61" s="223"/>
      <c r="S61" s="221"/>
      <c r="T61" s="214"/>
      <c r="U61" s="214"/>
      <c r="V61" s="209" t="str">
        <f>IF(ISERROR(VLOOKUP(CONCATENATE($V$48,"_",U61),選手名簿!$A:$E,5,FALSE))=TRUE,"",VLOOKUP(CONCATENATE($V$48,"_",U61),選手名簿!$A:$E,5,FALSE))</f>
        <v/>
      </c>
      <c r="W61" s="226"/>
      <c r="Y61" s="58"/>
      <c r="Z61" s="713"/>
      <c r="AA61" s="713"/>
      <c r="AB61" s="713"/>
      <c r="AC61" s="713"/>
      <c r="AD61" s="713"/>
      <c r="AE61" s="713"/>
      <c r="AF61" s="713"/>
      <c r="AG61" s="713"/>
      <c r="AH61" s="713"/>
      <c r="AI61" s="713"/>
      <c r="AJ61" s="713"/>
      <c r="AK61" s="713"/>
      <c r="AL61" s="713"/>
      <c r="AM61" s="713"/>
      <c r="AN61" s="713"/>
      <c r="AO61" s="713"/>
      <c r="AP61" s="713"/>
      <c r="AQ61" s="713"/>
      <c r="AR61" s="713"/>
      <c r="AS61" s="713"/>
    </row>
    <row r="62" spans="1:67" x14ac:dyDescent="0.25">
      <c r="A62" s="199"/>
      <c r="B62" s="209" t="str">
        <f>IF(ISERROR(VLOOKUP(CONCATENATE($B$48,"_",C62),選手名簿!$A:$E,5,FALSE))=TRUE,"",VLOOKUP(CONCATENATE($B$48,"_",C62),選手名簿!$A:$E,5,FALSE))</f>
        <v/>
      </c>
      <c r="C62" s="214"/>
      <c r="D62" s="214"/>
      <c r="E62" s="221"/>
      <c r="F62" s="223"/>
      <c r="G62" s="221"/>
      <c r="H62" s="214"/>
      <c r="I62" s="214"/>
      <c r="J62" s="209" t="str">
        <f>IF(ISERROR(VLOOKUP(CONCATENATE($J$48,"_",I62),選手名簿!$A:$E,5,FALSE))=TRUE,"",VLOOKUP(CONCATENATE($J$48,"_",I62),選手名簿!$A:$E,5,FALSE))</f>
        <v/>
      </c>
      <c r="K62" s="226"/>
      <c r="L62" s="190"/>
      <c r="M62" s="199"/>
      <c r="N62" s="209" t="str">
        <f>IF(ISERROR(VLOOKUP(CONCATENATE($N$48,"_",O62),選手名簿!$A:$E,5,FALSE))=TRUE,"",VLOOKUP(CONCATENATE($N$48,"_",O62),選手名簿!$A:$E,5,FALSE))</f>
        <v/>
      </c>
      <c r="O62" s="214"/>
      <c r="P62" s="214"/>
      <c r="Q62" s="221"/>
      <c r="R62" s="223"/>
      <c r="S62" s="221"/>
      <c r="T62" s="214"/>
      <c r="U62" s="214"/>
      <c r="V62" s="209" t="str">
        <f>IF(ISERROR(VLOOKUP(CONCATENATE($V$48,"_",U62),選手名簿!$A:$E,5,FALSE))=TRUE,"",VLOOKUP(CONCATENATE($V$48,"_",U62),選手名簿!$A:$E,5,FALSE))</f>
        <v/>
      </c>
      <c r="W62" s="226"/>
      <c r="Y62" s="58"/>
      <c r="Z62" s="713" t="str">
        <f>$N$8</f>
        <v>H2</v>
      </c>
      <c r="AA62" s="713"/>
      <c r="AB62" s="713"/>
      <c r="AC62" s="713" t="str">
        <f>$O$8</f>
        <v>明治北ＳＳＣ</v>
      </c>
      <c r="AD62" s="713"/>
      <c r="AE62" s="713"/>
      <c r="AF62" s="713"/>
      <c r="AG62" s="713"/>
      <c r="AH62" s="713"/>
      <c r="AI62" s="713"/>
      <c r="AJ62" s="713"/>
      <c r="AK62" s="713"/>
      <c r="AL62" s="713"/>
      <c r="AM62" s="713"/>
      <c r="AN62" s="713"/>
      <c r="AO62" s="713"/>
      <c r="AP62" s="713" t="str">
        <f>$V$8</f>
        <v>大分</v>
      </c>
      <c r="AQ62" s="713"/>
      <c r="AR62" s="713"/>
      <c r="AS62" s="713"/>
    </row>
    <row r="63" spans="1:67" x14ac:dyDescent="0.25">
      <c r="A63" s="200"/>
      <c r="B63" s="210" t="str">
        <f>IF(ISERROR(VLOOKUP(CONCATENATE($B$48,"_",C63),選手名簿!$A:$E,5,FALSE))=TRUE,"",VLOOKUP(CONCATENATE($B$48,"_",C63),選手名簿!$A:$E,5,FALSE))</f>
        <v/>
      </c>
      <c r="C63" s="215"/>
      <c r="D63" s="215"/>
      <c r="E63" s="222"/>
      <c r="F63" s="224"/>
      <c r="G63" s="222"/>
      <c r="H63" s="215"/>
      <c r="I63" s="215"/>
      <c r="J63" s="210" t="str">
        <f>IF(ISERROR(VLOOKUP(CONCATENATE($J$48,"_",I63),選手名簿!$A:$E,5,FALSE))=TRUE,"",VLOOKUP(CONCATENATE($J$48,"_",I63),選手名簿!$A:$E,5,FALSE))</f>
        <v/>
      </c>
      <c r="K63" s="227"/>
      <c r="L63" s="190"/>
      <c r="M63" s="200"/>
      <c r="N63" s="210" t="str">
        <f>IF(ISERROR(VLOOKUP(CONCATENATE($N$48,"_",O63),選手名簿!$A:$E,5,FALSE))=TRUE,"",VLOOKUP(CONCATENATE($N$48,"_",O63),選手名簿!$A:$E,5,FALSE))</f>
        <v/>
      </c>
      <c r="O63" s="215"/>
      <c r="P63" s="215"/>
      <c r="Q63" s="222"/>
      <c r="R63" s="224"/>
      <c r="S63" s="222"/>
      <c r="T63" s="215"/>
      <c r="U63" s="215"/>
      <c r="V63" s="210" t="str">
        <f>IF(ISERROR(VLOOKUP(CONCATENATE($V$48,"_",U63),選手名簿!$A:$E,5,FALSE))=TRUE,"",VLOOKUP(CONCATENATE($V$48,"_",U63),選手名簿!$A:$E,5,FALSE))</f>
        <v/>
      </c>
      <c r="W63" s="227"/>
      <c r="Y63" s="58"/>
      <c r="Z63" s="713"/>
      <c r="AA63" s="713"/>
      <c r="AB63" s="713"/>
      <c r="AC63" s="713"/>
      <c r="AD63" s="713"/>
      <c r="AE63" s="713"/>
      <c r="AF63" s="713"/>
      <c r="AG63" s="713"/>
      <c r="AH63" s="713"/>
      <c r="AI63" s="713"/>
      <c r="AJ63" s="713"/>
      <c r="AK63" s="713"/>
      <c r="AL63" s="713"/>
      <c r="AM63" s="713"/>
      <c r="AN63" s="713"/>
      <c r="AO63" s="713"/>
      <c r="AP63" s="713"/>
      <c r="AQ63" s="713"/>
      <c r="AR63" s="713"/>
      <c r="AS63" s="713"/>
    </row>
    <row r="64" spans="1:67" ht="18.75" customHeight="1" x14ac:dyDescent="0.25">
      <c r="A64" s="190"/>
      <c r="B64" s="190"/>
      <c r="C64" s="190"/>
      <c r="D64" s="190"/>
      <c r="E64" s="190"/>
      <c r="F64" s="190"/>
      <c r="G64" s="190"/>
      <c r="H64" s="190"/>
      <c r="I64" s="190"/>
      <c r="J64" s="190"/>
      <c r="K64" s="190"/>
      <c r="L64" s="190"/>
      <c r="M64" s="190"/>
      <c r="N64" s="190"/>
      <c r="O64" s="190"/>
      <c r="P64" s="190"/>
      <c r="Q64" s="190"/>
      <c r="R64" s="190"/>
      <c r="S64" s="190"/>
      <c r="T64" s="190"/>
      <c r="U64" s="190"/>
      <c r="V64" s="190"/>
      <c r="Y64" s="190"/>
      <c r="Z64" s="713" t="str">
        <f>$N$9</f>
        <v>H3</v>
      </c>
      <c r="AA64" s="713"/>
      <c r="AB64" s="713"/>
      <c r="AC64" s="713" t="str">
        <f>$O$9</f>
        <v>大分トリニータタートルズ</v>
      </c>
      <c r="AD64" s="713"/>
      <c r="AE64" s="713"/>
      <c r="AF64" s="713"/>
      <c r="AG64" s="713"/>
      <c r="AH64" s="713"/>
      <c r="AI64" s="713"/>
      <c r="AJ64" s="713"/>
      <c r="AK64" s="713"/>
      <c r="AL64" s="713"/>
      <c r="AM64" s="713"/>
      <c r="AN64" s="713"/>
      <c r="AO64" s="713"/>
      <c r="AP64" s="713" t="str">
        <f>$V$9</f>
        <v>大分</v>
      </c>
      <c r="AQ64" s="713"/>
      <c r="AR64" s="713"/>
      <c r="AS64" s="713"/>
    </row>
    <row r="65" spans="25:67" x14ac:dyDescent="0.25">
      <c r="Z65" s="713"/>
      <c r="AA65" s="713"/>
      <c r="AB65" s="713"/>
      <c r="AC65" s="713"/>
      <c r="AD65" s="713"/>
      <c r="AE65" s="713"/>
      <c r="AF65" s="713"/>
      <c r="AG65" s="713"/>
      <c r="AH65" s="713"/>
      <c r="AI65" s="713"/>
      <c r="AJ65" s="713"/>
      <c r="AK65" s="713"/>
      <c r="AL65" s="713"/>
      <c r="AM65" s="713"/>
      <c r="AN65" s="713"/>
      <c r="AO65" s="713"/>
      <c r="AP65" s="713"/>
      <c r="AQ65" s="713"/>
      <c r="AR65" s="713"/>
      <c r="AS65" s="713"/>
    </row>
    <row r="70" spans="25:67" ht="18.75" customHeight="1" x14ac:dyDescent="0.25"/>
    <row r="71" spans="25:67" ht="18.75" customHeight="1" x14ac:dyDescent="0.25"/>
    <row r="72" spans="25:67" ht="18.75" customHeight="1" x14ac:dyDescent="0.25">
      <c r="Y72" s="954" t="str">
        <f>$Y$6</f>
        <v>パート</v>
      </c>
      <c r="Z72" s="955"/>
      <c r="AA72" s="955"/>
      <c r="AB72" s="955"/>
      <c r="AC72" s="955" t="str">
        <f>$AB$58</f>
        <v>H</v>
      </c>
      <c r="AD72" s="955"/>
      <c r="AE72" s="956"/>
      <c r="AF72" s="945" t="str">
        <f>$Y$78</f>
        <v>スマイス・セレソン</v>
      </c>
      <c r="AG72" s="945"/>
      <c r="AH72" s="945"/>
      <c r="AI72" s="945"/>
      <c r="AJ72" s="945"/>
      <c r="AK72" s="945" t="str">
        <f>$Y$84</f>
        <v>明治北ＳＳＣ</v>
      </c>
      <c r="AL72" s="945"/>
      <c r="AM72" s="945"/>
      <c r="AN72" s="945"/>
      <c r="AO72" s="945"/>
      <c r="AP72" s="945" t="str">
        <f>$Y$90</f>
        <v>大分トリニータタートルズ</v>
      </c>
      <c r="AQ72" s="945"/>
      <c r="AR72" s="945"/>
      <c r="AS72" s="945"/>
      <c r="AT72" s="945"/>
      <c r="AU72" s="945" t="s">
        <v>1535</v>
      </c>
      <c r="AV72" s="945"/>
      <c r="AW72" s="944" t="s">
        <v>2060</v>
      </c>
      <c r="AX72" s="945"/>
      <c r="AY72" s="944" t="s">
        <v>1208</v>
      </c>
      <c r="AZ72" s="945"/>
      <c r="BA72" s="945" t="s">
        <v>1727</v>
      </c>
      <c r="BB72" s="945"/>
      <c r="BC72" s="945" t="s">
        <v>2005</v>
      </c>
      <c r="BD72" s="945"/>
      <c r="BE72" s="945" t="s">
        <v>2006</v>
      </c>
      <c r="BF72" s="945"/>
      <c r="BG72" s="945" t="s">
        <v>1768</v>
      </c>
      <c r="BH72" s="945"/>
      <c r="BI72" s="944" t="s">
        <v>698</v>
      </c>
      <c r="BJ72" s="945"/>
      <c r="BK72" s="944" t="s">
        <v>1100</v>
      </c>
      <c r="BL72" s="945"/>
      <c r="BM72" s="944" t="s">
        <v>502</v>
      </c>
      <c r="BN72" s="945"/>
      <c r="BO72" s="947" t="s">
        <v>2127</v>
      </c>
    </row>
    <row r="73" spans="25:67" ht="18.75" customHeight="1" x14ac:dyDescent="0.25">
      <c r="Y73" s="905"/>
      <c r="Z73" s="906"/>
      <c r="AA73" s="906"/>
      <c r="AB73" s="906"/>
      <c r="AC73" s="906"/>
      <c r="AD73" s="906"/>
      <c r="AE73" s="957"/>
      <c r="AF73" s="946"/>
      <c r="AG73" s="946"/>
      <c r="AH73" s="946"/>
      <c r="AI73" s="946"/>
      <c r="AJ73" s="946"/>
      <c r="AK73" s="946"/>
      <c r="AL73" s="946"/>
      <c r="AM73" s="946"/>
      <c r="AN73" s="946"/>
      <c r="AO73" s="946"/>
      <c r="AP73" s="946"/>
      <c r="AQ73" s="946"/>
      <c r="AR73" s="946"/>
      <c r="AS73" s="946"/>
      <c r="AT73" s="946"/>
      <c r="AU73" s="946"/>
      <c r="AV73" s="946"/>
      <c r="AW73" s="946"/>
      <c r="AX73" s="946"/>
      <c r="AY73" s="946"/>
      <c r="AZ73" s="946"/>
      <c r="BA73" s="946"/>
      <c r="BB73" s="946"/>
      <c r="BC73" s="946"/>
      <c r="BD73" s="946"/>
      <c r="BE73" s="946"/>
      <c r="BF73" s="946"/>
      <c r="BG73" s="946"/>
      <c r="BH73" s="946"/>
      <c r="BI73" s="946"/>
      <c r="BJ73" s="946"/>
      <c r="BK73" s="946"/>
      <c r="BL73" s="946"/>
      <c r="BM73" s="946"/>
      <c r="BN73" s="946"/>
      <c r="BO73" s="948"/>
    </row>
    <row r="74" spans="25:67" ht="18.75" customHeight="1" x14ac:dyDescent="0.25">
      <c r="Y74" s="905"/>
      <c r="Z74" s="906"/>
      <c r="AA74" s="906"/>
      <c r="AB74" s="906"/>
      <c r="AC74" s="906"/>
      <c r="AD74" s="906"/>
      <c r="AE74" s="957"/>
      <c r="AF74" s="946"/>
      <c r="AG74" s="946"/>
      <c r="AH74" s="946"/>
      <c r="AI74" s="946"/>
      <c r="AJ74" s="946"/>
      <c r="AK74" s="946"/>
      <c r="AL74" s="946"/>
      <c r="AM74" s="946"/>
      <c r="AN74" s="946"/>
      <c r="AO74" s="946"/>
      <c r="AP74" s="946"/>
      <c r="AQ74" s="946"/>
      <c r="AR74" s="946"/>
      <c r="AS74" s="946"/>
      <c r="AT74" s="946"/>
      <c r="AU74" s="946"/>
      <c r="AV74" s="946"/>
      <c r="AW74" s="946"/>
      <c r="AX74" s="946"/>
      <c r="AY74" s="946"/>
      <c r="AZ74" s="946"/>
      <c r="BA74" s="946"/>
      <c r="BB74" s="946"/>
      <c r="BC74" s="946"/>
      <c r="BD74" s="946"/>
      <c r="BE74" s="946"/>
      <c r="BF74" s="946"/>
      <c r="BG74" s="946"/>
      <c r="BH74" s="946"/>
      <c r="BI74" s="946"/>
      <c r="BJ74" s="946"/>
      <c r="BK74" s="946"/>
      <c r="BL74" s="946"/>
      <c r="BM74" s="946"/>
      <c r="BN74" s="946"/>
      <c r="BO74" s="948"/>
    </row>
    <row r="75" spans="25:67" ht="19.5" customHeight="1" x14ac:dyDescent="0.25">
      <c r="Y75" s="905"/>
      <c r="Z75" s="906"/>
      <c r="AA75" s="906"/>
      <c r="AB75" s="906"/>
      <c r="AC75" s="906"/>
      <c r="AD75" s="906"/>
      <c r="AE75" s="957"/>
      <c r="AF75" s="946"/>
      <c r="AG75" s="946"/>
      <c r="AH75" s="946"/>
      <c r="AI75" s="946"/>
      <c r="AJ75" s="946"/>
      <c r="AK75" s="946"/>
      <c r="AL75" s="946"/>
      <c r="AM75" s="946"/>
      <c r="AN75" s="946"/>
      <c r="AO75" s="946"/>
      <c r="AP75" s="946"/>
      <c r="AQ75" s="946"/>
      <c r="AR75" s="946"/>
      <c r="AS75" s="946"/>
      <c r="AT75" s="946"/>
      <c r="AU75" s="946"/>
      <c r="AV75" s="946"/>
      <c r="AW75" s="946"/>
      <c r="AX75" s="946"/>
      <c r="AY75" s="946"/>
      <c r="AZ75" s="946"/>
      <c r="BA75" s="946"/>
      <c r="BB75" s="946"/>
      <c r="BC75" s="946"/>
      <c r="BD75" s="946"/>
      <c r="BE75" s="946"/>
      <c r="BF75" s="946"/>
      <c r="BG75" s="946"/>
      <c r="BH75" s="946"/>
      <c r="BI75" s="946"/>
      <c r="BJ75" s="946"/>
      <c r="BK75" s="946"/>
      <c r="BL75" s="946"/>
      <c r="BM75" s="946"/>
      <c r="BN75" s="946"/>
      <c r="BO75" s="948"/>
    </row>
    <row r="76" spans="25:67" ht="19.5" customHeight="1" x14ac:dyDescent="0.25">
      <c r="Y76" s="905"/>
      <c r="Z76" s="906"/>
      <c r="AA76" s="906"/>
      <c r="AB76" s="906"/>
      <c r="AC76" s="906"/>
      <c r="AD76" s="906"/>
      <c r="AE76" s="957"/>
      <c r="AF76" s="946"/>
      <c r="AG76" s="946"/>
      <c r="AH76" s="946"/>
      <c r="AI76" s="946"/>
      <c r="AJ76" s="946"/>
      <c r="AK76" s="946"/>
      <c r="AL76" s="946"/>
      <c r="AM76" s="946"/>
      <c r="AN76" s="946"/>
      <c r="AO76" s="946"/>
      <c r="AP76" s="946"/>
      <c r="AQ76" s="946"/>
      <c r="AR76" s="946"/>
      <c r="AS76" s="946"/>
      <c r="AT76" s="946"/>
      <c r="AU76" s="946"/>
      <c r="AV76" s="946"/>
      <c r="AW76" s="946"/>
      <c r="AX76" s="946"/>
      <c r="AY76" s="946"/>
      <c r="AZ76" s="946"/>
      <c r="BA76" s="946"/>
      <c r="BB76" s="946"/>
      <c r="BC76" s="946"/>
      <c r="BD76" s="946"/>
      <c r="BE76" s="946"/>
      <c r="BF76" s="946"/>
      <c r="BG76" s="946"/>
      <c r="BH76" s="946"/>
      <c r="BI76" s="946"/>
      <c r="BJ76" s="946"/>
      <c r="BK76" s="946"/>
      <c r="BL76" s="946"/>
      <c r="BM76" s="946"/>
      <c r="BN76" s="946"/>
      <c r="BO76" s="948"/>
    </row>
    <row r="77" spans="25:67" ht="18.75" customHeight="1" x14ac:dyDescent="0.25">
      <c r="Y77" s="941"/>
      <c r="Z77" s="936"/>
      <c r="AA77" s="936"/>
      <c r="AB77" s="936"/>
      <c r="AC77" s="936"/>
      <c r="AD77" s="936"/>
      <c r="AE77" s="958"/>
      <c r="AF77" s="946"/>
      <c r="AG77" s="946"/>
      <c r="AH77" s="946"/>
      <c r="AI77" s="946"/>
      <c r="AJ77" s="946"/>
      <c r="AK77" s="946"/>
      <c r="AL77" s="946"/>
      <c r="AM77" s="946"/>
      <c r="AN77" s="946"/>
      <c r="AO77" s="946"/>
      <c r="AP77" s="946"/>
      <c r="AQ77" s="946"/>
      <c r="AR77" s="946"/>
      <c r="AS77" s="946"/>
      <c r="AT77" s="946"/>
      <c r="AU77" s="946"/>
      <c r="AV77" s="946"/>
      <c r="AW77" s="946"/>
      <c r="AX77" s="946"/>
      <c r="AY77" s="946"/>
      <c r="AZ77" s="946"/>
      <c r="BA77" s="946"/>
      <c r="BB77" s="946"/>
      <c r="BC77" s="946"/>
      <c r="BD77" s="946"/>
      <c r="BE77" s="946"/>
      <c r="BF77" s="946"/>
      <c r="BG77" s="946"/>
      <c r="BH77" s="946"/>
      <c r="BI77" s="946"/>
      <c r="BJ77" s="946"/>
      <c r="BK77" s="946"/>
      <c r="BL77" s="946"/>
      <c r="BM77" s="946"/>
      <c r="BN77" s="946"/>
      <c r="BO77" s="949"/>
    </row>
    <row r="78" spans="25:67" ht="18.75" customHeight="1" x14ac:dyDescent="0.25">
      <c r="Y78" s="939" t="str">
        <f>$AC$60</f>
        <v>スマイス・セレソン</v>
      </c>
      <c r="Z78" s="940"/>
      <c r="AA78" s="940"/>
      <c r="AB78" s="940"/>
      <c r="AC78" s="940"/>
      <c r="AD78" s="940" t="s">
        <v>242</v>
      </c>
      <c r="AE78" s="940"/>
      <c r="AF78" s="950"/>
      <c r="AG78" s="942"/>
      <c r="AH78" s="942"/>
      <c r="AI78" s="942"/>
      <c r="AJ78" s="951"/>
      <c r="AK78" s="923" t="str">
        <f>IF(AK82="","",IF(AK82&gt;AN82,"○",IF(AK82&lt;AN82,"●",IF(AK80&gt;AN80,"△",IF(AK80&lt;AN80,"▲")))))</f>
        <v>●</v>
      </c>
      <c r="AL78" s="924"/>
      <c r="AM78" s="924"/>
      <c r="AN78" s="924"/>
      <c r="AO78" s="925"/>
      <c r="AP78" s="923" t="b">
        <f>IF(AP82="","",IF(AP82&gt;AS82,"○",IF(AP82&lt;AS82,"●",IF(AP80&gt;AS80,"△",IF(AP80&lt;AS80,"▲")))))</f>
        <v>0</v>
      </c>
      <c r="AQ78" s="924"/>
      <c r="AR78" s="924"/>
      <c r="AS78" s="924"/>
      <c r="AT78" s="925"/>
      <c r="AU78" s="903">
        <f>COUNTIF($AF$78:$AT$79,"○")</f>
        <v>0</v>
      </c>
      <c r="AV78" s="903"/>
      <c r="AW78" s="903">
        <f>COUNTIF($AF$78:$AT$79,"△")</f>
        <v>0</v>
      </c>
      <c r="AX78" s="903"/>
      <c r="AY78" s="903">
        <f>COUNTIF($AF$78:$AT$79,"▲")</f>
        <v>0</v>
      </c>
      <c r="AZ78" s="903"/>
      <c r="BA78" s="903">
        <f>COUNTIF($AF$78:$AT$79,"●")</f>
        <v>1</v>
      </c>
      <c r="BB78" s="903"/>
      <c r="BC78" s="903">
        <f>SUM($AK$82,$AP$82)</f>
        <v>1</v>
      </c>
      <c r="BD78" s="903"/>
      <c r="BE78" s="903">
        <f>SUM($AN$82,$AS$82)</f>
        <v>2</v>
      </c>
      <c r="BF78" s="903"/>
      <c r="BG78" s="903">
        <f>($AU$78*3)+($AW$78*2)+($AY$78*1)</f>
        <v>0</v>
      </c>
      <c r="BH78" s="903"/>
      <c r="BI78" s="910">
        <f>RANK($BG$78,$BG$78:$BH$95)</f>
        <v>3</v>
      </c>
      <c r="BJ78" s="910"/>
      <c r="BK78" s="903">
        <f>$BC$78-$BE$78</f>
        <v>-1</v>
      </c>
      <c r="BL78" s="903"/>
      <c r="BM78" s="910">
        <f>RANK($BK$78,$BK$78:$BL$95)</f>
        <v>2</v>
      </c>
      <c r="BN78" s="910"/>
      <c r="BO78" s="912"/>
    </row>
    <row r="79" spans="25:67" ht="18.75" customHeight="1" x14ac:dyDescent="0.25">
      <c r="Y79" s="905"/>
      <c r="Z79" s="906"/>
      <c r="AA79" s="906"/>
      <c r="AB79" s="906"/>
      <c r="AC79" s="906"/>
      <c r="AD79" s="906"/>
      <c r="AE79" s="906"/>
      <c r="AF79" s="929"/>
      <c r="AG79" s="930"/>
      <c r="AH79" s="930"/>
      <c r="AI79" s="930"/>
      <c r="AJ79" s="931"/>
      <c r="AK79" s="917"/>
      <c r="AL79" s="918"/>
      <c r="AM79" s="918"/>
      <c r="AN79" s="918"/>
      <c r="AO79" s="920"/>
      <c r="AP79" s="917"/>
      <c r="AQ79" s="918"/>
      <c r="AR79" s="918"/>
      <c r="AS79" s="918"/>
      <c r="AT79" s="920"/>
      <c r="AU79" s="903"/>
      <c r="AV79" s="903"/>
      <c r="AW79" s="903"/>
      <c r="AX79" s="903"/>
      <c r="AY79" s="903"/>
      <c r="AZ79" s="903"/>
      <c r="BA79" s="903"/>
      <c r="BB79" s="903"/>
      <c r="BC79" s="903"/>
      <c r="BD79" s="903"/>
      <c r="BE79" s="903"/>
      <c r="BF79" s="903"/>
      <c r="BG79" s="903"/>
      <c r="BH79" s="903"/>
      <c r="BI79" s="910"/>
      <c r="BJ79" s="910"/>
      <c r="BK79" s="903"/>
      <c r="BL79" s="903"/>
      <c r="BM79" s="910"/>
      <c r="BN79" s="910"/>
      <c r="BO79" s="913"/>
    </row>
    <row r="80" spans="25:67" ht="18.75" customHeight="1" x14ac:dyDescent="0.25">
      <c r="Y80" s="905"/>
      <c r="Z80" s="906"/>
      <c r="AA80" s="906"/>
      <c r="AB80" s="906"/>
      <c r="AC80" s="906"/>
      <c r="AD80" s="906"/>
      <c r="AE80" s="906"/>
      <c r="AF80" s="929"/>
      <c r="AG80" s="930"/>
      <c r="AH80" s="930"/>
      <c r="AI80" s="930"/>
      <c r="AJ80" s="931"/>
      <c r="AK80" s="915" t="str">
        <f>IF($Q$14="","",$Q$14)</f>
        <v/>
      </c>
      <c r="AL80" s="916"/>
      <c r="AM80" s="916" t="s">
        <v>2011</v>
      </c>
      <c r="AN80" s="916" t="str">
        <f>IF($S$14="","",$S$14)</f>
        <v/>
      </c>
      <c r="AO80" s="919"/>
      <c r="AP80" s="915" t="str">
        <f>IF($S$50="","",$S$50)</f>
        <v/>
      </c>
      <c r="AQ80" s="916"/>
      <c r="AR80" s="916" t="s">
        <v>2011</v>
      </c>
      <c r="AS80" s="916" t="str">
        <f>IF($Q$50="","",$Q$50)</f>
        <v/>
      </c>
      <c r="AT80" s="919"/>
      <c r="AU80" s="903"/>
      <c r="AV80" s="903"/>
      <c r="AW80" s="903"/>
      <c r="AX80" s="903"/>
      <c r="AY80" s="903"/>
      <c r="AZ80" s="903"/>
      <c r="BA80" s="903"/>
      <c r="BB80" s="903"/>
      <c r="BC80" s="903"/>
      <c r="BD80" s="903"/>
      <c r="BE80" s="903"/>
      <c r="BF80" s="903"/>
      <c r="BG80" s="903"/>
      <c r="BH80" s="903"/>
      <c r="BI80" s="910"/>
      <c r="BJ80" s="910"/>
      <c r="BK80" s="903"/>
      <c r="BL80" s="903"/>
      <c r="BM80" s="910"/>
      <c r="BN80" s="910"/>
      <c r="BO80" s="913"/>
    </row>
    <row r="81" spans="25:67" ht="19.5" customHeight="1" x14ac:dyDescent="0.25">
      <c r="Y81" s="905"/>
      <c r="Z81" s="906"/>
      <c r="AA81" s="906"/>
      <c r="AB81" s="906"/>
      <c r="AC81" s="906"/>
      <c r="AD81" s="906" t="s">
        <v>2010</v>
      </c>
      <c r="AE81" s="906"/>
      <c r="AF81" s="929"/>
      <c r="AG81" s="930"/>
      <c r="AH81" s="930"/>
      <c r="AI81" s="930"/>
      <c r="AJ81" s="931"/>
      <c r="AK81" s="917"/>
      <c r="AL81" s="918"/>
      <c r="AM81" s="918"/>
      <c r="AN81" s="918"/>
      <c r="AO81" s="920"/>
      <c r="AP81" s="917"/>
      <c r="AQ81" s="918"/>
      <c r="AR81" s="918"/>
      <c r="AS81" s="918"/>
      <c r="AT81" s="920"/>
      <c r="AU81" s="903"/>
      <c r="AV81" s="903"/>
      <c r="AW81" s="903"/>
      <c r="AX81" s="903"/>
      <c r="AY81" s="903"/>
      <c r="AZ81" s="903"/>
      <c r="BA81" s="903"/>
      <c r="BB81" s="903"/>
      <c r="BC81" s="903"/>
      <c r="BD81" s="903"/>
      <c r="BE81" s="903"/>
      <c r="BF81" s="903"/>
      <c r="BG81" s="903"/>
      <c r="BH81" s="903"/>
      <c r="BI81" s="910"/>
      <c r="BJ81" s="910"/>
      <c r="BK81" s="903"/>
      <c r="BL81" s="903"/>
      <c r="BM81" s="910"/>
      <c r="BN81" s="910"/>
      <c r="BO81" s="913"/>
    </row>
    <row r="82" spans="25:67" ht="18.75" customHeight="1" x14ac:dyDescent="0.25">
      <c r="Y82" s="905"/>
      <c r="Z82" s="906"/>
      <c r="AA82" s="906"/>
      <c r="AB82" s="906"/>
      <c r="AC82" s="906"/>
      <c r="AD82" s="906"/>
      <c r="AE82" s="906"/>
      <c r="AF82" s="929"/>
      <c r="AG82" s="930"/>
      <c r="AH82" s="930"/>
      <c r="AI82" s="930"/>
      <c r="AJ82" s="931"/>
      <c r="AK82" s="915">
        <f>$O$12</f>
        <v>0</v>
      </c>
      <c r="AL82" s="916"/>
      <c r="AM82" s="916" t="s">
        <v>2011</v>
      </c>
      <c r="AN82" s="916">
        <f>$U$12</f>
        <v>1</v>
      </c>
      <c r="AO82" s="919"/>
      <c r="AP82" s="915">
        <f>$U$48</f>
        <v>1</v>
      </c>
      <c r="AQ82" s="916"/>
      <c r="AR82" s="916" t="s">
        <v>2011</v>
      </c>
      <c r="AS82" s="916">
        <f>$O$48</f>
        <v>1</v>
      </c>
      <c r="AT82" s="919"/>
      <c r="AU82" s="903"/>
      <c r="AV82" s="903"/>
      <c r="AW82" s="903"/>
      <c r="AX82" s="903"/>
      <c r="AY82" s="903"/>
      <c r="AZ82" s="903"/>
      <c r="BA82" s="903"/>
      <c r="BB82" s="903"/>
      <c r="BC82" s="903"/>
      <c r="BD82" s="903"/>
      <c r="BE82" s="903"/>
      <c r="BF82" s="903"/>
      <c r="BG82" s="903"/>
      <c r="BH82" s="903"/>
      <c r="BI82" s="910"/>
      <c r="BJ82" s="910"/>
      <c r="BK82" s="903"/>
      <c r="BL82" s="903"/>
      <c r="BM82" s="910"/>
      <c r="BN82" s="910"/>
      <c r="BO82" s="913"/>
    </row>
    <row r="83" spans="25:67" ht="18.75" customHeight="1" x14ac:dyDescent="0.25">
      <c r="Y83" s="941"/>
      <c r="Z83" s="936"/>
      <c r="AA83" s="936"/>
      <c r="AB83" s="936"/>
      <c r="AC83" s="936"/>
      <c r="AD83" s="936"/>
      <c r="AE83" s="936"/>
      <c r="AF83" s="952"/>
      <c r="AG83" s="943"/>
      <c r="AH83" s="943"/>
      <c r="AI83" s="943"/>
      <c r="AJ83" s="953"/>
      <c r="AK83" s="937"/>
      <c r="AL83" s="560"/>
      <c r="AM83" s="560"/>
      <c r="AN83" s="560"/>
      <c r="AO83" s="938"/>
      <c r="AP83" s="937"/>
      <c r="AQ83" s="560"/>
      <c r="AR83" s="560"/>
      <c r="AS83" s="560"/>
      <c r="AT83" s="938"/>
      <c r="AU83" s="903"/>
      <c r="AV83" s="903"/>
      <c r="AW83" s="903"/>
      <c r="AX83" s="903"/>
      <c r="AY83" s="903"/>
      <c r="AZ83" s="903"/>
      <c r="BA83" s="903"/>
      <c r="BB83" s="903"/>
      <c r="BC83" s="903"/>
      <c r="BD83" s="903"/>
      <c r="BE83" s="903"/>
      <c r="BF83" s="903"/>
      <c r="BG83" s="903"/>
      <c r="BH83" s="903"/>
      <c r="BI83" s="910"/>
      <c r="BJ83" s="910"/>
      <c r="BK83" s="903"/>
      <c r="BL83" s="903"/>
      <c r="BM83" s="910"/>
      <c r="BN83" s="910"/>
      <c r="BO83" s="935"/>
    </row>
    <row r="84" spans="25:67" ht="18.75" customHeight="1" x14ac:dyDescent="0.25">
      <c r="Y84" s="939" t="str">
        <f>$AC$62</f>
        <v>明治北ＳＳＣ</v>
      </c>
      <c r="Z84" s="940"/>
      <c r="AA84" s="940"/>
      <c r="AB84" s="940"/>
      <c r="AC84" s="940"/>
      <c r="AD84" s="940" t="s">
        <v>242</v>
      </c>
      <c r="AE84" s="940"/>
      <c r="AF84" s="923" t="str">
        <f>IF(AF88="","",IF(AF88&gt;AI88,"○",IF(AF88&lt;AI88,"●",IF(AF86&gt;AI86,"△",IF(AF86&lt;AI86,"▲")))))</f>
        <v>○</v>
      </c>
      <c r="AG84" s="924"/>
      <c r="AH84" s="924"/>
      <c r="AI84" s="924"/>
      <c r="AJ84" s="925"/>
      <c r="AK84" s="942"/>
      <c r="AL84" s="942"/>
      <c r="AM84" s="942"/>
      <c r="AN84" s="942"/>
      <c r="AO84" s="942"/>
      <c r="AP84" s="923" t="str">
        <f>IF(AP88="","",IF(AP88&gt;AS88,"○",IF(AP88&lt;AS88,"●",IF(AP86&gt;AS86,"△",IF(AP86&lt;AS86,"▲")))))</f>
        <v>●</v>
      </c>
      <c r="AQ84" s="924"/>
      <c r="AR84" s="924"/>
      <c r="AS84" s="924"/>
      <c r="AT84" s="925"/>
      <c r="AU84" s="903">
        <f>COUNTIF($AF$84:$AT$85,"○")</f>
        <v>1</v>
      </c>
      <c r="AV84" s="903"/>
      <c r="AW84" s="903">
        <f>COUNTIF($AF$84:$AT$85,"△")</f>
        <v>0</v>
      </c>
      <c r="AX84" s="903"/>
      <c r="AY84" s="903">
        <f>COUNTIF($AF$84:$AT$85,"▲")</f>
        <v>0</v>
      </c>
      <c r="AZ84" s="903"/>
      <c r="BA84" s="903">
        <f>COUNTIF($AF$84:$AT$85,"●")</f>
        <v>1</v>
      </c>
      <c r="BB84" s="903"/>
      <c r="BC84" s="903">
        <f>SUM($AF$88,$AP$88)</f>
        <v>3</v>
      </c>
      <c r="BD84" s="903"/>
      <c r="BE84" s="903">
        <f>SUM($AI$88,$AS$88)</f>
        <v>4</v>
      </c>
      <c r="BF84" s="903"/>
      <c r="BG84" s="903">
        <f>($AU$84*3)+($AW$84*2)+($AY$84*1)</f>
        <v>3</v>
      </c>
      <c r="BH84" s="903"/>
      <c r="BI84" s="910">
        <f>RANK($BG$84,$BG$78:$BH$95)</f>
        <v>1</v>
      </c>
      <c r="BJ84" s="910"/>
      <c r="BK84" s="903">
        <f>$BC$84-$BE$84</f>
        <v>-1</v>
      </c>
      <c r="BL84" s="903"/>
      <c r="BM84" s="910">
        <f>RANK($BK$84,$BK$78:$BL$95)</f>
        <v>2</v>
      </c>
      <c r="BN84" s="910"/>
      <c r="BO84" s="912"/>
    </row>
    <row r="85" spans="25:67" ht="18.75" customHeight="1" x14ac:dyDescent="0.25">
      <c r="Y85" s="905"/>
      <c r="Z85" s="906"/>
      <c r="AA85" s="906"/>
      <c r="AB85" s="906"/>
      <c r="AC85" s="906"/>
      <c r="AD85" s="906"/>
      <c r="AE85" s="906"/>
      <c r="AF85" s="917"/>
      <c r="AG85" s="918"/>
      <c r="AH85" s="918"/>
      <c r="AI85" s="918"/>
      <c r="AJ85" s="920"/>
      <c r="AK85" s="930"/>
      <c r="AL85" s="930"/>
      <c r="AM85" s="930"/>
      <c r="AN85" s="930"/>
      <c r="AO85" s="930"/>
      <c r="AP85" s="917"/>
      <c r="AQ85" s="918"/>
      <c r="AR85" s="918"/>
      <c r="AS85" s="918"/>
      <c r="AT85" s="920"/>
      <c r="AU85" s="903"/>
      <c r="AV85" s="903"/>
      <c r="AW85" s="903"/>
      <c r="AX85" s="903"/>
      <c r="AY85" s="903"/>
      <c r="AZ85" s="903"/>
      <c r="BA85" s="903"/>
      <c r="BB85" s="903"/>
      <c r="BC85" s="903"/>
      <c r="BD85" s="903"/>
      <c r="BE85" s="903"/>
      <c r="BF85" s="903"/>
      <c r="BG85" s="903"/>
      <c r="BH85" s="903"/>
      <c r="BI85" s="910"/>
      <c r="BJ85" s="910"/>
      <c r="BK85" s="903"/>
      <c r="BL85" s="903"/>
      <c r="BM85" s="910"/>
      <c r="BN85" s="910"/>
      <c r="BO85" s="913"/>
    </row>
    <row r="86" spans="25:67" ht="19.5" customHeight="1" x14ac:dyDescent="0.25">
      <c r="Y86" s="905"/>
      <c r="Z86" s="906"/>
      <c r="AA86" s="906"/>
      <c r="AB86" s="906"/>
      <c r="AC86" s="906"/>
      <c r="AD86" s="906"/>
      <c r="AE86" s="906"/>
      <c r="AF86" s="915" t="str">
        <f>AN80</f>
        <v/>
      </c>
      <c r="AG86" s="916"/>
      <c r="AH86" s="916" t="s">
        <v>2011</v>
      </c>
      <c r="AI86" s="916" t="str">
        <f>AK80</f>
        <v/>
      </c>
      <c r="AJ86" s="919"/>
      <c r="AK86" s="930"/>
      <c r="AL86" s="930"/>
      <c r="AM86" s="930"/>
      <c r="AN86" s="930"/>
      <c r="AO86" s="930"/>
      <c r="AP86" s="915" t="str">
        <f>IF($Q$32="","",$Q$32)</f>
        <v/>
      </c>
      <c r="AQ86" s="916"/>
      <c r="AR86" s="916" t="s">
        <v>2011</v>
      </c>
      <c r="AS86" s="916" t="str">
        <f>IF($S$32="","",$S$32)</f>
        <v/>
      </c>
      <c r="AT86" s="919"/>
      <c r="AU86" s="903"/>
      <c r="AV86" s="903"/>
      <c r="AW86" s="903"/>
      <c r="AX86" s="903"/>
      <c r="AY86" s="903"/>
      <c r="AZ86" s="903"/>
      <c r="BA86" s="903"/>
      <c r="BB86" s="903"/>
      <c r="BC86" s="903"/>
      <c r="BD86" s="903"/>
      <c r="BE86" s="903"/>
      <c r="BF86" s="903"/>
      <c r="BG86" s="903"/>
      <c r="BH86" s="903"/>
      <c r="BI86" s="910"/>
      <c r="BJ86" s="910"/>
      <c r="BK86" s="903"/>
      <c r="BL86" s="903"/>
      <c r="BM86" s="910"/>
      <c r="BN86" s="910"/>
      <c r="BO86" s="913"/>
    </row>
    <row r="87" spans="25:67" ht="19.5" customHeight="1" x14ac:dyDescent="0.25">
      <c r="Y87" s="905"/>
      <c r="Z87" s="906"/>
      <c r="AA87" s="906"/>
      <c r="AB87" s="906"/>
      <c r="AC87" s="906"/>
      <c r="AD87" s="906" t="s">
        <v>2010</v>
      </c>
      <c r="AE87" s="906"/>
      <c r="AF87" s="917"/>
      <c r="AG87" s="918"/>
      <c r="AH87" s="918"/>
      <c r="AI87" s="918"/>
      <c r="AJ87" s="920"/>
      <c r="AK87" s="930"/>
      <c r="AL87" s="930"/>
      <c r="AM87" s="930"/>
      <c r="AN87" s="930"/>
      <c r="AO87" s="930"/>
      <c r="AP87" s="917"/>
      <c r="AQ87" s="918"/>
      <c r="AR87" s="918"/>
      <c r="AS87" s="918"/>
      <c r="AT87" s="920"/>
      <c r="AU87" s="903"/>
      <c r="AV87" s="903"/>
      <c r="AW87" s="903"/>
      <c r="AX87" s="903"/>
      <c r="AY87" s="903"/>
      <c r="AZ87" s="903"/>
      <c r="BA87" s="903"/>
      <c r="BB87" s="903"/>
      <c r="BC87" s="903"/>
      <c r="BD87" s="903"/>
      <c r="BE87" s="903"/>
      <c r="BF87" s="903"/>
      <c r="BG87" s="903"/>
      <c r="BH87" s="903"/>
      <c r="BI87" s="910"/>
      <c r="BJ87" s="910"/>
      <c r="BK87" s="903"/>
      <c r="BL87" s="903"/>
      <c r="BM87" s="910"/>
      <c r="BN87" s="910"/>
      <c r="BO87" s="913"/>
    </row>
    <row r="88" spans="25:67" ht="18.75" customHeight="1" x14ac:dyDescent="0.25">
      <c r="Y88" s="905"/>
      <c r="Z88" s="906"/>
      <c r="AA88" s="906"/>
      <c r="AB88" s="906"/>
      <c r="AC88" s="906"/>
      <c r="AD88" s="906"/>
      <c r="AE88" s="906"/>
      <c r="AF88" s="915">
        <f>AN82</f>
        <v>1</v>
      </c>
      <c r="AG88" s="916"/>
      <c r="AH88" s="916" t="s">
        <v>2011</v>
      </c>
      <c r="AI88" s="916">
        <f>AK82</f>
        <v>0</v>
      </c>
      <c r="AJ88" s="919"/>
      <c r="AK88" s="930"/>
      <c r="AL88" s="930"/>
      <c r="AM88" s="930"/>
      <c r="AN88" s="930"/>
      <c r="AO88" s="930"/>
      <c r="AP88" s="915">
        <f>$O$30</f>
        <v>2</v>
      </c>
      <c r="AQ88" s="916"/>
      <c r="AR88" s="916" t="s">
        <v>2011</v>
      </c>
      <c r="AS88" s="916">
        <f>$U$30</f>
        <v>4</v>
      </c>
      <c r="AT88" s="919"/>
      <c r="AU88" s="903"/>
      <c r="AV88" s="903"/>
      <c r="AW88" s="903"/>
      <c r="AX88" s="903"/>
      <c r="AY88" s="903"/>
      <c r="AZ88" s="903"/>
      <c r="BA88" s="903"/>
      <c r="BB88" s="903"/>
      <c r="BC88" s="903"/>
      <c r="BD88" s="903"/>
      <c r="BE88" s="903"/>
      <c r="BF88" s="903"/>
      <c r="BG88" s="903"/>
      <c r="BH88" s="903"/>
      <c r="BI88" s="910"/>
      <c r="BJ88" s="910"/>
      <c r="BK88" s="903"/>
      <c r="BL88" s="903"/>
      <c r="BM88" s="910"/>
      <c r="BN88" s="910"/>
      <c r="BO88" s="913"/>
    </row>
    <row r="89" spans="25:67" ht="18.75" customHeight="1" x14ac:dyDescent="0.25">
      <c r="Y89" s="941"/>
      <c r="Z89" s="936"/>
      <c r="AA89" s="936"/>
      <c r="AB89" s="936"/>
      <c r="AC89" s="936"/>
      <c r="AD89" s="936"/>
      <c r="AE89" s="936"/>
      <c r="AF89" s="937"/>
      <c r="AG89" s="560"/>
      <c r="AH89" s="560"/>
      <c r="AI89" s="560"/>
      <c r="AJ89" s="938"/>
      <c r="AK89" s="943"/>
      <c r="AL89" s="943"/>
      <c r="AM89" s="943"/>
      <c r="AN89" s="943"/>
      <c r="AO89" s="943"/>
      <c r="AP89" s="937"/>
      <c r="AQ89" s="560"/>
      <c r="AR89" s="560"/>
      <c r="AS89" s="560"/>
      <c r="AT89" s="938"/>
      <c r="AU89" s="903"/>
      <c r="AV89" s="903"/>
      <c r="AW89" s="903"/>
      <c r="AX89" s="903"/>
      <c r="AY89" s="903"/>
      <c r="AZ89" s="903"/>
      <c r="BA89" s="903"/>
      <c r="BB89" s="903"/>
      <c r="BC89" s="903"/>
      <c r="BD89" s="903"/>
      <c r="BE89" s="903"/>
      <c r="BF89" s="903"/>
      <c r="BG89" s="903"/>
      <c r="BH89" s="903"/>
      <c r="BI89" s="910"/>
      <c r="BJ89" s="910"/>
      <c r="BK89" s="903"/>
      <c r="BL89" s="903"/>
      <c r="BM89" s="910"/>
      <c r="BN89" s="910"/>
      <c r="BO89" s="935"/>
    </row>
    <row r="90" spans="25:67" ht="19.5" customHeight="1" x14ac:dyDescent="0.25">
      <c r="Y90" s="905" t="str">
        <f>$AC$64</f>
        <v>大分トリニータタートルズ</v>
      </c>
      <c r="Z90" s="906"/>
      <c r="AA90" s="906"/>
      <c r="AB90" s="906"/>
      <c r="AC90" s="906"/>
      <c r="AD90" s="906" t="s">
        <v>242</v>
      </c>
      <c r="AE90" s="906"/>
      <c r="AF90" s="923" t="b">
        <f>IF(AF94="","",IF(AF94&gt;AI94,"○",IF(AF94&lt;AI94,"●",IF(AF92&gt;AI92,"△",IF(AF92&lt;AI92,"▲")))))</f>
        <v>0</v>
      </c>
      <c r="AG90" s="924"/>
      <c r="AH90" s="924"/>
      <c r="AI90" s="924"/>
      <c r="AJ90" s="925"/>
      <c r="AK90" s="923" t="str">
        <f>IF(AK94="","",IF(AK94&gt;AN94,"○",IF(AK94&lt;AN94,"●",IF(AK92&gt;AN92,"△",IF(AK92&lt;AN92,"▲")))))</f>
        <v>○</v>
      </c>
      <c r="AL90" s="924"/>
      <c r="AM90" s="924"/>
      <c r="AN90" s="924"/>
      <c r="AO90" s="925"/>
      <c r="AP90" s="926"/>
      <c r="AQ90" s="927"/>
      <c r="AR90" s="927"/>
      <c r="AS90" s="927"/>
      <c r="AT90" s="928"/>
      <c r="AU90" s="903">
        <f>COUNTIF($AF$90:$AT$91,"○")</f>
        <v>1</v>
      </c>
      <c r="AV90" s="903"/>
      <c r="AW90" s="902">
        <f>COUNTIF($AF$90:$AT$91,"△")</f>
        <v>0</v>
      </c>
      <c r="AX90" s="902"/>
      <c r="AY90" s="902">
        <f>COUNTIF($AF$90:$AT$91,"▲")</f>
        <v>0</v>
      </c>
      <c r="AZ90" s="902"/>
      <c r="BA90" s="902">
        <f>COUNTIF($AF$90:$AT$91,"●")</f>
        <v>0</v>
      </c>
      <c r="BB90" s="902"/>
      <c r="BC90" s="902">
        <f>SUM($AF$94,$AK$94)</f>
        <v>5</v>
      </c>
      <c r="BD90" s="902"/>
      <c r="BE90" s="902">
        <f>SUM($AI$94,$AN$94)</f>
        <v>3</v>
      </c>
      <c r="BF90" s="902"/>
      <c r="BG90" s="902">
        <f>($AU$90*3)+($AW$90*2)+($AY$90*1)</f>
        <v>3</v>
      </c>
      <c r="BH90" s="902"/>
      <c r="BI90" s="909">
        <f>RANK($BG$90,$BG$78:$BH$95)</f>
        <v>1</v>
      </c>
      <c r="BJ90" s="909"/>
      <c r="BK90" s="902">
        <f>$BC$90-$BE$90</f>
        <v>2</v>
      </c>
      <c r="BL90" s="902"/>
      <c r="BM90" s="909">
        <f>RANK($BK$90,$BK$78:$BL$95)</f>
        <v>1</v>
      </c>
      <c r="BN90" s="909"/>
      <c r="BO90" s="912"/>
    </row>
    <row r="91" spans="25:67" ht="19.5" customHeight="1" x14ac:dyDescent="0.25">
      <c r="Y91" s="905"/>
      <c r="Z91" s="906"/>
      <c r="AA91" s="906"/>
      <c r="AB91" s="906"/>
      <c r="AC91" s="906"/>
      <c r="AD91" s="906"/>
      <c r="AE91" s="906"/>
      <c r="AF91" s="917"/>
      <c r="AG91" s="918"/>
      <c r="AH91" s="918"/>
      <c r="AI91" s="918"/>
      <c r="AJ91" s="920"/>
      <c r="AK91" s="917"/>
      <c r="AL91" s="918"/>
      <c r="AM91" s="918"/>
      <c r="AN91" s="918"/>
      <c r="AO91" s="920"/>
      <c r="AP91" s="929"/>
      <c r="AQ91" s="930"/>
      <c r="AR91" s="930"/>
      <c r="AS91" s="930"/>
      <c r="AT91" s="931"/>
      <c r="AU91" s="903"/>
      <c r="AV91" s="903"/>
      <c r="AW91" s="903"/>
      <c r="AX91" s="903"/>
      <c r="AY91" s="903"/>
      <c r="AZ91" s="903"/>
      <c r="BA91" s="903"/>
      <c r="BB91" s="903"/>
      <c r="BC91" s="903"/>
      <c r="BD91" s="903"/>
      <c r="BE91" s="903"/>
      <c r="BF91" s="903"/>
      <c r="BG91" s="903"/>
      <c r="BH91" s="903"/>
      <c r="BI91" s="910"/>
      <c r="BJ91" s="910"/>
      <c r="BK91" s="903"/>
      <c r="BL91" s="903"/>
      <c r="BM91" s="910"/>
      <c r="BN91" s="910"/>
      <c r="BO91" s="913"/>
    </row>
    <row r="92" spans="25:67" ht="18.75" customHeight="1" x14ac:dyDescent="0.25">
      <c r="Y92" s="905"/>
      <c r="Z92" s="906"/>
      <c r="AA92" s="906"/>
      <c r="AB92" s="906"/>
      <c r="AC92" s="906"/>
      <c r="AD92" s="906"/>
      <c r="AE92" s="906"/>
      <c r="AF92" s="915" t="str">
        <f>AS80</f>
        <v/>
      </c>
      <c r="AG92" s="916"/>
      <c r="AH92" s="916" t="s">
        <v>2011</v>
      </c>
      <c r="AI92" s="916" t="str">
        <f>AP80</f>
        <v/>
      </c>
      <c r="AJ92" s="919"/>
      <c r="AK92" s="915" t="str">
        <f>AS86</f>
        <v/>
      </c>
      <c r="AL92" s="916"/>
      <c r="AM92" s="916" t="s">
        <v>2011</v>
      </c>
      <c r="AN92" s="916" t="str">
        <f>AP86</f>
        <v/>
      </c>
      <c r="AO92" s="919"/>
      <c r="AP92" s="929"/>
      <c r="AQ92" s="930"/>
      <c r="AR92" s="930"/>
      <c r="AS92" s="930"/>
      <c r="AT92" s="931"/>
      <c r="AU92" s="903"/>
      <c r="AV92" s="903"/>
      <c r="AW92" s="903"/>
      <c r="AX92" s="903"/>
      <c r="AY92" s="903"/>
      <c r="AZ92" s="903"/>
      <c r="BA92" s="903"/>
      <c r="BB92" s="903"/>
      <c r="BC92" s="903"/>
      <c r="BD92" s="903"/>
      <c r="BE92" s="903"/>
      <c r="BF92" s="903"/>
      <c r="BG92" s="903"/>
      <c r="BH92" s="903"/>
      <c r="BI92" s="910"/>
      <c r="BJ92" s="910"/>
      <c r="BK92" s="903"/>
      <c r="BL92" s="903"/>
      <c r="BM92" s="910"/>
      <c r="BN92" s="910"/>
      <c r="BO92" s="913"/>
    </row>
    <row r="93" spans="25:67" ht="18.75" customHeight="1" x14ac:dyDescent="0.25">
      <c r="Y93" s="905"/>
      <c r="Z93" s="906"/>
      <c r="AA93" s="906"/>
      <c r="AB93" s="906"/>
      <c r="AC93" s="906"/>
      <c r="AD93" s="906" t="s">
        <v>2010</v>
      </c>
      <c r="AE93" s="906"/>
      <c r="AF93" s="917"/>
      <c r="AG93" s="918"/>
      <c r="AH93" s="918"/>
      <c r="AI93" s="918"/>
      <c r="AJ93" s="920"/>
      <c r="AK93" s="917"/>
      <c r="AL93" s="918"/>
      <c r="AM93" s="918"/>
      <c r="AN93" s="918"/>
      <c r="AO93" s="920"/>
      <c r="AP93" s="929"/>
      <c r="AQ93" s="930"/>
      <c r="AR93" s="930"/>
      <c r="AS93" s="930"/>
      <c r="AT93" s="931"/>
      <c r="AU93" s="903"/>
      <c r="AV93" s="903"/>
      <c r="AW93" s="903"/>
      <c r="AX93" s="903"/>
      <c r="AY93" s="903"/>
      <c r="AZ93" s="903"/>
      <c r="BA93" s="903"/>
      <c r="BB93" s="903"/>
      <c r="BC93" s="903"/>
      <c r="BD93" s="903"/>
      <c r="BE93" s="903"/>
      <c r="BF93" s="903"/>
      <c r="BG93" s="903"/>
      <c r="BH93" s="903"/>
      <c r="BI93" s="910"/>
      <c r="BJ93" s="910"/>
      <c r="BK93" s="903"/>
      <c r="BL93" s="903"/>
      <c r="BM93" s="910"/>
      <c r="BN93" s="910"/>
      <c r="BO93" s="913"/>
    </row>
    <row r="94" spans="25:67" ht="18.75" customHeight="1" x14ac:dyDescent="0.25">
      <c r="Y94" s="905"/>
      <c r="Z94" s="906"/>
      <c r="AA94" s="906"/>
      <c r="AB94" s="906"/>
      <c r="AC94" s="906"/>
      <c r="AD94" s="906"/>
      <c r="AE94" s="906"/>
      <c r="AF94" s="915">
        <f>AS82</f>
        <v>1</v>
      </c>
      <c r="AG94" s="916"/>
      <c r="AH94" s="916" t="s">
        <v>2011</v>
      </c>
      <c r="AI94" s="916">
        <f>AP82</f>
        <v>1</v>
      </c>
      <c r="AJ94" s="919"/>
      <c r="AK94" s="915">
        <f>AS88</f>
        <v>4</v>
      </c>
      <c r="AL94" s="916"/>
      <c r="AM94" s="916" t="s">
        <v>2011</v>
      </c>
      <c r="AN94" s="916">
        <f>AP88</f>
        <v>2</v>
      </c>
      <c r="AO94" s="919"/>
      <c r="AP94" s="929"/>
      <c r="AQ94" s="930"/>
      <c r="AR94" s="930"/>
      <c r="AS94" s="930"/>
      <c r="AT94" s="931"/>
      <c r="AU94" s="903"/>
      <c r="AV94" s="903"/>
      <c r="AW94" s="903"/>
      <c r="AX94" s="903"/>
      <c r="AY94" s="903"/>
      <c r="AZ94" s="903"/>
      <c r="BA94" s="903"/>
      <c r="BB94" s="903"/>
      <c r="BC94" s="903"/>
      <c r="BD94" s="903"/>
      <c r="BE94" s="903"/>
      <c r="BF94" s="903"/>
      <c r="BG94" s="903"/>
      <c r="BH94" s="903"/>
      <c r="BI94" s="910"/>
      <c r="BJ94" s="910"/>
      <c r="BK94" s="903"/>
      <c r="BL94" s="903"/>
      <c r="BM94" s="910"/>
      <c r="BN94" s="910"/>
      <c r="BO94" s="913"/>
    </row>
    <row r="95" spans="25:67" ht="19.5" customHeight="1" x14ac:dyDescent="0.25">
      <c r="Y95" s="907"/>
      <c r="Z95" s="908"/>
      <c r="AA95" s="908"/>
      <c r="AB95" s="908"/>
      <c r="AC95" s="908"/>
      <c r="AD95" s="908"/>
      <c r="AE95" s="908"/>
      <c r="AF95" s="921"/>
      <c r="AG95" s="565"/>
      <c r="AH95" s="565"/>
      <c r="AI95" s="565"/>
      <c r="AJ95" s="922"/>
      <c r="AK95" s="921"/>
      <c r="AL95" s="565"/>
      <c r="AM95" s="565"/>
      <c r="AN95" s="565"/>
      <c r="AO95" s="922"/>
      <c r="AP95" s="932"/>
      <c r="AQ95" s="933"/>
      <c r="AR95" s="933"/>
      <c r="AS95" s="933"/>
      <c r="AT95" s="934"/>
      <c r="AU95" s="904"/>
      <c r="AV95" s="904"/>
      <c r="AW95" s="904"/>
      <c r="AX95" s="904"/>
      <c r="AY95" s="904"/>
      <c r="AZ95" s="904"/>
      <c r="BA95" s="904"/>
      <c r="BB95" s="904"/>
      <c r="BC95" s="904"/>
      <c r="BD95" s="904"/>
      <c r="BE95" s="904"/>
      <c r="BF95" s="904"/>
      <c r="BG95" s="904"/>
      <c r="BH95" s="904"/>
      <c r="BI95" s="911"/>
      <c r="BJ95" s="911"/>
      <c r="BK95" s="904"/>
      <c r="BL95" s="904"/>
      <c r="BM95" s="911"/>
      <c r="BN95" s="911"/>
      <c r="BO95" s="914"/>
    </row>
    <row r="97" spans="25:58" x14ac:dyDescent="0.25">
      <c r="Y97" s="891" t="s">
        <v>2125</v>
      </c>
      <c r="Z97" s="891"/>
      <c r="AA97" s="891"/>
      <c r="AB97" s="891"/>
      <c r="AC97" s="891"/>
      <c r="AD97" s="891"/>
      <c r="AE97" s="891"/>
      <c r="AF97" s="891"/>
      <c r="AG97" s="891"/>
      <c r="AH97" s="891"/>
      <c r="AI97" s="891"/>
      <c r="AJ97" s="891"/>
      <c r="AK97" s="891"/>
      <c r="AL97" s="891"/>
      <c r="AM97" s="891"/>
      <c r="AN97" s="891"/>
      <c r="AO97" s="891"/>
      <c r="AP97" s="891"/>
      <c r="AQ97" s="891"/>
      <c r="AR97" s="891"/>
      <c r="AS97" s="891"/>
      <c r="AT97" s="891"/>
      <c r="AU97" s="891"/>
      <c r="AV97" s="891"/>
      <c r="AW97" s="891"/>
      <c r="AX97" s="891"/>
      <c r="AY97" s="891"/>
      <c r="AZ97" s="891"/>
      <c r="BA97" s="891"/>
      <c r="BB97" s="891"/>
      <c r="BC97" s="891"/>
      <c r="BD97" s="891"/>
      <c r="BE97" s="891"/>
      <c r="BF97" s="891"/>
    </row>
    <row r="98" spans="25:58" x14ac:dyDescent="0.25">
      <c r="Y98" s="891"/>
      <c r="Z98" s="891"/>
      <c r="AA98" s="891"/>
      <c r="AB98" s="891"/>
      <c r="AC98" s="891"/>
      <c r="AD98" s="891"/>
      <c r="AE98" s="891"/>
      <c r="AF98" s="891"/>
      <c r="AG98" s="891"/>
      <c r="AH98" s="891"/>
      <c r="AI98" s="891"/>
      <c r="AJ98" s="891"/>
      <c r="AK98" s="891"/>
      <c r="AL98" s="891"/>
      <c r="AM98" s="891"/>
      <c r="AN98" s="891"/>
      <c r="AO98" s="891"/>
      <c r="AP98" s="891"/>
      <c r="AQ98" s="891"/>
      <c r="AR98" s="891"/>
      <c r="AS98" s="891"/>
      <c r="AT98" s="891"/>
      <c r="AU98" s="891"/>
      <c r="AV98" s="891"/>
      <c r="AW98" s="891"/>
      <c r="AX98" s="891"/>
      <c r="AY98" s="891"/>
      <c r="AZ98" s="891"/>
      <c r="BA98" s="891"/>
      <c r="BB98" s="891"/>
      <c r="BC98" s="891"/>
      <c r="BD98" s="891"/>
      <c r="BE98" s="891"/>
      <c r="BF98" s="891"/>
    </row>
    <row r="99" spans="25:58" x14ac:dyDescent="0.25">
      <c r="Y99" s="892" t="s">
        <v>2013</v>
      </c>
      <c r="Z99" s="893"/>
      <c r="AA99" s="896" t="s">
        <v>159</v>
      </c>
      <c r="AB99" s="232" t="s">
        <v>408</v>
      </c>
      <c r="AC99" s="231"/>
      <c r="AD99" s="898" t="s">
        <v>2060</v>
      </c>
      <c r="AE99" s="232" t="s">
        <v>2015</v>
      </c>
      <c r="AF99" s="231"/>
      <c r="AG99" s="898" t="s">
        <v>1208</v>
      </c>
      <c r="AH99" s="232" t="s">
        <v>2126</v>
      </c>
      <c r="AI99" s="231"/>
      <c r="AJ99" s="900" t="s">
        <v>1727</v>
      </c>
      <c r="AK99" s="234" t="s">
        <v>2016</v>
      </c>
    </row>
    <row r="100" spans="25:58" x14ac:dyDescent="0.25">
      <c r="Y100" s="894"/>
      <c r="Z100" s="895"/>
      <c r="AA100" s="897"/>
      <c r="AB100" s="233">
        <v>3</v>
      </c>
      <c r="AC100" s="230"/>
      <c r="AD100" s="899"/>
      <c r="AE100" s="233">
        <v>2</v>
      </c>
      <c r="AF100" s="230"/>
      <c r="AG100" s="899"/>
      <c r="AH100" s="233">
        <v>1</v>
      </c>
      <c r="AI100" s="230"/>
      <c r="AJ100" s="901"/>
      <c r="AK100" s="235">
        <v>0</v>
      </c>
    </row>
  </sheetData>
  <mergeCells count="441">
    <mergeCell ref="A1:I1"/>
    <mergeCell ref="J1:K1"/>
    <mergeCell ref="M1:U1"/>
    <mergeCell ref="V1:W1"/>
    <mergeCell ref="Y1:BG1"/>
    <mergeCell ref="BI1:BO1"/>
    <mergeCell ref="A2:K2"/>
    <mergeCell ref="M2:W2"/>
    <mergeCell ref="Y2:BG2"/>
    <mergeCell ref="D4:K4"/>
    <mergeCell ref="P4:W4"/>
    <mergeCell ref="Y4:AA4"/>
    <mergeCell ref="AB4:AG4"/>
    <mergeCell ref="AI4:AW4"/>
    <mergeCell ref="Y6:AA6"/>
    <mergeCell ref="AB6:AG6"/>
    <mergeCell ref="C7:I7"/>
    <mergeCell ref="J7:K7"/>
    <mergeCell ref="O7:U7"/>
    <mergeCell ref="V7:W7"/>
    <mergeCell ref="Z7:AB7"/>
    <mergeCell ref="AC7:AO7"/>
    <mergeCell ref="AP7:AS7"/>
    <mergeCell ref="C8:I8"/>
    <mergeCell ref="J8:K8"/>
    <mergeCell ref="O8:U8"/>
    <mergeCell ref="V8:W8"/>
    <mergeCell ref="Z8:AB8"/>
    <mergeCell ref="AC8:AO8"/>
    <mergeCell ref="AP8:AS8"/>
    <mergeCell ref="C9:I9"/>
    <mergeCell ref="J9:K9"/>
    <mergeCell ref="O9:U9"/>
    <mergeCell ref="V9:W9"/>
    <mergeCell ref="Z9:AB9"/>
    <mergeCell ref="AC9:AO9"/>
    <mergeCell ref="AP9:AS9"/>
    <mergeCell ref="B15:F15"/>
    <mergeCell ref="G15:I15"/>
    <mergeCell ref="J15:K15"/>
    <mergeCell ref="N15:R15"/>
    <mergeCell ref="S15:U15"/>
    <mergeCell ref="V15:W15"/>
    <mergeCell ref="B16:F16"/>
    <mergeCell ref="G16:I16"/>
    <mergeCell ref="J16:K16"/>
    <mergeCell ref="N16:R16"/>
    <mergeCell ref="S16:U16"/>
    <mergeCell ref="V16:W16"/>
    <mergeCell ref="B17:F17"/>
    <mergeCell ref="G17:I17"/>
    <mergeCell ref="J17:K17"/>
    <mergeCell ref="N17:R17"/>
    <mergeCell ref="S17:U17"/>
    <mergeCell ref="V17:W17"/>
    <mergeCell ref="E18:F18"/>
    <mergeCell ref="G18:I18"/>
    <mergeCell ref="J18:K18"/>
    <mergeCell ref="Q18:R18"/>
    <mergeCell ref="S18:U18"/>
    <mergeCell ref="V18:W18"/>
    <mergeCell ref="E19:F19"/>
    <mergeCell ref="G19:I19"/>
    <mergeCell ref="J19:K19"/>
    <mergeCell ref="Q19:R19"/>
    <mergeCell ref="S19:U19"/>
    <mergeCell ref="V19:W19"/>
    <mergeCell ref="E20:F20"/>
    <mergeCell ref="G20:I20"/>
    <mergeCell ref="J20:K20"/>
    <mergeCell ref="Q20:R20"/>
    <mergeCell ref="S20:U20"/>
    <mergeCell ref="V20:W20"/>
    <mergeCell ref="E21:F21"/>
    <mergeCell ref="G21:I21"/>
    <mergeCell ref="J21:K21"/>
    <mergeCell ref="Q21:R21"/>
    <mergeCell ref="S21:U21"/>
    <mergeCell ref="V21:W21"/>
    <mergeCell ref="B33:F33"/>
    <mergeCell ref="G33:I33"/>
    <mergeCell ref="J33:K33"/>
    <mergeCell ref="N33:R33"/>
    <mergeCell ref="S33:U33"/>
    <mergeCell ref="V33:W33"/>
    <mergeCell ref="H30:H32"/>
    <mergeCell ref="I30:I32"/>
    <mergeCell ref="J30:J32"/>
    <mergeCell ref="M30:M32"/>
    <mergeCell ref="N30:N32"/>
    <mergeCell ref="O30:O32"/>
    <mergeCell ref="P30:P32"/>
    <mergeCell ref="T30:T32"/>
    <mergeCell ref="U30:U32"/>
    <mergeCell ref="V30:V32"/>
    <mergeCell ref="B34:F34"/>
    <mergeCell ref="G34:I34"/>
    <mergeCell ref="J34:K34"/>
    <mergeCell ref="N34:R34"/>
    <mergeCell ref="S34:U34"/>
    <mergeCell ref="V34:W34"/>
    <mergeCell ref="B35:F35"/>
    <mergeCell ref="G35:I35"/>
    <mergeCell ref="J35:K35"/>
    <mergeCell ref="N35:R35"/>
    <mergeCell ref="S35:U35"/>
    <mergeCell ref="V35:W35"/>
    <mergeCell ref="E36:F36"/>
    <mergeCell ref="G36:I36"/>
    <mergeCell ref="J36:K36"/>
    <mergeCell ref="Q36:R36"/>
    <mergeCell ref="S36:U36"/>
    <mergeCell ref="V36:W36"/>
    <mergeCell ref="E37:F37"/>
    <mergeCell ref="G37:I37"/>
    <mergeCell ref="J37:K37"/>
    <mergeCell ref="Q37:R37"/>
    <mergeCell ref="S37:U37"/>
    <mergeCell ref="V37:W37"/>
    <mergeCell ref="E38:F38"/>
    <mergeCell ref="G38:I38"/>
    <mergeCell ref="J38:K38"/>
    <mergeCell ref="Q38:R38"/>
    <mergeCell ref="S38:U38"/>
    <mergeCell ref="V38:W38"/>
    <mergeCell ref="E39:F39"/>
    <mergeCell ref="G39:I39"/>
    <mergeCell ref="J39:K39"/>
    <mergeCell ref="Q39:R39"/>
    <mergeCell ref="S39:U39"/>
    <mergeCell ref="V39:W39"/>
    <mergeCell ref="B51:F51"/>
    <mergeCell ref="G51:I51"/>
    <mergeCell ref="J51:K51"/>
    <mergeCell ref="N51:R51"/>
    <mergeCell ref="S51:U51"/>
    <mergeCell ref="V51:W51"/>
    <mergeCell ref="B52:F52"/>
    <mergeCell ref="G52:I52"/>
    <mergeCell ref="J52:K52"/>
    <mergeCell ref="N52:R52"/>
    <mergeCell ref="S52:U52"/>
    <mergeCell ref="V52:W52"/>
    <mergeCell ref="B53:F53"/>
    <mergeCell ref="G53:I53"/>
    <mergeCell ref="J53:K53"/>
    <mergeCell ref="N53:R53"/>
    <mergeCell ref="S53:U53"/>
    <mergeCell ref="V53:W53"/>
    <mergeCell ref="E54:F54"/>
    <mergeCell ref="G54:I54"/>
    <mergeCell ref="J54:K54"/>
    <mergeCell ref="Q54:R54"/>
    <mergeCell ref="S54:U54"/>
    <mergeCell ref="V54:W54"/>
    <mergeCell ref="E55:F55"/>
    <mergeCell ref="G55:I55"/>
    <mergeCell ref="J55:K55"/>
    <mergeCell ref="Q55:R55"/>
    <mergeCell ref="S55:U55"/>
    <mergeCell ref="V55:W55"/>
    <mergeCell ref="E56:F56"/>
    <mergeCell ref="G56:I56"/>
    <mergeCell ref="J56:K56"/>
    <mergeCell ref="Q56:R56"/>
    <mergeCell ref="S56:U56"/>
    <mergeCell ref="V56:W56"/>
    <mergeCell ref="E57:F57"/>
    <mergeCell ref="G57:I57"/>
    <mergeCell ref="J57:K57"/>
    <mergeCell ref="Q57:R57"/>
    <mergeCell ref="S57:U57"/>
    <mergeCell ref="V57:W57"/>
    <mergeCell ref="A12:A14"/>
    <mergeCell ref="B12:B14"/>
    <mergeCell ref="C12:C14"/>
    <mergeCell ref="D12:D14"/>
    <mergeCell ref="H12:H14"/>
    <mergeCell ref="I12:I14"/>
    <mergeCell ref="J12:J14"/>
    <mergeCell ref="M12:M14"/>
    <mergeCell ref="N12:N14"/>
    <mergeCell ref="O12:O14"/>
    <mergeCell ref="P12:P14"/>
    <mergeCell ref="T12:T14"/>
    <mergeCell ref="U12:U14"/>
    <mergeCell ref="V12:V14"/>
    <mergeCell ref="A30:A32"/>
    <mergeCell ref="B30:B32"/>
    <mergeCell ref="C30:C32"/>
    <mergeCell ref="D30:D32"/>
    <mergeCell ref="Y15:AB20"/>
    <mergeCell ref="AC15:AE20"/>
    <mergeCell ref="AF15:AJ20"/>
    <mergeCell ref="AK15:AO20"/>
    <mergeCell ref="AP15:AT20"/>
    <mergeCell ref="AU15:AV20"/>
    <mergeCell ref="AW15:AX20"/>
    <mergeCell ref="AY15:AZ20"/>
    <mergeCell ref="BA15:BB20"/>
    <mergeCell ref="BC15:BD20"/>
    <mergeCell ref="BE15:BF20"/>
    <mergeCell ref="BG15:BH20"/>
    <mergeCell ref="BI15:BJ20"/>
    <mergeCell ref="BK15:BL20"/>
    <mergeCell ref="BM15:BN20"/>
    <mergeCell ref="BO15:BO20"/>
    <mergeCell ref="Y21:AC26"/>
    <mergeCell ref="AD21:AE23"/>
    <mergeCell ref="AF21:AJ26"/>
    <mergeCell ref="AK21:AO22"/>
    <mergeCell ref="AP21:AT22"/>
    <mergeCell ref="AU21:AV26"/>
    <mergeCell ref="AW21:AX26"/>
    <mergeCell ref="AY21:AZ26"/>
    <mergeCell ref="BA21:BB26"/>
    <mergeCell ref="BC21:BD26"/>
    <mergeCell ref="BE21:BF26"/>
    <mergeCell ref="BG21:BH26"/>
    <mergeCell ref="BI21:BJ26"/>
    <mergeCell ref="BK21:BL26"/>
    <mergeCell ref="BM21:BN26"/>
    <mergeCell ref="BO21:BO26"/>
    <mergeCell ref="AK23:AL24"/>
    <mergeCell ref="AM23:AM24"/>
    <mergeCell ref="AN23:AO24"/>
    <mergeCell ref="AP23:AQ24"/>
    <mergeCell ref="AR23:AR24"/>
    <mergeCell ref="AS23:AT24"/>
    <mergeCell ref="AD24:AE26"/>
    <mergeCell ref="AK25:AL26"/>
    <mergeCell ref="AM25:AM26"/>
    <mergeCell ref="AN25:AO26"/>
    <mergeCell ref="AP25:AQ26"/>
    <mergeCell ref="AR25:AR26"/>
    <mergeCell ref="AS25:AT26"/>
    <mergeCell ref="Y27:AC32"/>
    <mergeCell ref="AD27:AE29"/>
    <mergeCell ref="AF27:AJ28"/>
    <mergeCell ref="AK27:AO32"/>
    <mergeCell ref="AP27:AT28"/>
    <mergeCell ref="AU27:AV32"/>
    <mergeCell ref="AW27:AX32"/>
    <mergeCell ref="AY27:AZ32"/>
    <mergeCell ref="BA27:BB32"/>
    <mergeCell ref="AD30:AE32"/>
    <mergeCell ref="BC27:BD32"/>
    <mergeCell ref="BE27:BF32"/>
    <mergeCell ref="BG27:BH32"/>
    <mergeCell ref="BI27:BJ32"/>
    <mergeCell ref="BK27:BL32"/>
    <mergeCell ref="BM27:BN32"/>
    <mergeCell ref="BO27:BO32"/>
    <mergeCell ref="AF29:AG30"/>
    <mergeCell ref="AH29:AH30"/>
    <mergeCell ref="AI29:AJ30"/>
    <mergeCell ref="AP29:AQ30"/>
    <mergeCell ref="AR29:AR30"/>
    <mergeCell ref="AS29:AT30"/>
    <mergeCell ref="AF31:AG32"/>
    <mergeCell ref="AH31:AH32"/>
    <mergeCell ref="AI31:AJ32"/>
    <mergeCell ref="AP31:AQ32"/>
    <mergeCell ref="AR31:AR32"/>
    <mergeCell ref="AS31:AT32"/>
    <mergeCell ref="Y33:AC38"/>
    <mergeCell ref="AD33:AE35"/>
    <mergeCell ref="AF33:AJ34"/>
    <mergeCell ref="AK33:AO34"/>
    <mergeCell ref="AP33:AT38"/>
    <mergeCell ref="AU33:AV38"/>
    <mergeCell ref="AW33:AX38"/>
    <mergeCell ref="AY33:AZ38"/>
    <mergeCell ref="BA33:BB38"/>
    <mergeCell ref="AD36:AE38"/>
    <mergeCell ref="BC33:BD38"/>
    <mergeCell ref="BE33:BF38"/>
    <mergeCell ref="BG33:BH38"/>
    <mergeCell ref="BI33:BJ38"/>
    <mergeCell ref="BK33:BL38"/>
    <mergeCell ref="BM33:BN38"/>
    <mergeCell ref="BO33:BO38"/>
    <mergeCell ref="AF35:AG36"/>
    <mergeCell ref="AH35:AH36"/>
    <mergeCell ref="AI35:AJ36"/>
    <mergeCell ref="AK35:AL36"/>
    <mergeCell ref="AM35:AM36"/>
    <mergeCell ref="AN35:AO36"/>
    <mergeCell ref="AF37:AG38"/>
    <mergeCell ref="AH37:AH38"/>
    <mergeCell ref="AI37:AJ38"/>
    <mergeCell ref="AK37:AL38"/>
    <mergeCell ref="AM37:AM38"/>
    <mergeCell ref="AN37:AO38"/>
    <mergeCell ref="Y40:BF41"/>
    <mergeCell ref="Y42:Z43"/>
    <mergeCell ref="AA42:AA43"/>
    <mergeCell ref="AD42:AD43"/>
    <mergeCell ref="AG42:AG43"/>
    <mergeCell ref="AJ42:AJ43"/>
    <mergeCell ref="A48:A50"/>
    <mergeCell ref="B48:B50"/>
    <mergeCell ref="C48:C50"/>
    <mergeCell ref="D48:D50"/>
    <mergeCell ref="H48:H50"/>
    <mergeCell ref="I48:I50"/>
    <mergeCell ref="J48:J50"/>
    <mergeCell ref="M48:M50"/>
    <mergeCell ref="N48:N50"/>
    <mergeCell ref="O48:O50"/>
    <mergeCell ref="P48:P50"/>
    <mergeCell ref="T48:T50"/>
    <mergeCell ref="U48:U50"/>
    <mergeCell ref="V48:V50"/>
    <mergeCell ref="Y48:BG49"/>
    <mergeCell ref="BI48:BO49"/>
    <mergeCell ref="Y50:BG51"/>
    <mergeCell ref="Y54:AA55"/>
    <mergeCell ref="AB54:AG55"/>
    <mergeCell ref="AH54:AH55"/>
    <mergeCell ref="AI54:AW55"/>
    <mergeCell ref="Y58:AA59"/>
    <mergeCell ref="AB58:AG59"/>
    <mergeCell ref="Z60:AB61"/>
    <mergeCell ref="AC60:AO61"/>
    <mergeCell ref="AP60:AS61"/>
    <mergeCell ref="Z62:AB63"/>
    <mergeCell ref="AC62:AO63"/>
    <mergeCell ref="AP62:AS63"/>
    <mergeCell ref="Z64:AB65"/>
    <mergeCell ref="AC64:AO65"/>
    <mergeCell ref="AP64:AS65"/>
    <mergeCell ref="Y72:AB77"/>
    <mergeCell ref="AC72:AE77"/>
    <mergeCell ref="AF72:AJ77"/>
    <mergeCell ref="AK72:AO77"/>
    <mergeCell ref="AP72:AT77"/>
    <mergeCell ref="AU72:AV77"/>
    <mergeCell ref="AW72:AX77"/>
    <mergeCell ref="AY72:AZ77"/>
    <mergeCell ref="BA72:BB77"/>
    <mergeCell ref="BC72:BD77"/>
    <mergeCell ref="BE72:BF77"/>
    <mergeCell ref="BG72:BH77"/>
    <mergeCell ref="BI72:BJ77"/>
    <mergeCell ref="BK72:BL77"/>
    <mergeCell ref="BM72:BN77"/>
    <mergeCell ref="BO72:BO77"/>
    <mergeCell ref="Y78:AC83"/>
    <mergeCell ref="AD78:AE80"/>
    <mergeCell ref="AF78:AJ83"/>
    <mergeCell ref="AK78:AO79"/>
    <mergeCell ref="AP78:AT79"/>
    <mergeCell ref="AU78:AV83"/>
    <mergeCell ref="AW78:AX83"/>
    <mergeCell ref="AY78:AZ83"/>
    <mergeCell ref="BA78:BB83"/>
    <mergeCell ref="BC78:BD83"/>
    <mergeCell ref="BE78:BF83"/>
    <mergeCell ref="BG78:BH83"/>
    <mergeCell ref="BI78:BJ83"/>
    <mergeCell ref="BK78:BL83"/>
    <mergeCell ref="BM78:BN83"/>
    <mergeCell ref="BO78:BO83"/>
    <mergeCell ref="AK80:AL81"/>
    <mergeCell ref="AM80:AM81"/>
    <mergeCell ref="AN80:AO81"/>
    <mergeCell ref="AP80:AQ81"/>
    <mergeCell ref="AR80:AR81"/>
    <mergeCell ref="AS80:AT81"/>
    <mergeCell ref="AD81:AE83"/>
    <mergeCell ref="AK82:AL83"/>
    <mergeCell ref="AM82:AM83"/>
    <mergeCell ref="AN82:AO83"/>
    <mergeCell ref="AP82:AQ83"/>
    <mergeCell ref="AR82:AR83"/>
    <mergeCell ref="AS82:AT83"/>
    <mergeCell ref="Y84:AC89"/>
    <mergeCell ref="AD84:AE86"/>
    <mergeCell ref="AF84:AJ85"/>
    <mergeCell ref="AK84:AO89"/>
    <mergeCell ref="AP84:AT85"/>
    <mergeCell ref="BM84:BN89"/>
    <mergeCell ref="BO84:BO89"/>
    <mergeCell ref="AF86:AG87"/>
    <mergeCell ref="AH86:AH87"/>
    <mergeCell ref="AI86:AJ87"/>
    <mergeCell ref="AP86:AQ87"/>
    <mergeCell ref="AR86:AR87"/>
    <mergeCell ref="AS86:AT87"/>
    <mergeCell ref="AD87:AE89"/>
    <mergeCell ref="AF88:AG89"/>
    <mergeCell ref="AH88:AH89"/>
    <mergeCell ref="AI88:AJ89"/>
    <mergeCell ref="AP88:AQ89"/>
    <mergeCell ref="AR88:AR89"/>
    <mergeCell ref="AS88:AT89"/>
    <mergeCell ref="AU84:AV89"/>
    <mergeCell ref="AW84:AX89"/>
    <mergeCell ref="AY84:AZ89"/>
    <mergeCell ref="BA84:BB89"/>
    <mergeCell ref="BC84:BD89"/>
    <mergeCell ref="BE84:BF89"/>
    <mergeCell ref="BG84:BH89"/>
    <mergeCell ref="BI84:BJ89"/>
    <mergeCell ref="BK84:BL89"/>
    <mergeCell ref="BI90:BJ95"/>
    <mergeCell ref="BK90:BL95"/>
    <mergeCell ref="BM90:BN95"/>
    <mergeCell ref="BO90:BO95"/>
    <mergeCell ref="AF92:AG93"/>
    <mergeCell ref="AH92:AH93"/>
    <mergeCell ref="AI92:AJ93"/>
    <mergeCell ref="AK92:AL93"/>
    <mergeCell ref="AM92:AM93"/>
    <mergeCell ref="AN92:AO93"/>
    <mergeCell ref="AF94:AG95"/>
    <mergeCell ref="AH94:AH95"/>
    <mergeCell ref="AI94:AJ95"/>
    <mergeCell ref="AK94:AL95"/>
    <mergeCell ref="AM94:AM95"/>
    <mergeCell ref="AN94:AO95"/>
    <mergeCell ref="AF90:AJ91"/>
    <mergeCell ref="AK90:AO91"/>
    <mergeCell ref="AP90:AT95"/>
    <mergeCell ref="AU90:AV95"/>
    <mergeCell ref="AW90:AX95"/>
    <mergeCell ref="AY90:AZ95"/>
    <mergeCell ref="BA90:BB95"/>
    <mergeCell ref="Y97:BF98"/>
    <mergeCell ref="Y99:Z100"/>
    <mergeCell ref="AA99:AA100"/>
    <mergeCell ref="AD99:AD100"/>
    <mergeCell ref="AG99:AG100"/>
    <mergeCell ref="AJ99:AJ100"/>
    <mergeCell ref="BC90:BD95"/>
    <mergeCell ref="BE90:BF95"/>
    <mergeCell ref="BG90:BH95"/>
    <mergeCell ref="Y90:AC95"/>
    <mergeCell ref="AD90:AE92"/>
    <mergeCell ref="AD93:AE95"/>
  </mergeCells>
  <phoneticPr fontId="29"/>
  <printOptions horizontalCentered="1" verticalCentered="1"/>
  <pageMargins left="0" right="0" top="0" bottom="0" header="0.51181102362204722" footer="0.51181102362204722"/>
  <pageSetup paperSize="9" scale="42"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100-000000000000}">
          <x14:formula1>
            <xm:f>審判員!$I$1:$I$17</xm:f>
          </x14:formula1>
          <xm:sqref>E23:E27 E41:E45 E59:E63 G23:G27 G41:G45 G59:G63 Q23:Q27 Q41:Q45 Q59:Q63 S23:S27 S41:S45 S59:S63</xm:sqref>
        </x14:dataValidation>
        <x14:dataValidation type="list" allowBlank="1" showInputMessage="1" showErrorMessage="1" xr:uid="{00000000-0002-0000-1100-000001000000}">
          <x14:formula1>
            <xm:f>審判員!$G$1:$G$3</xm:f>
          </x14:formula1>
          <xm:sqref>A23:A27 K23:K27 A41:A45 K41:K45 A59:A63 K59:K63 M23:M27 W41:W45 W59:W63 M59:M63 W23:W27 M41:M45</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FF99"/>
    <pageSetUpPr fitToPage="1"/>
  </sheetPr>
  <dimension ref="A1:BO100"/>
  <sheetViews>
    <sheetView view="pageBreakPreview" zoomScale="50" zoomScaleNormal="40" zoomScaleSheetLayoutView="50" workbookViewId="0">
      <selection activeCell="A3" sqref="A3"/>
    </sheetView>
  </sheetViews>
  <sheetFormatPr defaultColWidth="9" defaultRowHeight="18.75" x14ac:dyDescent="0.25"/>
  <cols>
    <col min="1" max="1" width="19.46484375" style="66" customWidth="1"/>
    <col min="2" max="2" width="39.86328125" style="66" customWidth="1"/>
    <col min="3" max="3" width="10.73046875" style="66" customWidth="1"/>
    <col min="4" max="4" width="4.46484375" style="66" customWidth="1"/>
    <col min="5" max="5" width="10.3984375" style="66" customWidth="1"/>
    <col min="6" max="6" width="5.73046875" style="66" bestFit="1" customWidth="1"/>
    <col min="7" max="7" width="10.3984375" style="66" customWidth="1"/>
    <col min="8" max="8" width="4.46484375" style="66" customWidth="1"/>
    <col min="9" max="9" width="10.73046875" style="66" bestFit="1" customWidth="1"/>
    <col min="10" max="10" width="39.86328125" style="66" customWidth="1"/>
    <col min="11" max="11" width="15.73046875" style="66" customWidth="1"/>
    <col min="12" max="12" width="3.46484375" style="66" customWidth="1"/>
    <col min="13" max="13" width="19.46484375" style="66" customWidth="1"/>
    <col min="14" max="14" width="39.86328125" style="66" customWidth="1"/>
    <col min="15" max="15" width="10.73046875" style="66" customWidth="1"/>
    <col min="16" max="16" width="4.46484375" style="66" customWidth="1"/>
    <col min="17" max="17" width="10.3984375" style="66" customWidth="1"/>
    <col min="18" max="18" width="5.73046875" style="66" bestFit="1" customWidth="1"/>
    <col min="19" max="19" width="10.3984375" style="66" customWidth="1"/>
    <col min="20" max="20" width="4.46484375" style="66" customWidth="1"/>
    <col min="21" max="21" width="10.73046875" style="66" customWidth="1"/>
    <col min="22" max="22" width="39.86328125" style="66" customWidth="1"/>
    <col min="23" max="23" width="15.73046875" style="66" customWidth="1"/>
    <col min="24" max="24" width="9" style="66"/>
    <col min="25" max="59" width="5.86328125" style="66" customWidth="1"/>
    <col min="60" max="16384" width="9" style="66"/>
  </cols>
  <sheetData>
    <row r="1" spans="1:67" ht="27.75" x14ac:dyDescent="0.25">
      <c r="A1" s="959" t="str">
        <f>抽選会資料!A1</f>
        <v>OFA 第 57 回大分県U-12サッカー大会　兼　KYFA 九州U-12サッカー大会大分県大会</v>
      </c>
      <c r="B1" s="959"/>
      <c r="C1" s="959"/>
      <c r="D1" s="959"/>
      <c r="E1" s="959"/>
      <c r="F1" s="959"/>
      <c r="G1" s="959"/>
      <c r="H1" s="959"/>
      <c r="I1" s="959"/>
      <c r="J1" s="959" t="s">
        <v>279</v>
      </c>
      <c r="K1" s="959"/>
      <c r="L1" s="228"/>
      <c r="M1" s="959" t="str">
        <f>抽選会資料!A1</f>
        <v>OFA 第 57 回大分県U-12サッカー大会　兼　KYFA 九州U-12サッカー大会大分県大会</v>
      </c>
      <c r="N1" s="959"/>
      <c r="O1" s="959"/>
      <c r="P1" s="959"/>
      <c r="Q1" s="959"/>
      <c r="R1" s="959"/>
      <c r="S1" s="959"/>
      <c r="T1" s="959"/>
      <c r="U1" s="959"/>
      <c r="V1" s="959" t="s">
        <v>279</v>
      </c>
      <c r="W1" s="959"/>
      <c r="Y1" s="959" t="str">
        <f>$A$1</f>
        <v>OFA 第 57 回大分県U-12サッカー大会　兼　KYFA 九州U-12サッカー大会大分県大会</v>
      </c>
      <c r="Z1" s="959"/>
      <c r="AA1" s="959"/>
      <c r="AB1" s="959"/>
      <c r="AC1" s="959"/>
      <c r="AD1" s="959"/>
      <c r="AE1" s="959"/>
      <c r="AF1" s="959"/>
      <c r="AG1" s="959"/>
      <c r="AH1" s="959"/>
      <c r="AI1" s="959"/>
      <c r="AJ1" s="959"/>
      <c r="AK1" s="959"/>
      <c r="AL1" s="959"/>
      <c r="AM1" s="959"/>
      <c r="AN1" s="959"/>
      <c r="AO1" s="959"/>
      <c r="AP1" s="959"/>
      <c r="AQ1" s="959"/>
      <c r="AR1" s="959"/>
      <c r="AS1" s="959"/>
      <c r="AT1" s="959"/>
      <c r="AU1" s="959"/>
      <c r="AV1" s="959"/>
      <c r="AW1" s="959"/>
      <c r="AX1" s="959"/>
      <c r="AY1" s="959"/>
      <c r="AZ1" s="959"/>
      <c r="BA1" s="959"/>
      <c r="BB1" s="959"/>
      <c r="BC1" s="959"/>
      <c r="BD1" s="959"/>
      <c r="BE1" s="959"/>
      <c r="BF1" s="959"/>
      <c r="BG1" s="959"/>
      <c r="BI1" s="959" t="str">
        <f>$J$1</f>
        <v>１次リーグ結果　報告用紙</v>
      </c>
      <c r="BJ1" s="959"/>
      <c r="BK1" s="959"/>
      <c r="BL1" s="959"/>
      <c r="BM1" s="959"/>
      <c r="BN1" s="959"/>
      <c r="BO1" s="959"/>
    </row>
    <row r="2" spans="1:67" ht="37.5" customHeight="1" x14ac:dyDescent="0.25">
      <c r="A2" s="959" t="s">
        <v>1962</v>
      </c>
      <c r="B2" s="959"/>
      <c r="C2" s="959"/>
      <c r="D2" s="959"/>
      <c r="E2" s="959"/>
      <c r="F2" s="959"/>
      <c r="G2" s="959"/>
      <c r="H2" s="959"/>
      <c r="I2" s="959"/>
      <c r="J2" s="959"/>
      <c r="K2" s="959"/>
      <c r="L2" s="189"/>
      <c r="M2" s="959" t="s">
        <v>1962</v>
      </c>
      <c r="N2" s="959"/>
      <c r="O2" s="959"/>
      <c r="P2" s="959"/>
      <c r="Q2" s="959"/>
      <c r="R2" s="959"/>
      <c r="S2" s="959"/>
      <c r="T2" s="959"/>
      <c r="U2" s="959"/>
      <c r="V2" s="959"/>
      <c r="W2" s="959"/>
      <c r="Y2" s="959" t="s">
        <v>1962</v>
      </c>
      <c r="Z2" s="959"/>
      <c r="AA2" s="959"/>
      <c r="AB2" s="959"/>
      <c r="AC2" s="959"/>
      <c r="AD2" s="959"/>
      <c r="AE2" s="959"/>
      <c r="AF2" s="959"/>
      <c r="AG2" s="959"/>
      <c r="AH2" s="959"/>
      <c r="AI2" s="959"/>
      <c r="AJ2" s="959"/>
      <c r="AK2" s="959"/>
      <c r="AL2" s="959"/>
      <c r="AM2" s="959"/>
      <c r="AN2" s="959"/>
      <c r="AO2" s="959"/>
      <c r="AP2" s="959"/>
      <c r="AQ2" s="959"/>
      <c r="AR2" s="959"/>
      <c r="AS2" s="959"/>
      <c r="AT2" s="959"/>
      <c r="AU2" s="959"/>
      <c r="AV2" s="959"/>
      <c r="AW2" s="959"/>
      <c r="AX2" s="959"/>
      <c r="AY2" s="959"/>
      <c r="AZ2" s="959"/>
      <c r="BA2" s="959"/>
      <c r="BB2" s="959"/>
      <c r="BC2" s="959"/>
      <c r="BD2" s="959"/>
      <c r="BE2" s="959"/>
      <c r="BF2" s="959"/>
      <c r="BG2" s="959"/>
    </row>
    <row r="3" spans="1:67" ht="37.5" customHeight="1" x14ac:dyDescent="0.25">
      <c r="A3" s="189"/>
      <c r="B3" s="189"/>
      <c r="C3" s="189"/>
      <c r="D3" s="189"/>
      <c r="E3" s="189"/>
      <c r="F3" s="189"/>
      <c r="G3" s="189"/>
      <c r="H3" s="189"/>
      <c r="I3" s="189"/>
      <c r="J3" s="189"/>
      <c r="K3" s="189"/>
      <c r="L3" s="189"/>
      <c r="M3" s="189"/>
      <c r="N3" s="189"/>
      <c r="O3" s="189"/>
      <c r="P3" s="189"/>
      <c r="Q3" s="189"/>
      <c r="R3" s="189"/>
      <c r="S3" s="189"/>
      <c r="T3" s="189"/>
      <c r="U3" s="189"/>
      <c r="V3" s="189"/>
      <c r="W3" s="189"/>
      <c r="Y3" s="189"/>
      <c r="Z3" s="189"/>
      <c r="AA3" s="189"/>
      <c r="AB3" s="189"/>
      <c r="AC3" s="189"/>
      <c r="AD3" s="189"/>
      <c r="AE3" s="189"/>
      <c r="AF3" s="189"/>
      <c r="AG3" s="189"/>
      <c r="AH3" s="189"/>
      <c r="AI3" s="189"/>
    </row>
    <row r="4" spans="1:67" ht="37.5" customHeight="1" x14ac:dyDescent="0.25">
      <c r="A4" s="58" t="s">
        <v>487</v>
      </c>
      <c r="B4" s="201" t="str">
        <f>組み合わせ!BF7</f>
        <v>日田・玖珠</v>
      </c>
      <c r="C4" s="58" t="s">
        <v>659</v>
      </c>
      <c r="D4" s="961" t="str">
        <f>VLOOKUP(B4,抽選会資料!$B$55:$F$63,2,FALSE)</f>
        <v>玖珠町総合運動公園</v>
      </c>
      <c r="E4" s="961"/>
      <c r="F4" s="961"/>
      <c r="G4" s="961"/>
      <c r="H4" s="961"/>
      <c r="I4" s="961"/>
      <c r="J4" s="961"/>
      <c r="K4" s="961"/>
      <c r="L4" s="68"/>
      <c r="M4" s="58" t="s">
        <v>487</v>
      </c>
      <c r="N4" s="201" t="str">
        <f>組み合わせ!BF7</f>
        <v>日田・玖珠</v>
      </c>
      <c r="O4" s="58" t="s">
        <v>659</v>
      </c>
      <c r="P4" s="961" t="str">
        <f>VLOOKUP(N4,抽選会資料!$B$55:$F$63,2,FALSE)</f>
        <v>玖珠町総合運動公園</v>
      </c>
      <c r="Q4" s="961"/>
      <c r="R4" s="961"/>
      <c r="S4" s="961"/>
      <c r="T4" s="961"/>
      <c r="U4" s="961"/>
      <c r="V4" s="961"/>
      <c r="W4" s="961"/>
      <c r="X4" s="39"/>
      <c r="Y4" s="590" t="s">
        <v>487</v>
      </c>
      <c r="Z4" s="590"/>
      <c r="AA4" s="590"/>
      <c r="AB4" s="960" t="str">
        <f>$B$4</f>
        <v>日田・玖珠</v>
      </c>
      <c r="AC4" s="960"/>
      <c r="AD4" s="960"/>
      <c r="AE4" s="960"/>
      <c r="AF4" s="960"/>
      <c r="AG4" s="960"/>
      <c r="AH4" s="58" t="s">
        <v>659</v>
      </c>
      <c r="AI4" s="961" t="str">
        <f>$D$4</f>
        <v>玖珠町総合運動公園</v>
      </c>
      <c r="AJ4" s="961"/>
      <c r="AK4" s="961"/>
      <c r="AL4" s="961"/>
      <c r="AM4" s="961"/>
      <c r="AN4" s="961"/>
      <c r="AO4" s="961"/>
      <c r="AP4" s="961"/>
      <c r="AQ4" s="961"/>
      <c r="AR4" s="961"/>
      <c r="AS4" s="961"/>
      <c r="AT4" s="961"/>
      <c r="AU4" s="961"/>
      <c r="AV4" s="961"/>
      <c r="AW4" s="961"/>
    </row>
    <row r="5" spans="1:67" ht="37.5" customHeight="1" x14ac:dyDescent="0.25">
      <c r="A5" s="190"/>
      <c r="B5" s="190"/>
      <c r="C5" s="190"/>
      <c r="D5" s="190"/>
      <c r="E5" s="190"/>
      <c r="F5" s="190"/>
      <c r="G5" s="190"/>
      <c r="H5" s="190"/>
      <c r="I5" s="190"/>
      <c r="J5" s="190"/>
      <c r="K5" s="190"/>
      <c r="L5" s="190"/>
      <c r="M5" s="190"/>
      <c r="N5" s="190"/>
      <c r="O5" s="190"/>
      <c r="P5" s="190"/>
      <c r="Q5" s="190"/>
      <c r="R5" s="190"/>
      <c r="S5" s="190"/>
      <c r="T5" s="190"/>
      <c r="U5" s="190"/>
      <c r="V5" s="190"/>
      <c r="W5" s="190"/>
      <c r="Y5" s="190"/>
      <c r="Z5" s="190"/>
      <c r="AA5" s="190"/>
    </row>
    <row r="6" spans="1:67" ht="37.5" customHeight="1" x14ac:dyDescent="0.25">
      <c r="A6" s="58" t="s">
        <v>430</v>
      </c>
      <c r="B6" s="236" t="str">
        <f>VLOOKUP(B4,組み合わせ!$AL$95:$BU$112,13,FALSE)</f>
        <v>F</v>
      </c>
      <c r="C6" s="58"/>
      <c r="D6" s="58"/>
      <c r="M6" s="58" t="s">
        <v>430</v>
      </c>
      <c r="N6" s="236" t="str">
        <f>VLOOKUP(N4,組み合わせ!$AL$95:$BU$112,25,FALSE)</f>
        <v>K</v>
      </c>
      <c r="O6" s="229"/>
      <c r="P6" s="229"/>
      <c r="Y6" s="590" t="s">
        <v>430</v>
      </c>
      <c r="Z6" s="590"/>
      <c r="AA6" s="590"/>
      <c r="AB6" s="962" t="str">
        <f>$B$6</f>
        <v>F</v>
      </c>
      <c r="AC6" s="962"/>
      <c r="AD6" s="962"/>
      <c r="AE6" s="962"/>
      <c r="AF6" s="962"/>
      <c r="AG6" s="962"/>
    </row>
    <row r="7" spans="1:67" ht="37.5" customHeight="1" x14ac:dyDescent="0.25">
      <c r="A7" s="58"/>
      <c r="B7" s="202" t="str">
        <f>CONCATENATE($B$6,1)</f>
        <v>F1</v>
      </c>
      <c r="C7" s="998" t="str">
        <f>HLOOKUP(B7,組み合わせ!$B$48:$EO$86,2,FALSE)</f>
        <v>ＦＣアリアーレ</v>
      </c>
      <c r="D7" s="998"/>
      <c r="E7" s="998"/>
      <c r="F7" s="998"/>
      <c r="G7" s="998"/>
      <c r="H7" s="998"/>
      <c r="I7" s="998"/>
      <c r="J7" s="998" t="str">
        <f>HLOOKUP(B7,組み合わせ!$B$48:$EO$86,32,FALSE)</f>
        <v>日田・玖珠</v>
      </c>
      <c r="K7" s="999"/>
      <c r="M7" s="229"/>
      <c r="N7" s="202" t="str">
        <f>CONCATENATE($N$6,1)</f>
        <v>K1</v>
      </c>
      <c r="O7" s="998" t="str">
        <f>HLOOKUP(N7,組み合わせ!$B$48:$EO$86,2,FALSE)</f>
        <v>玖珠サッカースポーツ少年団</v>
      </c>
      <c r="P7" s="998"/>
      <c r="Q7" s="998"/>
      <c r="R7" s="998"/>
      <c r="S7" s="998"/>
      <c r="T7" s="998"/>
      <c r="U7" s="998"/>
      <c r="V7" s="998" t="str">
        <f>HLOOKUP(N7,組み合わせ!$B$48:$EO$86,32,FALSE)</f>
        <v>日田・玖珠</v>
      </c>
      <c r="W7" s="999"/>
      <c r="Y7" s="58"/>
      <c r="Z7" s="713" t="str">
        <f>+B7</f>
        <v>F1</v>
      </c>
      <c r="AA7" s="713"/>
      <c r="AB7" s="713"/>
      <c r="AC7" s="713" t="str">
        <f>$C$7</f>
        <v>ＦＣアリアーレ</v>
      </c>
      <c r="AD7" s="713"/>
      <c r="AE7" s="713"/>
      <c r="AF7" s="713"/>
      <c r="AG7" s="713"/>
      <c r="AH7" s="713"/>
      <c r="AI7" s="713"/>
      <c r="AJ7" s="713"/>
      <c r="AK7" s="713"/>
      <c r="AL7" s="713"/>
      <c r="AM7" s="713"/>
      <c r="AN7" s="713"/>
      <c r="AO7" s="713"/>
      <c r="AP7" s="713" t="str">
        <f>$J$7</f>
        <v>日田・玖珠</v>
      </c>
      <c r="AQ7" s="713"/>
      <c r="AR7" s="713"/>
      <c r="AS7" s="713"/>
    </row>
    <row r="8" spans="1:67" ht="37.5" customHeight="1" x14ac:dyDescent="0.25">
      <c r="A8" s="58"/>
      <c r="B8" s="203" t="str">
        <f>CONCATENATE($B$6,2)</f>
        <v>F2</v>
      </c>
      <c r="C8" s="549" t="str">
        <f>HLOOKUP(B8,組み合わせ!$B$48:$EO$86,2,FALSE)</f>
        <v>カティオーラフットボールクラブＵ－１２</v>
      </c>
      <c r="D8" s="549"/>
      <c r="E8" s="549"/>
      <c r="F8" s="549"/>
      <c r="G8" s="549"/>
      <c r="H8" s="549"/>
      <c r="I8" s="549"/>
      <c r="J8" s="549" t="str">
        <f>HLOOKUP(B8,組み合わせ!$B$48:$EO$86,32,FALSE)</f>
        <v>大分</v>
      </c>
      <c r="K8" s="995"/>
      <c r="M8" s="229"/>
      <c r="N8" s="203" t="str">
        <f>CONCATENATE($N$6,2)</f>
        <v>K2</v>
      </c>
      <c r="O8" s="549" t="str">
        <f>HLOOKUP(N8,組み合わせ!$B$48:$EO$86,2,FALSE)</f>
        <v>鶴崎ＳＳＳ</v>
      </c>
      <c r="P8" s="549"/>
      <c r="Q8" s="549"/>
      <c r="R8" s="549"/>
      <c r="S8" s="549"/>
      <c r="T8" s="549"/>
      <c r="U8" s="549"/>
      <c r="V8" s="549" t="str">
        <f>HLOOKUP(N8,組み合わせ!$B$48:$EO$86,32,FALSE)</f>
        <v>大分</v>
      </c>
      <c r="W8" s="995"/>
      <c r="Y8" s="58"/>
      <c r="Z8" s="713" t="str">
        <f>+B8</f>
        <v>F2</v>
      </c>
      <c r="AA8" s="713"/>
      <c r="AB8" s="713"/>
      <c r="AC8" s="713" t="str">
        <f>$C$8</f>
        <v>カティオーラフットボールクラブＵ－１２</v>
      </c>
      <c r="AD8" s="713"/>
      <c r="AE8" s="713"/>
      <c r="AF8" s="713"/>
      <c r="AG8" s="713"/>
      <c r="AH8" s="713"/>
      <c r="AI8" s="713"/>
      <c r="AJ8" s="713"/>
      <c r="AK8" s="713"/>
      <c r="AL8" s="713"/>
      <c r="AM8" s="713"/>
      <c r="AN8" s="713"/>
      <c r="AO8" s="713"/>
      <c r="AP8" s="713" t="str">
        <f>$J$8</f>
        <v>大分</v>
      </c>
      <c r="AQ8" s="713"/>
      <c r="AR8" s="713"/>
      <c r="AS8" s="713"/>
    </row>
    <row r="9" spans="1:67" ht="37.5" customHeight="1" x14ac:dyDescent="0.25">
      <c r="A9" s="190"/>
      <c r="B9" s="204" t="str">
        <f>CONCATENATE($B$6,3)</f>
        <v>F3</v>
      </c>
      <c r="C9" s="996" t="str">
        <f>HLOOKUP(B9,組み合わせ!$B$48:$EO$86,2,FALSE)</f>
        <v>大平山アソシエーション式フットボールクラブ</v>
      </c>
      <c r="D9" s="996"/>
      <c r="E9" s="996"/>
      <c r="F9" s="996"/>
      <c r="G9" s="996"/>
      <c r="H9" s="996"/>
      <c r="I9" s="996"/>
      <c r="J9" s="996" t="str">
        <f>HLOOKUP(B9,組み合わせ!$B$48:$EO$86,32,FALSE)</f>
        <v>別府</v>
      </c>
      <c r="K9" s="997"/>
      <c r="L9" s="190"/>
      <c r="M9" s="190"/>
      <c r="N9" s="204" t="str">
        <f>CONCATENATE($N$6,3)</f>
        <v>K3</v>
      </c>
      <c r="O9" s="996" t="str">
        <f>HLOOKUP(N9,組み合わせ!$B$48:$EO$86,2,FALSE)</f>
        <v>戸次吉野ＳＳＳ</v>
      </c>
      <c r="P9" s="996"/>
      <c r="Q9" s="996"/>
      <c r="R9" s="996"/>
      <c r="S9" s="996"/>
      <c r="T9" s="996"/>
      <c r="U9" s="996"/>
      <c r="V9" s="996" t="str">
        <f>HLOOKUP(N9,組み合わせ!$B$48:$EO$86,32,FALSE)</f>
        <v>大分</v>
      </c>
      <c r="W9" s="997"/>
      <c r="Y9" s="190"/>
      <c r="Z9" s="713" t="str">
        <f>+B9</f>
        <v>F3</v>
      </c>
      <c r="AA9" s="713"/>
      <c r="AB9" s="713"/>
      <c r="AC9" s="713" t="str">
        <f>$C$9</f>
        <v>大平山アソシエーション式フットボールクラブ</v>
      </c>
      <c r="AD9" s="713"/>
      <c r="AE9" s="713"/>
      <c r="AF9" s="713"/>
      <c r="AG9" s="713"/>
      <c r="AH9" s="713"/>
      <c r="AI9" s="713"/>
      <c r="AJ9" s="713"/>
      <c r="AK9" s="713"/>
      <c r="AL9" s="713"/>
      <c r="AM9" s="713"/>
      <c r="AN9" s="713"/>
      <c r="AO9" s="713"/>
      <c r="AP9" s="713" t="str">
        <f>$J$9</f>
        <v>別府</v>
      </c>
      <c r="AQ9" s="713"/>
      <c r="AR9" s="713"/>
      <c r="AS9" s="713"/>
    </row>
    <row r="10" spans="1:67" ht="37.5" customHeight="1" x14ac:dyDescent="0.25">
      <c r="A10" s="191" t="s">
        <v>497</v>
      </c>
      <c r="B10" s="189"/>
      <c r="C10" s="189"/>
      <c r="D10" s="189"/>
      <c r="E10" s="189"/>
      <c r="F10" s="189"/>
      <c r="G10" s="189"/>
      <c r="H10" s="189"/>
      <c r="I10" s="189"/>
      <c r="J10" s="189"/>
      <c r="K10" s="189"/>
      <c r="L10" s="189"/>
      <c r="M10" s="191" t="s">
        <v>637</v>
      </c>
      <c r="N10" s="189"/>
      <c r="O10" s="189"/>
      <c r="P10" s="189"/>
      <c r="Q10" s="189"/>
      <c r="R10" s="189"/>
      <c r="S10" s="189"/>
      <c r="T10" s="189"/>
      <c r="U10" s="189"/>
      <c r="V10" s="189"/>
      <c r="W10" s="189"/>
    </row>
    <row r="12" spans="1:67" ht="18.75" customHeight="1" x14ac:dyDescent="0.25">
      <c r="A12" s="963" t="s">
        <v>789</v>
      </c>
      <c r="B12" s="964" t="str">
        <f>C7</f>
        <v>ＦＣアリアーレ</v>
      </c>
      <c r="C12" s="966">
        <f>IF(E12="","",SUM(E12:E13))</f>
        <v>0</v>
      </c>
      <c r="D12" s="940" t="s">
        <v>336</v>
      </c>
      <c r="E12" s="217">
        <v>0</v>
      </c>
      <c r="F12" s="217" t="s">
        <v>61</v>
      </c>
      <c r="G12" s="217">
        <v>0</v>
      </c>
      <c r="H12" s="940" t="s">
        <v>339</v>
      </c>
      <c r="I12" s="966">
        <f>IF(G12="","",SUM(G12:G13))</f>
        <v>0</v>
      </c>
      <c r="J12" s="968" t="str">
        <f>C8</f>
        <v>カティオーラフットボールクラブＵ－１２</v>
      </c>
      <c r="K12" s="190"/>
      <c r="L12" s="190"/>
      <c r="M12" s="969" t="s">
        <v>791</v>
      </c>
      <c r="N12" s="972" t="str">
        <f>O7</f>
        <v>玖珠サッカースポーツ少年団</v>
      </c>
      <c r="O12" s="966">
        <f>IF(Q12="","",SUM(Q12:Q13))</f>
        <v>0</v>
      </c>
      <c r="P12" s="940" t="s">
        <v>336</v>
      </c>
      <c r="Q12" s="217">
        <v>0</v>
      </c>
      <c r="R12" s="217" t="s">
        <v>61</v>
      </c>
      <c r="S12" s="217">
        <v>3</v>
      </c>
      <c r="T12" s="940" t="s">
        <v>339</v>
      </c>
      <c r="U12" s="966">
        <f>IF(S12="","",SUM(S12:S13))</f>
        <v>4</v>
      </c>
      <c r="V12" s="968" t="str">
        <f>O8</f>
        <v>鶴崎ＳＳＳ</v>
      </c>
    </row>
    <row r="13" spans="1:67" ht="18.75" customHeight="1" x14ac:dyDescent="0.25">
      <c r="A13" s="946"/>
      <c r="B13" s="965"/>
      <c r="C13" s="967"/>
      <c r="D13" s="906"/>
      <c r="E13" s="190">
        <v>0</v>
      </c>
      <c r="F13" s="190" t="s">
        <v>126</v>
      </c>
      <c r="G13" s="190">
        <v>0</v>
      </c>
      <c r="H13" s="906"/>
      <c r="I13" s="967"/>
      <c r="J13" s="957"/>
      <c r="K13" s="190"/>
      <c r="L13" s="190"/>
      <c r="M13" s="970"/>
      <c r="N13" s="973"/>
      <c r="O13" s="967"/>
      <c r="P13" s="906"/>
      <c r="Q13" s="190">
        <v>0</v>
      </c>
      <c r="R13" s="190" t="s">
        <v>126</v>
      </c>
      <c r="S13" s="190">
        <v>1</v>
      </c>
      <c r="T13" s="906"/>
      <c r="U13" s="967"/>
      <c r="V13" s="957"/>
    </row>
    <row r="14" spans="1:67" ht="19.5" customHeight="1" x14ac:dyDescent="0.25">
      <c r="A14" s="946"/>
      <c r="B14" s="980"/>
      <c r="C14" s="967"/>
      <c r="D14" s="906"/>
      <c r="E14" s="190">
        <v>5</v>
      </c>
      <c r="F14" s="190" t="s">
        <v>407</v>
      </c>
      <c r="G14" s="190">
        <v>6</v>
      </c>
      <c r="H14" s="906"/>
      <c r="I14" s="967"/>
      <c r="J14" s="958"/>
      <c r="K14" s="190"/>
      <c r="L14" s="190"/>
      <c r="M14" s="971"/>
      <c r="N14" s="974"/>
      <c r="O14" s="975"/>
      <c r="P14" s="908"/>
      <c r="Q14" s="190"/>
      <c r="R14" s="190" t="s">
        <v>407</v>
      </c>
      <c r="S14" s="190"/>
      <c r="T14" s="908"/>
      <c r="U14" s="975"/>
      <c r="V14" s="976"/>
    </row>
    <row r="15" spans="1:67" ht="18.75" customHeight="1" x14ac:dyDescent="0.25">
      <c r="A15" s="192" t="s">
        <v>2463</v>
      </c>
      <c r="B15" s="989" t="s">
        <v>15213</v>
      </c>
      <c r="C15" s="989"/>
      <c r="D15" s="989"/>
      <c r="E15" s="989"/>
      <c r="F15" s="989"/>
      <c r="G15" s="990" t="s">
        <v>2464</v>
      </c>
      <c r="H15" s="990"/>
      <c r="I15" s="990"/>
      <c r="J15" s="991" t="s">
        <v>15215</v>
      </c>
      <c r="K15" s="991"/>
      <c r="L15" s="190"/>
      <c r="M15" s="192" t="s">
        <v>2463</v>
      </c>
      <c r="N15" s="989" t="s">
        <v>15213</v>
      </c>
      <c r="O15" s="989"/>
      <c r="P15" s="989"/>
      <c r="Q15" s="989"/>
      <c r="R15" s="989"/>
      <c r="S15" s="990" t="s">
        <v>2464</v>
      </c>
      <c r="T15" s="990"/>
      <c r="U15" s="990"/>
      <c r="V15" s="991" t="s">
        <v>15215</v>
      </c>
      <c r="W15" s="991"/>
      <c r="Y15" s="954" t="str">
        <f>$Y$6</f>
        <v>パート</v>
      </c>
      <c r="Z15" s="955"/>
      <c r="AA15" s="955"/>
      <c r="AB15" s="955"/>
      <c r="AC15" s="955" t="str">
        <f>$AB$6</f>
        <v>F</v>
      </c>
      <c r="AD15" s="955"/>
      <c r="AE15" s="956"/>
      <c r="AF15" s="945" t="str">
        <f>$Y$21</f>
        <v>ＦＣアリアーレ</v>
      </c>
      <c r="AG15" s="945"/>
      <c r="AH15" s="945"/>
      <c r="AI15" s="945"/>
      <c r="AJ15" s="945"/>
      <c r="AK15" s="945" t="str">
        <f>$Y$27</f>
        <v>カティオーラフットボールクラブＵ－１２</v>
      </c>
      <c r="AL15" s="945"/>
      <c r="AM15" s="945"/>
      <c r="AN15" s="945"/>
      <c r="AO15" s="945"/>
      <c r="AP15" s="945" t="str">
        <f>$Y$33</f>
        <v>大平山アソシエーション式フットボールクラブ</v>
      </c>
      <c r="AQ15" s="945"/>
      <c r="AR15" s="945"/>
      <c r="AS15" s="945"/>
      <c r="AT15" s="945"/>
      <c r="AU15" s="945" t="s">
        <v>1535</v>
      </c>
      <c r="AV15" s="945"/>
      <c r="AW15" s="944" t="s">
        <v>2060</v>
      </c>
      <c r="AX15" s="945"/>
      <c r="AY15" s="944" t="s">
        <v>1208</v>
      </c>
      <c r="AZ15" s="945"/>
      <c r="BA15" s="945" t="s">
        <v>1727</v>
      </c>
      <c r="BB15" s="945"/>
      <c r="BC15" s="945" t="s">
        <v>2005</v>
      </c>
      <c r="BD15" s="945"/>
      <c r="BE15" s="945" t="s">
        <v>2006</v>
      </c>
      <c r="BF15" s="945"/>
      <c r="BG15" s="945" t="s">
        <v>1768</v>
      </c>
      <c r="BH15" s="945"/>
      <c r="BI15" s="944" t="s">
        <v>698</v>
      </c>
      <c r="BJ15" s="945"/>
      <c r="BK15" s="944" t="s">
        <v>1100</v>
      </c>
      <c r="BL15" s="945"/>
      <c r="BM15" s="944" t="s">
        <v>502</v>
      </c>
      <c r="BN15" s="945"/>
      <c r="BO15" s="947" t="s">
        <v>2127</v>
      </c>
    </row>
    <row r="16" spans="1:67" x14ac:dyDescent="0.25">
      <c r="A16" s="193" t="s">
        <v>2465</v>
      </c>
      <c r="B16" s="992" t="s">
        <v>15213</v>
      </c>
      <c r="C16" s="992"/>
      <c r="D16" s="992"/>
      <c r="E16" s="992"/>
      <c r="F16" s="992"/>
      <c r="G16" s="983" t="s">
        <v>2464</v>
      </c>
      <c r="H16" s="984"/>
      <c r="I16" s="985"/>
      <c r="J16" s="993" t="s">
        <v>15215</v>
      </c>
      <c r="K16" s="993"/>
      <c r="L16" s="190"/>
      <c r="M16" s="193" t="s">
        <v>2465</v>
      </c>
      <c r="N16" s="992" t="s">
        <v>15213</v>
      </c>
      <c r="O16" s="992"/>
      <c r="P16" s="992"/>
      <c r="Q16" s="992"/>
      <c r="R16" s="992"/>
      <c r="S16" s="983" t="s">
        <v>2464</v>
      </c>
      <c r="T16" s="984"/>
      <c r="U16" s="985"/>
      <c r="V16" s="993" t="s">
        <v>15215</v>
      </c>
      <c r="W16" s="993"/>
      <c r="Y16" s="905"/>
      <c r="Z16" s="906"/>
      <c r="AA16" s="906"/>
      <c r="AB16" s="906"/>
      <c r="AC16" s="906"/>
      <c r="AD16" s="906"/>
      <c r="AE16" s="957"/>
      <c r="AF16" s="946"/>
      <c r="AG16" s="946"/>
      <c r="AH16" s="946"/>
      <c r="AI16" s="946"/>
      <c r="AJ16" s="946"/>
      <c r="AK16" s="946"/>
      <c r="AL16" s="946"/>
      <c r="AM16" s="946"/>
      <c r="AN16" s="946"/>
      <c r="AO16" s="946"/>
      <c r="AP16" s="946"/>
      <c r="AQ16" s="946"/>
      <c r="AR16" s="946"/>
      <c r="AS16" s="946"/>
      <c r="AT16" s="946"/>
      <c r="AU16" s="946"/>
      <c r="AV16" s="946"/>
      <c r="AW16" s="946"/>
      <c r="AX16" s="946"/>
      <c r="AY16" s="946"/>
      <c r="AZ16" s="946"/>
      <c r="BA16" s="946"/>
      <c r="BB16" s="946"/>
      <c r="BC16" s="946"/>
      <c r="BD16" s="946"/>
      <c r="BE16" s="946"/>
      <c r="BF16" s="946"/>
      <c r="BG16" s="946"/>
      <c r="BH16" s="946"/>
      <c r="BI16" s="946"/>
      <c r="BJ16" s="946"/>
      <c r="BK16" s="946"/>
      <c r="BL16" s="946"/>
      <c r="BM16" s="946"/>
      <c r="BN16" s="946"/>
      <c r="BO16" s="948"/>
    </row>
    <row r="17" spans="1:67" x14ac:dyDescent="0.25">
      <c r="A17" s="194" t="s">
        <v>2466</v>
      </c>
      <c r="B17" s="982" t="s">
        <v>15214</v>
      </c>
      <c r="C17" s="982"/>
      <c r="D17" s="982"/>
      <c r="E17" s="982"/>
      <c r="F17" s="982"/>
      <c r="G17" s="983" t="s">
        <v>2464</v>
      </c>
      <c r="H17" s="984"/>
      <c r="I17" s="985"/>
      <c r="J17" s="986" t="s">
        <v>15215</v>
      </c>
      <c r="K17" s="986"/>
      <c r="L17" s="190"/>
      <c r="M17" s="194" t="s">
        <v>2466</v>
      </c>
      <c r="N17" s="982" t="s">
        <v>15228</v>
      </c>
      <c r="O17" s="982"/>
      <c r="P17" s="982"/>
      <c r="Q17" s="982"/>
      <c r="R17" s="982"/>
      <c r="S17" s="983" t="s">
        <v>2464</v>
      </c>
      <c r="T17" s="984"/>
      <c r="U17" s="985"/>
      <c r="V17" s="986" t="s">
        <v>15215</v>
      </c>
      <c r="W17" s="986"/>
      <c r="Y17" s="905"/>
      <c r="Z17" s="906"/>
      <c r="AA17" s="906"/>
      <c r="AB17" s="906"/>
      <c r="AC17" s="906"/>
      <c r="AD17" s="906"/>
      <c r="AE17" s="957"/>
      <c r="AF17" s="946"/>
      <c r="AG17" s="946"/>
      <c r="AH17" s="946"/>
      <c r="AI17" s="946"/>
      <c r="AJ17" s="946"/>
      <c r="AK17" s="946"/>
      <c r="AL17" s="946"/>
      <c r="AM17" s="946"/>
      <c r="AN17" s="946"/>
      <c r="AO17" s="946"/>
      <c r="AP17" s="946"/>
      <c r="AQ17" s="946"/>
      <c r="AR17" s="946"/>
      <c r="AS17" s="946"/>
      <c r="AT17" s="946"/>
      <c r="AU17" s="946"/>
      <c r="AV17" s="946"/>
      <c r="AW17" s="946"/>
      <c r="AX17" s="946"/>
      <c r="AY17" s="946"/>
      <c r="AZ17" s="946"/>
      <c r="BA17" s="946"/>
      <c r="BB17" s="946"/>
      <c r="BC17" s="946"/>
      <c r="BD17" s="946"/>
      <c r="BE17" s="946"/>
      <c r="BF17" s="946"/>
      <c r="BG17" s="946"/>
      <c r="BH17" s="946"/>
      <c r="BI17" s="946"/>
      <c r="BJ17" s="946"/>
      <c r="BK17" s="946"/>
      <c r="BL17" s="946"/>
      <c r="BM17" s="946"/>
      <c r="BN17" s="946"/>
      <c r="BO17" s="948"/>
    </row>
    <row r="18" spans="1:67" x14ac:dyDescent="0.25">
      <c r="A18" s="195" t="s">
        <v>609</v>
      </c>
      <c r="B18" s="205" t="str">
        <f>IF(ISERROR(VLOOKUP(G18,審判員!$A:$C,2,FALSE))=TRUE,"",VLOOKUP(G18,審判員!$A:$C,2,FALSE))</f>
        <v>松原　マヤ</v>
      </c>
      <c r="C18" s="211">
        <f>IF(ISERROR(VLOOKUP(G18,審判員!$A:$C,3,FALSE))=TRUE,"",VLOOKUP(G18,審判員!$A:$C,3,FALSE))</f>
        <v>2</v>
      </c>
      <c r="D18" s="218" t="s">
        <v>612</v>
      </c>
      <c r="E18" s="955" t="s">
        <v>201</v>
      </c>
      <c r="F18" s="955"/>
      <c r="G18" s="955" t="s">
        <v>15216</v>
      </c>
      <c r="H18" s="955"/>
      <c r="I18" s="955"/>
      <c r="J18" s="987" t="s">
        <v>788</v>
      </c>
      <c r="K18" s="988"/>
      <c r="L18" s="190"/>
      <c r="M18" s="195" t="s">
        <v>609</v>
      </c>
      <c r="N18" s="205" t="str">
        <f>IF(ISERROR(VLOOKUP(S18,審判員!$A:$C,2,FALSE))=TRUE,"",VLOOKUP(S18,審判員!$A:$C,2,FALSE))</f>
        <v>長尾　信宏</v>
      </c>
      <c r="O18" s="211">
        <f>IF(ISERROR(VLOOKUP(S18,審判員!$A:$C,3,FALSE))=TRUE,"",VLOOKUP(S18,審判員!$A:$C,3,FALSE))</f>
        <v>3</v>
      </c>
      <c r="P18" s="218" t="s">
        <v>612</v>
      </c>
      <c r="Q18" s="955" t="s">
        <v>201</v>
      </c>
      <c r="R18" s="955"/>
      <c r="S18" s="955" t="s">
        <v>15229</v>
      </c>
      <c r="T18" s="955"/>
      <c r="U18" s="955"/>
      <c r="V18" s="987" t="s">
        <v>788</v>
      </c>
      <c r="W18" s="988"/>
      <c r="Y18" s="905"/>
      <c r="Z18" s="906"/>
      <c r="AA18" s="906"/>
      <c r="AB18" s="906"/>
      <c r="AC18" s="906"/>
      <c r="AD18" s="906"/>
      <c r="AE18" s="957"/>
      <c r="AF18" s="946"/>
      <c r="AG18" s="946"/>
      <c r="AH18" s="946"/>
      <c r="AI18" s="946"/>
      <c r="AJ18" s="946"/>
      <c r="AK18" s="946"/>
      <c r="AL18" s="946"/>
      <c r="AM18" s="946"/>
      <c r="AN18" s="946"/>
      <c r="AO18" s="946"/>
      <c r="AP18" s="946"/>
      <c r="AQ18" s="946"/>
      <c r="AR18" s="946"/>
      <c r="AS18" s="946"/>
      <c r="AT18" s="946"/>
      <c r="AU18" s="946"/>
      <c r="AV18" s="946"/>
      <c r="AW18" s="946"/>
      <c r="AX18" s="946"/>
      <c r="AY18" s="946"/>
      <c r="AZ18" s="946"/>
      <c r="BA18" s="946"/>
      <c r="BB18" s="946"/>
      <c r="BC18" s="946"/>
      <c r="BD18" s="946"/>
      <c r="BE18" s="946"/>
      <c r="BF18" s="946"/>
      <c r="BG18" s="946"/>
      <c r="BH18" s="946"/>
      <c r="BI18" s="946"/>
      <c r="BJ18" s="946"/>
      <c r="BK18" s="946"/>
      <c r="BL18" s="946"/>
      <c r="BM18" s="946"/>
      <c r="BN18" s="946"/>
      <c r="BO18" s="948"/>
    </row>
    <row r="19" spans="1:67" x14ac:dyDescent="0.25">
      <c r="A19" s="196" t="s">
        <v>704</v>
      </c>
      <c r="B19" s="206" t="str">
        <f>IF(ISERROR(VLOOKUP(G19,審判員!$A:$C,2,FALSE))=TRUE,"",VLOOKUP(G19,審判員!$A:$C,2,FALSE))</f>
        <v>吉田　栄治</v>
      </c>
      <c r="C19" s="212">
        <f>IF(ISERROR(VLOOKUP(G19,審判員!$A:$C,3,FALSE))=TRUE,"",VLOOKUP(G19,審判員!$A:$C,3,FALSE))</f>
        <v>3</v>
      </c>
      <c r="D19" s="219" t="s">
        <v>612</v>
      </c>
      <c r="E19" s="906" t="s">
        <v>1286</v>
      </c>
      <c r="F19" s="906"/>
      <c r="G19" s="906" t="s">
        <v>15217</v>
      </c>
      <c r="H19" s="906"/>
      <c r="I19" s="906"/>
      <c r="J19" s="891" t="str">
        <f>N12</f>
        <v>玖珠サッカースポーツ少年団</v>
      </c>
      <c r="K19" s="981"/>
      <c r="L19" s="190"/>
      <c r="M19" s="196" t="s">
        <v>704</v>
      </c>
      <c r="N19" s="206" t="str">
        <f>IF(ISERROR(VLOOKUP(S19,審判員!$A:$C,2,FALSE))=TRUE,"",VLOOKUP(S19,審判員!$A:$C,2,FALSE))</f>
        <v>川井　勇介</v>
      </c>
      <c r="O19" s="212">
        <f>IF(ISERROR(VLOOKUP(S19,審判員!$A:$C,3,FALSE))=TRUE,"",VLOOKUP(S19,審判員!$A:$C,3,FALSE))</f>
        <v>3</v>
      </c>
      <c r="P19" s="219" t="s">
        <v>612</v>
      </c>
      <c r="Q19" s="906" t="s">
        <v>1286</v>
      </c>
      <c r="R19" s="906"/>
      <c r="S19" s="906" t="s">
        <v>15230</v>
      </c>
      <c r="T19" s="906"/>
      <c r="U19" s="906"/>
      <c r="V19" s="891" t="str">
        <f>B12</f>
        <v>ＦＣアリアーレ</v>
      </c>
      <c r="W19" s="981"/>
      <c r="Y19" s="905"/>
      <c r="Z19" s="906"/>
      <c r="AA19" s="906"/>
      <c r="AB19" s="906"/>
      <c r="AC19" s="906"/>
      <c r="AD19" s="906"/>
      <c r="AE19" s="957"/>
      <c r="AF19" s="946"/>
      <c r="AG19" s="946"/>
      <c r="AH19" s="946"/>
      <c r="AI19" s="946"/>
      <c r="AJ19" s="946"/>
      <c r="AK19" s="946"/>
      <c r="AL19" s="946"/>
      <c r="AM19" s="946"/>
      <c r="AN19" s="946"/>
      <c r="AO19" s="946"/>
      <c r="AP19" s="946"/>
      <c r="AQ19" s="946"/>
      <c r="AR19" s="946"/>
      <c r="AS19" s="946"/>
      <c r="AT19" s="946"/>
      <c r="AU19" s="946"/>
      <c r="AV19" s="946"/>
      <c r="AW19" s="946"/>
      <c r="AX19" s="946"/>
      <c r="AY19" s="946"/>
      <c r="AZ19" s="946"/>
      <c r="BA19" s="946"/>
      <c r="BB19" s="946"/>
      <c r="BC19" s="946"/>
      <c r="BD19" s="946"/>
      <c r="BE19" s="946"/>
      <c r="BF19" s="946"/>
      <c r="BG19" s="946"/>
      <c r="BH19" s="946"/>
      <c r="BI19" s="946"/>
      <c r="BJ19" s="946"/>
      <c r="BK19" s="946"/>
      <c r="BL19" s="946"/>
      <c r="BM19" s="946"/>
      <c r="BN19" s="946"/>
      <c r="BO19" s="948"/>
    </row>
    <row r="20" spans="1:67" x14ac:dyDescent="0.25">
      <c r="A20" s="196" t="s">
        <v>2007</v>
      </c>
      <c r="B20" s="206" t="str">
        <f>IF(ISERROR(VLOOKUP(G20,審判員!$A:$C,2,FALSE))=TRUE,"",VLOOKUP(G20,審判員!$A:$C,2,FALSE))</f>
        <v>嶋田　尚祐</v>
      </c>
      <c r="C20" s="212">
        <f>IF(ISERROR(VLOOKUP(G20,審判員!$A:$C,3,FALSE))=TRUE,"",VLOOKUP(G20,審判員!$A:$C,3,FALSE))</f>
        <v>3</v>
      </c>
      <c r="D20" s="219" t="s">
        <v>612</v>
      </c>
      <c r="E20" s="906" t="s">
        <v>1286</v>
      </c>
      <c r="F20" s="906"/>
      <c r="G20" s="906" t="s">
        <v>15218</v>
      </c>
      <c r="H20" s="906"/>
      <c r="I20" s="906"/>
      <c r="J20" s="891" t="str">
        <f>V12</f>
        <v>鶴崎ＳＳＳ</v>
      </c>
      <c r="K20" s="981"/>
      <c r="L20" s="190"/>
      <c r="M20" s="196" t="s">
        <v>2007</v>
      </c>
      <c r="N20" s="206" t="str">
        <f>IF(ISERROR(VLOOKUP(S20,審判員!$A:$C,2,FALSE))=TRUE,"",VLOOKUP(S20,審判員!$A:$C,2,FALSE))</f>
        <v>篠田　裕也</v>
      </c>
      <c r="O20" s="212">
        <f>IF(ISERROR(VLOOKUP(S20,審判員!$A:$C,3,FALSE))=TRUE,"",VLOOKUP(S20,審判員!$A:$C,3,FALSE))</f>
        <v>3</v>
      </c>
      <c r="P20" s="219" t="s">
        <v>612</v>
      </c>
      <c r="Q20" s="906" t="s">
        <v>1286</v>
      </c>
      <c r="R20" s="906"/>
      <c r="S20" s="906" t="s">
        <v>15231</v>
      </c>
      <c r="T20" s="906"/>
      <c r="U20" s="906"/>
      <c r="V20" s="891" t="str">
        <f>J12</f>
        <v>カティオーラフットボールクラブＵ－１２</v>
      </c>
      <c r="W20" s="981"/>
      <c r="Y20" s="941"/>
      <c r="Z20" s="936"/>
      <c r="AA20" s="936"/>
      <c r="AB20" s="936"/>
      <c r="AC20" s="936"/>
      <c r="AD20" s="936"/>
      <c r="AE20" s="958"/>
      <c r="AF20" s="946"/>
      <c r="AG20" s="946"/>
      <c r="AH20" s="946"/>
      <c r="AI20" s="946"/>
      <c r="AJ20" s="946"/>
      <c r="AK20" s="946"/>
      <c r="AL20" s="946"/>
      <c r="AM20" s="946"/>
      <c r="AN20" s="946"/>
      <c r="AO20" s="946"/>
      <c r="AP20" s="946"/>
      <c r="AQ20" s="946"/>
      <c r="AR20" s="946"/>
      <c r="AS20" s="946"/>
      <c r="AT20" s="946"/>
      <c r="AU20" s="946"/>
      <c r="AV20" s="946"/>
      <c r="AW20" s="946"/>
      <c r="AX20" s="946"/>
      <c r="AY20" s="946"/>
      <c r="AZ20" s="946"/>
      <c r="BA20" s="946"/>
      <c r="BB20" s="946"/>
      <c r="BC20" s="946"/>
      <c r="BD20" s="946"/>
      <c r="BE20" s="946"/>
      <c r="BF20" s="946"/>
      <c r="BG20" s="946"/>
      <c r="BH20" s="946"/>
      <c r="BI20" s="946"/>
      <c r="BJ20" s="946"/>
      <c r="BK20" s="946"/>
      <c r="BL20" s="946"/>
      <c r="BM20" s="946"/>
      <c r="BN20" s="946"/>
      <c r="BO20" s="949"/>
    </row>
    <row r="21" spans="1:67" ht="18.75" customHeight="1" x14ac:dyDescent="0.25">
      <c r="A21" s="197" t="s">
        <v>2008</v>
      </c>
      <c r="B21" s="207" t="str">
        <f>IF(ISERROR(VLOOKUP(G21,審判員!$A:$C,2,FALSE))=TRUE,"",VLOOKUP(G21,審判員!$A:$C,2,FALSE))</f>
        <v>加隈　歩夢</v>
      </c>
      <c r="C21" s="213">
        <f>IF(ISERROR(VLOOKUP(G21,審判員!$A:$C,3,FALSE))=TRUE,"",VLOOKUP(G21,審判員!$A:$C,3,FALSE))</f>
        <v>3</v>
      </c>
      <c r="D21" s="220" t="s">
        <v>612</v>
      </c>
      <c r="E21" s="977" t="s">
        <v>1286</v>
      </c>
      <c r="F21" s="977"/>
      <c r="G21" s="977" t="s">
        <v>15219</v>
      </c>
      <c r="H21" s="977"/>
      <c r="I21" s="977"/>
      <c r="J21" s="978" t="s">
        <v>788</v>
      </c>
      <c r="K21" s="979"/>
      <c r="L21" s="190"/>
      <c r="M21" s="197" t="s">
        <v>2008</v>
      </c>
      <c r="N21" s="207" t="str">
        <f>IF(ISERROR(VLOOKUP(S21,審判員!$A:$C,2,FALSE))=TRUE,"",VLOOKUP(S21,審判員!$A:$C,2,FALSE))</f>
        <v>梶原　誠司</v>
      </c>
      <c r="O21" s="213">
        <f>IF(ISERROR(VLOOKUP(S21,審判員!$A:$C,3,FALSE))=TRUE,"",VLOOKUP(S21,審判員!$A:$C,3,FALSE))</f>
        <v>3</v>
      </c>
      <c r="P21" s="220" t="s">
        <v>612</v>
      </c>
      <c r="Q21" s="977" t="s">
        <v>1286</v>
      </c>
      <c r="R21" s="977"/>
      <c r="S21" s="977" t="s">
        <v>15232</v>
      </c>
      <c r="T21" s="977"/>
      <c r="U21" s="977"/>
      <c r="V21" s="978" t="s">
        <v>788</v>
      </c>
      <c r="W21" s="979"/>
      <c r="Y21" s="939" t="str">
        <f>$AC$7</f>
        <v>ＦＣアリアーレ</v>
      </c>
      <c r="Z21" s="940"/>
      <c r="AA21" s="940"/>
      <c r="AB21" s="940"/>
      <c r="AC21" s="940"/>
      <c r="AD21" s="940" t="s">
        <v>242</v>
      </c>
      <c r="AE21" s="940"/>
      <c r="AF21" s="950"/>
      <c r="AG21" s="942"/>
      <c r="AH21" s="942"/>
      <c r="AI21" s="942"/>
      <c r="AJ21" s="951"/>
      <c r="AK21" s="923" t="str">
        <f>IF(AK25="","",IF(AK25&gt;AN25,"○",IF(AK25&lt;AN25,"●",IF(AK23&gt;AN23,"△",IF(AK23&lt;AN23,"▲")))))</f>
        <v>▲</v>
      </c>
      <c r="AL21" s="924"/>
      <c r="AM21" s="924"/>
      <c r="AN21" s="924"/>
      <c r="AO21" s="925"/>
      <c r="AP21" s="923" t="str">
        <f>IF(AP25="","",IF(AP25&gt;AS25,"○",IF(AP25&lt;AS25,"●",IF(AP23&gt;AS23,"△",IF(AP23&lt;AS23,"▲")))))</f>
        <v>○</v>
      </c>
      <c r="AQ21" s="924"/>
      <c r="AR21" s="924"/>
      <c r="AS21" s="924"/>
      <c r="AT21" s="925"/>
      <c r="AU21" s="903">
        <f>COUNTIF($AF$21:$AT$22,"○")</f>
        <v>1</v>
      </c>
      <c r="AV21" s="903"/>
      <c r="AW21" s="903">
        <f>COUNTIF($AF$21:$AT$22,"△")</f>
        <v>0</v>
      </c>
      <c r="AX21" s="903"/>
      <c r="AY21" s="903">
        <f>COUNTIF($AF$21:$AT$22,"▲")</f>
        <v>1</v>
      </c>
      <c r="AZ21" s="903"/>
      <c r="BA21" s="903">
        <f>COUNTIF($AF$21:$AT$22,"●")</f>
        <v>0</v>
      </c>
      <c r="BB21" s="903"/>
      <c r="BC21" s="903">
        <f>SUM($AK$25,$AP$25)</f>
        <v>5</v>
      </c>
      <c r="BD21" s="903"/>
      <c r="BE21" s="903">
        <f>SUM($AN$25,$AS$25)</f>
        <v>0</v>
      </c>
      <c r="BF21" s="903"/>
      <c r="BG21" s="903">
        <f>($AU$21*3)+($AW$21*2)+($AY$21*1)</f>
        <v>4</v>
      </c>
      <c r="BH21" s="903"/>
      <c r="BI21" s="910">
        <f>RANK($BG$21,$BG$21:$BH$38)</f>
        <v>2</v>
      </c>
      <c r="BJ21" s="910"/>
      <c r="BK21" s="903">
        <f>$BC$21-$BE$21</f>
        <v>5</v>
      </c>
      <c r="BL21" s="903"/>
      <c r="BM21" s="910">
        <f>RANK($BK$21,$BK$21:$BL$38)</f>
        <v>1</v>
      </c>
      <c r="BN21" s="910"/>
      <c r="BO21" s="912"/>
    </row>
    <row r="22" spans="1:67" ht="18.75" customHeight="1" x14ac:dyDescent="0.25">
      <c r="A22" s="198" t="s">
        <v>469</v>
      </c>
      <c r="B22" s="208" t="s">
        <v>606</v>
      </c>
      <c r="C22" s="208" t="s">
        <v>234</v>
      </c>
      <c r="D22" s="208" t="s">
        <v>272</v>
      </c>
      <c r="E22" s="208" t="s">
        <v>750</v>
      </c>
      <c r="F22" s="223"/>
      <c r="G22" s="208" t="s">
        <v>750</v>
      </c>
      <c r="H22" s="208" t="s">
        <v>272</v>
      </c>
      <c r="I22" s="208" t="s">
        <v>234</v>
      </c>
      <c r="J22" s="208" t="s">
        <v>606</v>
      </c>
      <c r="K22" s="225" t="s">
        <v>469</v>
      </c>
      <c r="L22" s="190"/>
      <c r="M22" s="198" t="s">
        <v>469</v>
      </c>
      <c r="N22" s="208" t="s">
        <v>606</v>
      </c>
      <c r="O22" s="208" t="s">
        <v>234</v>
      </c>
      <c r="P22" s="208" t="s">
        <v>272</v>
      </c>
      <c r="Q22" s="208" t="s">
        <v>750</v>
      </c>
      <c r="R22" s="223"/>
      <c r="S22" s="208" t="s">
        <v>750</v>
      </c>
      <c r="T22" s="208" t="s">
        <v>272</v>
      </c>
      <c r="U22" s="208" t="s">
        <v>234</v>
      </c>
      <c r="V22" s="208" t="s">
        <v>606</v>
      </c>
      <c r="W22" s="225" t="s">
        <v>469</v>
      </c>
      <c r="Y22" s="905"/>
      <c r="Z22" s="906"/>
      <c r="AA22" s="906"/>
      <c r="AB22" s="906"/>
      <c r="AC22" s="906"/>
      <c r="AD22" s="906"/>
      <c r="AE22" s="906"/>
      <c r="AF22" s="929"/>
      <c r="AG22" s="930"/>
      <c r="AH22" s="930"/>
      <c r="AI22" s="930"/>
      <c r="AJ22" s="931"/>
      <c r="AK22" s="917"/>
      <c r="AL22" s="918"/>
      <c r="AM22" s="918"/>
      <c r="AN22" s="918"/>
      <c r="AO22" s="920"/>
      <c r="AP22" s="917"/>
      <c r="AQ22" s="918"/>
      <c r="AR22" s="918"/>
      <c r="AS22" s="918"/>
      <c r="AT22" s="920"/>
      <c r="AU22" s="903"/>
      <c r="AV22" s="903"/>
      <c r="AW22" s="903"/>
      <c r="AX22" s="903"/>
      <c r="AY22" s="903"/>
      <c r="AZ22" s="903"/>
      <c r="BA22" s="903"/>
      <c r="BB22" s="903"/>
      <c r="BC22" s="903"/>
      <c r="BD22" s="903"/>
      <c r="BE22" s="903"/>
      <c r="BF22" s="903"/>
      <c r="BG22" s="903"/>
      <c r="BH22" s="903"/>
      <c r="BI22" s="910"/>
      <c r="BJ22" s="910"/>
      <c r="BK22" s="903"/>
      <c r="BL22" s="903"/>
      <c r="BM22" s="910"/>
      <c r="BN22" s="910"/>
      <c r="BO22" s="913"/>
    </row>
    <row r="23" spans="1:67" ht="18.75" customHeight="1" x14ac:dyDescent="0.25">
      <c r="A23" s="199" t="s">
        <v>579</v>
      </c>
      <c r="B23" s="209" t="str">
        <f>IF(ISERROR(VLOOKUP(CONCATENATE($B$12,"_",C23),選手名簿!$A:$E,5,FALSE))=TRUE,"",VLOOKUP(CONCATENATE($B$12,"_",C23),選手名簿!$A:$E,5,FALSE))</f>
        <v>トーマス　ヘイデン</v>
      </c>
      <c r="C23" s="214">
        <v>9</v>
      </c>
      <c r="D23" s="214">
        <v>39</v>
      </c>
      <c r="E23" s="221" t="s">
        <v>749</v>
      </c>
      <c r="F23" s="223"/>
      <c r="G23" s="221"/>
      <c r="H23" s="214"/>
      <c r="I23" s="214"/>
      <c r="J23" s="206" t="str">
        <f>IF(ISERROR(VLOOKUP(CONCATENATE($J$12,"_",I23),選手名簿!$A:$E,5,FALSE))=TRUE,"",VLOOKUP(CONCATENATE($J$12,"_",I23),選手名簿!$A:$E,5,FALSE))</f>
        <v/>
      </c>
      <c r="K23" s="226"/>
      <c r="L23" s="190"/>
      <c r="M23" s="199"/>
      <c r="N23" s="209" t="str">
        <f>IF(ISERROR(VLOOKUP(CONCATENATE($N$12,"_",O23),選手名簿!$A:$E,5,FALSE))=TRUE,"",VLOOKUP(CONCATENATE($N$12,"_",O23),選手名簿!$A:$E,5,FALSE))</f>
        <v/>
      </c>
      <c r="O23" s="214"/>
      <c r="P23" s="214"/>
      <c r="Q23" s="221"/>
      <c r="R23" s="223"/>
      <c r="S23" s="221"/>
      <c r="T23" s="214"/>
      <c r="U23" s="214"/>
      <c r="V23" s="206" t="str">
        <f>IF(ISERROR(VLOOKUP(CONCATENATE($V$12,"_",U23),選手名簿!$A:$E,5,FALSE))=TRUE,"",VLOOKUP(CONCATENATE($V$12,"_",U23),選手名簿!$A:$E,5,FALSE))</f>
        <v/>
      </c>
      <c r="W23" s="226"/>
      <c r="Y23" s="905"/>
      <c r="Z23" s="906"/>
      <c r="AA23" s="906"/>
      <c r="AB23" s="906"/>
      <c r="AC23" s="906"/>
      <c r="AD23" s="906"/>
      <c r="AE23" s="906"/>
      <c r="AF23" s="929"/>
      <c r="AG23" s="930"/>
      <c r="AH23" s="930"/>
      <c r="AI23" s="930"/>
      <c r="AJ23" s="931"/>
      <c r="AK23" s="915">
        <f>IF($E$14="","",$E$14)</f>
        <v>5</v>
      </c>
      <c r="AL23" s="916"/>
      <c r="AM23" s="916" t="s">
        <v>2011</v>
      </c>
      <c r="AN23" s="916">
        <f>IF($G$14="","",$G$14)</f>
        <v>6</v>
      </c>
      <c r="AO23" s="919"/>
      <c r="AP23" s="915" t="str">
        <f>IF($G$50="","",$G$50)</f>
        <v/>
      </c>
      <c r="AQ23" s="916"/>
      <c r="AR23" s="916" t="s">
        <v>2011</v>
      </c>
      <c r="AS23" s="916" t="str">
        <f>IF($E$50="","",$E$50)</f>
        <v/>
      </c>
      <c r="AT23" s="919"/>
      <c r="AU23" s="903"/>
      <c r="AV23" s="903"/>
      <c r="AW23" s="903"/>
      <c r="AX23" s="903"/>
      <c r="AY23" s="903"/>
      <c r="AZ23" s="903"/>
      <c r="BA23" s="903"/>
      <c r="BB23" s="903"/>
      <c r="BC23" s="903"/>
      <c r="BD23" s="903"/>
      <c r="BE23" s="903"/>
      <c r="BF23" s="903"/>
      <c r="BG23" s="903"/>
      <c r="BH23" s="903"/>
      <c r="BI23" s="910"/>
      <c r="BJ23" s="910"/>
      <c r="BK23" s="903"/>
      <c r="BL23" s="903"/>
      <c r="BM23" s="910"/>
      <c r="BN23" s="910"/>
      <c r="BO23" s="913"/>
    </row>
    <row r="24" spans="1:67" ht="18.75" customHeight="1" x14ac:dyDescent="0.25">
      <c r="A24" s="199"/>
      <c r="B24" s="209" t="str">
        <f>IF(ISERROR(VLOOKUP(CONCATENATE($B$12,"_",C24),選手名簿!$A:$E,5,FALSE))=TRUE,"",VLOOKUP(CONCATENATE($B$12,"_",C24),選手名簿!$A:$E,5,FALSE))</f>
        <v/>
      </c>
      <c r="C24" s="214"/>
      <c r="D24" s="214"/>
      <c r="E24" s="221"/>
      <c r="F24" s="223"/>
      <c r="G24" s="221"/>
      <c r="H24" s="214"/>
      <c r="I24" s="214"/>
      <c r="J24" s="209" t="str">
        <f>IF(ISERROR(VLOOKUP(CONCATENATE($J$12,"_",I24),選手名簿!$A:$E,5,FALSE))=TRUE,"",VLOOKUP(CONCATENATE($J$12,"_",I24),選手名簿!$A:$E,5,FALSE))</f>
        <v/>
      </c>
      <c r="K24" s="226"/>
      <c r="L24" s="190"/>
      <c r="M24" s="199"/>
      <c r="N24" s="209" t="str">
        <f>IF(ISERROR(VLOOKUP(CONCATENATE($N$12,"_",O24),選手名簿!$A:$E,5,FALSE))=TRUE,"",VLOOKUP(CONCATENATE($N$12,"_",O24),選手名簿!$A:$E,5,FALSE))</f>
        <v/>
      </c>
      <c r="O24" s="214"/>
      <c r="P24" s="214"/>
      <c r="Q24" s="221"/>
      <c r="R24" s="223"/>
      <c r="S24" s="221"/>
      <c r="T24" s="214"/>
      <c r="U24" s="214"/>
      <c r="V24" s="209" t="str">
        <f>IF(ISERROR(VLOOKUP(CONCATENATE($V$12,"_",U24),選手名簿!$A:$E,5,FALSE))=TRUE,"",VLOOKUP(CONCATENATE($V$12,"_",U24),選手名簿!$A:$E,5,FALSE))</f>
        <v/>
      </c>
      <c r="W24" s="226"/>
      <c r="Y24" s="905"/>
      <c r="Z24" s="906"/>
      <c r="AA24" s="906"/>
      <c r="AB24" s="906"/>
      <c r="AC24" s="906"/>
      <c r="AD24" s="906" t="s">
        <v>2010</v>
      </c>
      <c r="AE24" s="906"/>
      <c r="AF24" s="929"/>
      <c r="AG24" s="930"/>
      <c r="AH24" s="930"/>
      <c r="AI24" s="930"/>
      <c r="AJ24" s="931"/>
      <c r="AK24" s="917"/>
      <c r="AL24" s="918"/>
      <c r="AM24" s="918"/>
      <c r="AN24" s="918"/>
      <c r="AO24" s="920"/>
      <c r="AP24" s="917"/>
      <c r="AQ24" s="918"/>
      <c r="AR24" s="918"/>
      <c r="AS24" s="918"/>
      <c r="AT24" s="920"/>
      <c r="AU24" s="903"/>
      <c r="AV24" s="903"/>
      <c r="AW24" s="903"/>
      <c r="AX24" s="903"/>
      <c r="AY24" s="903"/>
      <c r="AZ24" s="903"/>
      <c r="BA24" s="903"/>
      <c r="BB24" s="903"/>
      <c r="BC24" s="903"/>
      <c r="BD24" s="903"/>
      <c r="BE24" s="903"/>
      <c r="BF24" s="903"/>
      <c r="BG24" s="903"/>
      <c r="BH24" s="903"/>
      <c r="BI24" s="910"/>
      <c r="BJ24" s="910"/>
      <c r="BK24" s="903"/>
      <c r="BL24" s="903"/>
      <c r="BM24" s="910"/>
      <c r="BN24" s="910"/>
      <c r="BO24" s="913"/>
    </row>
    <row r="25" spans="1:67" ht="18.75" customHeight="1" x14ac:dyDescent="0.25">
      <c r="A25" s="199"/>
      <c r="B25" s="209" t="str">
        <f>IF(ISERROR(VLOOKUP(CONCATENATE($B$12,"_",C25),選手名簿!$A:$E,5,FALSE))=TRUE,"",VLOOKUP(CONCATENATE($B$12,"_",C25),選手名簿!$A:$E,5,FALSE))</f>
        <v/>
      </c>
      <c r="C25" s="214"/>
      <c r="D25" s="214"/>
      <c r="E25" s="221"/>
      <c r="F25" s="223"/>
      <c r="G25" s="221"/>
      <c r="H25" s="214"/>
      <c r="I25" s="214"/>
      <c r="J25" s="209" t="str">
        <f>IF(ISERROR(VLOOKUP(CONCATENATE($J$12,"_",I25),選手名簿!$A:$E,5,FALSE))=TRUE,"",VLOOKUP(CONCATENATE($J$12,"_",I25),選手名簿!$A:$E,5,FALSE))</f>
        <v/>
      </c>
      <c r="K25" s="226"/>
      <c r="L25" s="190"/>
      <c r="M25" s="199"/>
      <c r="N25" s="209" t="str">
        <f>IF(ISERROR(VLOOKUP(CONCATENATE($N$12,"_",O25),選手名簿!$A:$E,5,FALSE))=TRUE,"",VLOOKUP(CONCATENATE($N$12,"_",O25),選手名簿!$A:$E,5,FALSE))</f>
        <v/>
      </c>
      <c r="O25" s="214"/>
      <c r="P25" s="214"/>
      <c r="Q25" s="221"/>
      <c r="R25" s="223"/>
      <c r="S25" s="221"/>
      <c r="T25" s="214"/>
      <c r="U25" s="214"/>
      <c r="V25" s="209" t="str">
        <f>IF(ISERROR(VLOOKUP(CONCATENATE($V$12,"_",U25),選手名簿!$A:$E,5,FALSE))=TRUE,"",VLOOKUP(CONCATENATE($V$12,"_",U25),選手名簿!$A:$E,5,FALSE))</f>
        <v/>
      </c>
      <c r="W25" s="226"/>
      <c r="Y25" s="905"/>
      <c r="Z25" s="906"/>
      <c r="AA25" s="906"/>
      <c r="AB25" s="906"/>
      <c r="AC25" s="906"/>
      <c r="AD25" s="906"/>
      <c r="AE25" s="906"/>
      <c r="AF25" s="929"/>
      <c r="AG25" s="930"/>
      <c r="AH25" s="930"/>
      <c r="AI25" s="930"/>
      <c r="AJ25" s="931"/>
      <c r="AK25" s="915">
        <f>$C$12</f>
        <v>0</v>
      </c>
      <c r="AL25" s="916"/>
      <c r="AM25" s="916" t="s">
        <v>2011</v>
      </c>
      <c r="AN25" s="916">
        <f>$I$12</f>
        <v>0</v>
      </c>
      <c r="AO25" s="919"/>
      <c r="AP25" s="915">
        <f>$I$48</f>
        <v>5</v>
      </c>
      <c r="AQ25" s="916"/>
      <c r="AR25" s="916" t="s">
        <v>2011</v>
      </c>
      <c r="AS25" s="916">
        <f>$C$48</f>
        <v>0</v>
      </c>
      <c r="AT25" s="919"/>
      <c r="AU25" s="903"/>
      <c r="AV25" s="903"/>
      <c r="AW25" s="903"/>
      <c r="AX25" s="903"/>
      <c r="AY25" s="903"/>
      <c r="AZ25" s="903"/>
      <c r="BA25" s="903"/>
      <c r="BB25" s="903"/>
      <c r="BC25" s="903"/>
      <c r="BD25" s="903"/>
      <c r="BE25" s="903"/>
      <c r="BF25" s="903"/>
      <c r="BG25" s="903"/>
      <c r="BH25" s="903"/>
      <c r="BI25" s="910"/>
      <c r="BJ25" s="910"/>
      <c r="BK25" s="903"/>
      <c r="BL25" s="903"/>
      <c r="BM25" s="910"/>
      <c r="BN25" s="910"/>
      <c r="BO25" s="913"/>
    </row>
    <row r="26" spans="1:67" ht="18.75" customHeight="1" x14ac:dyDescent="0.25">
      <c r="A26" s="199"/>
      <c r="B26" s="209" t="str">
        <f>IF(ISERROR(VLOOKUP(CONCATENATE($B$12,"_",C26),選手名簿!$A:$E,5,FALSE))=TRUE,"",VLOOKUP(CONCATENATE($B$12,"_",C26),選手名簿!$A:$E,5,FALSE))</f>
        <v/>
      </c>
      <c r="C26" s="214"/>
      <c r="D26" s="214"/>
      <c r="E26" s="221"/>
      <c r="F26" s="223"/>
      <c r="G26" s="221"/>
      <c r="H26" s="214"/>
      <c r="I26" s="214"/>
      <c r="J26" s="209" t="str">
        <f>IF(ISERROR(VLOOKUP(CONCATENATE($J$12,"_",I26),選手名簿!$A:$E,5,FALSE))=TRUE,"",VLOOKUP(CONCATENATE($J$12,"_",I26),選手名簿!$A:$E,5,FALSE))</f>
        <v/>
      </c>
      <c r="K26" s="226"/>
      <c r="L26" s="190"/>
      <c r="M26" s="199"/>
      <c r="N26" s="209" t="str">
        <f>IF(ISERROR(VLOOKUP(CONCATENATE($N$12,"_",O26),選手名簿!$A:$E,5,FALSE))=TRUE,"",VLOOKUP(CONCATENATE($N$12,"_",O26),選手名簿!$A:$E,5,FALSE))</f>
        <v/>
      </c>
      <c r="O26" s="214"/>
      <c r="P26" s="214"/>
      <c r="Q26" s="221"/>
      <c r="R26" s="223"/>
      <c r="S26" s="221"/>
      <c r="T26" s="214"/>
      <c r="U26" s="214"/>
      <c r="V26" s="209" t="str">
        <f>IF(ISERROR(VLOOKUP(CONCATENATE($V$12,"_",U26),選手名簿!$A:$E,5,FALSE))=TRUE,"",VLOOKUP(CONCATENATE($V$12,"_",U26),選手名簿!$A:$E,5,FALSE))</f>
        <v/>
      </c>
      <c r="W26" s="226"/>
      <c r="Y26" s="941"/>
      <c r="Z26" s="936"/>
      <c r="AA26" s="936"/>
      <c r="AB26" s="936"/>
      <c r="AC26" s="936"/>
      <c r="AD26" s="936"/>
      <c r="AE26" s="936"/>
      <c r="AF26" s="952"/>
      <c r="AG26" s="943"/>
      <c r="AH26" s="943"/>
      <c r="AI26" s="943"/>
      <c r="AJ26" s="953"/>
      <c r="AK26" s="937"/>
      <c r="AL26" s="560"/>
      <c r="AM26" s="560"/>
      <c r="AN26" s="560"/>
      <c r="AO26" s="938"/>
      <c r="AP26" s="937"/>
      <c r="AQ26" s="560"/>
      <c r="AR26" s="560"/>
      <c r="AS26" s="560"/>
      <c r="AT26" s="938"/>
      <c r="AU26" s="903"/>
      <c r="AV26" s="903"/>
      <c r="AW26" s="903"/>
      <c r="AX26" s="903"/>
      <c r="AY26" s="903"/>
      <c r="AZ26" s="903"/>
      <c r="BA26" s="903"/>
      <c r="BB26" s="903"/>
      <c r="BC26" s="903"/>
      <c r="BD26" s="903"/>
      <c r="BE26" s="903"/>
      <c r="BF26" s="903"/>
      <c r="BG26" s="903"/>
      <c r="BH26" s="903"/>
      <c r="BI26" s="910"/>
      <c r="BJ26" s="910"/>
      <c r="BK26" s="903"/>
      <c r="BL26" s="903"/>
      <c r="BM26" s="910"/>
      <c r="BN26" s="910"/>
      <c r="BO26" s="935"/>
    </row>
    <row r="27" spans="1:67" ht="18.75" customHeight="1" x14ac:dyDescent="0.25">
      <c r="A27" s="200"/>
      <c r="B27" s="210" t="str">
        <f>IF(ISERROR(VLOOKUP(CONCATENATE($B$12,"_",C27),選手名簿!$A:$E,5,FALSE))=TRUE,"",VLOOKUP(CONCATENATE($B$12,"_",C27),選手名簿!$A:$E,5,FALSE))</f>
        <v/>
      </c>
      <c r="C27" s="215"/>
      <c r="D27" s="215"/>
      <c r="E27" s="222"/>
      <c r="F27" s="224"/>
      <c r="G27" s="222"/>
      <c r="H27" s="215"/>
      <c r="I27" s="215"/>
      <c r="J27" s="210" t="str">
        <f>IF(ISERROR(VLOOKUP(CONCATENATE($J$12,"_",I27),選手名簿!$A:$E,5,FALSE))=TRUE,"",VLOOKUP(CONCATENATE($J$12,"_",I27),選手名簿!$A:$E,5,FALSE))</f>
        <v/>
      </c>
      <c r="K27" s="227"/>
      <c r="L27" s="190"/>
      <c r="M27" s="200"/>
      <c r="N27" s="210" t="str">
        <f>IF(ISERROR(VLOOKUP(CONCATENATE($N$12,"_",O27),選手名簿!$A:$E,5,FALSE))=TRUE,"",VLOOKUP(CONCATENATE($N$12,"_",O27),選手名簿!$A:$E,5,FALSE))</f>
        <v/>
      </c>
      <c r="O27" s="215"/>
      <c r="P27" s="215"/>
      <c r="Q27" s="222"/>
      <c r="R27" s="224"/>
      <c r="S27" s="222"/>
      <c r="T27" s="215"/>
      <c r="U27" s="215"/>
      <c r="V27" s="210" t="str">
        <f>IF(ISERROR(VLOOKUP(CONCATENATE($V$12,"_",U27),選手名簿!$A:$E,5,FALSE))=TRUE,"",VLOOKUP(CONCATENATE($V$12,"_",U27),選手名簿!$A:$E,5,FALSE))</f>
        <v/>
      </c>
      <c r="W27" s="227"/>
      <c r="Y27" s="939" t="str">
        <f>$AC$8</f>
        <v>カティオーラフットボールクラブＵ－１２</v>
      </c>
      <c r="Z27" s="940"/>
      <c r="AA27" s="940"/>
      <c r="AB27" s="940"/>
      <c r="AC27" s="940"/>
      <c r="AD27" s="940" t="s">
        <v>242</v>
      </c>
      <c r="AE27" s="940"/>
      <c r="AF27" s="923" t="str">
        <f>IF(AF31="","",IF(AF31&gt;AI31,"○",IF(AF31&lt;AI31,"●",IF(AF29&gt;AI29,"△",IF(AF29&lt;AI29,"▲")))))</f>
        <v>△</v>
      </c>
      <c r="AG27" s="924"/>
      <c r="AH27" s="924"/>
      <c r="AI27" s="924"/>
      <c r="AJ27" s="925"/>
      <c r="AK27" s="942"/>
      <c r="AL27" s="942"/>
      <c r="AM27" s="942"/>
      <c r="AN27" s="942"/>
      <c r="AO27" s="942"/>
      <c r="AP27" s="923" t="str">
        <f>IF(AP31="","",IF(AP31&gt;AS31,"○",IF(AP31&lt;AS31,"●",IF(AP29&gt;AS29,"△",IF(AP29&lt;AS29,"▲")))))</f>
        <v>○</v>
      </c>
      <c r="AQ27" s="924"/>
      <c r="AR27" s="924"/>
      <c r="AS27" s="924"/>
      <c r="AT27" s="925"/>
      <c r="AU27" s="903">
        <f>COUNTIF($AF$27:$AT$28,"○")</f>
        <v>1</v>
      </c>
      <c r="AV27" s="903"/>
      <c r="AW27" s="903">
        <f>COUNTIF($AF$27:$AT$28,"△")</f>
        <v>1</v>
      </c>
      <c r="AX27" s="903"/>
      <c r="AY27" s="903">
        <f>COUNTIF($AF$27:$AT$28,"▲")</f>
        <v>0</v>
      </c>
      <c r="AZ27" s="903"/>
      <c r="BA27" s="903">
        <f>COUNTIF($AF$27:$AT$28,"●")</f>
        <v>0</v>
      </c>
      <c r="BB27" s="903"/>
      <c r="BC27" s="903">
        <f>SUM($AF$31,$AP$31)</f>
        <v>5</v>
      </c>
      <c r="BD27" s="903"/>
      <c r="BE27" s="903">
        <f>SUM($AI$31,$AS$31)</f>
        <v>0</v>
      </c>
      <c r="BF27" s="903"/>
      <c r="BG27" s="903">
        <f>($AU$27*3)+($AW$27*2)+($AY$27*1)</f>
        <v>5</v>
      </c>
      <c r="BH27" s="903"/>
      <c r="BI27" s="910">
        <f>RANK($BG$27,$BG$21:$BH$38)</f>
        <v>1</v>
      </c>
      <c r="BJ27" s="910"/>
      <c r="BK27" s="903">
        <f>$BC$27-$BE$27</f>
        <v>5</v>
      </c>
      <c r="BL27" s="903"/>
      <c r="BM27" s="910">
        <f>RANK($BK$27,$BK$21:$BL$38)</f>
        <v>1</v>
      </c>
      <c r="BN27" s="910"/>
      <c r="BO27" s="912"/>
    </row>
    <row r="28" spans="1:67" ht="18.75" customHeight="1" x14ac:dyDescent="0.25">
      <c r="A28" s="190"/>
      <c r="B28" s="190"/>
      <c r="C28" s="190"/>
      <c r="D28" s="190"/>
      <c r="E28" s="190"/>
      <c r="F28" s="190"/>
      <c r="G28" s="190"/>
      <c r="H28" s="190"/>
      <c r="I28" s="190"/>
      <c r="J28" s="190"/>
      <c r="K28" s="190"/>
      <c r="L28" s="190"/>
      <c r="M28" s="190"/>
      <c r="N28" s="190"/>
      <c r="O28" s="190"/>
      <c r="P28" s="190"/>
      <c r="Q28" s="190"/>
      <c r="R28" s="190"/>
      <c r="S28" s="190"/>
      <c r="T28" s="190"/>
      <c r="U28" s="190"/>
      <c r="V28" s="190"/>
      <c r="Y28" s="905"/>
      <c r="Z28" s="906"/>
      <c r="AA28" s="906"/>
      <c r="AB28" s="906"/>
      <c r="AC28" s="906"/>
      <c r="AD28" s="906"/>
      <c r="AE28" s="906"/>
      <c r="AF28" s="917"/>
      <c r="AG28" s="918"/>
      <c r="AH28" s="918"/>
      <c r="AI28" s="918"/>
      <c r="AJ28" s="920"/>
      <c r="AK28" s="930"/>
      <c r="AL28" s="930"/>
      <c r="AM28" s="930"/>
      <c r="AN28" s="930"/>
      <c r="AO28" s="930"/>
      <c r="AP28" s="917"/>
      <c r="AQ28" s="918"/>
      <c r="AR28" s="918"/>
      <c r="AS28" s="918"/>
      <c r="AT28" s="920"/>
      <c r="AU28" s="903"/>
      <c r="AV28" s="903"/>
      <c r="AW28" s="903"/>
      <c r="AX28" s="903"/>
      <c r="AY28" s="903"/>
      <c r="AZ28" s="903"/>
      <c r="BA28" s="903"/>
      <c r="BB28" s="903"/>
      <c r="BC28" s="903"/>
      <c r="BD28" s="903"/>
      <c r="BE28" s="903"/>
      <c r="BF28" s="903"/>
      <c r="BG28" s="903"/>
      <c r="BH28" s="903"/>
      <c r="BI28" s="910"/>
      <c r="BJ28" s="910"/>
      <c r="BK28" s="903"/>
      <c r="BL28" s="903"/>
      <c r="BM28" s="910"/>
      <c r="BN28" s="910"/>
      <c r="BO28" s="913"/>
    </row>
    <row r="29" spans="1:67" ht="18.75" customHeight="1" x14ac:dyDescent="0.25">
      <c r="A29" s="190"/>
      <c r="B29" s="190"/>
      <c r="C29" s="190"/>
      <c r="D29" s="190"/>
      <c r="E29" s="190"/>
      <c r="F29" s="190"/>
      <c r="G29" s="190"/>
      <c r="H29" s="190"/>
      <c r="I29" s="190"/>
      <c r="J29" s="190"/>
      <c r="K29" s="190"/>
      <c r="L29" s="190"/>
      <c r="M29" s="190"/>
      <c r="N29" s="190"/>
      <c r="O29" s="190"/>
      <c r="P29" s="190"/>
      <c r="Q29" s="190"/>
      <c r="R29" s="190"/>
      <c r="S29" s="190"/>
      <c r="T29" s="190"/>
      <c r="U29" s="190"/>
      <c r="V29" s="190"/>
      <c r="Y29" s="905"/>
      <c r="Z29" s="906"/>
      <c r="AA29" s="906"/>
      <c r="AB29" s="906"/>
      <c r="AC29" s="906"/>
      <c r="AD29" s="906"/>
      <c r="AE29" s="906"/>
      <c r="AF29" s="915">
        <f>AN23</f>
        <v>6</v>
      </c>
      <c r="AG29" s="916"/>
      <c r="AH29" s="916" t="s">
        <v>2011</v>
      </c>
      <c r="AI29" s="916">
        <f>AK23</f>
        <v>5</v>
      </c>
      <c r="AJ29" s="919"/>
      <c r="AK29" s="930"/>
      <c r="AL29" s="930"/>
      <c r="AM29" s="930"/>
      <c r="AN29" s="930"/>
      <c r="AO29" s="930"/>
      <c r="AP29" s="915" t="str">
        <f>IF($E$32="","",$E$32)</f>
        <v/>
      </c>
      <c r="AQ29" s="916"/>
      <c r="AR29" s="916" t="s">
        <v>2011</v>
      </c>
      <c r="AS29" s="916" t="str">
        <f>IF($G$32="","",$G$32)</f>
        <v/>
      </c>
      <c r="AT29" s="919"/>
      <c r="AU29" s="903"/>
      <c r="AV29" s="903"/>
      <c r="AW29" s="903"/>
      <c r="AX29" s="903"/>
      <c r="AY29" s="903"/>
      <c r="AZ29" s="903"/>
      <c r="BA29" s="903"/>
      <c r="BB29" s="903"/>
      <c r="BC29" s="903"/>
      <c r="BD29" s="903"/>
      <c r="BE29" s="903"/>
      <c r="BF29" s="903"/>
      <c r="BG29" s="903"/>
      <c r="BH29" s="903"/>
      <c r="BI29" s="910"/>
      <c r="BJ29" s="910"/>
      <c r="BK29" s="903"/>
      <c r="BL29" s="903"/>
      <c r="BM29" s="910"/>
      <c r="BN29" s="910"/>
      <c r="BO29" s="913"/>
    </row>
    <row r="30" spans="1:67" ht="18.75" customHeight="1" x14ac:dyDescent="0.25">
      <c r="A30" s="963" t="s">
        <v>1217</v>
      </c>
      <c r="B30" s="964" t="str">
        <f>C8</f>
        <v>カティオーラフットボールクラブＵ－１２</v>
      </c>
      <c r="C30" s="966">
        <f>IF(E30="","",SUM(E30:E31))</f>
        <v>5</v>
      </c>
      <c r="D30" s="940" t="s">
        <v>336</v>
      </c>
      <c r="E30" s="217">
        <v>5</v>
      </c>
      <c r="F30" s="217" t="s">
        <v>61</v>
      </c>
      <c r="G30" s="217">
        <v>0</v>
      </c>
      <c r="H30" s="940" t="s">
        <v>339</v>
      </c>
      <c r="I30" s="966">
        <f>IF(G30="","",SUM(G30:G31))</f>
        <v>0</v>
      </c>
      <c r="J30" s="968" t="str">
        <f>C9</f>
        <v>大平山アソシエーション式フットボールクラブ</v>
      </c>
      <c r="K30" s="190"/>
      <c r="L30" s="190"/>
      <c r="M30" s="969" t="s">
        <v>2018</v>
      </c>
      <c r="N30" s="964" t="str">
        <f>O8</f>
        <v>鶴崎ＳＳＳ</v>
      </c>
      <c r="O30" s="966">
        <f>IF(Q30="","",SUM(Q30:Q31))</f>
        <v>2</v>
      </c>
      <c r="P30" s="940" t="s">
        <v>336</v>
      </c>
      <c r="Q30" s="217">
        <v>0</v>
      </c>
      <c r="R30" s="217" t="s">
        <v>61</v>
      </c>
      <c r="S30" s="217">
        <v>2</v>
      </c>
      <c r="T30" s="940" t="s">
        <v>339</v>
      </c>
      <c r="U30" s="966">
        <f>IF(S30="","",SUM(S30:S31))</f>
        <v>3</v>
      </c>
      <c r="V30" s="968" t="str">
        <f>O9</f>
        <v>戸次吉野ＳＳＳ</v>
      </c>
      <c r="Y30" s="905"/>
      <c r="Z30" s="906"/>
      <c r="AA30" s="906"/>
      <c r="AB30" s="906"/>
      <c r="AC30" s="906"/>
      <c r="AD30" s="906" t="s">
        <v>2010</v>
      </c>
      <c r="AE30" s="906"/>
      <c r="AF30" s="917"/>
      <c r="AG30" s="918"/>
      <c r="AH30" s="918"/>
      <c r="AI30" s="918"/>
      <c r="AJ30" s="920"/>
      <c r="AK30" s="930"/>
      <c r="AL30" s="930"/>
      <c r="AM30" s="930"/>
      <c r="AN30" s="930"/>
      <c r="AO30" s="930"/>
      <c r="AP30" s="917"/>
      <c r="AQ30" s="918"/>
      <c r="AR30" s="918"/>
      <c r="AS30" s="918"/>
      <c r="AT30" s="920"/>
      <c r="AU30" s="903"/>
      <c r="AV30" s="903"/>
      <c r="AW30" s="903"/>
      <c r="AX30" s="903"/>
      <c r="AY30" s="903"/>
      <c r="AZ30" s="903"/>
      <c r="BA30" s="903"/>
      <c r="BB30" s="903"/>
      <c r="BC30" s="903"/>
      <c r="BD30" s="903"/>
      <c r="BE30" s="903"/>
      <c r="BF30" s="903"/>
      <c r="BG30" s="903"/>
      <c r="BH30" s="903"/>
      <c r="BI30" s="910"/>
      <c r="BJ30" s="910"/>
      <c r="BK30" s="903"/>
      <c r="BL30" s="903"/>
      <c r="BM30" s="910"/>
      <c r="BN30" s="910"/>
      <c r="BO30" s="913"/>
    </row>
    <row r="31" spans="1:67" ht="18.75" customHeight="1" x14ac:dyDescent="0.25">
      <c r="A31" s="946"/>
      <c r="B31" s="965"/>
      <c r="C31" s="967"/>
      <c r="D31" s="906"/>
      <c r="E31" s="190">
        <v>0</v>
      </c>
      <c r="F31" s="190" t="s">
        <v>126</v>
      </c>
      <c r="G31" s="190">
        <v>0</v>
      </c>
      <c r="H31" s="906"/>
      <c r="I31" s="967"/>
      <c r="J31" s="957"/>
      <c r="K31" s="190"/>
      <c r="L31" s="190"/>
      <c r="M31" s="970"/>
      <c r="N31" s="965"/>
      <c r="O31" s="967"/>
      <c r="P31" s="906"/>
      <c r="Q31" s="190">
        <v>2</v>
      </c>
      <c r="R31" s="190" t="s">
        <v>126</v>
      </c>
      <c r="S31" s="190">
        <v>1</v>
      </c>
      <c r="T31" s="906"/>
      <c r="U31" s="967"/>
      <c r="V31" s="957"/>
      <c r="Y31" s="905"/>
      <c r="Z31" s="906"/>
      <c r="AA31" s="906"/>
      <c r="AB31" s="906"/>
      <c r="AC31" s="906"/>
      <c r="AD31" s="906"/>
      <c r="AE31" s="906"/>
      <c r="AF31" s="915">
        <f>AN25</f>
        <v>0</v>
      </c>
      <c r="AG31" s="916"/>
      <c r="AH31" s="916" t="s">
        <v>2011</v>
      </c>
      <c r="AI31" s="916">
        <f>AK25</f>
        <v>0</v>
      </c>
      <c r="AJ31" s="919"/>
      <c r="AK31" s="930"/>
      <c r="AL31" s="930"/>
      <c r="AM31" s="930"/>
      <c r="AN31" s="930"/>
      <c r="AO31" s="930"/>
      <c r="AP31" s="915">
        <f>$C$30</f>
        <v>5</v>
      </c>
      <c r="AQ31" s="916"/>
      <c r="AR31" s="916" t="s">
        <v>2011</v>
      </c>
      <c r="AS31" s="916">
        <f>$I$30</f>
        <v>0</v>
      </c>
      <c r="AT31" s="919"/>
      <c r="AU31" s="903"/>
      <c r="AV31" s="903"/>
      <c r="AW31" s="903"/>
      <c r="AX31" s="903"/>
      <c r="AY31" s="903"/>
      <c r="AZ31" s="903"/>
      <c r="BA31" s="903"/>
      <c r="BB31" s="903"/>
      <c r="BC31" s="903"/>
      <c r="BD31" s="903"/>
      <c r="BE31" s="903"/>
      <c r="BF31" s="903"/>
      <c r="BG31" s="903"/>
      <c r="BH31" s="903"/>
      <c r="BI31" s="910"/>
      <c r="BJ31" s="910"/>
      <c r="BK31" s="903"/>
      <c r="BL31" s="903"/>
      <c r="BM31" s="910"/>
      <c r="BN31" s="910"/>
      <c r="BO31" s="913"/>
    </row>
    <row r="32" spans="1:67" ht="18.75" customHeight="1" x14ac:dyDescent="0.25">
      <c r="A32" s="946"/>
      <c r="B32" s="965"/>
      <c r="C32" s="967"/>
      <c r="D32" s="906"/>
      <c r="E32" s="190"/>
      <c r="F32" s="190" t="s">
        <v>407</v>
      </c>
      <c r="G32" s="190"/>
      <c r="H32" s="906"/>
      <c r="I32" s="967"/>
      <c r="J32" s="957"/>
      <c r="K32" s="190"/>
      <c r="L32" s="190"/>
      <c r="M32" s="971"/>
      <c r="N32" s="994"/>
      <c r="O32" s="975"/>
      <c r="P32" s="908"/>
      <c r="Q32" s="190"/>
      <c r="R32" s="190" t="s">
        <v>407</v>
      </c>
      <c r="S32" s="190"/>
      <c r="T32" s="908"/>
      <c r="U32" s="975"/>
      <c r="V32" s="976"/>
      <c r="Y32" s="941"/>
      <c r="Z32" s="936"/>
      <c r="AA32" s="936"/>
      <c r="AB32" s="936"/>
      <c r="AC32" s="936"/>
      <c r="AD32" s="936"/>
      <c r="AE32" s="936"/>
      <c r="AF32" s="937"/>
      <c r="AG32" s="560"/>
      <c r="AH32" s="560"/>
      <c r="AI32" s="560"/>
      <c r="AJ32" s="938"/>
      <c r="AK32" s="943"/>
      <c r="AL32" s="943"/>
      <c r="AM32" s="943"/>
      <c r="AN32" s="943"/>
      <c r="AO32" s="943"/>
      <c r="AP32" s="937"/>
      <c r="AQ32" s="560"/>
      <c r="AR32" s="560"/>
      <c r="AS32" s="560"/>
      <c r="AT32" s="938"/>
      <c r="AU32" s="903"/>
      <c r="AV32" s="903"/>
      <c r="AW32" s="903"/>
      <c r="AX32" s="903"/>
      <c r="AY32" s="903"/>
      <c r="AZ32" s="903"/>
      <c r="BA32" s="903"/>
      <c r="BB32" s="903"/>
      <c r="BC32" s="903"/>
      <c r="BD32" s="903"/>
      <c r="BE32" s="903"/>
      <c r="BF32" s="903"/>
      <c r="BG32" s="903"/>
      <c r="BH32" s="903"/>
      <c r="BI32" s="910"/>
      <c r="BJ32" s="910"/>
      <c r="BK32" s="903"/>
      <c r="BL32" s="903"/>
      <c r="BM32" s="910"/>
      <c r="BN32" s="910"/>
      <c r="BO32" s="935"/>
    </row>
    <row r="33" spans="1:67" ht="18.75" customHeight="1" x14ac:dyDescent="0.25">
      <c r="A33" s="192" t="s">
        <v>2463</v>
      </c>
      <c r="B33" s="989" t="s">
        <v>15245</v>
      </c>
      <c r="C33" s="989"/>
      <c r="D33" s="989"/>
      <c r="E33" s="989"/>
      <c r="F33" s="989"/>
      <c r="G33" s="990" t="s">
        <v>2464</v>
      </c>
      <c r="H33" s="990"/>
      <c r="I33" s="990"/>
      <c r="J33" s="991" t="s">
        <v>15215</v>
      </c>
      <c r="K33" s="991"/>
      <c r="L33" s="190"/>
      <c r="M33" s="192" t="s">
        <v>2463</v>
      </c>
      <c r="N33" s="989" t="s">
        <v>15213</v>
      </c>
      <c r="O33" s="989"/>
      <c r="P33" s="989"/>
      <c r="Q33" s="989"/>
      <c r="R33" s="989"/>
      <c r="S33" s="990" t="s">
        <v>2464</v>
      </c>
      <c r="T33" s="990"/>
      <c r="U33" s="990"/>
      <c r="V33" s="991" t="s">
        <v>15215</v>
      </c>
      <c r="W33" s="991"/>
      <c r="Y33" s="905" t="str">
        <f>$AC$9</f>
        <v>大平山アソシエーション式フットボールクラブ</v>
      </c>
      <c r="Z33" s="906"/>
      <c r="AA33" s="906"/>
      <c r="AB33" s="906"/>
      <c r="AC33" s="906"/>
      <c r="AD33" s="906" t="s">
        <v>242</v>
      </c>
      <c r="AE33" s="906"/>
      <c r="AF33" s="923" t="str">
        <f>IF(AF37="","",IF(AF37&gt;AI37,"○",IF(AF37&lt;AI37,"●",IF(AF35&gt;AI35,"△",IF(AF35&lt;AI35,"▲")))))</f>
        <v>●</v>
      </c>
      <c r="AG33" s="924"/>
      <c r="AH33" s="924"/>
      <c r="AI33" s="924"/>
      <c r="AJ33" s="925"/>
      <c r="AK33" s="923" t="str">
        <f>IF(AK37="","",IF(AK37&gt;AN37,"○",IF(AK37&lt;AN37,"●",IF(AK35&gt;AN35,"△",IF(AK35&lt;AN35,"▲")))))</f>
        <v>●</v>
      </c>
      <c r="AL33" s="924"/>
      <c r="AM33" s="924"/>
      <c r="AN33" s="924"/>
      <c r="AO33" s="925"/>
      <c r="AP33" s="926"/>
      <c r="AQ33" s="927"/>
      <c r="AR33" s="927"/>
      <c r="AS33" s="927"/>
      <c r="AT33" s="928"/>
      <c r="AU33" s="903">
        <f>COUNTIF($AF$33:$AT$34,"○")</f>
        <v>0</v>
      </c>
      <c r="AV33" s="903"/>
      <c r="AW33" s="902">
        <f>COUNTIF($AF$33:$AT$34,"△")</f>
        <v>0</v>
      </c>
      <c r="AX33" s="902"/>
      <c r="AY33" s="902">
        <f>COUNTIF($AF$33:$AT$34,"▲")</f>
        <v>0</v>
      </c>
      <c r="AZ33" s="902"/>
      <c r="BA33" s="902">
        <f>COUNTIF($AF$33:$AT$34,"●")</f>
        <v>2</v>
      </c>
      <c r="BB33" s="902"/>
      <c r="BC33" s="902">
        <f>SUM($AF$37,$AK$37)</f>
        <v>0</v>
      </c>
      <c r="BD33" s="902"/>
      <c r="BE33" s="902">
        <f>SUM($AI$37,$AN$37)</f>
        <v>10</v>
      </c>
      <c r="BF33" s="902"/>
      <c r="BG33" s="902">
        <f>($AU$33*3)+($AW$33*2)+($AY$33*1)</f>
        <v>0</v>
      </c>
      <c r="BH33" s="902"/>
      <c r="BI33" s="909">
        <f>RANK($BG$33,$BG$21:$BH$38)</f>
        <v>3</v>
      </c>
      <c r="BJ33" s="909"/>
      <c r="BK33" s="902">
        <f>$BC$33-$BE$33</f>
        <v>-10</v>
      </c>
      <c r="BL33" s="902"/>
      <c r="BM33" s="909">
        <f>RANK($BK$33,$BK$21:$BL$38)</f>
        <v>3</v>
      </c>
      <c r="BN33" s="909"/>
      <c r="BO33" s="912"/>
    </row>
    <row r="34" spans="1:67" ht="18.75" customHeight="1" x14ac:dyDescent="0.25">
      <c r="A34" s="193" t="s">
        <v>2465</v>
      </c>
      <c r="B34" s="992" t="s">
        <v>15245</v>
      </c>
      <c r="C34" s="992"/>
      <c r="D34" s="992"/>
      <c r="E34" s="992"/>
      <c r="F34" s="992"/>
      <c r="G34" s="983" t="s">
        <v>2464</v>
      </c>
      <c r="H34" s="984"/>
      <c r="I34" s="985"/>
      <c r="J34" s="993" t="s">
        <v>15215</v>
      </c>
      <c r="K34" s="993"/>
      <c r="L34" s="190"/>
      <c r="M34" s="193" t="s">
        <v>2465</v>
      </c>
      <c r="N34" s="992" t="s">
        <v>15213</v>
      </c>
      <c r="O34" s="992"/>
      <c r="P34" s="992"/>
      <c r="Q34" s="992"/>
      <c r="R34" s="992"/>
      <c r="S34" s="983" t="s">
        <v>2464</v>
      </c>
      <c r="T34" s="984"/>
      <c r="U34" s="985"/>
      <c r="V34" s="993" t="s">
        <v>15215</v>
      </c>
      <c r="W34" s="993"/>
      <c r="Y34" s="905"/>
      <c r="Z34" s="906"/>
      <c r="AA34" s="906"/>
      <c r="AB34" s="906"/>
      <c r="AC34" s="906"/>
      <c r="AD34" s="906"/>
      <c r="AE34" s="906"/>
      <c r="AF34" s="917"/>
      <c r="AG34" s="918"/>
      <c r="AH34" s="918"/>
      <c r="AI34" s="918"/>
      <c r="AJ34" s="920"/>
      <c r="AK34" s="917"/>
      <c r="AL34" s="918"/>
      <c r="AM34" s="918"/>
      <c r="AN34" s="918"/>
      <c r="AO34" s="920"/>
      <c r="AP34" s="929"/>
      <c r="AQ34" s="930"/>
      <c r="AR34" s="930"/>
      <c r="AS34" s="930"/>
      <c r="AT34" s="931"/>
      <c r="AU34" s="903"/>
      <c r="AV34" s="903"/>
      <c r="AW34" s="903"/>
      <c r="AX34" s="903"/>
      <c r="AY34" s="903"/>
      <c r="AZ34" s="903"/>
      <c r="BA34" s="903"/>
      <c r="BB34" s="903"/>
      <c r="BC34" s="903"/>
      <c r="BD34" s="903"/>
      <c r="BE34" s="903"/>
      <c r="BF34" s="903"/>
      <c r="BG34" s="903"/>
      <c r="BH34" s="903"/>
      <c r="BI34" s="910"/>
      <c r="BJ34" s="910"/>
      <c r="BK34" s="903"/>
      <c r="BL34" s="903"/>
      <c r="BM34" s="910"/>
      <c r="BN34" s="910"/>
      <c r="BO34" s="913"/>
    </row>
    <row r="35" spans="1:67" ht="18.75" customHeight="1" x14ac:dyDescent="0.25">
      <c r="A35" s="194" t="s">
        <v>2466</v>
      </c>
      <c r="B35" s="982" t="s">
        <v>15246</v>
      </c>
      <c r="C35" s="982"/>
      <c r="D35" s="982"/>
      <c r="E35" s="982"/>
      <c r="F35" s="982"/>
      <c r="G35" s="983" t="s">
        <v>2464</v>
      </c>
      <c r="H35" s="984"/>
      <c r="I35" s="985"/>
      <c r="J35" s="986" t="s">
        <v>15215</v>
      </c>
      <c r="K35" s="986"/>
      <c r="L35" s="190"/>
      <c r="M35" s="194" t="s">
        <v>2466</v>
      </c>
      <c r="N35" s="982" t="s">
        <v>15214</v>
      </c>
      <c r="O35" s="982"/>
      <c r="P35" s="982"/>
      <c r="Q35" s="982"/>
      <c r="R35" s="982"/>
      <c r="S35" s="983" t="s">
        <v>2464</v>
      </c>
      <c r="T35" s="984"/>
      <c r="U35" s="985"/>
      <c r="V35" s="986" t="s">
        <v>15215</v>
      </c>
      <c r="W35" s="986"/>
      <c r="Y35" s="905"/>
      <c r="Z35" s="906"/>
      <c r="AA35" s="906"/>
      <c r="AB35" s="906"/>
      <c r="AC35" s="906"/>
      <c r="AD35" s="906"/>
      <c r="AE35" s="906"/>
      <c r="AF35" s="915" t="str">
        <f>AS23</f>
        <v/>
      </c>
      <c r="AG35" s="916"/>
      <c r="AH35" s="916" t="s">
        <v>2011</v>
      </c>
      <c r="AI35" s="916" t="str">
        <f>AP23</f>
        <v/>
      </c>
      <c r="AJ35" s="919"/>
      <c r="AK35" s="915" t="str">
        <f>AS29</f>
        <v/>
      </c>
      <c r="AL35" s="916"/>
      <c r="AM35" s="916" t="s">
        <v>2011</v>
      </c>
      <c r="AN35" s="916" t="str">
        <f>AP29</f>
        <v/>
      </c>
      <c r="AO35" s="919"/>
      <c r="AP35" s="929"/>
      <c r="AQ35" s="930"/>
      <c r="AR35" s="930"/>
      <c r="AS35" s="930"/>
      <c r="AT35" s="931"/>
      <c r="AU35" s="903"/>
      <c r="AV35" s="903"/>
      <c r="AW35" s="903"/>
      <c r="AX35" s="903"/>
      <c r="AY35" s="903"/>
      <c r="AZ35" s="903"/>
      <c r="BA35" s="903"/>
      <c r="BB35" s="903"/>
      <c r="BC35" s="903"/>
      <c r="BD35" s="903"/>
      <c r="BE35" s="903"/>
      <c r="BF35" s="903"/>
      <c r="BG35" s="903"/>
      <c r="BH35" s="903"/>
      <c r="BI35" s="910"/>
      <c r="BJ35" s="910"/>
      <c r="BK35" s="903"/>
      <c r="BL35" s="903"/>
      <c r="BM35" s="910"/>
      <c r="BN35" s="910"/>
      <c r="BO35" s="913"/>
    </row>
    <row r="36" spans="1:67" ht="18.75" customHeight="1" x14ac:dyDescent="0.25">
      <c r="A36" s="195" t="s">
        <v>609</v>
      </c>
      <c r="B36" s="205" t="str">
        <f>IF(ISERROR(VLOOKUP(G36,審判員!$A:$C,2,FALSE))=TRUE,"",VLOOKUP(G36,審判員!$A:$C,2,FALSE))</f>
        <v>菱川　翔平</v>
      </c>
      <c r="C36" s="211">
        <f>IF(ISERROR(VLOOKUP(G36,審判員!$A:$C,3,FALSE))=TRUE,"",VLOOKUP(G36,審判員!$A:$C,3,FALSE))</f>
        <v>3</v>
      </c>
      <c r="D36" s="218" t="s">
        <v>612</v>
      </c>
      <c r="E36" s="955" t="s">
        <v>201</v>
      </c>
      <c r="F36" s="955"/>
      <c r="G36" s="955" t="s">
        <v>15247</v>
      </c>
      <c r="H36" s="955"/>
      <c r="I36" s="955"/>
      <c r="J36" s="987" t="s">
        <v>788</v>
      </c>
      <c r="K36" s="988"/>
      <c r="L36" s="190"/>
      <c r="M36" s="195" t="s">
        <v>609</v>
      </c>
      <c r="N36" s="205" t="str">
        <f>IF(ISERROR(VLOOKUP(S36,審判員!$A:$C,2,FALSE))=TRUE,"",VLOOKUP(S36,審判員!$A:$C,2,FALSE))</f>
        <v>羽田野　宥瑛</v>
      </c>
      <c r="O36" s="211">
        <f>IF(ISERROR(VLOOKUP(S36,審判員!$A:$C,3,FALSE))=TRUE,"",VLOOKUP(S36,審判員!$A:$C,3,FALSE))</f>
        <v>3</v>
      </c>
      <c r="P36" s="218" t="s">
        <v>612</v>
      </c>
      <c r="Q36" s="955" t="s">
        <v>201</v>
      </c>
      <c r="R36" s="955"/>
      <c r="S36" s="955" t="s">
        <v>15260</v>
      </c>
      <c r="T36" s="955"/>
      <c r="U36" s="955"/>
      <c r="V36" s="987" t="s">
        <v>788</v>
      </c>
      <c r="W36" s="988"/>
      <c r="Y36" s="905"/>
      <c r="Z36" s="906"/>
      <c r="AA36" s="906"/>
      <c r="AB36" s="906"/>
      <c r="AC36" s="906"/>
      <c r="AD36" s="906" t="s">
        <v>2010</v>
      </c>
      <c r="AE36" s="906"/>
      <c r="AF36" s="917"/>
      <c r="AG36" s="918"/>
      <c r="AH36" s="918"/>
      <c r="AI36" s="918"/>
      <c r="AJ36" s="920"/>
      <c r="AK36" s="917"/>
      <c r="AL36" s="918"/>
      <c r="AM36" s="918"/>
      <c r="AN36" s="918"/>
      <c r="AO36" s="920"/>
      <c r="AP36" s="929"/>
      <c r="AQ36" s="930"/>
      <c r="AR36" s="930"/>
      <c r="AS36" s="930"/>
      <c r="AT36" s="931"/>
      <c r="AU36" s="903"/>
      <c r="AV36" s="903"/>
      <c r="AW36" s="903"/>
      <c r="AX36" s="903"/>
      <c r="AY36" s="903"/>
      <c r="AZ36" s="903"/>
      <c r="BA36" s="903"/>
      <c r="BB36" s="903"/>
      <c r="BC36" s="903"/>
      <c r="BD36" s="903"/>
      <c r="BE36" s="903"/>
      <c r="BF36" s="903"/>
      <c r="BG36" s="903"/>
      <c r="BH36" s="903"/>
      <c r="BI36" s="910"/>
      <c r="BJ36" s="910"/>
      <c r="BK36" s="903"/>
      <c r="BL36" s="903"/>
      <c r="BM36" s="910"/>
      <c r="BN36" s="910"/>
      <c r="BO36" s="913"/>
    </row>
    <row r="37" spans="1:67" ht="18.75" customHeight="1" x14ac:dyDescent="0.25">
      <c r="A37" s="196" t="s">
        <v>704</v>
      </c>
      <c r="B37" s="206" t="str">
        <f>IF(ISERROR(VLOOKUP(G37,審判員!$A:$C,2,FALSE))=TRUE,"",VLOOKUP(G37,審判員!$A:$C,2,FALSE))</f>
        <v>嶋田　尚祐</v>
      </c>
      <c r="C37" s="212">
        <f>IF(ISERROR(VLOOKUP(G37,審判員!$A:$C,3,FALSE))=TRUE,"",VLOOKUP(G37,審判員!$A:$C,3,FALSE))</f>
        <v>3</v>
      </c>
      <c r="D37" s="219" t="s">
        <v>612</v>
      </c>
      <c r="E37" s="906" t="s">
        <v>1286</v>
      </c>
      <c r="F37" s="906"/>
      <c r="G37" s="906" t="s">
        <v>15218</v>
      </c>
      <c r="H37" s="906"/>
      <c r="I37" s="906"/>
      <c r="J37" s="891" t="str">
        <f>N30</f>
        <v>鶴崎ＳＳＳ</v>
      </c>
      <c r="K37" s="981"/>
      <c r="L37" s="190"/>
      <c r="M37" s="196" t="s">
        <v>704</v>
      </c>
      <c r="N37" s="206" t="str">
        <f>IF(ISERROR(VLOOKUP(S37,審判員!$A:$C,2,FALSE))=TRUE,"",VLOOKUP(S37,審判員!$A:$C,2,FALSE))</f>
        <v>篠田　裕也</v>
      </c>
      <c r="O37" s="212">
        <f>IF(ISERROR(VLOOKUP(S37,審判員!$A:$C,3,FALSE))=TRUE,"",VLOOKUP(S37,審判員!$A:$C,3,FALSE))</f>
        <v>3</v>
      </c>
      <c r="P37" s="219" t="s">
        <v>612</v>
      </c>
      <c r="Q37" s="906" t="s">
        <v>1286</v>
      </c>
      <c r="R37" s="906"/>
      <c r="S37" s="906" t="s">
        <v>15231</v>
      </c>
      <c r="T37" s="906"/>
      <c r="U37" s="906"/>
      <c r="V37" s="891" t="str">
        <f>B30</f>
        <v>カティオーラフットボールクラブＵ－１２</v>
      </c>
      <c r="W37" s="981"/>
      <c r="Y37" s="905"/>
      <c r="Z37" s="906"/>
      <c r="AA37" s="906"/>
      <c r="AB37" s="906"/>
      <c r="AC37" s="906"/>
      <c r="AD37" s="906"/>
      <c r="AE37" s="906"/>
      <c r="AF37" s="915">
        <f>AS25</f>
        <v>0</v>
      </c>
      <c r="AG37" s="916"/>
      <c r="AH37" s="916" t="s">
        <v>2011</v>
      </c>
      <c r="AI37" s="916">
        <f>AP25</f>
        <v>5</v>
      </c>
      <c r="AJ37" s="919"/>
      <c r="AK37" s="915">
        <f>AS31</f>
        <v>0</v>
      </c>
      <c r="AL37" s="916"/>
      <c r="AM37" s="916" t="s">
        <v>2011</v>
      </c>
      <c r="AN37" s="916">
        <f>AP31</f>
        <v>5</v>
      </c>
      <c r="AO37" s="919"/>
      <c r="AP37" s="929"/>
      <c r="AQ37" s="930"/>
      <c r="AR37" s="930"/>
      <c r="AS37" s="930"/>
      <c r="AT37" s="931"/>
      <c r="AU37" s="903"/>
      <c r="AV37" s="903"/>
      <c r="AW37" s="903"/>
      <c r="AX37" s="903"/>
      <c r="AY37" s="903"/>
      <c r="AZ37" s="903"/>
      <c r="BA37" s="903"/>
      <c r="BB37" s="903"/>
      <c r="BC37" s="903"/>
      <c r="BD37" s="903"/>
      <c r="BE37" s="903"/>
      <c r="BF37" s="903"/>
      <c r="BG37" s="903"/>
      <c r="BH37" s="903"/>
      <c r="BI37" s="910"/>
      <c r="BJ37" s="910"/>
      <c r="BK37" s="903"/>
      <c r="BL37" s="903"/>
      <c r="BM37" s="910"/>
      <c r="BN37" s="910"/>
      <c r="BO37" s="913"/>
    </row>
    <row r="38" spans="1:67" ht="19.5" customHeight="1" x14ac:dyDescent="0.25">
      <c r="A38" s="196" t="s">
        <v>2007</v>
      </c>
      <c r="B38" s="206" t="str">
        <f>IF(ISERROR(VLOOKUP(G38,審判員!$A:$C,2,FALSE))=TRUE,"",VLOOKUP(G38,審判員!$A:$C,2,FALSE))</f>
        <v>高倉　遥樹</v>
      </c>
      <c r="C38" s="212">
        <f>IF(ISERROR(VLOOKUP(G38,審判員!$A:$C,3,FALSE))=TRUE,"",VLOOKUP(G38,審判員!$A:$C,3,FALSE))</f>
        <v>3</v>
      </c>
      <c r="D38" s="219" t="s">
        <v>612</v>
      </c>
      <c r="E38" s="906" t="s">
        <v>1286</v>
      </c>
      <c r="F38" s="906"/>
      <c r="G38" s="906" t="s">
        <v>15248</v>
      </c>
      <c r="H38" s="906"/>
      <c r="I38" s="906"/>
      <c r="J38" s="891" t="str">
        <f>V30</f>
        <v>戸次吉野ＳＳＳ</v>
      </c>
      <c r="K38" s="981"/>
      <c r="L38" s="190"/>
      <c r="M38" s="196" t="s">
        <v>2007</v>
      </c>
      <c r="N38" s="206" t="str">
        <f>IF(ISERROR(VLOOKUP(S38,審判員!$A:$C,2,FALSE))=TRUE,"",VLOOKUP(S38,審判員!$A:$C,2,FALSE))</f>
        <v>吉谷　俊哉</v>
      </c>
      <c r="O38" s="212">
        <f>IF(ISERROR(VLOOKUP(S38,審判員!$A:$C,3,FALSE))=TRUE,"",VLOOKUP(S38,審判員!$A:$C,3,FALSE))</f>
        <v>3</v>
      </c>
      <c r="P38" s="219" t="s">
        <v>612</v>
      </c>
      <c r="Q38" s="906" t="s">
        <v>1286</v>
      </c>
      <c r="R38" s="906"/>
      <c r="S38" s="906" t="s">
        <v>15261</v>
      </c>
      <c r="T38" s="906"/>
      <c r="U38" s="906"/>
      <c r="V38" s="891" t="str">
        <f>J30</f>
        <v>大平山アソシエーション式フットボールクラブ</v>
      </c>
      <c r="W38" s="981"/>
      <c r="Y38" s="907"/>
      <c r="Z38" s="908"/>
      <c r="AA38" s="908"/>
      <c r="AB38" s="908"/>
      <c r="AC38" s="908"/>
      <c r="AD38" s="908"/>
      <c r="AE38" s="908"/>
      <c r="AF38" s="921"/>
      <c r="AG38" s="565"/>
      <c r="AH38" s="565"/>
      <c r="AI38" s="565"/>
      <c r="AJ38" s="922"/>
      <c r="AK38" s="921"/>
      <c r="AL38" s="565"/>
      <c r="AM38" s="565"/>
      <c r="AN38" s="565"/>
      <c r="AO38" s="922"/>
      <c r="AP38" s="932"/>
      <c r="AQ38" s="933"/>
      <c r="AR38" s="933"/>
      <c r="AS38" s="933"/>
      <c r="AT38" s="934"/>
      <c r="AU38" s="904"/>
      <c r="AV38" s="904"/>
      <c r="AW38" s="904"/>
      <c r="AX38" s="904"/>
      <c r="AY38" s="904"/>
      <c r="AZ38" s="904"/>
      <c r="BA38" s="904"/>
      <c r="BB38" s="904"/>
      <c r="BC38" s="904"/>
      <c r="BD38" s="904"/>
      <c r="BE38" s="904"/>
      <c r="BF38" s="904"/>
      <c r="BG38" s="904"/>
      <c r="BH38" s="904"/>
      <c r="BI38" s="911"/>
      <c r="BJ38" s="911"/>
      <c r="BK38" s="904"/>
      <c r="BL38" s="904"/>
      <c r="BM38" s="911"/>
      <c r="BN38" s="911"/>
      <c r="BO38" s="914"/>
    </row>
    <row r="39" spans="1:67" x14ac:dyDescent="0.25">
      <c r="A39" s="197" t="s">
        <v>2008</v>
      </c>
      <c r="B39" s="207" t="str">
        <f>IF(ISERROR(VLOOKUP(G39,審判員!$A:$C,2,FALSE))=TRUE,"",VLOOKUP(G39,審判員!$A:$C,2,FALSE))</f>
        <v>松原　マヤ</v>
      </c>
      <c r="C39" s="213">
        <f>IF(ISERROR(VLOOKUP(G39,審判員!$A:$C,3,FALSE))=TRUE,"",VLOOKUP(G39,審判員!$A:$C,3,FALSE))</f>
        <v>2</v>
      </c>
      <c r="D39" s="220" t="s">
        <v>612</v>
      </c>
      <c r="E39" s="977" t="s">
        <v>1286</v>
      </c>
      <c r="F39" s="977"/>
      <c r="G39" s="977" t="s">
        <v>15216</v>
      </c>
      <c r="H39" s="977"/>
      <c r="I39" s="977"/>
      <c r="J39" s="978" t="s">
        <v>788</v>
      </c>
      <c r="K39" s="979"/>
      <c r="L39" s="190"/>
      <c r="M39" s="197" t="s">
        <v>2008</v>
      </c>
      <c r="N39" s="207" t="str">
        <f>IF(ISERROR(VLOOKUP(S39,審判員!$A:$C,2,FALSE))=TRUE,"",VLOOKUP(S39,審判員!$A:$C,2,FALSE))</f>
        <v>長尾　信宏</v>
      </c>
      <c r="O39" s="213">
        <f>IF(ISERROR(VLOOKUP(S39,審判員!$A:$C,3,FALSE))=TRUE,"",VLOOKUP(S39,審判員!$A:$C,3,FALSE))</f>
        <v>3</v>
      </c>
      <c r="P39" s="220" t="s">
        <v>612</v>
      </c>
      <c r="Q39" s="977" t="s">
        <v>1286</v>
      </c>
      <c r="R39" s="977"/>
      <c r="S39" s="977" t="s">
        <v>15229</v>
      </c>
      <c r="T39" s="977"/>
      <c r="U39" s="977"/>
      <c r="V39" s="978" t="s">
        <v>788</v>
      </c>
      <c r="W39" s="979"/>
    </row>
    <row r="40" spans="1:67" x14ac:dyDescent="0.25">
      <c r="A40" s="198" t="s">
        <v>469</v>
      </c>
      <c r="B40" s="208" t="s">
        <v>606</v>
      </c>
      <c r="C40" s="208" t="s">
        <v>234</v>
      </c>
      <c r="D40" s="208" t="s">
        <v>272</v>
      </c>
      <c r="E40" s="208" t="s">
        <v>750</v>
      </c>
      <c r="F40" s="223"/>
      <c r="G40" s="208" t="s">
        <v>750</v>
      </c>
      <c r="H40" s="208" t="s">
        <v>272</v>
      </c>
      <c r="I40" s="208" t="s">
        <v>234</v>
      </c>
      <c r="J40" s="208" t="s">
        <v>606</v>
      </c>
      <c r="K40" s="225" t="s">
        <v>469</v>
      </c>
      <c r="L40" s="190"/>
      <c r="M40" s="198" t="s">
        <v>469</v>
      </c>
      <c r="N40" s="208" t="s">
        <v>606</v>
      </c>
      <c r="O40" s="208" t="s">
        <v>234</v>
      </c>
      <c r="P40" s="208" t="s">
        <v>272</v>
      </c>
      <c r="Q40" s="208" t="s">
        <v>750</v>
      </c>
      <c r="R40" s="223"/>
      <c r="S40" s="208" t="s">
        <v>750</v>
      </c>
      <c r="T40" s="208" t="s">
        <v>272</v>
      </c>
      <c r="U40" s="208" t="s">
        <v>234</v>
      </c>
      <c r="V40" s="208" t="s">
        <v>606</v>
      </c>
      <c r="W40" s="225" t="s">
        <v>469</v>
      </c>
      <c r="Y40" s="891" t="s">
        <v>2125</v>
      </c>
      <c r="Z40" s="891"/>
      <c r="AA40" s="891"/>
      <c r="AB40" s="891"/>
      <c r="AC40" s="891"/>
      <c r="AD40" s="891"/>
      <c r="AE40" s="891"/>
      <c r="AF40" s="891"/>
      <c r="AG40" s="891"/>
      <c r="AH40" s="891"/>
      <c r="AI40" s="891"/>
      <c r="AJ40" s="891"/>
      <c r="AK40" s="891"/>
      <c r="AL40" s="891"/>
      <c r="AM40" s="891"/>
      <c r="AN40" s="891"/>
      <c r="AO40" s="891"/>
      <c r="AP40" s="891"/>
      <c r="AQ40" s="891"/>
      <c r="AR40" s="891"/>
      <c r="AS40" s="891"/>
      <c r="AT40" s="891"/>
      <c r="AU40" s="891"/>
      <c r="AV40" s="891"/>
      <c r="AW40" s="891"/>
      <c r="AX40" s="891"/>
      <c r="AY40" s="891"/>
      <c r="AZ40" s="891"/>
      <c r="BA40" s="891"/>
      <c r="BB40" s="891"/>
      <c r="BC40" s="891"/>
      <c r="BD40" s="891"/>
      <c r="BE40" s="891"/>
      <c r="BF40" s="891"/>
    </row>
    <row r="41" spans="1:67" x14ac:dyDescent="0.25">
      <c r="A41" s="199"/>
      <c r="B41" s="209" t="str">
        <f>IF(ISERROR(VLOOKUP(CONCATENATE($B$30,"_",C41),選手名簿!$A:$E,5,FALSE))=TRUE,"",VLOOKUP(CONCATENATE($B$30,"_",C41),選手名簿!$A:$E,5,FALSE))</f>
        <v/>
      </c>
      <c r="C41" s="214"/>
      <c r="D41" s="214"/>
      <c r="E41" s="221"/>
      <c r="F41" s="223"/>
      <c r="G41" s="221"/>
      <c r="H41" s="214"/>
      <c r="I41" s="214"/>
      <c r="J41" s="209" t="str">
        <f>IF(ISERROR(VLOOKUP(CONCATENATE($J$30,"_",I41),選手名簿!$A:$E,5,FALSE))=TRUE,"",VLOOKUP(CONCATENATE($J$30,"_",I41),選手名簿!$A:$E,5,FALSE))</f>
        <v/>
      </c>
      <c r="K41" s="226"/>
      <c r="L41" s="190"/>
      <c r="M41" s="199"/>
      <c r="N41" s="209" t="str">
        <f>IF(ISERROR(VLOOKUP(CONCATENATE($N$30,"_",O41),選手名簿!$A:$E,5,FALSE))=TRUE,"",VLOOKUP(CONCATENATE($N$30,"_",O41),選手名簿!$A:$E,5,FALSE))</f>
        <v/>
      </c>
      <c r="O41" s="214"/>
      <c r="P41" s="214"/>
      <c r="Q41" s="221"/>
      <c r="R41" s="223"/>
      <c r="S41" s="221"/>
      <c r="T41" s="214"/>
      <c r="U41" s="214"/>
      <c r="V41" s="206" t="str">
        <f>IF(ISERROR(VLOOKUP(CONCATENATE($V$30,"_",U41),選手名簿!$A:$E,5,FALSE))=TRUE,"",VLOOKUP(CONCATENATE($V$30,"_",U41),選手名簿!$A:$E,5,FALSE))</f>
        <v/>
      </c>
      <c r="W41" s="226"/>
      <c r="Y41" s="891"/>
      <c r="Z41" s="891"/>
      <c r="AA41" s="891"/>
      <c r="AB41" s="891"/>
      <c r="AC41" s="891"/>
      <c r="AD41" s="891"/>
      <c r="AE41" s="891"/>
      <c r="AF41" s="891"/>
      <c r="AG41" s="891"/>
      <c r="AH41" s="891"/>
      <c r="AI41" s="891"/>
      <c r="AJ41" s="891"/>
      <c r="AK41" s="891"/>
      <c r="AL41" s="891"/>
      <c r="AM41" s="891"/>
      <c r="AN41" s="891"/>
      <c r="AO41" s="891"/>
      <c r="AP41" s="891"/>
      <c r="AQ41" s="891"/>
      <c r="AR41" s="891"/>
      <c r="AS41" s="891"/>
      <c r="AT41" s="891"/>
      <c r="AU41" s="891"/>
      <c r="AV41" s="891"/>
      <c r="AW41" s="891"/>
      <c r="AX41" s="891"/>
      <c r="AY41" s="891"/>
      <c r="AZ41" s="891"/>
      <c r="BA41" s="891"/>
      <c r="BB41" s="891"/>
      <c r="BC41" s="891"/>
      <c r="BD41" s="891"/>
      <c r="BE41" s="891"/>
      <c r="BF41" s="891"/>
    </row>
    <row r="42" spans="1:67" ht="18.75" customHeight="1" x14ac:dyDescent="0.25">
      <c r="A42" s="199"/>
      <c r="B42" s="209" t="str">
        <f>IF(ISERROR(VLOOKUP(CONCATENATE($B$30,"_",C42),選手名簿!$A:$E,5,FALSE))=TRUE,"",VLOOKUP(CONCATENATE($B$30,"_",C42),選手名簿!$A:$E,5,FALSE))</f>
        <v/>
      </c>
      <c r="C42" s="214"/>
      <c r="D42" s="214"/>
      <c r="E42" s="221"/>
      <c r="F42" s="223"/>
      <c r="G42" s="221"/>
      <c r="H42" s="214"/>
      <c r="I42" s="214"/>
      <c r="J42" s="209" t="str">
        <f>IF(ISERROR(VLOOKUP(CONCATENATE($J$30,"_",I42),選手名簿!$A:$E,5,FALSE))=TRUE,"",VLOOKUP(CONCATENATE($J$30,"_",I42),選手名簿!$A:$E,5,FALSE))</f>
        <v/>
      </c>
      <c r="K42" s="226"/>
      <c r="L42" s="190"/>
      <c r="M42" s="199"/>
      <c r="N42" s="209" t="str">
        <f>IF(ISERROR(VLOOKUP(CONCATENATE($N$30,"_",O42),選手名簿!$A:$E,5,FALSE))=TRUE,"",VLOOKUP(CONCATENATE($N$30,"_",O42),選手名簿!$A:$E,5,FALSE))</f>
        <v/>
      </c>
      <c r="O42" s="214"/>
      <c r="P42" s="214"/>
      <c r="Q42" s="221"/>
      <c r="R42" s="223"/>
      <c r="S42" s="221"/>
      <c r="T42" s="214"/>
      <c r="U42" s="214"/>
      <c r="V42" s="209" t="str">
        <f>IF(ISERROR(VLOOKUP(CONCATENATE($V$30,"_",U42),選手名簿!$A:$E,5,FALSE))=TRUE,"",VLOOKUP(CONCATENATE($V$30,"_",U42),選手名簿!$A:$E,5,FALSE))</f>
        <v/>
      </c>
      <c r="W42" s="226"/>
      <c r="Y42" s="892" t="s">
        <v>2013</v>
      </c>
      <c r="Z42" s="893"/>
      <c r="AA42" s="896" t="s">
        <v>159</v>
      </c>
      <c r="AB42" s="232" t="s">
        <v>408</v>
      </c>
      <c r="AC42" s="231"/>
      <c r="AD42" s="898" t="s">
        <v>2060</v>
      </c>
      <c r="AE42" s="232" t="s">
        <v>2015</v>
      </c>
      <c r="AF42" s="231"/>
      <c r="AG42" s="898" t="s">
        <v>1208</v>
      </c>
      <c r="AH42" s="232" t="s">
        <v>2126</v>
      </c>
      <c r="AI42" s="231"/>
      <c r="AJ42" s="900" t="s">
        <v>1727</v>
      </c>
      <c r="AK42" s="234" t="s">
        <v>2016</v>
      </c>
    </row>
    <row r="43" spans="1:67" ht="19.5" customHeight="1" x14ac:dyDescent="0.25">
      <c r="A43" s="199"/>
      <c r="B43" s="209" t="str">
        <f>IF(ISERROR(VLOOKUP(CONCATENATE($B$30,"_",C43),選手名簿!$A:$E,5,FALSE))=TRUE,"",VLOOKUP(CONCATENATE($B$30,"_",C43),選手名簿!$A:$E,5,FALSE))</f>
        <v/>
      </c>
      <c r="C43" s="214"/>
      <c r="D43" s="214"/>
      <c r="E43" s="221"/>
      <c r="F43" s="223"/>
      <c r="G43" s="221"/>
      <c r="H43" s="214"/>
      <c r="I43" s="214"/>
      <c r="J43" s="209" t="str">
        <f>IF(ISERROR(VLOOKUP(CONCATENATE($J$30,"_",I43),選手名簿!$A:$E,5,FALSE))=TRUE,"",VLOOKUP(CONCATENATE($J$30,"_",I43),選手名簿!$A:$E,5,FALSE))</f>
        <v/>
      </c>
      <c r="K43" s="226"/>
      <c r="L43" s="190"/>
      <c r="M43" s="199"/>
      <c r="N43" s="209" t="str">
        <f>IF(ISERROR(VLOOKUP(CONCATENATE($N$30,"_",O43),選手名簿!$A:$E,5,FALSE))=TRUE,"",VLOOKUP(CONCATENATE($N$30,"_",O43),選手名簿!$A:$E,5,FALSE))</f>
        <v/>
      </c>
      <c r="O43" s="214"/>
      <c r="P43" s="214"/>
      <c r="Q43" s="221"/>
      <c r="R43" s="223"/>
      <c r="S43" s="221"/>
      <c r="T43" s="214"/>
      <c r="U43" s="214"/>
      <c r="V43" s="209" t="str">
        <f>IF(ISERROR(VLOOKUP(CONCATENATE($V$30,"_",U43),選手名簿!$A:$E,5,FALSE))=TRUE,"",VLOOKUP(CONCATENATE($V$30,"_",U43),選手名簿!$A:$E,5,FALSE))</f>
        <v/>
      </c>
      <c r="W43" s="226"/>
      <c r="Y43" s="894"/>
      <c r="Z43" s="895"/>
      <c r="AA43" s="897"/>
      <c r="AB43" s="233">
        <v>3</v>
      </c>
      <c r="AC43" s="230"/>
      <c r="AD43" s="899"/>
      <c r="AE43" s="233">
        <v>2</v>
      </c>
      <c r="AF43" s="230"/>
      <c r="AG43" s="899"/>
      <c r="AH43" s="233">
        <v>1</v>
      </c>
      <c r="AI43" s="230"/>
      <c r="AJ43" s="901"/>
      <c r="AK43" s="235">
        <v>0</v>
      </c>
    </row>
    <row r="44" spans="1:67" ht="19.5" customHeight="1" x14ac:dyDescent="0.25">
      <c r="A44" s="199"/>
      <c r="B44" s="209" t="str">
        <f>IF(ISERROR(VLOOKUP(CONCATENATE($B$30,"_",C44),選手名簿!$A:$E,5,FALSE))=TRUE,"",VLOOKUP(CONCATENATE($B$30,"_",C44),選手名簿!$A:$E,5,FALSE))</f>
        <v/>
      </c>
      <c r="C44" s="214"/>
      <c r="D44" s="214"/>
      <c r="E44" s="221"/>
      <c r="F44" s="223"/>
      <c r="G44" s="221"/>
      <c r="H44" s="214"/>
      <c r="I44" s="214"/>
      <c r="J44" s="209" t="str">
        <f>IF(ISERROR(VLOOKUP(CONCATENATE($J$30,"_",I44),選手名簿!$A:$E,5,FALSE))=TRUE,"",VLOOKUP(CONCATENATE($J$30,"_",I44),選手名簿!$A:$E,5,FALSE))</f>
        <v/>
      </c>
      <c r="K44" s="226"/>
      <c r="L44" s="190"/>
      <c r="M44" s="199"/>
      <c r="N44" s="209" t="str">
        <f>IF(ISERROR(VLOOKUP(CONCATENATE($N$30,"_",O44),選手名簿!$A:$E,5,FALSE))=TRUE,"",VLOOKUP(CONCATENATE($N$30,"_",O44),選手名簿!$A:$E,5,FALSE))</f>
        <v/>
      </c>
      <c r="O44" s="214"/>
      <c r="P44" s="214"/>
      <c r="Q44" s="221"/>
      <c r="R44" s="223"/>
      <c r="S44" s="221"/>
      <c r="T44" s="214"/>
      <c r="U44" s="214"/>
      <c r="V44" s="209" t="str">
        <f>IF(ISERROR(VLOOKUP(CONCATENATE($V$30,"_",U44),選手名簿!$A:$E,5,FALSE))=TRUE,"",VLOOKUP(CONCATENATE($V$30,"_",U44),選手名簿!$A:$E,5,FALSE))</f>
        <v/>
      </c>
      <c r="W44" s="226"/>
    </row>
    <row r="45" spans="1:67" x14ac:dyDescent="0.25">
      <c r="A45" s="200"/>
      <c r="B45" s="210" t="str">
        <f>IF(ISERROR(VLOOKUP(CONCATENATE($B$30,"_",C45),選手名簿!$A:$E,5,FALSE))=TRUE,"",VLOOKUP(CONCATENATE($B$30,"_",C45),選手名簿!$A:$E,5,FALSE))</f>
        <v/>
      </c>
      <c r="C45" s="215"/>
      <c r="D45" s="215"/>
      <c r="E45" s="222"/>
      <c r="F45" s="224"/>
      <c r="G45" s="222"/>
      <c r="H45" s="215"/>
      <c r="I45" s="215"/>
      <c r="J45" s="210" t="str">
        <f>IF(ISERROR(VLOOKUP(CONCATENATE($J$30,"_",I45),選手名簿!$A:$E,5,FALSE))=TRUE,"",VLOOKUP(CONCATENATE($J$30,"_",I45),選手名簿!$A:$E,5,FALSE))</f>
        <v/>
      </c>
      <c r="K45" s="227"/>
      <c r="L45" s="190"/>
      <c r="M45" s="200"/>
      <c r="N45" s="210" t="str">
        <f>IF(ISERROR(VLOOKUP(CONCATENATE($N$30,"_",O45),選手名簿!$A:$E,5,FALSE))=TRUE,"",VLOOKUP(CONCATENATE($N$30,"_",O45),選手名簿!$A:$E,5,FALSE))</f>
        <v/>
      </c>
      <c r="O45" s="215"/>
      <c r="P45" s="215"/>
      <c r="Q45" s="222"/>
      <c r="R45" s="224"/>
      <c r="S45" s="222"/>
      <c r="T45" s="215"/>
      <c r="U45" s="215"/>
      <c r="V45" s="210" t="str">
        <f>IF(ISERROR(VLOOKUP(CONCATENATE($V$30,"_",U45),選手名簿!$A:$E,5,FALSE))=TRUE,"",VLOOKUP(CONCATENATE($V$30,"_",U45),選手名簿!$A:$E,5,FALSE))</f>
        <v/>
      </c>
      <c r="W45" s="227"/>
    </row>
    <row r="46" spans="1:67" x14ac:dyDescent="0.25">
      <c r="A46" s="190"/>
      <c r="B46" s="190"/>
      <c r="C46" s="190"/>
      <c r="D46" s="190"/>
      <c r="E46" s="190"/>
      <c r="F46" s="190"/>
      <c r="G46" s="190"/>
      <c r="H46" s="190"/>
      <c r="I46" s="190"/>
      <c r="J46" s="190"/>
      <c r="K46" s="190"/>
      <c r="L46" s="190"/>
      <c r="M46" s="190"/>
      <c r="N46" s="190"/>
      <c r="O46" s="190"/>
      <c r="P46" s="190"/>
      <c r="Q46" s="190"/>
      <c r="R46" s="190"/>
      <c r="S46" s="190"/>
      <c r="T46" s="190"/>
      <c r="U46" s="190"/>
      <c r="V46" s="190"/>
    </row>
    <row r="47" spans="1:67" x14ac:dyDescent="0.25">
      <c r="A47" s="190"/>
      <c r="B47" s="190"/>
      <c r="C47" s="190"/>
      <c r="D47" s="190"/>
      <c r="E47" s="190"/>
      <c r="F47" s="190"/>
      <c r="G47" s="190"/>
      <c r="H47" s="190"/>
      <c r="I47" s="190"/>
      <c r="J47" s="190"/>
      <c r="K47" s="190"/>
      <c r="L47" s="190"/>
      <c r="M47" s="190"/>
      <c r="N47" s="190"/>
      <c r="O47" s="190"/>
      <c r="P47" s="190"/>
      <c r="Q47" s="190"/>
      <c r="R47" s="190"/>
      <c r="S47" s="190"/>
      <c r="T47" s="190"/>
      <c r="U47" s="190"/>
      <c r="V47" s="190"/>
    </row>
    <row r="48" spans="1:67" ht="18.75" customHeight="1" x14ac:dyDescent="0.25">
      <c r="A48" s="963" t="s">
        <v>1703</v>
      </c>
      <c r="B48" s="964" t="str">
        <f>C9</f>
        <v>大平山アソシエーション式フットボールクラブ</v>
      </c>
      <c r="C48" s="966">
        <f>IF(E48="","",SUM(E48:E49))</f>
        <v>0</v>
      </c>
      <c r="D48" s="940" t="s">
        <v>336</v>
      </c>
      <c r="E48" s="217">
        <v>0</v>
      </c>
      <c r="F48" s="217" t="s">
        <v>61</v>
      </c>
      <c r="G48" s="217">
        <v>3</v>
      </c>
      <c r="H48" s="940" t="s">
        <v>339</v>
      </c>
      <c r="I48" s="966">
        <f>IF(G48="","",SUM(G48:G49))</f>
        <v>5</v>
      </c>
      <c r="J48" s="968" t="str">
        <f>C7</f>
        <v>ＦＣアリアーレ</v>
      </c>
      <c r="K48" s="190"/>
      <c r="M48" s="969" t="s">
        <v>1596</v>
      </c>
      <c r="N48" s="972" t="str">
        <f>O9</f>
        <v>戸次吉野ＳＳＳ</v>
      </c>
      <c r="O48" s="966">
        <f>IF(Q48="","",SUM(Q48:Q49))</f>
        <v>1</v>
      </c>
      <c r="P48" s="940" t="s">
        <v>336</v>
      </c>
      <c r="Q48" s="217">
        <v>1</v>
      </c>
      <c r="R48" s="217" t="s">
        <v>61</v>
      </c>
      <c r="S48" s="217">
        <v>0</v>
      </c>
      <c r="T48" s="940" t="s">
        <v>339</v>
      </c>
      <c r="U48" s="966">
        <f>IF(S48="","",SUM(S48:S49))</f>
        <v>1</v>
      </c>
      <c r="V48" s="968" t="str">
        <f>O7</f>
        <v>玖珠サッカースポーツ少年団</v>
      </c>
      <c r="Y48" s="959" t="str">
        <f>$Y$1</f>
        <v>OFA 第 57 回大分県U-12サッカー大会　兼　KYFA 九州U-12サッカー大会大分県大会</v>
      </c>
      <c r="Z48" s="959"/>
      <c r="AA48" s="959"/>
      <c r="AB48" s="959"/>
      <c r="AC48" s="959"/>
      <c r="AD48" s="959"/>
      <c r="AE48" s="959"/>
      <c r="AF48" s="959"/>
      <c r="AG48" s="959"/>
      <c r="AH48" s="959"/>
      <c r="AI48" s="959"/>
      <c r="AJ48" s="959"/>
      <c r="AK48" s="959"/>
      <c r="AL48" s="959"/>
      <c r="AM48" s="959"/>
      <c r="AN48" s="959"/>
      <c r="AO48" s="959"/>
      <c r="AP48" s="959"/>
      <c r="AQ48" s="959"/>
      <c r="AR48" s="959"/>
      <c r="AS48" s="959"/>
      <c r="AT48" s="959"/>
      <c r="AU48" s="959"/>
      <c r="AV48" s="959"/>
      <c r="AW48" s="959"/>
      <c r="AX48" s="959"/>
      <c r="AY48" s="959"/>
      <c r="AZ48" s="959"/>
      <c r="BA48" s="959"/>
      <c r="BB48" s="959"/>
      <c r="BC48" s="959"/>
      <c r="BD48" s="959"/>
      <c r="BE48" s="959"/>
      <c r="BF48" s="959"/>
      <c r="BG48" s="959"/>
      <c r="BI48" s="959" t="str">
        <f>$BI$1</f>
        <v>１次リーグ結果　報告用紙</v>
      </c>
      <c r="BJ48" s="959"/>
      <c r="BK48" s="959"/>
      <c r="BL48" s="959"/>
      <c r="BM48" s="959"/>
      <c r="BN48" s="959"/>
      <c r="BO48" s="959"/>
    </row>
    <row r="49" spans="1:67" ht="18.75" customHeight="1" x14ac:dyDescent="0.25">
      <c r="A49" s="946"/>
      <c r="B49" s="965"/>
      <c r="C49" s="967"/>
      <c r="D49" s="906"/>
      <c r="E49" s="190">
        <v>0</v>
      </c>
      <c r="F49" s="190" t="s">
        <v>126</v>
      </c>
      <c r="G49" s="190">
        <v>2</v>
      </c>
      <c r="H49" s="906"/>
      <c r="I49" s="967"/>
      <c r="J49" s="957"/>
      <c r="K49" s="190"/>
      <c r="M49" s="970"/>
      <c r="N49" s="973"/>
      <c r="O49" s="967"/>
      <c r="P49" s="906"/>
      <c r="Q49" s="190">
        <v>0</v>
      </c>
      <c r="R49" s="190" t="s">
        <v>126</v>
      </c>
      <c r="S49" s="190">
        <v>1</v>
      </c>
      <c r="T49" s="906"/>
      <c r="U49" s="967"/>
      <c r="V49" s="957"/>
      <c r="Y49" s="959"/>
      <c r="Z49" s="959"/>
      <c r="AA49" s="959"/>
      <c r="AB49" s="959"/>
      <c r="AC49" s="959"/>
      <c r="AD49" s="959"/>
      <c r="AE49" s="959"/>
      <c r="AF49" s="959"/>
      <c r="AG49" s="959"/>
      <c r="AH49" s="959"/>
      <c r="AI49" s="959"/>
      <c r="AJ49" s="959"/>
      <c r="AK49" s="959"/>
      <c r="AL49" s="959"/>
      <c r="AM49" s="959"/>
      <c r="AN49" s="959"/>
      <c r="AO49" s="959"/>
      <c r="AP49" s="959"/>
      <c r="AQ49" s="959"/>
      <c r="AR49" s="959"/>
      <c r="AS49" s="959"/>
      <c r="AT49" s="959"/>
      <c r="AU49" s="959"/>
      <c r="AV49" s="959"/>
      <c r="AW49" s="959"/>
      <c r="AX49" s="959"/>
      <c r="AY49" s="959"/>
      <c r="AZ49" s="959"/>
      <c r="BA49" s="959"/>
      <c r="BB49" s="959"/>
      <c r="BC49" s="959"/>
      <c r="BD49" s="959"/>
      <c r="BE49" s="959"/>
      <c r="BF49" s="959"/>
      <c r="BG49" s="959"/>
      <c r="BI49" s="959"/>
      <c r="BJ49" s="959"/>
      <c r="BK49" s="959"/>
      <c r="BL49" s="959"/>
      <c r="BM49" s="959"/>
      <c r="BN49" s="959"/>
      <c r="BO49" s="959"/>
    </row>
    <row r="50" spans="1:67" ht="19.5" customHeight="1" x14ac:dyDescent="0.25">
      <c r="A50" s="946"/>
      <c r="B50" s="965"/>
      <c r="C50" s="967"/>
      <c r="D50" s="906"/>
      <c r="E50" s="190"/>
      <c r="F50" s="190" t="s">
        <v>407</v>
      </c>
      <c r="G50" s="190"/>
      <c r="H50" s="906"/>
      <c r="I50" s="967"/>
      <c r="J50" s="957"/>
      <c r="K50" s="190"/>
      <c r="M50" s="971"/>
      <c r="N50" s="974"/>
      <c r="O50" s="975"/>
      <c r="P50" s="908"/>
      <c r="Q50" s="190"/>
      <c r="R50" s="190" t="s">
        <v>407</v>
      </c>
      <c r="S50" s="190"/>
      <c r="T50" s="908"/>
      <c r="U50" s="975"/>
      <c r="V50" s="976"/>
      <c r="Y50" s="959" t="s">
        <v>1962</v>
      </c>
      <c r="Z50" s="959"/>
      <c r="AA50" s="959"/>
      <c r="AB50" s="959"/>
      <c r="AC50" s="959"/>
      <c r="AD50" s="959"/>
      <c r="AE50" s="959"/>
      <c r="AF50" s="959"/>
      <c r="AG50" s="959"/>
      <c r="AH50" s="959"/>
      <c r="AI50" s="959"/>
      <c r="AJ50" s="959"/>
      <c r="AK50" s="959"/>
      <c r="AL50" s="959"/>
      <c r="AM50" s="959"/>
      <c r="AN50" s="959"/>
      <c r="AO50" s="959"/>
      <c r="AP50" s="959"/>
      <c r="AQ50" s="959"/>
      <c r="AR50" s="959"/>
      <c r="AS50" s="959"/>
      <c r="AT50" s="959"/>
      <c r="AU50" s="959"/>
      <c r="AV50" s="959"/>
      <c r="AW50" s="959"/>
      <c r="AX50" s="959"/>
      <c r="AY50" s="959"/>
      <c r="AZ50" s="959"/>
      <c r="BA50" s="959"/>
      <c r="BB50" s="959"/>
      <c r="BC50" s="959"/>
      <c r="BD50" s="959"/>
      <c r="BE50" s="959"/>
      <c r="BF50" s="959"/>
      <c r="BG50" s="959"/>
    </row>
    <row r="51" spans="1:67" ht="18.75" customHeight="1" x14ac:dyDescent="0.25">
      <c r="A51" s="192" t="s">
        <v>2463</v>
      </c>
      <c r="B51" s="989" t="s">
        <v>15213</v>
      </c>
      <c r="C51" s="989"/>
      <c r="D51" s="989"/>
      <c r="E51" s="989"/>
      <c r="F51" s="989"/>
      <c r="G51" s="990" t="s">
        <v>2464</v>
      </c>
      <c r="H51" s="990"/>
      <c r="I51" s="990"/>
      <c r="J51" s="991" t="s">
        <v>15215</v>
      </c>
      <c r="K51" s="991"/>
      <c r="M51" s="192" t="s">
        <v>2463</v>
      </c>
      <c r="N51" s="989" t="s">
        <v>15213</v>
      </c>
      <c r="O51" s="989"/>
      <c r="P51" s="989"/>
      <c r="Q51" s="989"/>
      <c r="R51" s="989"/>
      <c r="S51" s="990" t="s">
        <v>2464</v>
      </c>
      <c r="T51" s="990"/>
      <c r="U51" s="990"/>
      <c r="V51" s="991" t="s">
        <v>15215</v>
      </c>
      <c r="W51" s="991"/>
      <c r="Y51" s="959"/>
      <c r="Z51" s="959"/>
      <c r="AA51" s="959"/>
      <c r="AB51" s="959"/>
      <c r="AC51" s="959"/>
      <c r="AD51" s="959"/>
      <c r="AE51" s="959"/>
      <c r="AF51" s="959"/>
      <c r="AG51" s="959"/>
      <c r="AH51" s="959"/>
      <c r="AI51" s="959"/>
      <c r="AJ51" s="959"/>
      <c r="AK51" s="959"/>
      <c r="AL51" s="959"/>
      <c r="AM51" s="959"/>
      <c r="AN51" s="959"/>
      <c r="AO51" s="959"/>
      <c r="AP51" s="959"/>
      <c r="AQ51" s="959"/>
      <c r="AR51" s="959"/>
      <c r="AS51" s="959"/>
      <c r="AT51" s="959"/>
      <c r="AU51" s="959"/>
      <c r="AV51" s="959"/>
      <c r="AW51" s="959"/>
      <c r="AX51" s="959"/>
      <c r="AY51" s="959"/>
      <c r="AZ51" s="959"/>
      <c r="BA51" s="959"/>
      <c r="BB51" s="959"/>
      <c r="BC51" s="959"/>
      <c r="BD51" s="959"/>
      <c r="BE51" s="959"/>
      <c r="BF51" s="959"/>
      <c r="BG51" s="959"/>
    </row>
    <row r="52" spans="1:67" ht="18.75" customHeight="1" x14ac:dyDescent="0.25">
      <c r="A52" s="193" t="s">
        <v>2465</v>
      </c>
      <c r="B52" s="992" t="s">
        <v>15213</v>
      </c>
      <c r="C52" s="992"/>
      <c r="D52" s="992"/>
      <c r="E52" s="992"/>
      <c r="F52" s="992"/>
      <c r="G52" s="983" t="s">
        <v>2464</v>
      </c>
      <c r="H52" s="984"/>
      <c r="I52" s="985"/>
      <c r="J52" s="993" t="s">
        <v>15215</v>
      </c>
      <c r="K52" s="993"/>
      <c r="M52" s="193" t="s">
        <v>2465</v>
      </c>
      <c r="N52" s="992" t="s">
        <v>15213</v>
      </c>
      <c r="O52" s="992"/>
      <c r="P52" s="992"/>
      <c r="Q52" s="992"/>
      <c r="R52" s="992"/>
      <c r="S52" s="983" t="s">
        <v>2464</v>
      </c>
      <c r="T52" s="984"/>
      <c r="U52" s="985"/>
      <c r="V52" s="993" t="s">
        <v>15215</v>
      </c>
      <c r="W52" s="993"/>
      <c r="Y52" s="189"/>
      <c r="Z52" s="189"/>
      <c r="AA52" s="189"/>
      <c r="AB52" s="189"/>
      <c r="AC52" s="189"/>
      <c r="AD52" s="189"/>
      <c r="AE52" s="189"/>
      <c r="AF52" s="189"/>
      <c r="AG52" s="189"/>
      <c r="AH52" s="189"/>
      <c r="AI52" s="189"/>
      <c r="AJ52" s="189"/>
      <c r="AK52" s="189"/>
      <c r="AL52" s="189"/>
      <c r="AM52" s="189"/>
      <c r="AN52" s="189"/>
      <c r="AO52" s="189"/>
      <c r="AP52" s="189"/>
      <c r="AQ52" s="189"/>
      <c r="AR52" s="189"/>
      <c r="AS52" s="189"/>
      <c r="AT52" s="189"/>
      <c r="AU52" s="189"/>
      <c r="AV52" s="189"/>
      <c r="AW52" s="189"/>
      <c r="AX52" s="189"/>
      <c r="AY52" s="189"/>
      <c r="AZ52" s="189"/>
      <c r="BA52" s="189"/>
      <c r="BB52" s="189"/>
      <c r="BC52" s="189"/>
      <c r="BD52" s="189"/>
      <c r="BE52" s="189"/>
      <c r="BF52" s="189"/>
      <c r="BG52" s="189"/>
    </row>
    <row r="53" spans="1:67" ht="18.75" customHeight="1" x14ac:dyDescent="0.25">
      <c r="A53" s="194" t="s">
        <v>2466</v>
      </c>
      <c r="B53" s="982" t="s">
        <v>15228</v>
      </c>
      <c r="C53" s="982"/>
      <c r="D53" s="982"/>
      <c r="E53" s="982"/>
      <c r="F53" s="982"/>
      <c r="G53" s="983" t="s">
        <v>2464</v>
      </c>
      <c r="H53" s="984"/>
      <c r="I53" s="985"/>
      <c r="J53" s="986" t="s">
        <v>15215</v>
      </c>
      <c r="K53" s="986"/>
      <c r="M53" s="194" t="s">
        <v>2466</v>
      </c>
      <c r="N53" s="982" t="s">
        <v>15246</v>
      </c>
      <c r="O53" s="982"/>
      <c r="P53" s="982"/>
      <c r="Q53" s="982"/>
      <c r="R53" s="982"/>
      <c r="S53" s="983" t="s">
        <v>2464</v>
      </c>
      <c r="T53" s="984"/>
      <c r="U53" s="985"/>
      <c r="V53" s="986" t="s">
        <v>15215</v>
      </c>
      <c r="W53" s="986"/>
      <c r="Y53" s="189"/>
      <c r="Z53" s="189"/>
      <c r="AA53" s="189"/>
      <c r="AB53" s="189"/>
      <c r="AC53" s="189"/>
      <c r="AD53" s="189"/>
      <c r="AE53" s="189"/>
      <c r="AF53" s="189"/>
      <c r="AG53" s="189"/>
      <c r="AH53" s="189"/>
      <c r="AI53" s="189"/>
    </row>
    <row r="54" spans="1:67" x14ac:dyDescent="0.25">
      <c r="A54" s="195" t="s">
        <v>609</v>
      </c>
      <c r="B54" s="205" t="str">
        <f>IF(ISERROR(VLOOKUP(G54,審判員!$A:$C,2,FALSE))=TRUE,"",VLOOKUP(G54,審判員!$A:$C,2,FALSE))</f>
        <v>加隈　歩夢</v>
      </c>
      <c r="C54" s="211">
        <f>IF(ISERROR(VLOOKUP(G54,審判員!$A:$C,3,FALSE))=TRUE,"",VLOOKUP(G54,審判員!$A:$C,3,FALSE))</f>
        <v>3</v>
      </c>
      <c r="D54" s="218" t="s">
        <v>612</v>
      </c>
      <c r="E54" s="955" t="s">
        <v>201</v>
      </c>
      <c r="F54" s="955"/>
      <c r="G54" s="955" t="s">
        <v>15219</v>
      </c>
      <c r="H54" s="955"/>
      <c r="I54" s="955"/>
      <c r="J54" s="987" t="s">
        <v>788</v>
      </c>
      <c r="K54" s="988"/>
      <c r="L54" s="190"/>
      <c r="M54" s="195" t="s">
        <v>609</v>
      </c>
      <c r="N54" s="205" t="str">
        <f>IF(ISERROR(VLOOKUP(S54,審判員!$A:$C,2,FALSE))=TRUE,"",VLOOKUP(S54,審判員!$A:$C,2,FALSE))</f>
        <v>梶原　誠司</v>
      </c>
      <c r="O54" s="211">
        <f>IF(ISERROR(VLOOKUP(S54,審判員!$A:$C,3,FALSE))=TRUE,"",VLOOKUP(S54,審判員!$A:$C,3,FALSE))</f>
        <v>3</v>
      </c>
      <c r="P54" s="218" t="s">
        <v>612</v>
      </c>
      <c r="Q54" s="955" t="s">
        <v>201</v>
      </c>
      <c r="R54" s="955"/>
      <c r="S54" s="955" t="s">
        <v>15232</v>
      </c>
      <c r="T54" s="955"/>
      <c r="U54" s="955"/>
      <c r="V54" s="987" t="s">
        <v>788</v>
      </c>
      <c r="W54" s="988"/>
      <c r="Y54" s="590" t="s">
        <v>487</v>
      </c>
      <c r="Z54" s="590"/>
      <c r="AA54" s="590"/>
      <c r="AB54" s="960" t="str">
        <f>$N$4</f>
        <v>日田・玖珠</v>
      </c>
      <c r="AC54" s="960"/>
      <c r="AD54" s="960"/>
      <c r="AE54" s="960"/>
      <c r="AF54" s="960"/>
      <c r="AG54" s="960"/>
      <c r="AH54" s="590" t="s">
        <v>659</v>
      </c>
      <c r="AI54" s="961" t="str">
        <f>$P$4</f>
        <v>玖珠町総合運動公園</v>
      </c>
      <c r="AJ54" s="961"/>
      <c r="AK54" s="961"/>
      <c r="AL54" s="961"/>
      <c r="AM54" s="961"/>
      <c r="AN54" s="961"/>
      <c r="AO54" s="961"/>
      <c r="AP54" s="961"/>
      <c r="AQ54" s="961"/>
      <c r="AR54" s="961"/>
      <c r="AS54" s="961"/>
      <c r="AT54" s="961"/>
      <c r="AU54" s="961"/>
      <c r="AV54" s="961"/>
      <c r="AW54" s="961"/>
    </row>
    <row r="55" spans="1:67" x14ac:dyDescent="0.25">
      <c r="A55" s="196" t="s">
        <v>704</v>
      </c>
      <c r="B55" s="206" t="str">
        <f>IF(ISERROR(VLOOKUP(G55,審判員!$A:$C,2,FALSE))=TRUE,"",VLOOKUP(G55,審判員!$A:$C,2,FALSE))</f>
        <v>中尾　倫彰</v>
      </c>
      <c r="C55" s="212">
        <f>IF(ISERROR(VLOOKUP(G55,審判員!$A:$C,3,FALSE))=TRUE,"",VLOOKUP(G55,審判員!$A:$C,3,FALSE))</f>
        <v>3</v>
      </c>
      <c r="D55" s="219" t="s">
        <v>612</v>
      </c>
      <c r="E55" s="906" t="s">
        <v>1286</v>
      </c>
      <c r="F55" s="906"/>
      <c r="G55" s="906" t="s">
        <v>15266</v>
      </c>
      <c r="H55" s="906"/>
      <c r="I55" s="906"/>
      <c r="J55" s="891" t="str">
        <f>N48</f>
        <v>戸次吉野ＳＳＳ</v>
      </c>
      <c r="K55" s="981"/>
      <c r="L55" s="190"/>
      <c r="M55" s="196" t="s">
        <v>704</v>
      </c>
      <c r="N55" s="206" t="str">
        <f>IF(ISERROR(VLOOKUP(S55,審判員!$A:$C,2,FALSE))=TRUE,"",VLOOKUP(S55,審判員!$A:$C,2,FALSE))</f>
        <v>吉谷　俊哉</v>
      </c>
      <c r="O55" s="212">
        <f>IF(ISERROR(VLOOKUP(S55,審判員!$A:$C,3,FALSE))=TRUE,"",VLOOKUP(S55,審判員!$A:$C,3,FALSE))</f>
        <v>3</v>
      </c>
      <c r="P55" s="219" t="s">
        <v>612</v>
      </c>
      <c r="Q55" s="906" t="s">
        <v>1286</v>
      </c>
      <c r="R55" s="906"/>
      <c r="S55" s="906" t="s">
        <v>15261</v>
      </c>
      <c r="T55" s="906"/>
      <c r="U55" s="906"/>
      <c r="V55" s="891" t="str">
        <f>B48</f>
        <v>大平山アソシエーション式フットボールクラブ</v>
      </c>
      <c r="W55" s="981"/>
      <c r="Y55" s="590"/>
      <c r="Z55" s="590"/>
      <c r="AA55" s="590"/>
      <c r="AB55" s="960"/>
      <c r="AC55" s="960"/>
      <c r="AD55" s="960"/>
      <c r="AE55" s="960"/>
      <c r="AF55" s="960"/>
      <c r="AG55" s="960"/>
      <c r="AH55" s="590"/>
      <c r="AI55" s="961"/>
      <c r="AJ55" s="961"/>
      <c r="AK55" s="961"/>
      <c r="AL55" s="961"/>
      <c r="AM55" s="961"/>
      <c r="AN55" s="961"/>
      <c r="AO55" s="961"/>
      <c r="AP55" s="961"/>
      <c r="AQ55" s="961"/>
      <c r="AR55" s="961"/>
      <c r="AS55" s="961"/>
      <c r="AT55" s="961"/>
      <c r="AU55" s="961"/>
      <c r="AV55" s="961"/>
      <c r="AW55" s="961"/>
    </row>
    <row r="56" spans="1:67" x14ac:dyDescent="0.25">
      <c r="A56" s="196" t="s">
        <v>2007</v>
      </c>
      <c r="B56" s="206" t="str">
        <f>IF(ISERROR(VLOOKUP(G56,審判員!$A:$C,2,FALSE))=TRUE,"",VLOOKUP(G56,審判員!$A:$C,2,FALSE))</f>
        <v>吉田　栄治</v>
      </c>
      <c r="C56" s="212">
        <f>IF(ISERROR(VLOOKUP(G56,審判員!$A:$C,3,FALSE))=TRUE,"",VLOOKUP(G56,審判員!$A:$C,3,FALSE))</f>
        <v>3</v>
      </c>
      <c r="D56" s="219" t="s">
        <v>612</v>
      </c>
      <c r="E56" s="906" t="s">
        <v>1286</v>
      </c>
      <c r="F56" s="906"/>
      <c r="G56" s="906" t="s">
        <v>15217</v>
      </c>
      <c r="H56" s="906"/>
      <c r="I56" s="906"/>
      <c r="J56" s="891" t="str">
        <f>V48</f>
        <v>玖珠サッカースポーツ少年団</v>
      </c>
      <c r="K56" s="981"/>
      <c r="L56" s="190"/>
      <c r="M56" s="196" t="s">
        <v>2007</v>
      </c>
      <c r="N56" s="206" t="str">
        <f>IF(ISERROR(VLOOKUP(S56,審判員!$A:$C,2,FALSE))=TRUE,"",VLOOKUP(S56,審判員!$A:$C,2,FALSE))</f>
        <v>川井　勇介</v>
      </c>
      <c r="O56" s="212">
        <f>IF(ISERROR(VLOOKUP(S56,審判員!$A:$C,3,FALSE))=TRUE,"",VLOOKUP(S56,審判員!$A:$C,3,FALSE))</f>
        <v>3</v>
      </c>
      <c r="P56" s="219" t="s">
        <v>612</v>
      </c>
      <c r="Q56" s="906" t="s">
        <v>1286</v>
      </c>
      <c r="R56" s="906"/>
      <c r="S56" s="906" t="s">
        <v>15230</v>
      </c>
      <c r="T56" s="906"/>
      <c r="U56" s="906"/>
      <c r="V56" s="891" t="str">
        <f>J48</f>
        <v>ＦＣアリアーレ</v>
      </c>
      <c r="W56" s="981"/>
      <c r="Y56" s="58"/>
      <c r="Z56" s="58"/>
      <c r="AA56" s="58"/>
      <c r="AB56" s="58"/>
      <c r="AC56" s="58"/>
      <c r="AD56" s="58"/>
      <c r="AE56" s="58"/>
      <c r="AF56" s="58"/>
      <c r="AG56" s="58"/>
      <c r="AH56" s="58"/>
      <c r="AI56" s="216"/>
      <c r="AJ56" s="216"/>
      <c r="AK56" s="216"/>
      <c r="AL56" s="216"/>
      <c r="AM56" s="216"/>
      <c r="AN56" s="216"/>
      <c r="AO56" s="216"/>
      <c r="AP56" s="216"/>
      <c r="AQ56" s="216"/>
      <c r="AR56" s="216"/>
      <c r="AS56" s="216"/>
      <c r="AT56" s="216"/>
      <c r="AU56" s="216"/>
      <c r="AV56" s="216"/>
      <c r="AW56" s="216"/>
    </row>
    <row r="57" spans="1:67" x14ac:dyDescent="0.25">
      <c r="A57" s="197" t="s">
        <v>2008</v>
      </c>
      <c r="B57" s="207" t="str">
        <f>IF(ISERROR(VLOOKUP(G57,審判員!$A:$C,2,FALSE))=TRUE,"",VLOOKUP(G57,審判員!$A:$C,2,FALSE))</f>
        <v>菱川　翔平</v>
      </c>
      <c r="C57" s="213">
        <f>IF(ISERROR(VLOOKUP(G57,審判員!$A:$C,3,FALSE))=TRUE,"",VLOOKUP(G57,審判員!$A:$C,3,FALSE))</f>
        <v>3</v>
      </c>
      <c r="D57" s="220" t="s">
        <v>612</v>
      </c>
      <c r="E57" s="977" t="s">
        <v>1286</v>
      </c>
      <c r="F57" s="977"/>
      <c r="G57" s="977" t="s">
        <v>15247</v>
      </c>
      <c r="H57" s="977"/>
      <c r="I57" s="977"/>
      <c r="J57" s="978" t="s">
        <v>788</v>
      </c>
      <c r="K57" s="979"/>
      <c r="L57" s="190"/>
      <c r="M57" s="197" t="s">
        <v>2008</v>
      </c>
      <c r="N57" s="207" t="str">
        <f>IF(ISERROR(VLOOKUP(S57,審判員!$A:$C,2,FALSE))=TRUE,"",VLOOKUP(S57,審判員!$A:$C,2,FALSE))</f>
        <v>羽田野　宥瑛</v>
      </c>
      <c r="O57" s="213">
        <f>IF(ISERROR(VLOOKUP(S57,審判員!$A:$C,3,FALSE))=TRUE,"",VLOOKUP(S57,審判員!$A:$C,3,FALSE))</f>
        <v>3</v>
      </c>
      <c r="P57" s="220" t="s">
        <v>612</v>
      </c>
      <c r="Q57" s="977" t="s">
        <v>1286</v>
      </c>
      <c r="R57" s="977"/>
      <c r="S57" s="977" t="s">
        <v>15260</v>
      </c>
      <c r="T57" s="977"/>
      <c r="U57" s="977"/>
      <c r="V57" s="978" t="s">
        <v>788</v>
      </c>
      <c r="W57" s="979"/>
      <c r="Y57" s="190"/>
      <c r="Z57" s="190"/>
      <c r="AA57" s="190"/>
    </row>
    <row r="58" spans="1:67" x14ac:dyDescent="0.25">
      <c r="A58" s="198" t="s">
        <v>469</v>
      </c>
      <c r="B58" s="208" t="s">
        <v>606</v>
      </c>
      <c r="C58" s="208" t="s">
        <v>234</v>
      </c>
      <c r="D58" s="208" t="s">
        <v>272</v>
      </c>
      <c r="E58" s="208" t="s">
        <v>750</v>
      </c>
      <c r="F58" s="223"/>
      <c r="G58" s="208" t="s">
        <v>750</v>
      </c>
      <c r="H58" s="208" t="s">
        <v>272</v>
      </c>
      <c r="I58" s="208" t="s">
        <v>234</v>
      </c>
      <c r="J58" s="208" t="s">
        <v>606</v>
      </c>
      <c r="K58" s="225" t="s">
        <v>469</v>
      </c>
      <c r="L58" s="190"/>
      <c r="M58" s="198" t="s">
        <v>469</v>
      </c>
      <c r="N58" s="208" t="s">
        <v>606</v>
      </c>
      <c r="O58" s="208" t="s">
        <v>234</v>
      </c>
      <c r="P58" s="208" t="s">
        <v>272</v>
      </c>
      <c r="Q58" s="208" t="s">
        <v>750</v>
      </c>
      <c r="R58" s="223"/>
      <c r="S58" s="208" t="s">
        <v>750</v>
      </c>
      <c r="T58" s="208" t="s">
        <v>272</v>
      </c>
      <c r="U58" s="208" t="s">
        <v>234</v>
      </c>
      <c r="V58" s="208" t="s">
        <v>606</v>
      </c>
      <c r="W58" s="225" t="s">
        <v>469</v>
      </c>
      <c r="Y58" s="590" t="s">
        <v>430</v>
      </c>
      <c r="Z58" s="590"/>
      <c r="AA58" s="590"/>
      <c r="AB58" s="960" t="str">
        <f>$N$6</f>
        <v>K</v>
      </c>
      <c r="AC58" s="960"/>
      <c r="AD58" s="960"/>
      <c r="AE58" s="960"/>
      <c r="AF58" s="960"/>
      <c r="AG58" s="960"/>
    </row>
    <row r="59" spans="1:67" x14ac:dyDescent="0.25">
      <c r="A59" s="199"/>
      <c r="B59" s="209" t="str">
        <f>IF(ISERROR(VLOOKUP(CONCATENATE($B$48,"_",C59),選手名簿!$A:$E,5,FALSE))=TRUE,"",VLOOKUP(CONCATENATE($B$48,"_",C59),選手名簿!$A:$E,5,FALSE))</f>
        <v/>
      </c>
      <c r="C59" s="214"/>
      <c r="D59" s="214"/>
      <c r="E59" s="221"/>
      <c r="F59" s="223"/>
      <c r="G59" s="221"/>
      <c r="H59" s="214"/>
      <c r="I59" s="214"/>
      <c r="J59" s="209" t="str">
        <f>IF(ISERROR(VLOOKUP(CONCATENATE($J$48,"_",I59),選手名簿!$A:$E,5,FALSE))=TRUE,"",VLOOKUP(CONCATENATE($J$48,"_",I59),選手名簿!$A:$E,5,FALSE))</f>
        <v/>
      </c>
      <c r="K59" s="226"/>
      <c r="L59" s="190"/>
      <c r="M59" s="199"/>
      <c r="N59" s="209" t="str">
        <f>IF(ISERROR(VLOOKUP(CONCATENATE($N$48,"_",O59),選手名簿!$A:$E,5,FALSE))=TRUE,"",VLOOKUP(CONCATENATE($N$48,"_",O59),選手名簿!$A:$E,5,FALSE))</f>
        <v/>
      </c>
      <c r="O59" s="214"/>
      <c r="P59" s="214"/>
      <c r="Q59" s="221"/>
      <c r="R59" s="223"/>
      <c r="S59" s="221"/>
      <c r="T59" s="214"/>
      <c r="U59" s="214"/>
      <c r="V59" s="206" t="str">
        <f>IF(ISERROR(VLOOKUP(CONCATENATE($V$48,"_",U59),選手名簿!$A:$E,5,FALSE))=TRUE,"",VLOOKUP(CONCATENATE($V$48,"_",U59),選手名簿!$A:$E,5,FALSE))</f>
        <v/>
      </c>
      <c r="W59" s="226"/>
      <c r="Y59" s="590"/>
      <c r="Z59" s="590"/>
      <c r="AA59" s="590"/>
      <c r="AB59" s="962"/>
      <c r="AC59" s="962"/>
      <c r="AD59" s="962"/>
      <c r="AE59" s="962"/>
      <c r="AF59" s="962"/>
      <c r="AG59" s="962"/>
    </row>
    <row r="60" spans="1:67" x14ac:dyDescent="0.25">
      <c r="A60" s="199"/>
      <c r="B60" s="209" t="str">
        <f>IF(ISERROR(VLOOKUP(CONCATENATE($B$48,"_",C60),選手名簿!$A:$E,5,FALSE))=TRUE,"",VLOOKUP(CONCATENATE($B$48,"_",C60),選手名簿!$A:$E,5,FALSE))</f>
        <v/>
      </c>
      <c r="C60" s="214"/>
      <c r="D60" s="214"/>
      <c r="E60" s="221"/>
      <c r="F60" s="223"/>
      <c r="G60" s="221"/>
      <c r="H60" s="214"/>
      <c r="I60" s="214"/>
      <c r="J60" s="209" t="str">
        <f>IF(ISERROR(VLOOKUP(CONCATENATE($J$48,"_",I60),選手名簿!$A:$E,5,FALSE))=TRUE,"",VLOOKUP(CONCATENATE($J$48,"_",I60),選手名簿!$A:$E,5,FALSE))</f>
        <v/>
      </c>
      <c r="K60" s="226"/>
      <c r="L60" s="190"/>
      <c r="M60" s="199"/>
      <c r="N60" s="209" t="str">
        <f>IF(ISERROR(VLOOKUP(CONCATENATE($N$48,"_",O60),選手名簿!$A:$E,5,FALSE))=TRUE,"",VLOOKUP(CONCATENATE($N$48,"_",O60),選手名簿!$A:$E,5,FALSE))</f>
        <v/>
      </c>
      <c r="O60" s="214"/>
      <c r="P60" s="214"/>
      <c r="Q60" s="221"/>
      <c r="R60" s="223"/>
      <c r="S60" s="221"/>
      <c r="T60" s="214"/>
      <c r="U60" s="214"/>
      <c r="V60" s="209" t="str">
        <f>IF(ISERROR(VLOOKUP(CONCATENATE($V$48,"_",U60),選手名簿!$A:$E,5,FALSE))=TRUE,"",VLOOKUP(CONCATENATE($V$48,"_",U60),選手名簿!$A:$E,5,FALSE))</f>
        <v/>
      </c>
      <c r="W60" s="226"/>
      <c r="Y60" s="58"/>
      <c r="Z60" s="713" t="str">
        <f>$N$7</f>
        <v>K1</v>
      </c>
      <c r="AA60" s="713"/>
      <c r="AB60" s="713"/>
      <c r="AC60" s="713" t="str">
        <f>$O$7</f>
        <v>玖珠サッカースポーツ少年団</v>
      </c>
      <c r="AD60" s="713"/>
      <c r="AE60" s="713"/>
      <c r="AF60" s="713"/>
      <c r="AG60" s="713"/>
      <c r="AH60" s="713"/>
      <c r="AI60" s="713"/>
      <c r="AJ60" s="713"/>
      <c r="AK60" s="713"/>
      <c r="AL60" s="713"/>
      <c r="AM60" s="713"/>
      <c r="AN60" s="713"/>
      <c r="AO60" s="713"/>
      <c r="AP60" s="713" t="str">
        <f>$V$7</f>
        <v>日田・玖珠</v>
      </c>
      <c r="AQ60" s="713"/>
      <c r="AR60" s="713"/>
      <c r="AS60" s="713"/>
    </row>
    <row r="61" spans="1:67" x14ac:dyDescent="0.25">
      <c r="A61" s="199"/>
      <c r="B61" s="209" t="str">
        <f>IF(ISERROR(VLOOKUP(CONCATENATE($B$48,"_",C61),選手名簿!$A:$E,5,FALSE))=TRUE,"",VLOOKUP(CONCATENATE($B$48,"_",C61),選手名簿!$A:$E,5,FALSE))</f>
        <v/>
      </c>
      <c r="C61" s="214"/>
      <c r="D61" s="214"/>
      <c r="E61" s="221"/>
      <c r="F61" s="223"/>
      <c r="G61" s="221"/>
      <c r="H61" s="214"/>
      <c r="I61" s="214"/>
      <c r="J61" s="209" t="str">
        <f>IF(ISERROR(VLOOKUP(CONCATENATE($J$48,"_",I61),選手名簿!$A:$E,5,FALSE))=TRUE,"",VLOOKUP(CONCATENATE($J$48,"_",I61),選手名簿!$A:$E,5,FALSE))</f>
        <v/>
      </c>
      <c r="K61" s="226"/>
      <c r="L61" s="190"/>
      <c r="M61" s="199"/>
      <c r="N61" s="209" t="str">
        <f>IF(ISERROR(VLOOKUP(CONCATENATE($N$48,"_",O61),選手名簿!$A:$E,5,FALSE))=TRUE,"",VLOOKUP(CONCATENATE($N$48,"_",O61),選手名簿!$A:$E,5,FALSE))</f>
        <v/>
      </c>
      <c r="O61" s="214"/>
      <c r="P61" s="214"/>
      <c r="Q61" s="221"/>
      <c r="R61" s="223"/>
      <c r="S61" s="221"/>
      <c r="T61" s="214"/>
      <c r="U61" s="214"/>
      <c r="V61" s="209" t="str">
        <f>IF(ISERROR(VLOOKUP(CONCATENATE($V$48,"_",U61),選手名簿!$A:$E,5,FALSE))=TRUE,"",VLOOKUP(CONCATENATE($V$48,"_",U61),選手名簿!$A:$E,5,FALSE))</f>
        <v/>
      </c>
      <c r="W61" s="226"/>
      <c r="Y61" s="58"/>
      <c r="Z61" s="713"/>
      <c r="AA61" s="713"/>
      <c r="AB61" s="713"/>
      <c r="AC61" s="713"/>
      <c r="AD61" s="713"/>
      <c r="AE61" s="713"/>
      <c r="AF61" s="713"/>
      <c r="AG61" s="713"/>
      <c r="AH61" s="713"/>
      <c r="AI61" s="713"/>
      <c r="AJ61" s="713"/>
      <c r="AK61" s="713"/>
      <c r="AL61" s="713"/>
      <c r="AM61" s="713"/>
      <c r="AN61" s="713"/>
      <c r="AO61" s="713"/>
      <c r="AP61" s="713"/>
      <c r="AQ61" s="713"/>
      <c r="AR61" s="713"/>
      <c r="AS61" s="713"/>
    </row>
    <row r="62" spans="1:67" x14ac:dyDescent="0.25">
      <c r="A62" s="199"/>
      <c r="B62" s="209" t="str">
        <f>IF(ISERROR(VLOOKUP(CONCATENATE($B$48,"_",C62),選手名簿!$A:$E,5,FALSE))=TRUE,"",VLOOKUP(CONCATENATE($B$48,"_",C62),選手名簿!$A:$E,5,FALSE))</f>
        <v/>
      </c>
      <c r="C62" s="214"/>
      <c r="D62" s="214"/>
      <c r="E62" s="221"/>
      <c r="F62" s="223"/>
      <c r="G62" s="221"/>
      <c r="H62" s="214"/>
      <c r="I62" s="214"/>
      <c r="J62" s="209" t="str">
        <f>IF(ISERROR(VLOOKUP(CONCATENATE($J$48,"_",I62),選手名簿!$A:$E,5,FALSE))=TRUE,"",VLOOKUP(CONCATENATE($J$48,"_",I62),選手名簿!$A:$E,5,FALSE))</f>
        <v/>
      </c>
      <c r="K62" s="226"/>
      <c r="L62" s="190"/>
      <c r="M62" s="199"/>
      <c r="N62" s="209" t="str">
        <f>IF(ISERROR(VLOOKUP(CONCATENATE($N$48,"_",O62),選手名簿!$A:$E,5,FALSE))=TRUE,"",VLOOKUP(CONCATENATE($N$48,"_",O62),選手名簿!$A:$E,5,FALSE))</f>
        <v/>
      </c>
      <c r="O62" s="214"/>
      <c r="P62" s="214"/>
      <c r="Q62" s="221"/>
      <c r="R62" s="223"/>
      <c r="S62" s="221"/>
      <c r="T62" s="214"/>
      <c r="U62" s="214"/>
      <c r="V62" s="209" t="str">
        <f>IF(ISERROR(VLOOKUP(CONCATENATE($V$48,"_",U62),選手名簿!$A:$E,5,FALSE))=TRUE,"",VLOOKUP(CONCATENATE($V$48,"_",U62),選手名簿!$A:$E,5,FALSE))</f>
        <v/>
      </c>
      <c r="W62" s="226"/>
      <c r="Y62" s="58"/>
      <c r="Z62" s="713" t="str">
        <f>$N$8</f>
        <v>K2</v>
      </c>
      <c r="AA62" s="713"/>
      <c r="AB62" s="713"/>
      <c r="AC62" s="713" t="str">
        <f>$O$8</f>
        <v>鶴崎ＳＳＳ</v>
      </c>
      <c r="AD62" s="713"/>
      <c r="AE62" s="713"/>
      <c r="AF62" s="713"/>
      <c r="AG62" s="713"/>
      <c r="AH62" s="713"/>
      <c r="AI62" s="713"/>
      <c r="AJ62" s="713"/>
      <c r="AK62" s="713"/>
      <c r="AL62" s="713"/>
      <c r="AM62" s="713"/>
      <c r="AN62" s="713"/>
      <c r="AO62" s="713"/>
      <c r="AP62" s="713" t="str">
        <f>$V$8</f>
        <v>大分</v>
      </c>
      <c r="AQ62" s="713"/>
      <c r="AR62" s="713"/>
      <c r="AS62" s="713"/>
    </row>
    <row r="63" spans="1:67" x14ac:dyDescent="0.25">
      <c r="A63" s="200"/>
      <c r="B63" s="210" t="str">
        <f>IF(ISERROR(VLOOKUP(CONCATENATE($B$48,"_",C63),選手名簿!$A:$E,5,FALSE))=TRUE,"",VLOOKUP(CONCATENATE($B$48,"_",C63),選手名簿!$A:$E,5,FALSE))</f>
        <v/>
      </c>
      <c r="C63" s="215"/>
      <c r="D63" s="215"/>
      <c r="E63" s="222"/>
      <c r="F63" s="224"/>
      <c r="G63" s="222"/>
      <c r="H63" s="215"/>
      <c r="I63" s="215"/>
      <c r="J63" s="210" t="str">
        <f>IF(ISERROR(VLOOKUP(CONCATENATE($J$48,"_",I63),選手名簿!$A:$E,5,FALSE))=TRUE,"",VLOOKUP(CONCATENATE($J$48,"_",I63),選手名簿!$A:$E,5,FALSE))</f>
        <v/>
      </c>
      <c r="K63" s="227"/>
      <c r="L63" s="190"/>
      <c r="M63" s="200"/>
      <c r="N63" s="210" t="str">
        <f>IF(ISERROR(VLOOKUP(CONCATENATE($N$48,"_",O63),選手名簿!$A:$E,5,FALSE))=TRUE,"",VLOOKUP(CONCATENATE($N$48,"_",O63),選手名簿!$A:$E,5,FALSE))</f>
        <v/>
      </c>
      <c r="O63" s="215"/>
      <c r="P63" s="215"/>
      <c r="Q63" s="222"/>
      <c r="R63" s="224"/>
      <c r="S63" s="222"/>
      <c r="T63" s="215"/>
      <c r="U63" s="215"/>
      <c r="V63" s="210" t="str">
        <f>IF(ISERROR(VLOOKUP(CONCATENATE($V$48,"_",U63),選手名簿!$A:$E,5,FALSE))=TRUE,"",VLOOKUP(CONCATENATE($V$48,"_",U63),選手名簿!$A:$E,5,FALSE))</f>
        <v/>
      </c>
      <c r="W63" s="227"/>
      <c r="Y63" s="58"/>
      <c r="Z63" s="713"/>
      <c r="AA63" s="713"/>
      <c r="AB63" s="713"/>
      <c r="AC63" s="713"/>
      <c r="AD63" s="713"/>
      <c r="AE63" s="713"/>
      <c r="AF63" s="713"/>
      <c r="AG63" s="713"/>
      <c r="AH63" s="713"/>
      <c r="AI63" s="713"/>
      <c r="AJ63" s="713"/>
      <c r="AK63" s="713"/>
      <c r="AL63" s="713"/>
      <c r="AM63" s="713"/>
      <c r="AN63" s="713"/>
      <c r="AO63" s="713"/>
      <c r="AP63" s="713"/>
      <c r="AQ63" s="713"/>
      <c r="AR63" s="713"/>
      <c r="AS63" s="713"/>
    </row>
    <row r="64" spans="1:67" ht="18.75" customHeight="1" x14ac:dyDescent="0.25">
      <c r="A64" s="190"/>
      <c r="B64" s="190"/>
      <c r="C64" s="190"/>
      <c r="D64" s="190"/>
      <c r="E64" s="190"/>
      <c r="F64" s="190"/>
      <c r="G64" s="190"/>
      <c r="H64" s="190"/>
      <c r="I64" s="190"/>
      <c r="J64" s="190"/>
      <c r="K64" s="190"/>
      <c r="L64" s="190"/>
      <c r="M64" s="190"/>
      <c r="N64" s="190"/>
      <c r="O64" s="190"/>
      <c r="P64" s="190"/>
      <c r="Q64" s="190"/>
      <c r="R64" s="190"/>
      <c r="S64" s="190"/>
      <c r="T64" s="190"/>
      <c r="U64" s="190"/>
      <c r="V64" s="190"/>
      <c r="Y64" s="190"/>
      <c r="Z64" s="713" t="str">
        <f>$N$9</f>
        <v>K3</v>
      </c>
      <c r="AA64" s="713"/>
      <c r="AB64" s="713"/>
      <c r="AC64" s="713" t="str">
        <f>$O$9</f>
        <v>戸次吉野ＳＳＳ</v>
      </c>
      <c r="AD64" s="713"/>
      <c r="AE64" s="713"/>
      <c r="AF64" s="713"/>
      <c r="AG64" s="713"/>
      <c r="AH64" s="713"/>
      <c r="AI64" s="713"/>
      <c r="AJ64" s="713"/>
      <c r="AK64" s="713"/>
      <c r="AL64" s="713"/>
      <c r="AM64" s="713"/>
      <c r="AN64" s="713"/>
      <c r="AO64" s="713"/>
      <c r="AP64" s="713" t="str">
        <f>$V$9</f>
        <v>大分</v>
      </c>
      <c r="AQ64" s="713"/>
      <c r="AR64" s="713"/>
      <c r="AS64" s="713"/>
    </row>
    <row r="65" spans="25:67" x14ac:dyDescent="0.25">
      <c r="Z65" s="713"/>
      <c r="AA65" s="713"/>
      <c r="AB65" s="713"/>
      <c r="AC65" s="713"/>
      <c r="AD65" s="713"/>
      <c r="AE65" s="713"/>
      <c r="AF65" s="713"/>
      <c r="AG65" s="713"/>
      <c r="AH65" s="713"/>
      <c r="AI65" s="713"/>
      <c r="AJ65" s="713"/>
      <c r="AK65" s="713"/>
      <c r="AL65" s="713"/>
      <c r="AM65" s="713"/>
      <c r="AN65" s="713"/>
      <c r="AO65" s="713"/>
      <c r="AP65" s="713"/>
      <c r="AQ65" s="713"/>
      <c r="AR65" s="713"/>
      <c r="AS65" s="713"/>
    </row>
    <row r="70" spans="25:67" ht="18.75" customHeight="1" x14ac:dyDescent="0.25"/>
    <row r="71" spans="25:67" ht="18.75" customHeight="1" x14ac:dyDescent="0.25"/>
    <row r="72" spans="25:67" ht="18.75" customHeight="1" x14ac:dyDescent="0.25">
      <c r="Y72" s="954" t="str">
        <f>$Y$6</f>
        <v>パート</v>
      </c>
      <c r="Z72" s="955"/>
      <c r="AA72" s="955"/>
      <c r="AB72" s="955"/>
      <c r="AC72" s="955" t="str">
        <f>$AB$58</f>
        <v>K</v>
      </c>
      <c r="AD72" s="955"/>
      <c r="AE72" s="956"/>
      <c r="AF72" s="945" t="str">
        <f>$Y$78</f>
        <v>玖珠サッカースポーツ少年団</v>
      </c>
      <c r="AG72" s="945"/>
      <c r="AH72" s="945"/>
      <c r="AI72" s="945"/>
      <c r="AJ72" s="945"/>
      <c r="AK72" s="945" t="str">
        <f>$Y$84</f>
        <v>鶴崎ＳＳＳ</v>
      </c>
      <c r="AL72" s="945"/>
      <c r="AM72" s="945"/>
      <c r="AN72" s="945"/>
      <c r="AO72" s="945"/>
      <c r="AP72" s="945" t="str">
        <f>$Y$90</f>
        <v>戸次吉野ＳＳＳ</v>
      </c>
      <c r="AQ72" s="945"/>
      <c r="AR72" s="945"/>
      <c r="AS72" s="945"/>
      <c r="AT72" s="945"/>
      <c r="AU72" s="945" t="s">
        <v>1535</v>
      </c>
      <c r="AV72" s="945"/>
      <c r="AW72" s="944" t="s">
        <v>2060</v>
      </c>
      <c r="AX72" s="945"/>
      <c r="AY72" s="944" t="s">
        <v>1208</v>
      </c>
      <c r="AZ72" s="945"/>
      <c r="BA72" s="945" t="s">
        <v>1727</v>
      </c>
      <c r="BB72" s="945"/>
      <c r="BC72" s="945" t="s">
        <v>2005</v>
      </c>
      <c r="BD72" s="945"/>
      <c r="BE72" s="945" t="s">
        <v>2006</v>
      </c>
      <c r="BF72" s="945"/>
      <c r="BG72" s="945" t="s">
        <v>1768</v>
      </c>
      <c r="BH72" s="945"/>
      <c r="BI72" s="944" t="s">
        <v>698</v>
      </c>
      <c r="BJ72" s="945"/>
      <c r="BK72" s="944" t="s">
        <v>1100</v>
      </c>
      <c r="BL72" s="945"/>
      <c r="BM72" s="944" t="s">
        <v>502</v>
      </c>
      <c r="BN72" s="945"/>
      <c r="BO72" s="947" t="s">
        <v>2127</v>
      </c>
    </row>
    <row r="73" spans="25:67" ht="18.75" customHeight="1" x14ac:dyDescent="0.25">
      <c r="Y73" s="905"/>
      <c r="Z73" s="906"/>
      <c r="AA73" s="906"/>
      <c r="AB73" s="906"/>
      <c r="AC73" s="906"/>
      <c r="AD73" s="906"/>
      <c r="AE73" s="957"/>
      <c r="AF73" s="946"/>
      <c r="AG73" s="946"/>
      <c r="AH73" s="946"/>
      <c r="AI73" s="946"/>
      <c r="AJ73" s="946"/>
      <c r="AK73" s="946"/>
      <c r="AL73" s="946"/>
      <c r="AM73" s="946"/>
      <c r="AN73" s="946"/>
      <c r="AO73" s="946"/>
      <c r="AP73" s="946"/>
      <c r="AQ73" s="946"/>
      <c r="AR73" s="946"/>
      <c r="AS73" s="946"/>
      <c r="AT73" s="946"/>
      <c r="AU73" s="946"/>
      <c r="AV73" s="946"/>
      <c r="AW73" s="946"/>
      <c r="AX73" s="946"/>
      <c r="AY73" s="946"/>
      <c r="AZ73" s="946"/>
      <c r="BA73" s="946"/>
      <c r="BB73" s="946"/>
      <c r="BC73" s="946"/>
      <c r="BD73" s="946"/>
      <c r="BE73" s="946"/>
      <c r="BF73" s="946"/>
      <c r="BG73" s="946"/>
      <c r="BH73" s="946"/>
      <c r="BI73" s="946"/>
      <c r="BJ73" s="946"/>
      <c r="BK73" s="946"/>
      <c r="BL73" s="946"/>
      <c r="BM73" s="946"/>
      <c r="BN73" s="946"/>
      <c r="BO73" s="948"/>
    </row>
    <row r="74" spans="25:67" ht="18.75" customHeight="1" x14ac:dyDescent="0.25">
      <c r="Y74" s="905"/>
      <c r="Z74" s="906"/>
      <c r="AA74" s="906"/>
      <c r="AB74" s="906"/>
      <c r="AC74" s="906"/>
      <c r="AD74" s="906"/>
      <c r="AE74" s="957"/>
      <c r="AF74" s="946"/>
      <c r="AG74" s="946"/>
      <c r="AH74" s="946"/>
      <c r="AI74" s="946"/>
      <c r="AJ74" s="946"/>
      <c r="AK74" s="946"/>
      <c r="AL74" s="946"/>
      <c r="AM74" s="946"/>
      <c r="AN74" s="946"/>
      <c r="AO74" s="946"/>
      <c r="AP74" s="946"/>
      <c r="AQ74" s="946"/>
      <c r="AR74" s="946"/>
      <c r="AS74" s="946"/>
      <c r="AT74" s="946"/>
      <c r="AU74" s="946"/>
      <c r="AV74" s="946"/>
      <c r="AW74" s="946"/>
      <c r="AX74" s="946"/>
      <c r="AY74" s="946"/>
      <c r="AZ74" s="946"/>
      <c r="BA74" s="946"/>
      <c r="BB74" s="946"/>
      <c r="BC74" s="946"/>
      <c r="BD74" s="946"/>
      <c r="BE74" s="946"/>
      <c r="BF74" s="946"/>
      <c r="BG74" s="946"/>
      <c r="BH74" s="946"/>
      <c r="BI74" s="946"/>
      <c r="BJ74" s="946"/>
      <c r="BK74" s="946"/>
      <c r="BL74" s="946"/>
      <c r="BM74" s="946"/>
      <c r="BN74" s="946"/>
      <c r="BO74" s="948"/>
    </row>
    <row r="75" spans="25:67" ht="19.5" customHeight="1" x14ac:dyDescent="0.25">
      <c r="Y75" s="905"/>
      <c r="Z75" s="906"/>
      <c r="AA75" s="906"/>
      <c r="AB75" s="906"/>
      <c r="AC75" s="906"/>
      <c r="AD75" s="906"/>
      <c r="AE75" s="957"/>
      <c r="AF75" s="946"/>
      <c r="AG75" s="946"/>
      <c r="AH75" s="946"/>
      <c r="AI75" s="946"/>
      <c r="AJ75" s="946"/>
      <c r="AK75" s="946"/>
      <c r="AL75" s="946"/>
      <c r="AM75" s="946"/>
      <c r="AN75" s="946"/>
      <c r="AO75" s="946"/>
      <c r="AP75" s="946"/>
      <c r="AQ75" s="946"/>
      <c r="AR75" s="946"/>
      <c r="AS75" s="946"/>
      <c r="AT75" s="946"/>
      <c r="AU75" s="946"/>
      <c r="AV75" s="946"/>
      <c r="AW75" s="946"/>
      <c r="AX75" s="946"/>
      <c r="AY75" s="946"/>
      <c r="AZ75" s="946"/>
      <c r="BA75" s="946"/>
      <c r="BB75" s="946"/>
      <c r="BC75" s="946"/>
      <c r="BD75" s="946"/>
      <c r="BE75" s="946"/>
      <c r="BF75" s="946"/>
      <c r="BG75" s="946"/>
      <c r="BH75" s="946"/>
      <c r="BI75" s="946"/>
      <c r="BJ75" s="946"/>
      <c r="BK75" s="946"/>
      <c r="BL75" s="946"/>
      <c r="BM75" s="946"/>
      <c r="BN75" s="946"/>
      <c r="BO75" s="948"/>
    </row>
    <row r="76" spans="25:67" ht="19.5" customHeight="1" x14ac:dyDescent="0.25">
      <c r="Y76" s="905"/>
      <c r="Z76" s="906"/>
      <c r="AA76" s="906"/>
      <c r="AB76" s="906"/>
      <c r="AC76" s="906"/>
      <c r="AD76" s="906"/>
      <c r="AE76" s="957"/>
      <c r="AF76" s="946"/>
      <c r="AG76" s="946"/>
      <c r="AH76" s="946"/>
      <c r="AI76" s="946"/>
      <c r="AJ76" s="946"/>
      <c r="AK76" s="946"/>
      <c r="AL76" s="946"/>
      <c r="AM76" s="946"/>
      <c r="AN76" s="946"/>
      <c r="AO76" s="946"/>
      <c r="AP76" s="946"/>
      <c r="AQ76" s="946"/>
      <c r="AR76" s="946"/>
      <c r="AS76" s="946"/>
      <c r="AT76" s="946"/>
      <c r="AU76" s="946"/>
      <c r="AV76" s="946"/>
      <c r="AW76" s="946"/>
      <c r="AX76" s="946"/>
      <c r="AY76" s="946"/>
      <c r="AZ76" s="946"/>
      <c r="BA76" s="946"/>
      <c r="BB76" s="946"/>
      <c r="BC76" s="946"/>
      <c r="BD76" s="946"/>
      <c r="BE76" s="946"/>
      <c r="BF76" s="946"/>
      <c r="BG76" s="946"/>
      <c r="BH76" s="946"/>
      <c r="BI76" s="946"/>
      <c r="BJ76" s="946"/>
      <c r="BK76" s="946"/>
      <c r="BL76" s="946"/>
      <c r="BM76" s="946"/>
      <c r="BN76" s="946"/>
      <c r="BO76" s="948"/>
    </row>
    <row r="77" spans="25:67" ht="18.75" customHeight="1" x14ac:dyDescent="0.25">
      <c r="Y77" s="941"/>
      <c r="Z77" s="936"/>
      <c r="AA77" s="936"/>
      <c r="AB77" s="936"/>
      <c r="AC77" s="936"/>
      <c r="AD77" s="936"/>
      <c r="AE77" s="958"/>
      <c r="AF77" s="946"/>
      <c r="AG77" s="946"/>
      <c r="AH77" s="946"/>
      <c r="AI77" s="946"/>
      <c r="AJ77" s="946"/>
      <c r="AK77" s="946"/>
      <c r="AL77" s="946"/>
      <c r="AM77" s="946"/>
      <c r="AN77" s="946"/>
      <c r="AO77" s="946"/>
      <c r="AP77" s="946"/>
      <c r="AQ77" s="946"/>
      <c r="AR77" s="946"/>
      <c r="AS77" s="946"/>
      <c r="AT77" s="946"/>
      <c r="AU77" s="946"/>
      <c r="AV77" s="946"/>
      <c r="AW77" s="946"/>
      <c r="AX77" s="946"/>
      <c r="AY77" s="946"/>
      <c r="AZ77" s="946"/>
      <c r="BA77" s="946"/>
      <c r="BB77" s="946"/>
      <c r="BC77" s="946"/>
      <c r="BD77" s="946"/>
      <c r="BE77" s="946"/>
      <c r="BF77" s="946"/>
      <c r="BG77" s="946"/>
      <c r="BH77" s="946"/>
      <c r="BI77" s="946"/>
      <c r="BJ77" s="946"/>
      <c r="BK77" s="946"/>
      <c r="BL77" s="946"/>
      <c r="BM77" s="946"/>
      <c r="BN77" s="946"/>
      <c r="BO77" s="949"/>
    </row>
    <row r="78" spans="25:67" ht="18.75" customHeight="1" x14ac:dyDescent="0.25">
      <c r="Y78" s="939" t="str">
        <f>$AC$60</f>
        <v>玖珠サッカースポーツ少年団</v>
      </c>
      <c r="Z78" s="940"/>
      <c r="AA78" s="940"/>
      <c r="AB78" s="940"/>
      <c r="AC78" s="940"/>
      <c r="AD78" s="940" t="s">
        <v>242</v>
      </c>
      <c r="AE78" s="940"/>
      <c r="AF78" s="950"/>
      <c r="AG78" s="942"/>
      <c r="AH78" s="942"/>
      <c r="AI78" s="942"/>
      <c r="AJ78" s="951"/>
      <c r="AK78" s="923" t="str">
        <f>IF(AK82="","",IF(AK82&gt;AN82,"○",IF(AK82&lt;AN82,"●",IF(AK80&gt;AN80,"△",IF(AK80&lt;AN80,"▲")))))</f>
        <v>●</v>
      </c>
      <c r="AL78" s="924"/>
      <c r="AM78" s="924"/>
      <c r="AN78" s="924"/>
      <c r="AO78" s="925"/>
      <c r="AP78" s="923" t="b">
        <f>IF(AP82="","",IF(AP82&gt;AS82,"○",IF(AP82&lt;AS82,"●",IF(AP80&gt;AS80,"△",IF(AP80&lt;AS80,"▲")))))</f>
        <v>0</v>
      </c>
      <c r="AQ78" s="924"/>
      <c r="AR78" s="924"/>
      <c r="AS78" s="924"/>
      <c r="AT78" s="925"/>
      <c r="AU78" s="903">
        <f>COUNTIF($AF$78:$AT$79,"○")</f>
        <v>0</v>
      </c>
      <c r="AV78" s="903"/>
      <c r="AW78" s="903">
        <f>COUNTIF($AF$78:$AT$79,"△")</f>
        <v>0</v>
      </c>
      <c r="AX78" s="903"/>
      <c r="AY78" s="903">
        <f>COUNTIF($AF$78:$AT$79,"▲")</f>
        <v>0</v>
      </c>
      <c r="AZ78" s="903"/>
      <c r="BA78" s="903">
        <f>COUNTIF($AF$78:$AT$79,"●")</f>
        <v>1</v>
      </c>
      <c r="BB78" s="903"/>
      <c r="BC78" s="903">
        <f>SUM($AK$82,$AP$82)</f>
        <v>1</v>
      </c>
      <c r="BD78" s="903"/>
      <c r="BE78" s="903">
        <f>SUM($AN$82,$AS$82)</f>
        <v>5</v>
      </c>
      <c r="BF78" s="903"/>
      <c r="BG78" s="903">
        <f>($AU$78*3)+($AW$78*2)+($AY$78*1)</f>
        <v>0</v>
      </c>
      <c r="BH78" s="903"/>
      <c r="BI78" s="910">
        <f>RANK($BG$78,$BG$78:$BH$95)</f>
        <v>3</v>
      </c>
      <c r="BJ78" s="910"/>
      <c r="BK78" s="903">
        <f>$BC$78-$BE$78</f>
        <v>-4</v>
      </c>
      <c r="BL78" s="903"/>
      <c r="BM78" s="910">
        <f>RANK($BK$78,$BK$78:$BL$95)</f>
        <v>3</v>
      </c>
      <c r="BN78" s="910"/>
      <c r="BO78" s="912"/>
    </row>
    <row r="79" spans="25:67" ht="18.75" customHeight="1" x14ac:dyDescent="0.25">
      <c r="Y79" s="905"/>
      <c r="Z79" s="906"/>
      <c r="AA79" s="906"/>
      <c r="AB79" s="906"/>
      <c r="AC79" s="906"/>
      <c r="AD79" s="906"/>
      <c r="AE79" s="906"/>
      <c r="AF79" s="929"/>
      <c r="AG79" s="930"/>
      <c r="AH79" s="930"/>
      <c r="AI79" s="930"/>
      <c r="AJ79" s="931"/>
      <c r="AK79" s="917"/>
      <c r="AL79" s="918"/>
      <c r="AM79" s="918"/>
      <c r="AN79" s="918"/>
      <c r="AO79" s="920"/>
      <c r="AP79" s="917"/>
      <c r="AQ79" s="918"/>
      <c r="AR79" s="918"/>
      <c r="AS79" s="918"/>
      <c r="AT79" s="920"/>
      <c r="AU79" s="903"/>
      <c r="AV79" s="903"/>
      <c r="AW79" s="903"/>
      <c r="AX79" s="903"/>
      <c r="AY79" s="903"/>
      <c r="AZ79" s="903"/>
      <c r="BA79" s="903"/>
      <c r="BB79" s="903"/>
      <c r="BC79" s="903"/>
      <c r="BD79" s="903"/>
      <c r="BE79" s="903"/>
      <c r="BF79" s="903"/>
      <c r="BG79" s="903"/>
      <c r="BH79" s="903"/>
      <c r="BI79" s="910"/>
      <c r="BJ79" s="910"/>
      <c r="BK79" s="903"/>
      <c r="BL79" s="903"/>
      <c r="BM79" s="910"/>
      <c r="BN79" s="910"/>
      <c r="BO79" s="913"/>
    </row>
    <row r="80" spans="25:67" ht="18.75" customHeight="1" x14ac:dyDescent="0.25">
      <c r="Y80" s="905"/>
      <c r="Z80" s="906"/>
      <c r="AA80" s="906"/>
      <c r="AB80" s="906"/>
      <c r="AC80" s="906"/>
      <c r="AD80" s="906"/>
      <c r="AE80" s="906"/>
      <c r="AF80" s="929"/>
      <c r="AG80" s="930"/>
      <c r="AH80" s="930"/>
      <c r="AI80" s="930"/>
      <c r="AJ80" s="931"/>
      <c r="AK80" s="915" t="str">
        <f>IF($Q$14="","",$Q$14)</f>
        <v/>
      </c>
      <c r="AL80" s="916"/>
      <c r="AM80" s="916" t="s">
        <v>2011</v>
      </c>
      <c r="AN80" s="916" t="str">
        <f>IF($S$14="","",$S$14)</f>
        <v/>
      </c>
      <c r="AO80" s="919"/>
      <c r="AP80" s="915" t="str">
        <f>IF($S$50="","",$S$50)</f>
        <v/>
      </c>
      <c r="AQ80" s="916"/>
      <c r="AR80" s="916" t="s">
        <v>2011</v>
      </c>
      <c r="AS80" s="916" t="str">
        <f>IF($Q$50="","",$Q$50)</f>
        <v/>
      </c>
      <c r="AT80" s="919"/>
      <c r="AU80" s="903"/>
      <c r="AV80" s="903"/>
      <c r="AW80" s="903"/>
      <c r="AX80" s="903"/>
      <c r="AY80" s="903"/>
      <c r="AZ80" s="903"/>
      <c r="BA80" s="903"/>
      <c r="BB80" s="903"/>
      <c r="BC80" s="903"/>
      <c r="BD80" s="903"/>
      <c r="BE80" s="903"/>
      <c r="BF80" s="903"/>
      <c r="BG80" s="903"/>
      <c r="BH80" s="903"/>
      <c r="BI80" s="910"/>
      <c r="BJ80" s="910"/>
      <c r="BK80" s="903"/>
      <c r="BL80" s="903"/>
      <c r="BM80" s="910"/>
      <c r="BN80" s="910"/>
      <c r="BO80" s="913"/>
    </row>
    <row r="81" spans="25:67" ht="19.5" customHeight="1" x14ac:dyDescent="0.25">
      <c r="Y81" s="905"/>
      <c r="Z81" s="906"/>
      <c r="AA81" s="906"/>
      <c r="AB81" s="906"/>
      <c r="AC81" s="906"/>
      <c r="AD81" s="906" t="s">
        <v>2010</v>
      </c>
      <c r="AE81" s="906"/>
      <c r="AF81" s="929"/>
      <c r="AG81" s="930"/>
      <c r="AH81" s="930"/>
      <c r="AI81" s="930"/>
      <c r="AJ81" s="931"/>
      <c r="AK81" s="917"/>
      <c r="AL81" s="918"/>
      <c r="AM81" s="918"/>
      <c r="AN81" s="918"/>
      <c r="AO81" s="920"/>
      <c r="AP81" s="917"/>
      <c r="AQ81" s="918"/>
      <c r="AR81" s="918"/>
      <c r="AS81" s="918"/>
      <c r="AT81" s="920"/>
      <c r="AU81" s="903"/>
      <c r="AV81" s="903"/>
      <c r="AW81" s="903"/>
      <c r="AX81" s="903"/>
      <c r="AY81" s="903"/>
      <c r="AZ81" s="903"/>
      <c r="BA81" s="903"/>
      <c r="BB81" s="903"/>
      <c r="BC81" s="903"/>
      <c r="BD81" s="903"/>
      <c r="BE81" s="903"/>
      <c r="BF81" s="903"/>
      <c r="BG81" s="903"/>
      <c r="BH81" s="903"/>
      <c r="BI81" s="910"/>
      <c r="BJ81" s="910"/>
      <c r="BK81" s="903"/>
      <c r="BL81" s="903"/>
      <c r="BM81" s="910"/>
      <c r="BN81" s="910"/>
      <c r="BO81" s="913"/>
    </row>
    <row r="82" spans="25:67" ht="18.75" customHeight="1" x14ac:dyDescent="0.25">
      <c r="Y82" s="905"/>
      <c r="Z82" s="906"/>
      <c r="AA82" s="906"/>
      <c r="AB82" s="906"/>
      <c r="AC82" s="906"/>
      <c r="AD82" s="906"/>
      <c r="AE82" s="906"/>
      <c r="AF82" s="929"/>
      <c r="AG82" s="930"/>
      <c r="AH82" s="930"/>
      <c r="AI82" s="930"/>
      <c r="AJ82" s="931"/>
      <c r="AK82" s="915">
        <f>$O$12</f>
        <v>0</v>
      </c>
      <c r="AL82" s="916"/>
      <c r="AM82" s="916" t="s">
        <v>2011</v>
      </c>
      <c r="AN82" s="916">
        <f>$U$12</f>
        <v>4</v>
      </c>
      <c r="AO82" s="919"/>
      <c r="AP82" s="915">
        <f>$U$48</f>
        <v>1</v>
      </c>
      <c r="AQ82" s="916"/>
      <c r="AR82" s="916" t="s">
        <v>2011</v>
      </c>
      <c r="AS82" s="916">
        <f>$O$48</f>
        <v>1</v>
      </c>
      <c r="AT82" s="919"/>
      <c r="AU82" s="903"/>
      <c r="AV82" s="903"/>
      <c r="AW82" s="903"/>
      <c r="AX82" s="903"/>
      <c r="AY82" s="903"/>
      <c r="AZ82" s="903"/>
      <c r="BA82" s="903"/>
      <c r="BB82" s="903"/>
      <c r="BC82" s="903"/>
      <c r="BD82" s="903"/>
      <c r="BE82" s="903"/>
      <c r="BF82" s="903"/>
      <c r="BG82" s="903"/>
      <c r="BH82" s="903"/>
      <c r="BI82" s="910"/>
      <c r="BJ82" s="910"/>
      <c r="BK82" s="903"/>
      <c r="BL82" s="903"/>
      <c r="BM82" s="910"/>
      <c r="BN82" s="910"/>
      <c r="BO82" s="913"/>
    </row>
    <row r="83" spans="25:67" ht="18.75" customHeight="1" x14ac:dyDescent="0.25">
      <c r="Y83" s="941"/>
      <c r="Z83" s="936"/>
      <c r="AA83" s="936"/>
      <c r="AB83" s="936"/>
      <c r="AC83" s="936"/>
      <c r="AD83" s="936"/>
      <c r="AE83" s="936"/>
      <c r="AF83" s="952"/>
      <c r="AG83" s="943"/>
      <c r="AH83" s="943"/>
      <c r="AI83" s="943"/>
      <c r="AJ83" s="953"/>
      <c r="AK83" s="937"/>
      <c r="AL83" s="560"/>
      <c r="AM83" s="560"/>
      <c r="AN83" s="560"/>
      <c r="AO83" s="938"/>
      <c r="AP83" s="937"/>
      <c r="AQ83" s="560"/>
      <c r="AR83" s="560"/>
      <c r="AS83" s="560"/>
      <c r="AT83" s="938"/>
      <c r="AU83" s="903"/>
      <c r="AV83" s="903"/>
      <c r="AW83" s="903"/>
      <c r="AX83" s="903"/>
      <c r="AY83" s="903"/>
      <c r="AZ83" s="903"/>
      <c r="BA83" s="903"/>
      <c r="BB83" s="903"/>
      <c r="BC83" s="903"/>
      <c r="BD83" s="903"/>
      <c r="BE83" s="903"/>
      <c r="BF83" s="903"/>
      <c r="BG83" s="903"/>
      <c r="BH83" s="903"/>
      <c r="BI83" s="910"/>
      <c r="BJ83" s="910"/>
      <c r="BK83" s="903"/>
      <c r="BL83" s="903"/>
      <c r="BM83" s="910"/>
      <c r="BN83" s="910"/>
      <c r="BO83" s="935"/>
    </row>
    <row r="84" spans="25:67" ht="18.75" customHeight="1" x14ac:dyDescent="0.25">
      <c r="Y84" s="939" t="str">
        <f>$AC$62</f>
        <v>鶴崎ＳＳＳ</v>
      </c>
      <c r="Z84" s="940"/>
      <c r="AA84" s="940"/>
      <c r="AB84" s="940"/>
      <c r="AC84" s="940"/>
      <c r="AD84" s="940" t="s">
        <v>242</v>
      </c>
      <c r="AE84" s="940"/>
      <c r="AF84" s="923" t="str">
        <f>IF(AF88="","",IF(AF88&gt;AI88,"○",IF(AF88&lt;AI88,"●",IF(AF86&gt;AI86,"△",IF(AF86&lt;AI86,"▲")))))</f>
        <v>○</v>
      </c>
      <c r="AG84" s="924"/>
      <c r="AH84" s="924"/>
      <c r="AI84" s="924"/>
      <c r="AJ84" s="925"/>
      <c r="AK84" s="942"/>
      <c r="AL84" s="942"/>
      <c r="AM84" s="942"/>
      <c r="AN84" s="942"/>
      <c r="AO84" s="942"/>
      <c r="AP84" s="923" t="str">
        <f>IF(AP88="","",IF(AP88&gt;AS88,"○",IF(AP88&lt;AS88,"●",IF(AP86&gt;AS86,"△",IF(AP86&lt;AS86,"▲")))))</f>
        <v>●</v>
      </c>
      <c r="AQ84" s="924"/>
      <c r="AR84" s="924"/>
      <c r="AS84" s="924"/>
      <c r="AT84" s="925"/>
      <c r="AU84" s="903">
        <f>COUNTIF($AF$84:$AT$85,"○")</f>
        <v>1</v>
      </c>
      <c r="AV84" s="903"/>
      <c r="AW84" s="903">
        <f>COUNTIF($AF$84:$AT$85,"△")</f>
        <v>0</v>
      </c>
      <c r="AX84" s="903"/>
      <c r="AY84" s="903">
        <f>COUNTIF($AF$84:$AT$85,"▲")</f>
        <v>0</v>
      </c>
      <c r="AZ84" s="903"/>
      <c r="BA84" s="903">
        <f>COUNTIF($AF$84:$AT$85,"●")</f>
        <v>1</v>
      </c>
      <c r="BB84" s="903"/>
      <c r="BC84" s="903">
        <f>SUM($AF$88,$AP$88)</f>
        <v>6</v>
      </c>
      <c r="BD84" s="903"/>
      <c r="BE84" s="903">
        <f>SUM($AI$88,$AS$88)</f>
        <v>3</v>
      </c>
      <c r="BF84" s="903"/>
      <c r="BG84" s="903">
        <f>($AU$84*3)+($AW$84*2)+($AY$84*1)</f>
        <v>3</v>
      </c>
      <c r="BH84" s="903"/>
      <c r="BI84" s="910">
        <f>RANK($BG$84,$BG$78:$BH$95)</f>
        <v>1</v>
      </c>
      <c r="BJ84" s="910"/>
      <c r="BK84" s="903">
        <f>$BC$84-$BE$84</f>
        <v>3</v>
      </c>
      <c r="BL84" s="903"/>
      <c r="BM84" s="910">
        <f>RANK($BK$84,$BK$78:$BL$95)</f>
        <v>1</v>
      </c>
      <c r="BN84" s="910"/>
      <c r="BO84" s="912"/>
    </row>
    <row r="85" spans="25:67" ht="18.75" customHeight="1" x14ac:dyDescent="0.25">
      <c r="Y85" s="905"/>
      <c r="Z85" s="906"/>
      <c r="AA85" s="906"/>
      <c r="AB85" s="906"/>
      <c r="AC85" s="906"/>
      <c r="AD85" s="906"/>
      <c r="AE85" s="906"/>
      <c r="AF85" s="917"/>
      <c r="AG85" s="918"/>
      <c r="AH85" s="918"/>
      <c r="AI85" s="918"/>
      <c r="AJ85" s="920"/>
      <c r="AK85" s="930"/>
      <c r="AL85" s="930"/>
      <c r="AM85" s="930"/>
      <c r="AN85" s="930"/>
      <c r="AO85" s="930"/>
      <c r="AP85" s="917"/>
      <c r="AQ85" s="918"/>
      <c r="AR85" s="918"/>
      <c r="AS85" s="918"/>
      <c r="AT85" s="920"/>
      <c r="AU85" s="903"/>
      <c r="AV85" s="903"/>
      <c r="AW85" s="903"/>
      <c r="AX85" s="903"/>
      <c r="AY85" s="903"/>
      <c r="AZ85" s="903"/>
      <c r="BA85" s="903"/>
      <c r="BB85" s="903"/>
      <c r="BC85" s="903"/>
      <c r="BD85" s="903"/>
      <c r="BE85" s="903"/>
      <c r="BF85" s="903"/>
      <c r="BG85" s="903"/>
      <c r="BH85" s="903"/>
      <c r="BI85" s="910"/>
      <c r="BJ85" s="910"/>
      <c r="BK85" s="903"/>
      <c r="BL85" s="903"/>
      <c r="BM85" s="910"/>
      <c r="BN85" s="910"/>
      <c r="BO85" s="913"/>
    </row>
    <row r="86" spans="25:67" ht="19.5" customHeight="1" x14ac:dyDescent="0.25">
      <c r="Y86" s="905"/>
      <c r="Z86" s="906"/>
      <c r="AA86" s="906"/>
      <c r="AB86" s="906"/>
      <c r="AC86" s="906"/>
      <c r="AD86" s="906"/>
      <c r="AE86" s="906"/>
      <c r="AF86" s="915" t="str">
        <f>AN80</f>
        <v/>
      </c>
      <c r="AG86" s="916"/>
      <c r="AH86" s="916" t="s">
        <v>2011</v>
      </c>
      <c r="AI86" s="916" t="str">
        <f>AK80</f>
        <v/>
      </c>
      <c r="AJ86" s="919"/>
      <c r="AK86" s="930"/>
      <c r="AL86" s="930"/>
      <c r="AM86" s="930"/>
      <c r="AN86" s="930"/>
      <c r="AO86" s="930"/>
      <c r="AP86" s="915" t="str">
        <f>IF($Q$32="","",$Q$32)</f>
        <v/>
      </c>
      <c r="AQ86" s="916"/>
      <c r="AR86" s="916" t="s">
        <v>2011</v>
      </c>
      <c r="AS86" s="916" t="str">
        <f>IF($S$32="","",$S$32)</f>
        <v/>
      </c>
      <c r="AT86" s="919"/>
      <c r="AU86" s="903"/>
      <c r="AV86" s="903"/>
      <c r="AW86" s="903"/>
      <c r="AX86" s="903"/>
      <c r="AY86" s="903"/>
      <c r="AZ86" s="903"/>
      <c r="BA86" s="903"/>
      <c r="BB86" s="903"/>
      <c r="BC86" s="903"/>
      <c r="BD86" s="903"/>
      <c r="BE86" s="903"/>
      <c r="BF86" s="903"/>
      <c r="BG86" s="903"/>
      <c r="BH86" s="903"/>
      <c r="BI86" s="910"/>
      <c r="BJ86" s="910"/>
      <c r="BK86" s="903"/>
      <c r="BL86" s="903"/>
      <c r="BM86" s="910"/>
      <c r="BN86" s="910"/>
      <c r="BO86" s="913"/>
    </row>
    <row r="87" spans="25:67" ht="19.5" customHeight="1" x14ac:dyDescent="0.25">
      <c r="Y87" s="905"/>
      <c r="Z87" s="906"/>
      <c r="AA87" s="906"/>
      <c r="AB87" s="906"/>
      <c r="AC87" s="906"/>
      <c r="AD87" s="906" t="s">
        <v>2010</v>
      </c>
      <c r="AE87" s="906"/>
      <c r="AF87" s="917"/>
      <c r="AG87" s="918"/>
      <c r="AH87" s="918"/>
      <c r="AI87" s="918"/>
      <c r="AJ87" s="920"/>
      <c r="AK87" s="930"/>
      <c r="AL87" s="930"/>
      <c r="AM87" s="930"/>
      <c r="AN87" s="930"/>
      <c r="AO87" s="930"/>
      <c r="AP87" s="917"/>
      <c r="AQ87" s="918"/>
      <c r="AR87" s="918"/>
      <c r="AS87" s="918"/>
      <c r="AT87" s="920"/>
      <c r="AU87" s="903"/>
      <c r="AV87" s="903"/>
      <c r="AW87" s="903"/>
      <c r="AX87" s="903"/>
      <c r="AY87" s="903"/>
      <c r="AZ87" s="903"/>
      <c r="BA87" s="903"/>
      <c r="BB87" s="903"/>
      <c r="BC87" s="903"/>
      <c r="BD87" s="903"/>
      <c r="BE87" s="903"/>
      <c r="BF87" s="903"/>
      <c r="BG87" s="903"/>
      <c r="BH87" s="903"/>
      <c r="BI87" s="910"/>
      <c r="BJ87" s="910"/>
      <c r="BK87" s="903"/>
      <c r="BL87" s="903"/>
      <c r="BM87" s="910"/>
      <c r="BN87" s="910"/>
      <c r="BO87" s="913"/>
    </row>
    <row r="88" spans="25:67" ht="18.75" customHeight="1" x14ac:dyDescent="0.25">
      <c r="Y88" s="905"/>
      <c r="Z88" s="906"/>
      <c r="AA88" s="906"/>
      <c r="AB88" s="906"/>
      <c r="AC88" s="906"/>
      <c r="AD88" s="906"/>
      <c r="AE88" s="906"/>
      <c r="AF88" s="915">
        <f>AN82</f>
        <v>4</v>
      </c>
      <c r="AG88" s="916"/>
      <c r="AH88" s="916" t="s">
        <v>2011</v>
      </c>
      <c r="AI88" s="916">
        <f>AK82</f>
        <v>0</v>
      </c>
      <c r="AJ88" s="919"/>
      <c r="AK88" s="930"/>
      <c r="AL88" s="930"/>
      <c r="AM88" s="930"/>
      <c r="AN88" s="930"/>
      <c r="AO88" s="930"/>
      <c r="AP88" s="915">
        <f>$O$30</f>
        <v>2</v>
      </c>
      <c r="AQ88" s="916"/>
      <c r="AR88" s="916" t="s">
        <v>2011</v>
      </c>
      <c r="AS88" s="916">
        <f>$U$30</f>
        <v>3</v>
      </c>
      <c r="AT88" s="919"/>
      <c r="AU88" s="903"/>
      <c r="AV88" s="903"/>
      <c r="AW88" s="903"/>
      <c r="AX88" s="903"/>
      <c r="AY88" s="903"/>
      <c r="AZ88" s="903"/>
      <c r="BA88" s="903"/>
      <c r="BB88" s="903"/>
      <c r="BC88" s="903"/>
      <c r="BD88" s="903"/>
      <c r="BE88" s="903"/>
      <c r="BF88" s="903"/>
      <c r="BG88" s="903"/>
      <c r="BH88" s="903"/>
      <c r="BI88" s="910"/>
      <c r="BJ88" s="910"/>
      <c r="BK88" s="903"/>
      <c r="BL88" s="903"/>
      <c r="BM88" s="910"/>
      <c r="BN88" s="910"/>
      <c r="BO88" s="913"/>
    </row>
    <row r="89" spans="25:67" ht="18.75" customHeight="1" x14ac:dyDescent="0.25">
      <c r="Y89" s="941"/>
      <c r="Z89" s="936"/>
      <c r="AA89" s="936"/>
      <c r="AB89" s="936"/>
      <c r="AC89" s="936"/>
      <c r="AD89" s="936"/>
      <c r="AE89" s="936"/>
      <c r="AF89" s="937"/>
      <c r="AG89" s="560"/>
      <c r="AH89" s="560"/>
      <c r="AI89" s="560"/>
      <c r="AJ89" s="938"/>
      <c r="AK89" s="943"/>
      <c r="AL89" s="943"/>
      <c r="AM89" s="943"/>
      <c r="AN89" s="943"/>
      <c r="AO89" s="943"/>
      <c r="AP89" s="937"/>
      <c r="AQ89" s="560"/>
      <c r="AR89" s="560"/>
      <c r="AS89" s="560"/>
      <c r="AT89" s="938"/>
      <c r="AU89" s="903"/>
      <c r="AV89" s="903"/>
      <c r="AW89" s="903"/>
      <c r="AX89" s="903"/>
      <c r="AY89" s="903"/>
      <c r="AZ89" s="903"/>
      <c r="BA89" s="903"/>
      <c r="BB89" s="903"/>
      <c r="BC89" s="903"/>
      <c r="BD89" s="903"/>
      <c r="BE89" s="903"/>
      <c r="BF89" s="903"/>
      <c r="BG89" s="903"/>
      <c r="BH89" s="903"/>
      <c r="BI89" s="910"/>
      <c r="BJ89" s="910"/>
      <c r="BK89" s="903"/>
      <c r="BL89" s="903"/>
      <c r="BM89" s="910"/>
      <c r="BN89" s="910"/>
      <c r="BO89" s="935"/>
    </row>
    <row r="90" spans="25:67" ht="19.5" customHeight="1" x14ac:dyDescent="0.25">
      <c r="Y90" s="905" t="str">
        <f>$AC$64</f>
        <v>戸次吉野ＳＳＳ</v>
      </c>
      <c r="Z90" s="906"/>
      <c r="AA90" s="906"/>
      <c r="AB90" s="906"/>
      <c r="AC90" s="906"/>
      <c r="AD90" s="906" t="s">
        <v>242</v>
      </c>
      <c r="AE90" s="906"/>
      <c r="AF90" s="923" t="b">
        <f>IF(AF94="","",IF(AF94&gt;AI94,"○",IF(AF94&lt;AI94,"●",IF(AF92&gt;AI92,"△",IF(AF92&lt;AI92,"▲")))))</f>
        <v>0</v>
      </c>
      <c r="AG90" s="924"/>
      <c r="AH90" s="924"/>
      <c r="AI90" s="924"/>
      <c r="AJ90" s="925"/>
      <c r="AK90" s="923" t="str">
        <f>IF(AK94="","",IF(AK94&gt;AN94,"○",IF(AK94&lt;AN94,"●",IF(AK92&gt;AN92,"△",IF(AK92&lt;AN92,"▲")))))</f>
        <v>○</v>
      </c>
      <c r="AL90" s="924"/>
      <c r="AM90" s="924"/>
      <c r="AN90" s="924"/>
      <c r="AO90" s="925"/>
      <c r="AP90" s="926"/>
      <c r="AQ90" s="927"/>
      <c r="AR90" s="927"/>
      <c r="AS90" s="927"/>
      <c r="AT90" s="928"/>
      <c r="AU90" s="903">
        <f>COUNTIF($AF$90:$AT$91,"○")</f>
        <v>1</v>
      </c>
      <c r="AV90" s="903"/>
      <c r="AW90" s="902">
        <f>COUNTIF($AF$90:$AT$91,"△")</f>
        <v>0</v>
      </c>
      <c r="AX90" s="902"/>
      <c r="AY90" s="902">
        <f>COUNTIF($AF$90:$AT$91,"▲")</f>
        <v>0</v>
      </c>
      <c r="AZ90" s="902"/>
      <c r="BA90" s="902">
        <f>COUNTIF($AF$90:$AT$91,"●")</f>
        <v>0</v>
      </c>
      <c r="BB90" s="902"/>
      <c r="BC90" s="902">
        <f>SUM($AF$94,$AK$94)</f>
        <v>4</v>
      </c>
      <c r="BD90" s="902"/>
      <c r="BE90" s="902">
        <f>SUM($AI$94,$AN$94)</f>
        <v>3</v>
      </c>
      <c r="BF90" s="902"/>
      <c r="BG90" s="902">
        <f>($AU$90*3)+($AW$90*2)+($AY$90*1)</f>
        <v>3</v>
      </c>
      <c r="BH90" s="902"/>
      <c r="BI90" s="909">
        <f>RANK($BG$90,$BG$78:$BH$95)</f>
        <v>1</v>
      </c>
      <c r="BJ90" s="909"/>
      <c r="BK90" s="902">
        <f>$BC$90-$BE$90</f>
        <v>1</v>
      </c>
      <c r="BL90" s="902"/>
      <c r="BM90" s="909">
        <f>RANK($BK$90,$BK$78:$BL$95)</f>
        <v>2</v>
      </c>
      <c r="BN90" s="909"/>
      <c r="BO90" s="912"/>
    </row>
    <row r="91" spans="25:67" ht="19.5" customHeight="1" x14ac:dyDescent="0.25">
      <c r="Y91" s="905"/>
      <c r="Z91" s="906"/>
      <c r="AA91" s="906"/>
      <c r="AB91" s="906"/>
      <c r="AC91" s="906"/>
      <c r="AD91" s="906"/>
      <c r="AE91" s="906"/>
      <c r="AF91" s="917"/>
      <c r="AG91" s="918"/>
      <c r="AH91" s="918"/>
      <c r="AI91" s="918"/>
      <c r="AJ91" s="920"/>
      <c r="AK91" s="917"/>
      <c r="AL91" s="918"/>
      <c r="AM91" s="918"/>
      <c r="AN91" s="918"/>
      <c r="AO91" s="920"/>
      <c r="AP91" s="929"/>
      <c r="AQ91" s="930"/>
      <c r="AR91" s="930"/>
      <c r="AS91" s="930"/>
      <c r="AT91" s="931"/>
      <c r="AU91" s="903"/>
      <c r="AV91" s="903"/>
      <c r="AW91" s="903"/>
      <c r="AX91" s="903"/>
      <c r="AY91" s="903"/>
      <c r="AZ91" s="903"/>
      <c r="BA91" s="903"/>
      <c r="BB91" s="903"/>
      <c r="BC91" s="903"/>
      <c r="BD91" s="903"/>
      <c r="BE91" s="903"/>
      <c r="BF91" s="903"/>
      <c r="BG91" s="903"/>
      <c r="BH91" s="903"/>
      <c r="BI91" s="910"/>
      <c r="BJ91" s="910"/>
      <c r="BK91" s="903"/>
      <c r="BL91" s="903"/>
      <c r="BM91" s="910"/>
      <c r="BN91" s="910"/>
      <c r="BO91" s="913"/>
    </row>
    <row r="92" spans="25:67" ht="18.75" customHeight="1" x14ac:dyDescent="0.25">
      <c r="Y92" s="905"/>
      <c r="Z92" s="906"/>
      <c r="AA92" s="906"/>
      <c r="AB92" s="906"/>
      <c r="AC92" s="906"/>
      <c r="AD92" s="906"/>
      <c r="AE92" s="906"/>
      <c r="AF92" s="915" t="str">
        <f>AS80</f>
        <v/>
      </c>
      <c r="AG92" s="916"/>
      <c r="AH92" s="916" t="s">
        <v>2011</v>
      </c>
      <c r="AI92" s="916" t="str">
        <f>AP80</f>
        <v/>
      </c>
      <c r="AJ92" s="919"/>
      <c r="AK92" s="915" t="str">
        <f>AS86</f>
        <v/>
      </c>
      <c r="AL92" s="916"/>
      <c r="AM92" s="916" t="s">
        <v>2011</v>
      </c>
      <c r="AN92" s="916" t="str">
        <f>AP86</f>
        <v/>
      </c>
      <c r="AO92" s="919"/>
      <c r="AP92" s="929"/>
      <c r="AQ92" s="930"/>
      <c r="AR92" s="930"/>
      <c r="AS92" s="930"/>
      <c r="AT92" s="931"/>
      <c r="AU92" s="903"/>
      <c r="AV92" s="903"/>
      <c r="AW92" s="903"/>
      <c r="AX92" s="903"/>
      <c r="AY92" s="903"/>
      <c r="AZ92" s="903"/>
      <c r="BA92" s="903"/>
      <c r="BB92" s="903"/>
      <c r="BC92" s="903"/>
      <c r="BD92" s="903"/>
      <c r="BE92" s="903"/>
      <c r="BF92" s="903"/>
      <c r="BG92" s="903"/>
      <c r="BH92" s="903"/>
      <c r="BI92" s="910"/>
      <c r="BJ92" s="910"/>
      <c r="BK92" s="903"/>
      <c r="BL92" s="903"/>
      <c r="BM92" s="910"/>
      <c r="BN92" s="910"/>
      <c r="BO92" s="913"/>
    </row>
    <row r="93" spans="25:67" ht="18.75" customHeight="1" x14ac:dyDescent="0.25">
      <c r="Y93" s="905"/>
      <c r="Z93" s="906"/>
      <c r="AA93" s="906"/>
      <c r="AB93" s="906"/>
      <c r="AC93" s="906"/>
      <c r="AD93" s="906" t="s">
        <v>2010</v>
      </c>
      <c r="AE93" s="906"/>
      <c r="AF93" s="917"/>
      <c r="AG93" s="918"/>
      <c r="AH93" s="918"/>
      <c r="AI93" s="918"/>
      <c r="AJ93" s="920"/>
      <c r="AK93" s="917"/>
      <c r="AL93" s="918"/>
      <c r="AM93" s="918"/>
      <c r="AN93" s="918"/>
      <c r="AO93" s="920"/>
      <c r="AP93" s="929"/>
      <c r="AQ93" s="930"/>
      <c r="AR93" s="930"/>
      <c r="AS93" s="930"/>
      <c r="AT93" s="931"/>
      <c r="AU93" s="903"/>
      <c r="AV93" s="903"/>
      <c r="AW93" s="903"/>
      <c r="AX93" s="903"/>
      <c r="AY93" s="903"/>
      <c r="AZ93" s="903"/>
      <c r="BA93" s="903"/>
      <c r="BB93" s="903"/>
      <c r="BC93" s="903"/>
      <c r="BD93" s="903"/>
      <c r="BE93" s="903"/>
      <c r="BF93" s="903"/>
      <c r="BG93" s="903"/>
      <c r="BH93" s="903"/>
      <c r="BI93" s="910"/>
      <c r="BJ93" s="910"/>
      <c r="BK93" s="903"/>
      <c r="BL93" s="903"/>
      <c r="BM93" s="910"/>
      <c r="BN93" s="910"/>
      <c r="BO93" s="913"/>
    </row>
    <row r="94" spans="25:67" ht="18.75" customHeight="1" x14ac:dyDescent="0.25">
      <c r="Y94" s="905"/>
      <c r="Z94" s="906"/>
      <c r="AA94" s="906"/>
      <c r="AB94" s="906"/>
      <c r="AC94" s="906"/>
      <c r="AD94" s="906"/>
      <c r="AE94" s="906"/>
      <c r="AF94" s="915">
        <f>AS82</f>
        <v>1</v>
      </c>
      <c r="AG94" s="916"/>
      <c r="AH94" s="916" t="s">
        <v>2011</v>
      </c>
      <c r="AI94" s="916">
        <f>AP82</f>
        <v>1</v>
      </c>
      <c r="AJ94" s="919"/>
      <c r="AK94" s="915">
        <f>AS88</f>
        <v>3</v>
      </c>
      <c r="AL94" s="916"/>
      <c r="AM94" s="916" t="s">
        <v>2011</v>
      </c>
      <c r="AN94" s="916">
        <f>AP88</f>
        <v>2</v>
      </c>
      <c r="AO94" s="919"/>
      <c r="AP94" s="929"/>
      <c r="AQ94" s="930"/>
      <c r="AR94" s="930"/>
      <c r="AS94" s="930"/>
      <c r="AT94" s="931"/>
      <c r="AU94" s="903"/>
      <c r="AV94" s="903"/>
      <c r="AW94" s="903"/>
      <c r="AX94" s="903"/>
      <c r="AY94" s="903"/>
      <c r="AZ94" s="903"/>
      <c r="BA94" s="903"/>
      <c r="BB94" s="903"/>
      <c r="BC94" s="903"/>
      <c r="BD94" s="903"/>
      <c r="BE94" s="903"/>
      <c r="BF94" s="903"/>
      <c r="BG94" s="903"/>
      <c r="BH94" s="903"/>
      <c r="BI94" s="910"/>
      <c r="BJ94" s="910"/>
      <c r="BK94" s="903"/>
      <c r="BL94" s="903"/>
      <c r="BM94" s="910"/>
      <c r="BN94" s="910"/>
      <c r="BO94" s="913"/>
    </row>
    <row r="95" spans="25:67" ht="19.5" customHeight="1" x14ac:dyDescent="0.25">
      <c r="Y95" s="907"/>
      <c r="Z95" s="908"/>
      <c r="AA95" s="908"/>
      <c r="AB95" s="908"/>
      <c r="AC95" s="908"/>
      <c r="AD95" s="908"/>
      <c r="AE95" s="908"/>
      <c r="AF95" s="921"/>
      <c r="AG95" s="565"/>
      <c r="AH95" s="565"/>
      <c r="AI95" s="565"/>
      <c r="AJ95" s="922"/>
      <c r="AK95" s="921"/>
      <c r="AL95" s="565"/>
      <c r="AM95" s="565"/>
      <c r="AN95" s="565"/>
      <c r="AO95" s="922"/>
      <c r="AP95" s="932"/>
      <c r="AQ95" s="933"/>
      <c r="AR95" s="933"/>
      <c r="AS95" s="933"/>
      <c r="AT95" s="934"/>
      <c r="AU95" s="904"/>
      <c r="AV95" s="904"/>
      <c r="AW95" s="904"/>
      <c r="AX95" s="904"/>
      <c r="AY95" s="904"/>
      <c r="AZ95" s="904"/>
      <c r="BA95" s="904"/>
      <c r="BB95" s="904"/>
      <c r="BC95" s="904"/>
      <c r="BD95" s="904"/>
      <c r="BE95" s="904"/>
      <c r="BF95" s="904"/>
      <c r="BG95" s="904"/>
      <c r="BH95" s="904"/>
      <c r="BI95" s="911"/>
      <c r="BJ95" s="911"/>
      <c r="BK95" s="904"/>
      <c r="BL95" s="904"/>
      <c r="BM95" s="911"/>
      <c r="BN95" s="911"/>
      <c r="BO95" s="914"/>
    </row>
    <row r="97" spans="25:58" x14ac:dyDescent="0.25">
      <c r="Y97" s="891" t="s">
        <v>2125</v>
      </c>
      <c r="Z97" s="891"/>
      <c r="AA97" s="891"/>
      <c r="AB97" s="891"/>
      <c r="AC97" s="891"/>
      <c r="AD97" s="891"/>
      <c r="AE97" s="891"/>
      <c r="AF97" s="891"/>
      <c r="AG97" s="891"/>
      <c r="AH97" s="891"/>
      <c r="AI97" s="891"/>
      <c r="AJ97" s="891"/>
      <c r="AK97" s="891"/>
      <c r="AL97" s="891"/>
      <c r="AM97" s="891"/>
      <c r="AN97" s="891"/>
      <c r="AO97" s="891"/>
      <c r="AP97" s="891"/>
      <c r="AQ97" s="891"/>
      <c r="AR97" s="891"/>
      <c r="AS97" s="891"/>
      <c r="AT97" s="891"/>
      <c r="AU97" s="891"/>
      <c r="AV97" s="891"/>
      <c r="AW97" s="891"/>
      <c r="AX97" s="891"/>
      <c r="AY97" s="891"/>
      <c r="AZ97" s="891"/>
      <c r="BA97" s="891"/>
      <c r="BB97" s="891"/>
      <c r="BC97" s="891"/>
      <c r="BD97" s="891"/>
      <c r="BE97" s="891"/>
      <c r="BF97" s="891"/>
    </row>
    <row r="98" spans="25:58" x14ac:dyDescent="0.25">
      <c r="Y98" s="891"/>
      <c r="Z98" s="891"/>
      <c r="AA98" s="891"/>
      <c r="AB98" s="891"/>
      <c r="AC98" s="891"/>
      <c r="AD98" s="891"/>
      <c r="AE98" s="891"/>
      <c r="AF98" s="891"/>
      <c r="AG98" s="891"/>
      <c r="AH98" s="891"/>
      <c r="AI98" s="891"/>
      <c r="AJ98" s="891"/>
      <c r="AK98" s="891"/>
      <c r="AL98" s="891"/>
      <c r="AM98" s="891"/>
      <c r="AN98" s="891"/>
      <c r="AO98" s="891"/>
      <c r="AP98" s="891"/>
      <c r="AQ98" s="891"/>
      <c r="AR98" s="891"/>
      <c r="AS98" s="891"/>
      <c r="AT98" s="891"/>
      <c r="AU98" s="891"/>
      <c r="AV98" s="891"/>
      <c r="AW98" s="891"/>
      <c r="AX98" s="891"/>
      <c r="AY98" s="891"/>
      <c r="AZ98" s="891"/>
      <c r="BA98" s="891"/>
      <c r="BB98" s="891"/>
      <c r="BC98" s="891"/>
      <c r="BD98" s="891"/>
      <c r="BE98" s="891"/>
      <c r="BF98" s="891"/>
    </row>
    <row r="99" spans="25:58" x14ac:dyDescent="0.25">
      <c r="Y99" s="892" t="s">
        <v>2013</v>
      </c>
      <c r="Z99" s="893"/>
      <c r="AA99" s="896" t="s">
        <v>159</v>
      </c>
      <c r="AB99" s="232" t="s">
        <v>408</v>
      </c>
      <c r="AC99" s="231"/>
      <c r="AD99" s="898" t="s">
        <v>2060</v>
      </c>
      <c r="AE99" s="232" t="s">
        <v>2015</v>
      </c>
      <c r="AF99" s="231"/>
      <c r="AG99" s="898" t="s">
        <v>1208</v>
      </c>
      <c r="AH99" s="232" t="s">
        <v>2126</v>
      </c>
      <c r="AI99" s="231"/>
      <c r="AJ99" s="900" t="s">
        <v>1727</v>
      </c>
      <c r="AK99" s="234" t="s">
        <v>2016</v>
      </c>
    </row>
    <row r="100" spans="25:58" x14ac:dyDescent="0.25">
      <c r="Y100" s="894"/>
      <c r="Z100" s="895"/>
      <c r="AA100" s="897"/>
      <c r="AB100" s="233">
        <v>3</v>
      </c>
      <c r="AC100" s="230"/>
      <c r="AD100" s="899"/>
      <c r="AE100" s="233">
        <v>2</v>
      </c>
      <c r="AF100" s="230"/>
      <c r="AG100" s="899"/>
      <c r="AH100" s="233">
        <v>1</v>
      </c>
      <c r="AI100" s="230"/>
      <c r="AJ100" s="901"/>
      <c r="AK100" s="235">
        <v>0</v>
      </c>
    </row>
  </sheetData>
  <mergeCells count="441">
    <mergeCell ref="A1:I1"/>
    <mergeCell ref="J1:K1"/>
    <mergeCell ref="M1:U1"/>
    <mergeCell ref="V1:W1"/>
    <mergeCell ref="Y1:BG1"/>
    <mergeCell ref="BI1:BO1"/>
    <mergeCell ref="A2:K2"/>
    <mergeCell ref="M2:W2"/>
    <mergeCell ref="Y2:BG2"/>
    <mergeCell ref="D4:K4"/>
    <mergeCell ref="P4:W4"/>
    <mergeCell ref="Y4:AA4"/>
    <mergeCell ref="AB4:AG4"/>
    <mergeCell ref="AI4:AW4"/>
    <mergeCell ref="Y6:AA6"/>
    <mergeCell ref="AB6:AG6"/>
    <mergeCell ref="C7:I7"/>
    <mergeCell ref="J7:K7"/>
    <mergeCell ref="O7:U7"/>
    <mergeCell ref="V7:W7"/>
    <mergeCell ref="Z7:AB7"/>
    <mergeCell ref="AC7:AO7"/>
    <mergeCell ref="AP7:AS7"/>
    <mergeCell ref="C8:I8"/>
    <mergeCell ref="J8:K8"/>
    <mergeCell ref="O8:U8"/>
    <mergeCell ref="V8:W8"/>
    <mergeCell ref="Z8:AB8"/>
    <mergeCell ref="AC8:AO8"/>
    <mergeCell ref="AP8:AS8"/>
    <mergeCell ref="C9:I9"/>
    <mergeCell ref="J9:K9"/>
    <mergeCell ref="O9:U9"/>
    <mergeCell ref="V9:W9"/>
    <mergeCell ref="Z9:AB9"/>
    <mergeCell ref="AC9:AO9"/>
    <mergeCell ref="AP9:AS9"/>
    <mergeCell ref="B15:F15"/>
    <mergeCell ref="G15:I15"/>
    <mergeCell ref="J15:K15"/>
    <mergeCell ref="N15:R15"/>
    <mergeCell ref="S15:U15"/>
    <mergeCell ref="V15:W15"/>
    <mergeCell ref="B16:F16"/>
    <mergeCell ref="G16:I16"/>
    <mergeCell ref="J16:K16"/>
    <mergeCell ref="N16:R16"/>
    <mergeCell ref="S16:U16"/>
    <mergeCell ref="V16:W16"/>
    <mergeCell ref="B17:F17"/>
    <mergeCell ref="G17:I17"/>
    <mergeCell ref="J17:K17"/>
    <mergeCell ref="N17:R17"/>
    <mergeCell ref="S17:U17"/>
    <mergeCell ref="V17:W17"/>
    <mergeCell ref="E18:F18"/>
    <mergeCell ref="G18:I18"/>
    <mergeCell ref="J18:K18"/>
    <mergeCell ref="Q18:R18"/>
    <mergeCell ref="S18:U18"/>
    <mergeCell ref="V18:W18"/>
    <mergeCell ref="E19:F19"/>
    <mergeCell ref="G19:I19"/>
    <mergeCell ref="J19:K19"/>
    <mergeCell ref="Q19:R19"/>
    <mergeCell ref="S19:U19"/>
    <mergeCell ref="V19:W19"/>
    <mergeCell ref="E20:F20"/>
    <mergeCell ref="G20:I20"/>
    <mergeCell ref="J20:K20"/>
    <mergeCell ref="Q20:R20"/>
    <mergeCell ref="S20:U20"/>
    <mergeCell ref="V20:W20"/>
    <mergeCell ref="E21:F21"/>
    <mergeCell ref="G21:I21"/>
    <mergeCell ref="J21:K21"/>
    <mergeCell ref="Q21:R21"/>
    <mergeCell ref="S21:U21"/>
    <mergeCell ref="V21:W21"/>
    <mergeCell ref="B33:F33"/>
    <mergeCell ref="G33:I33"/>
    <mergeCell ref="J33:K33"/>
    <mergeCell ref="N33:R33"/>
    <mergeCell ref="S33:U33"/>
    <mergeCell ref="V33:W33"/>
    <mergeCell ref="H30:H32"/>
    <mergeCell ref="I30:I32"/>
    <mergeCell ref="J30:J32"/>
    <mergeCell ref="M30:M32"/>
    <mergeCell ref="N30:N32"/>
    <mergeCell ref="O30:O32"/>
    <mergeCell ref="P30:P32"/>
    <mergeCell ref="T30:T32"/>
    <mergeCell ref="U30:U32"/>
    <mergeCell ref="V30:V32"/>
    <mergeCell ref="B34:F34"/>
    <mergeCell ref="G34:I34"/>
    <mergeCell ref="J34:K34"/>
    <mergeCell ref="N34:R34"/>
    <mergeCell ref="S34:U34"/>
    <mergeCell ref="V34:W34"/>
    <mergeCell ref="B35:F35"/>
    <mergeCell ref="G35:I35"/>
    <mergeCell ref="J35:K35"/>
    <mergeCell ref="N35:R35"/>
    <mergeCell ref="S35:U35"/>
    <mergeCell ref="V35:W35"/>
    <mergeCell ref="E36:F36"/>
    <mergeCell ref="G36:I36"/>
    <mergeCell ref="J36:K36"/>
    <mergeCell ref="Q36:R36"/>
    <mergeCell ref="S36:U36"/>
    <mergeCell ref="V36:W36"/>
    <mergeCell ref="E37:F37"/>
    <mergeCell ref="G37:I37"/>
    <mergeCell ref="J37:K37"/>
    <mergeCell ref="Q37:R37"/>
    <mergeCell ref="S37:U37"/>
    <mergeCell ref="V37:W37"/>
    <mergeCell ref="E38:F38"/>
    <mergeCell ref="G38:I38"/>
    <mergeCell ref="J38:K38"/>
    <mergeCell ref="Q38:R38"/>
    <mergeCell ref="S38:U38"/>
    <mergeCell ref="V38:W38"/>
    <mergeCell ref="E39:F39"/>
    <mergeCell ref="G39:I39"/>
    <mergeCell ref="J39:K39"/>
    <mergeCell ref="Q39:R39"/>
    <mergeCell ref="S39:U39"/>
    <mergeCell ref="V39:W39"/>
    <mergeCell ref="B51:F51"/>
    <mergeCell ref="G51:I51"/>
    <mergeCell ref="J51:K51"/>
    <mergeCell ref="N51:R51"/>
    <mergeCell ref="S51:U51"/>
    <mergeCell ref="V51:W51"/>
    <mergeCell ref="B52:F52"/>
    <mergeCell ref="G52:I52"/>
    <mergeCell ref="J52:K52"/>
    <mergeCell ref="N52:R52"/>
    <mergeCell ref="S52:U52"/>
    <mergeCell ref="V52:W52"/>
    <mergeCell ref="B53:F53"/>
    <mergeCell ref="G53:I53"/>
    <mergeCell ref="J53:K53"/>
    <mergeCell ref="N53:R53"/>
    <mergeCell ref="S53:U53"/>
    <mergeCell ref="V53:W53"/>
    <mergeCell ref="E54:F54"/>
    <mergeCell ref="G54:I54"/>
    <mergeCell ref="J54:K54"/>
    <mergeCell ref="Q54:R54"/>
    <mergeCell ref="S54:U54"/>
    <mergeCell ref="V54:W54"/>
    <mergeCell ref="E55:F55"/>
    <mergeCell ref="G55:I55"/>
    <mergeCell ref="J55:K55"/>
    <mergeCell ref="Q55:R55"/>
    <mergeCell ref="S55:U55"/>
    <mergeCell ref="V55:W55"/>
    <mergeCell ref="E56:F56"/>
    <mergeCell ref="G56:I56"/>
    <mergeCell ref="J56:K56"/>
    <mergeCell ref="Q56:R56"/>
    <mergeCell ref="S56:U56"/>
    <mergeCell ref="V56:W56"/>
    <mergeCell ref="E57:F57"/>
    <mergeCell ref="G57:I57"/>
    <mergeCell ref="J57:K57"/>
    <mergeCell ref="Q57:R57"/>
    <mergeCell ref="S57:U57"/>
    <mergeCell ref="V57:W57"/>
    <mergeCell ref="A12:A14"/>
    <mergeCell ref="B12:B14"/>
    <mergeCell ref="C12:C14"/>
    <mergeCell ref="D12:D14"/>
    <mergeCell ref="H12:H14"/>
    <mergeCell ref="I12:I14"/>
    <mergeCell ref="J12:J14"/>
    <mergeCell ref="M12:M14"/>
    <mergeCell ref="N12:N14"/>
    <mergeCell ref="O12:O14"/>
    <mergeCell ref="P12:P14"/>
    <mergeCell ref="T12:T14"/>
    <mergeCell ref="U12:U14"/>
    <mergeCell ref="V12:V14"/>
    <mergeCell ref="A30:A32"/>
    <mergeCell ref="B30:B32"/>
    <mergeCell ref="C30:C32"/>
    <mergeCell ref="D30:D32"/>
    <mergeCell ref="Y15:AB20"/>
    <mergeCell ref="AC15:AE20"/>
    <mergeCell ref="AF15:AJ20"/>
    <mergeCell ref="AK15:AO20"/>
    <mergeCell ref="AP15:AT20"/>
    <mergeCell ref="AU15:AV20"/>
    <mergeCell ref="AW15:AX20"/>
    <mergeCell ref="AY15:AZ20"/>
    <mergeCell ref="BA15:BB20"/>
    <mergeCell ref="BC15:BD20"/>
    <mergeCell ref="BE15:BF20"/>
    <mergeCell ref="BG15:BH20"/>
    <mergeCell ref="BI15:BJ20"/>
    <mergeCell ref="BK15:BL20"/>
    <mergeCell ref="BM15:BN20"/>
    <mergeCell ref="BO15:BO20"/>
    <mergeCell ref="Y21:AC26"/>
    <mergeCell ref="AD21:AE23"/>
    <mergeCell ref="AF21:AJ26"/>
    <mergeCell ref="AK21:AO22"/>
    <mergeCell ref="AP21:AT22"/>
    <mergeCell ref="AU21:AV26"/>
    <mergeCell ref="AW21:AX26"/>
    <mergeCell ref="AY21:AZ26"/>
    <mergeCell ref="BA21:BB26"/>
    <mergeCell ref="BC21:BD26"/>
    <mergeCell ref="BE21:BF26"/>
    <mergeCell ref="BG21:BH26"/>
    <mergeCell ref="BI21:BJ26"/>
    <mergeCell ref="BK21:BL26"/>
    <mergeCell ref="BM21:BN26"/>
    <mergeCell ref="BO21:BO26"/>
    <mergeCell ref="AK23:AL24"/>
    <mergeCell ref="AM23:AM24"/>
    <mergeCell ref="AN23:AO24"/>
    <mergeCell ref="AP23:AQ24"/>
    <mergeCell ref="AR23:AR24"/>
    <mergeCell ref="AS23:AT24"/>
    <mergeCell ref="AD24:AE26"/>
    <mergeCell ref="AK25:AL26"/>
    <mergeCell ref="AM25:AM26"/>
    <mergeCell ref="AN25:AO26"/>
    <mergeCell ref="AP25:AQ26"/>
    <mergeCell ref="AR25:AR26"/>
    <mergeCell ref="AS25:AT26"/>
    <mergeCell ref="Y27:AC32"/>
    <mergeCell ref="AD27:AE29"/>
    <mergeCell ref="AF27:AJ28"/>
    <mergeCell ref="AK27:AO32"/>
    <mergeCell ref="AP27:AT28"/>
    <mergeCell ref="AU27:AV32"/>
    <mergeCell ref="AW27:AX32"/>
    <mergeCell ref="AY27:AZ32"/>
    <mergeCell ref="BA27:BB32"/>
    <mergeCell ref="AD30:AE32"/>
    <mergeCell ref="BC27:BD32"/>
    <mergeCell ref="BE27:BF32"/>
    <mergeCell ref="BG27:BH32"/>
    <mergeCell ref="BI27:BJ32"/>
    <mergeCell ref="BK27:BL32"/>
    <mergeCell ref="BM27:BN32"/>
    <mergeCell ref="BO27:BO32"/>
    <mergeCell ref="AF29:AG30"/>
    <mergeCell ref="AH29:AH30"/>
    <mergeCell ref="AI29:AJ30"/>
    <mergeCell ref="AP29:AQ30"/>
    <mergeCell ref="AR29:AR30"/>
    <mergeCell ref="AS29:AT30"/>
    <mergeCell ref="AF31:AG32"/>
    <mergeCell ref="AH31:AH32"/>
    <mergeCell ref="AI31:AJ32"/>
    <mergeCell ref="AP31:AQ32"/>
    <mergeCell ref="AR31:AR32"/>
    <mergeCell ref="AS31:AT32"/>
    <mergeCell ref="Y33:AC38"/>
    <mergeCell ref="AD33:AE35"/>
    <mergeCell ref="AF33:AJ34"/>
    <mergeCell ref="AK33:AO34"/>
    <mergeCell ref="AP33:AT38"/>
    <mergeCell ref="AU33:AV38"/>
    <mergeCell ref="AW33:AX38"/>
    <mergeCell ref="AY33:AZ38"/>
    <mergeCell ref="BA33:BB38"/>
    <mergeCell ref="AD36:AE38"/>
    <mergeCell ref="BC33:BD38"/>
    <mergeCell ref="BE33:BF38"/>
    <mergeCell ref="BG33:BH38"/>
    <mergeCell ref="BI33:BJ38"/>
    <mergeCell ref="BK33:BL38"/>
    <mergeCell ref="BM33:BN38"/>
    <mergeCell ref="BO33:BO38"/>
    <mergeCell ref="AF35:AG36"/>
    <mergeCell ref="AH35:AH36"/>
    <mergeCell ref="AI35:AJ36"/>
    <mergeCell ref="AK35:AL36"/>
    <mergeCell ref="AM35:AM36"/>
    <mergeCell ref="AN35:AO36"/>
    <mergeCell ref="AF37:AG38"/>
    <mergeCell ref="AH37:AH38"/>
    <mergeCell ref="AI37:AJ38"/>
    <mergeCell ref="AK37:AL38"/>
    <mergeCell ref="AM37:AM38"/>
    <mergeCell ref="AN37:AO38"/>
    <mergeCell ref="Y40:BF41"/>
    <mergeCell ref="Y42:Z43"/>
    <mergeCell ref="AA42:AA43"/>
    <mergeCell ref="AD42:AD43"/>
    <mergeCell ref="AG42:AG43"/>
    <mergeCell ref="AJ42:AJ43"/>
    <mergeCell ref="A48:A50"/>
    <mergeCell ref="B48:B50"/>
    <mergeCell ref="C48:C50"/>
    <mergeCell ref="D48:D50"/>
    <mergeCell ref="H48:H50"/>
    <mergeCell ref="I48:I50"/>
    <mergeCell ref="J48:J50"/>
    <mergeCell ref="M48:M50"/>
    <mergeCell ref="N48:N50"/>
    <mergeCell ref="O48:O50"/>
    <mergeCell ref="P48:P50"/>
    <mergeCell ref="T48:T50"/>
    <mergeCell ref="U48:U50"/>
    <mergeCell ref="V48:V50"/>
    <mergeCell ref="Y48:BG49"/>
    <mergeCell ref="BI48:BO49"/>
    <mergeCell ref="Y50:BG51"/>
    <mergeCell ref="Y54:AA55"/>
    <mergeCell ref="AB54:AG55"/>
    <mergeCell ref="AH54:AH55"/>
    <mergeCell ref="AI54:AW55"/>
    <mergeCell ref="Y58:AA59"/>
    <mergeCell ref="AB58:AG59"/>
    <mergeCell ref="Z60:AB61"/>
    <mergeCell ref="AC60:AO61"/>
    <mergeCell ref="AP60:AS61"/>
    <mergeCell ref="Z62:AB63"/>
    <mergeCell ref="AC62:AO63"/>
    <mergeCell ref="AP62:AS63"/>
    <mergeCell ref="Z64:AB65"/>
    <mergeCell ref="AC64:AO65"/>
    <mergeCell ref="AP64:AS65"/>
    <mergeCell ref="Y72:AB77"/>
    <mergeCell ref="AC72:AE77"/>
    <mergeCell ref="AF72:AJ77"/>
    <mergeCell ref="AK72:AO77"/>
    <mergeCell ref="AP72:AT77"/>
    <mergeCell ref="AU72:AV77"/>
    <mergeCell ref="AW72:AX77"/>
    <mergeCell ref="AY72:AZ77"/>
    <mergeCell ref="BA72:BB77"/>
    <mergeCell ref="BC72:BD77"/>
    <mergeCell ref="BE72:BF77"/>
    <mergeCell ref="BG72:BH77"/>
    <mergeCell ref="BI72:BJ77"/>
    <mergeCell ref="BK72:BL77"/>
    <mergeCell ref="BM72:BN77"/>
    <mergeCell ref="BO72:BO77"/>
    <mergeCell ref="Y78:AC83"/>
    <mergeCell ref="AD78:AE80"/>
    <mergeCell ref="AF78:AJ83"/>
    <mergeCell ref="AK78:AO79"/>
    <mergeCell ref="AP78:AT79"/>
    <mergeCell ref="AU78:AV83"/>
    <mergeCell ref="AW78:AX83"/>
    <mergeCell ref="AY78:AZ83"/>
    <mergeCell ref="BA78:BB83"/>
    <mergeCell ref="BC78:BD83"/>
    <mergeCell ref="BE78:BF83"/>
    <mergeCell ref="BG78:BH83"/>
    <mergeCell ref="BI78:BJ83"/>
    <mergeCell ref="BK78:BL83"/>
    <mergeCell ref="BM78:BN83"/>
    <mergeCell ref="BO78:BO83"/>
    <mergeCell ref="AK80:AL81"/>
    <mergeCell ref="AM80:AM81"/>
    <mergeCell ref="AN80:AO81"/>
    <mergeCell ref="AP80:AQ81"/>
    <mergeCell ref="AR80:AR81"/>
    <mergeCell ref="AS80:AT81"/>
    <mergeCell ref="AD81:AE83"/>
    <mergeCell ref="AK82:AL83"/>
    <mergeCell ref="AM82:AM83"/>
    <mergeCell ref="AN82:AO83"/>
    <mergeCell ref="AP82:AQ83"/>
    <mergeCell ref="AR82:AR83"/>
    <mergeCell ref="AS82:AT83"/>
    <mergeCell ref="Y84:AC89"/>
    <mergeCell ref="AD84:AE86"/>
    <mergeCell ref="AF84:AJ85"/>
    <mergeCell ref="AK84:AO89"/>
    <mergeCell ref="AP84:AT85"/>
    <mergeCell ref="BM84:BN89"/>
    <mergeCell ref="BO84:BO89"/>
    <mergeCell ref="AF86:AG87"/>
    <mergeCell ref="AH86:AH87"/>
    <mergeCell ref="AI86:AJ87"/>
    <mergeCell ref="AP86:AQ87"/>
    <mergeCell ref="AR86:AR87"/>
    <mergeCell ref="AS86:AT87"/>
    <mergeCell ref="AD87:AE89"/>
    <mergeCell ref="AF88:AG89"/>
    <mergeCell ref="AH88:AH89"/>
    <mergeCell ref="AI88:AJ89"/>
    <mergeCell ref="AP88:AQ89"/>
    <mergeCell ref="AR88:AR89"/>
    <mergeCell ref="AS88:AT89"/>
    <mergeCell ref="AU84:AV89"/>
    <mergeCell ref="AW84:AX89"/>
    <mergeCell ref="AY84:AZ89"/>
    <mergeCell ref="BA84:BB89"/>
    <mergeCell ref="BC84:BD89"/>
    <mergeCell ref="BE84:BF89"/>
    <mergeCell ref="BG84:BH89"/>
    <mergeCell ref="BI84:BJ89"/>
    <mergeCell ref="BK84:BL89"/>
    <mergeCell ref="BI90:BJ95"/>
    <mergeCell ref="BK90:BL95"/>
    <mergeCell ref="BM90:BN95"/>
    <mergeCell ref="BO90:BO95"/>
    <mergeCell ref="AF92:AG93"/>
    <mergeCell ref="AH92:AH93"/>
    <mergeCell ref="AI92:AJ93"/>
    <mergeCell ref="AK92:AL93"/>
    <mergeCell ref="AM92:AM93"/>
    <mergeCell ref="AN92:AO93"/>
    <mergeCell ref="AF94:AG95"/>
    <mergeCell ref="AH94:AH95"/>
    <mergeCell ref="AI94:AJ95"/>
    <mergeCell ref="AK94:AL95"/>
    <mergeCell ref="AM94:AM95"/>
    <mergeCell ref="AN94:AO95"/>
    <mergeCell ref="AF90:AJ91"/>
    <mergeCell ref="AK90:AO91"/>
    <mergeCell ref="AP90:AT95"/>
    <mergeCell ref="AU90:AV95"/>
    <mergeCell ref="AW90:AX95"/>
    <mergeCell ref="AY90:AZ95"/>
    <mergeCell ref="BA90:BB95"/>
    <mergeCell ref="Y97:BF98"/>
    <mergeCell ref="Y99:Z100"/>
    <mergeCell ref="AA99:AA100"/>
    <mergeCell ref="AD99:AD100"/>
    <mergeCell ref="AG99:AG100"/>
    <mergeCell ref="AJ99:AJ100"/>
    <mergeCell ref="BC90:BD95"/>
    <mergeCell ref="BE90:BF95"/>
    <mergeCell ref="BG90:BH95"/>
    <mergeCell ref="Y90:AC95"/>
    <mergeCell ref="AD90:AE92"/>
    <mergeCell ref="AD93:AE95"/>
  </mergeCells>
  <phoneticPr fontId="29"/>
  <printOptions horizontalCentered="1" verticalCentered="1"/>
  <pageMargins left="0" right="0" top="0" bottom="0" header="0.51181102362204722" footer="0.51181102362204722"/>
  <pageSetup paperSize="9" scale="42" orientation="landscape" r:id="rId1"/>
  <headerFooter alignWithMargins="0"/>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00000000-0002-0000-1200-000000000000}">
          <x14:formula1>
            <xm:f>審判員!$I$1:$I$17</xm:f>
          </x14:formula1>
          <xm:sqref>E23:E27 E41:E45 E59:E63 G23:G27 G41:G45 G59:G63 Q23:Q27 Q41:Q45 Q59:Q63 S23:S27 S41:S45 S59:S63</xm:sqref>
        </x14:dataValidation>
        <x14:dataValidation type="list" allowBlank="1" showInputMessage="1" showErrorMessage="1" xr:uid="{00000000-0002-0000-1200-000001000000}">
          <x14:formula1>
            <xm:f>審判員!$G$1:$G$3</xm:f>
          </x14:formula1>
          <xm:sqref>A23:A27 K23:K27 A41:A45 K41:K45 A59:A63 K59:K63 M23:M27 W41:W45 W59:W63 M59:M63 W23:W27 M41:M45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FFF99"/>
    <pageSetUpPr fitToPage="1"/>
  </sheetPr>
  <dimension ref="A1:BO100"/>
  <sheetViews>
    <sheetView view="pageBreakPreview" zoomScale="50" zoomScaleNormal="40" zoomScaleSheetLayoutView="50" workbookViewId="0">
      <selection activeCell="A3" sqref="A3"/>
    </sheetView>
  </sheetViews>
  <sheetFormatPr defaultColWidth="9" defaultRowHeight="18.75" x14ac:dyDescent="0.25"/>
  <cols>
    <col min="1" max="1" width="19.46484375" style="66" customWidth="1"/>
    <col min="2" max="2" width="39.86328125" style="66" customWidth="1"/>
    <col min="3" max="3" width="10.73046875" style="66" customWidth="1"/>
    <col min="4" max="4" width="4.46484375" style="66" customWidth="1"/>
    <col min="5" max="5" width="10.3984375" style="66" customWidth="1"/>
    <col min="6" max="6" width="5.73046875" style="66" bestFit="1" customWidth="1"/>
    <col min="7" max="7" width="10.3984375" style="66" customWidth="1"/>
    <col min="8" max="8" width="4.46484375" style="66" customWidth="1"/>
    <col min="9" max="9" width="10.73046875" style="66" bestFit="1" customWidth="1"/>
    <col min="10" max="10" width="39.86328125" style="66" customWidth="1"/>
    <col min="11" max="11" width="15.73046875" style="66" customWidth="1"/>
    <col min="12" max="12" width="3.46484375" style="66" customWidth="1"/>
    <col min="13" max="13" width="19.46484375" style="66" customWidth="1"/>
    <col min="14" max="14" width="39.86328125" style="66" customWidth="1"/>
    <col min="15" max="15" width="10.73046875" style="66" customWidth="1"/>
    <col min="16" max="16" width="4.46484375" style="66" customWidth="1"/>
    <col min="17" max="17" width="10.3984375" style="66" customWidth="1"/>
    <col min="18" max="18" width="5.73046875" style="66" bestFit="1" customWidth="1"/>
    <col min="19" max="19" width="10.3984375" style="66" customWidth="1"/>
    <col min="20" max="20" width="4.46484375" style="66" customWidth="1"/>
    <col min="21" max="21" width="10.73046875" style="66" customWidth="1"/>
    <col min="22" max="22" width="39.86328125" style="66" customWidth="1"/>
    <col min="23" max="23" width="15.73046875" style="66" customWidth="1"/>
    <col min="24" max="24" width="9" style="66"/>
    <col min="25" max="59" width="5.86328125" style="66" customWidth="1"/>
    <col min="60" max="16384" width="9" style="66"/>
  </cols>
  <sheetData>
    <row r="1" spans="1:67" ht="27.75" x14ac:dyDescent="0.25">
      <c r="A1" s="959" t="str">
        <f>抽選会資料!A1</f>
        <v>OFA 第 57 回大分県U-12サッカー大会　兼　KYFA 九州U-12サッカー大会大分県大会</v>
      </c>
      <c r="B1" s="959"/>
      <c r="C1" s="959"/>
      <c r="D1" s="959"/>
      <c r="E1" s="959"/>
      <c r="F1" s="959"/>
      <c r="G1" s="959"/>
      <c r="H1" s="959"/>
      <c r="I1" s="959"/>
      <c r="J1" s="959" t="s">
        <v>279</v>
      </c>
      <c r="K1" s="959"/>
      <c r="L1" s="228"/>
      <c r="M1" s="959" t="str">
        <f>抽選会資料!A1</f>
        <v>OFA 第 57 回大分県U-12サッカー大会　兼　KYFA 九州U-12サッカー大会大分県大会</v>
      </c>
      <c r="N1" s="959"/>
      <c r="O1" s="959"/>
      <c r="P1" s="959"/>
      <c r="Q1" s="959"/>
      <c r="R1" s="959"/>
      <c r="S1" s="959"/>
      <c r="T1" s="959"/>
      <c r="U1" s="959"/>
      <c r="V1" s="959" t="s">
        <v>279</v>
      </c>
      <c r="W1" s="959"/>
      <c r="Y1" s="959" t="str">
        <f>$A$1</f>
        <v>OFA 第 57 回大分県U-12サッカー大会　兼　KYFA 九州U-12サッカー大会大分県大会</v>
      </c>
      <c r="Z1" s="959"/>
      <c r="AA1" s="959"/>
      <c r="AB1" s="959"/>
      <c r="AC1" s="959"/>
      <c r="AD1" s="959"/>
      <c r="AE1" s="959"/>
      <c r="AF1" s="959"/>
      <c r="AG1" s="959"/>
      <c r="AH1" s="959"/>
      <c r="AI1" s="959"/>
      <c r="AJ1" s="959"/>
      <c r="AK1" s="959"/>
      <c r="AL1" s="959"/>
      <c r="AM1" s="959"/>
      <c r="AN1" s="959"/>
      <c r="AO1" s="959"/>
      <c r="AP1" s="959"/>
      <c r="AQ1" s="959"/>
      <c r="AR1" s="959"/>
      <c r="AS1" s="959"/>
      <c r="AT1" s="959"/>
      <c r="AU1" s="959"/>
      <c r="AV1" s="959"/>
      <c r="AW1" s="959"/>
      <c r="AX1" s="959"/>
      <c r="AY1" s="959"/>
      <c r="AZ1" s="959"/>
      <c r="BA1" s="959"/>
      <c r="BB1" s="959"/>
      <c r="BC1" s="959"/>
      <c r="BD1" s="959"/>
      <c r="BE1" s="959"/>
      <c r="BF1" s="959"/>
      <c r="BG1" s="959"/>
      <c r="BI1" s="959" t="str">
        <f>$J$1</f>
        <v>１次リーグ結果　報告用紙</v>
      </c>
      <c r="BJ1" s="959"/>
      <c r="BK1" s="959"/>
      <c r="BL1" s="959"/>
      <c r="BM1" s="959"/>
      <c r="BN1" s="959"/>
      <c r="BO1" s="959"/>
    </row>
    <row r="2" spans="1:67" ht="37.5" customHeight="1" x14ac:dyDescent="0.25">
      <c r="A2" s="959" t="s">
        <v>1962</v>
      </c>
      <c r="B2" s="959"/>
      <c r="C2" s="959"/>
      <c r="D2" s="959"/>
      <c r="E2" s="959"/>
      <c r="F2" s="959"/>
      <c r="G2" s="959"/>
      <c r="H2" s="959"/>
      <c r="I2" s="959"/>
      <c r="J2" s="959"/>
      <c r="K2" s="959"/>
      <c r="L2" s="189"/>
      <c r="M2" s="959" t="s">
        <v>1962</v>
      </c>
      <c r="N2" s="959"/>
      <c r="O2" s="959"/>
      <c r="P2" s="959"/>
      <c r="Q2" s="959"/>
      <c r="R2" s="959"/>
      <c r="S2" s="959"/>
      <c r="T2" s="959"/>
      <c r="U2" s="959"/>
      <c r="V2" s="959"/>
      <c r="W2" s="959"/>
      <c r="Y2" s="959" t="s">
        <v>1962</v>
      </c>
      <c r="Z2" s="959"/>
      <c r="AA2" s="959"/>
      <c r="AB2" s="959"/>
      <c r="AC2" s="959"/>
      <c r="AD2" s="959"/>
      <c r="AE2" s="959"/>
      <c r="AF2" s="959"/>
      <c r="AG2" s="959"/>
      <c r="AH2" s="959"/>
      <c r="AI2" s="959"/>
      <c r="AJ2" s="959"/>
      <c r="AK2" s="959"/>
      <c r="AL2" s="959"/>
      <c r="AM2" s="959"/>
      <c r="AN2" s="959"/>
      <c r="AO2" s="959"/>
      <c r="AP2" s="959"/>
      <c r="AQ2" s="959"/>
      <c r="AR2" s="959"/>
      <c r="AS2" s="959"/>
      <c r="AT2" s="959"/>
      <c r="AU2" s="959"/>
      <c r="AV2" s="959"/>
      <c r="AW2" s="959"/>
      <c r="AX2" s="959"/>
      <c r="AY2" s="959"/>
      <c r="AZ2" s="959"/>
      <c r="BA2" s="959"/>
      <c r="BB2" s="959"/>
      <c r="BC2" s="959"/>
      <c r="BD2" s="959"/>
      <c r="BE2" s="959"/>
      <c r="BF2" s="959"/>
      <c r="BG2" s="959"/>
    </row>
    <row r="3" spans="1:67" ht="37.5" customHeight="1" x14ac:dyDescent="0.25">
      <c r="A3" s="189"/>
      <c r="B3" s="189"/>
      <c r="C3" s="189"/>
      <c r="D3" s="189"/>
      <c r="E3" s="189"/>
      <c r="F3" s="189"/>
      <c r="G3" s="189"/>
      <c r="H3" s="189"/>
      <c r="I3" s="189"/>
      <c r="J3" s="189"/>
      <c r="K3" s="189"/>
      <c r="L3" s="189"/>
      <c r="M3" s="189"/>
      <c r="N3" s="189"/>
      <c r="O3" s="189"/>
      <c r="P3" s="189"/>
      <c r="Q3" s="189"/>
      <c r="R3" s="189"/>
      <c r="S3" s="189"/>
      <c r="T3" s="189"/>
      <c r="U3" s="189"/>
      <c r="V3" s="189"/>
      <c r="W3" s="189"/>
      <c r="Y3" s="189"/>
      <c r="Z3" s="189"/>
      <c r="AA3" s="189"/>
      <c r="AB3" s="189"/>
      <c r="AC3" s="189"/>
      <c r="AD3" s="189"/>
      <c r="AE3" s="189"/>
      <c r="AF3" s="189"/>
      <c r="AG3" s="189"/>
      <c r="AH3" s="189"/>
      <c r="AI3" s="189"/>
    </row>
    <row r="4" spans="1:67" ht="37.5" customHeight="1" x14ac:dyDescent="0.25">
      <c r="A4" s="58" t="s">
        <v>487</v>
      </c>
      <c r="B4" s="201" t="str">
        <f>組み合わせ!BF8</f>
        <v>速杵国東</v>
      </c>
      <c r="C4" s="58" t="s">
        <v>659</v>
      </c>
      <c r="D4" s="961" t="str">
        <f>VLOOKUP(B4,抽選会資料!$B$55:$F$63,2,FALSE)</f>
        <v>フットボールセンター大分きつき(杵築市営サッカー場)</v>
      </c>
      <c r="E4" s="961"/>
      <c r="F4" s="961"/>
      <c r="G4" s="961"/>
      <c r="H4" s="961"/>
      <c r="I4" s="961"/>
      <c r="J4" s="961"/>
      <c r="K4" s="961"/>
      <c r="L4" s="68"/>
      <c r="M4" s="58" t="s">
        <v>487</v>
      </c>
      <c r="N4" s="201" t="str">
        <f>組み合わせ!BF8</f>
        <v>速杵国東</v>
      </c>
      <c r="O4" s="58" t="s">
        <v>659</v>
      </c>
      <c r="P4" s="961" t="str">
        <f>VLOOKUP(N4,抽選会資料!$B$55:$F$63,2,FALSE)</f>
        <v>フットボールセンター大分きつき(杵築市営サッカー場)</v>
      </c>
      <c r="Q4" s="961"/>
      <c r="R4" s="961"/>
      <c r="S4" s="961"/>
      <c r="T4" s="961"/>
      <c r="U4" s="961"/>
      <c r="V4" s="961"/>
      <c r="W4" s="961"/>
      <c r="X4" s="39"/>
      <c r="Y4" s="590" t="s">
        <v>487</v>
      </c>
      <c r="Z4" s="590"/>
      <c r="AA4" s="590"/>
      <c r="AB4" s="960" t="str">
        <f>$B$4</f>
        <v>速杵国東</v>
      </c>
      <c r="AC4" s="960"/>
      <c r="AD4" s="960"/>
      <c r="AE4" s="960"/>
      <c r="AF4" s="960"/>
      <c r="AG4" s="960"/>
      <c r="AH4" s="58" t="s">
        <v>659</v>
      </c>
      <c r="AI4" s="961" t="str">
        <f>$D$4</f>
        <v>フットボールセンター大分きつき(杵築市営サッカー場)</v>
      </c>
      <c r="AJ4" s="961"/>
      <c r="AK4" s="961"/>
      <c r="AL4" s="961"/>
      <c r="AM4" s="961"/>
      <c r="AN4" s="961"/>
      <c r="AO4" s="961"/>
      <c r="AP4" s="961"/>
      <c r="AQ4" s="961"/>
      <c r="AR4" s="961"/>
      <c r="AS4" s="961"/>
      <c r="AT4" s="961"/>
      <c r="AU4" s="961"/>
      <c r="AV4" s="961"/>
      <c r="AW4" s="961"/>
    </row>
    <row r="5" spans="1:67" ht="37.5" customHeight="1" x14ac:dyDescent="0.25">
      <c r="A5" s="190"/>
      <c r="B5" s="190"/>
      <c r="C5" s="190"/>
      <c r="D5" s="190"/>
      <c r="E5" s="190"/>
      <c r="F5" s="190"/>
      <c r="G5" s="190"/>
      <c r="H5" s="190"/>
      <c r="I5" s="190"/>
      <c r="J5" s="190"/>
      <c r="K5" s="190"/>
      <c r="L5" s="190"/>
      <c r="M5" s="190"/>
      <c r="N5" s="190"/>
      <c r="O5" s="190"/>
      <c r="P5" s="190"/>
      <c r="Q5" s="190"/>
      <c r="R5" s="190"/>
      <c r="S5" s="190"/>
      <c r="T5" s="190"/>
      <c r="U5" s="190"/>
      <c r="V5" s="190"/>
      <c r="W5" s="190"/>
      <c r="Y5" s="190"/>
      <c r="Z5" s="190"/>
      <c r="AA5" s="190"/>
    </row>
    <row r="6" spans="1:67" ht="37.5" customHeight="1" x14ac:dyDescent="0.25">
      <c r="A6" s="58" t="s">
        <v>430</v>
      </c>
      <c r="B6" s="236" t="str">
        <f>VLOOKUP(B4,組み合わせ!$AL$95:$BU$112,13,FALSE)</f>
        <v>D</v>
      </c>
      <c r="C6" s="58"/>
      <c r="D6" s="58"/>
      <c r="M6" s="58" t="s">
        <v>430</v>
      </c>
      <c r="N6" s="236" t="str">
        <f>VLOOKUP(N4,組み合わせ!$AL$95:$BU$112,25,FALSE)</f>
        <v>J</v>
      </c>
      <c r="O6" s="229"/>
      <c r="P6" s="229"/>
      <c r="Y6" s="590" t="s">
        <v>430</v>
      </c>
      <c r="Z6" s="590"/>
      <c r="AA6" s="590"/>
      <c r="AB6" s="962" t="str">
        <f>$B$6</f>
        <v>D</v>
      </c>
      <c r="AC6" s="962"/>
      <c r="AD6" s="962"/>
      <c r="AE6" s="962"/>
      <c r="AF6" s="962"/>
      <c r="AG6" s="962"/>
    </row>
    <row r="7" spans="1:67" ht="37.5" customHeight="1" x14ac:dyDescent="0.25">
      <c r="A7" s="58"/>
      <c r="B7" s="202" t="str">
        <f>CONCATENATE($B$6,1)</f>
        <v>D1</v>
      </c>
      <c r="C7" s="998" t="str">
        <f>HLOOKUP(B7,組み合わせ!$B$48:$EO$86,2,FALSE)</f>
        <v>日出サッカースポーツ少年団</v>
      </c>
      <c r="D7" s="998"/>
      <c r="E7" s="998"/>
      <c r="F7" s="998"/>
      <c r="G7" s="998"/>
      <c r="H7" s="998"/>
      <c r="I7" s="998"/>
      <c r="J7" s="998" t="str">
        <f>HLOOKUP(B7,組み合わせ!$B$48:$EO$86,32,FALSE)</f>
        <v>速杵国東</v>
      </c>
      <c r="K7" s="999"/>
      <c r="M7" s="229"/>
      <c r="N7" s="202" t="str">
        <f>CONCATENATE($N$6,1)</f>
        <v>J1</v>
      </c>
      <c r="O7" s="998" t="str">
        <f>HLOOKUP(N7,組み合わせ!$B$48:$EO$86,2,FALSE)</f>
        <v>ＯＫＹ山香サッカークラブ</v>
      </c>
      <c r="P7" s="998"/>
      <c r="Q7" s="998"/>
      <c r="R7" s="998"/>
      <c r="S7" s="998"/>
      <c r="T7" s="998"/>
      <c r="U7" s="998"/>
      <c r="V7" s="998" t="str">
        <f>HLOOKUP(N7,組み合わせ!$B$48:$EO$86,32,FALSE)</f>
        <v>速杵国東</v>
      </c>
      <c r="W7" s="999"/>
      <c r="Y7" s="58"/>
      <c r="Z7" s="713" t="str">
        <f>+B7</f>
        <v>D1</v>
      </c>
      <c r="AA7" s="713"/>
      <c r="AB7" s="713"/>
      <c r="AC7" s="713" t="str">
        <f>$C$7</f>
        <v>日出サッカースポーツ少年団</v>
      </c>
      <c r="AD7" s="713"/>
      <c r="AE7" s="713"/>
      <c r="AF7" s="713"/>
      <c r="AG7" s="713"/>
      <c r="AH7" s="713"/>
      <c r="AI7" s="713"/>
      <c r="AJ7" s="713"/>
      <c r="AK7" s="713"/>
      <c r="AL7" s="713"/>
      <c r="AM7" s="713"/>
      <c r="AN7" s="713"/>
      <c r="AO7" s="713"/>
      <c r="AP7" s="713" t="str">
        <f>$J$7</f>
        <v>速杵国東</v>
      </c>
      <c r="AQ7" s="713"/>
      <c r="AR7" s="713"/>
      <c r="AS7" s="713"/>
    </row>
    <row r="8" spans="1:67" ht="37.5" customHeight="1" x14ac:dyDescent="0.25">
      <c r="A8" s="58"/>
      <c r="B8" s="203" t="str">
        <f>CONCATENATE($B$6,2)</f>
        <v>D2</v>
      </c>
      <c r="C8" s="549" t="str">
        <f>HLOOKUP(B8,組み合わせ!$B$48:$EO$86,2,FALSE)</f>
        <v>大分トリニータＵ－１２</v>
      </c>
      <c r="D8" s="549"/>
      <c r="E8" s="549"/>
      <c r="F8" s="549"/>
      <c r="G8" s="549"/>
      <c r="H8" s="549"/>
      <c r="I8" s="549"/>
      <c r="J8" s="549" t="str">
        <f>HLOOKUP(B8,組み合わせ!$B$48:$EO$86,32,FALSE)</f>
        <v>大分</v>
      </c>
      <c r="K8" s="995"/>
      <c r="M8" s="229"/>
      <c r="N8" s="203" t="str">
        <f>CONCATENATE($N$6,2)</f>
        <v>J2</v>
      </c>
      <c r="O8" s="549" t="str">
        <f>HLOOKUP(N8,組み合わせ!$B$48:$EO$86,2,FALSE)</f>
        <v>滝尾下郡サッカースポーツ少年団</v>
      </c>
      <c r="P8" s="549"/>
      <c r="Q8" s="549"/>
      <c r="R8" s="549"/>
      <c r="S8" s="549"/>
      <c r="T8" s="549"/>
      <c r="U8" s="549"/>
      <c r="V8" s="549" t="str">
        <f>HLOOKUP(N8,組み合わせ!$B$48:$EO$86,32,FALSE)</f>
        <v>大分</v>
      </c>
      <c r="W8" s="995"/>
      <c r="Y8" s="58"/>
      <c r="Z8" s="713" t="str">
        <f>+B8</f>
        <v>D2</v>
      </c>
      <c r="AA8" s="713"/>
      <c r="AB8" s="713"/>
      <c r="AC8" s="713" t="str">
        <f>$C$8</f>
        <v>大分トリニータＵ－１２</v>
      </c>
      <c r="AD8" s="713"/>
      <c r="AE8" s="713"/>
      <c r="AF8" s="713"/>
      <c r="AG8" s="713"/>
      <c r="AH8" s="713"/>
      <c r="AI8" s="713"/>
      <c r="AJ8" s="713"/>
      <c r="AK8" s="713"/>
      <c r="AL8" s="713"/>
      <c r="AM8" s="713"/>
      <c r="AN8" s="713"/>
      <c r="AO8" s="713"/>
      <c r="AP8" s="713" t="str">
        <f>$J$8</f>
        <v>大分</v>
      </c>
      <c r="AQ8" s="713"/>
      <c r="AR8" s="713"/>
      <c r="AS8" s="713"/>
    </row>
    <row r="9" spans="1:67" ht="37.5" customHeight="1" x14ac:dyDescent="0.25">
      <c r="A9" s="190"/>
      <c r="B9" s="204" t="str">
        <f>CONCATENATE($B$6,3)</f>
        <v>D3</v>
      </c>
      <c r="C9" s="996" t="str">
        <f>HLOOKUP(B9,組み合わせ!$B$48:$EO$86,2,FALSE)</f>
        <v>弥生少年サッカークラブ</v>
      </c>
      <c r="D9" s="996"/>
      <c r="E9" s="996"/>
      <c r="F9" s="996"/>
      <c r="G9" s="996"/>
      <c r="H9" s="996"/>
      <c r="I9" s="996"/>
      <c r="J9" s="996" t="str">
        <f>HLOOKUP(B9,組み合わせ!$B$48:$EO$86,32,FALSE)</f>
        <v>佐伯</v>
      </c>
      <c r="K9" s="997"/>
      <c r="L9" s="190"/>
      <c r="M9" s="190"/>
      <c r="N9" s="204" t="str">
        <f>CONCATENATE($N$6,3)</f>
        <v>J3</v>
      </c>
      <c r="O9" s="996" t="str">
        <f>HLOOKUP(N9,組み合わせ!$B$48:$EO$86,2,FALSE)</f>
        <v>はやぶさフットボールクラブ</v>
      </c>
      <c r="P9" s="996"/>
      <c r="Q9" s="996"/>
      <c r="R9" s="996"/>
      <c r="S9" s="996"/>
      <c r="T9" s="996"/>
      <c r="U9" s="996"/>
      <c r="V9" s="996" t="str">
        <f>HLOOKUP(N9,組み合わせ!$B$48:$EO$86,32,FALSE)</f>
        <v>中津</v>
      </c>
      <c r="W9" s="997"/>
      <c r="Y9" s="190"/>
      <c r="Z9" s="713" t="str">
        <f>+B9</f>
        <v>D3</v>
      </c>
      <c r="AA9" s="713"/>
      <c r="AB9" s="713"/>
      <c r="AC9" s="713" t="str">
        <f>$C$9</f>
        <v>弥生少年サッカークラブ</v>
      </c>
      <c r="AD9" s="713"/>
      <c r="AE9" s="713"/>
      <c r="AF9" s="713"/>
      <c r="AG9" s="713"/>
      <c r="AH9" s="713"/>
      <c r="AI9" s="713"/>
      <c r="AJ9" s="713"/>
      <c r="AK9" s="713"/>
      <c r="AL9" s="713"/>
      <c r="AM9" s="713"/>
      <c r="AN9" s="713"/>
      <c r="AO9" s="713"/>
      <c r="AP9" s="713" t="str">
        <f>$J$9</f>
        <v>佐伯</v>
      </c>
      <c r="AQ9" s="713"/>
      <c r="AR9" s="713"/>
      <c r="AS9" s="713"/>
    </row>
    <row r="10" spans="1:67" ht="37.5" customHeight="1" x14ac:dyDescent="0.25">
      <c r="A10" s="191" t="s">
        <v>497</v>
      </c>
      <c r="B10" s="189"/>
      <c r="C10" s="189"/>
      <c r="D10" s="189"/>
      <c r="E10" s="189"/>
      <c r="F10" s="189"/>
      <c r="G10" s="189"/>
      <c r="H10" s="189"/>
      <c r="I10" s="189"/>
      <c r="J10" s="189"/>
      <c r="K10" s="189"/>
      <c r="L10" s="189"/>
      <c r="M10" s="191" t="s">
        <v>637</v>
      </c>
      <c r="N10" s="189"/>
      <c r="O10" s="189"/>
      <c r="P10" s="189"/>
      <c r="Q10" s="189"/>
      <c r="R10" s="189"/>
      <c r="S10" s="189"/>
      <c r="T10" s="189"/>
      <c r="U10" s="189"/>
      <c r="V10" s="189"/>
      <c r="W10" s="189"/>
    </row>
    <row r="12" spans="1:67" ht="18.75" customHeight="1" x14ac:dyDescent="0.25">
      <c r="A12" s="963" t="s">
        <v>789</v>
      </c>
      <c r="B12" s="964" t="str">
        <f>C7</f>
        <v>日出サッカースポーツ少年団</v>
      </c>
      <c r="C12" s="966">
        <f>IF(E12="","",SUM(E12:E13))</f>
        <v>1</v>
      </c>
      <c r="D12" s="940" t="s">
        <v>336</v>
      </c>
      <c r="E12" s="217">
        <v>0</v>
      </c>
      <c r="F12" s="217" t="s">
        <v>61</v>
      </c>
      <c r="G12" s="217">
        <v>6</v>
      </c>
      <c r="H12" s="940" t="s">
        <v>339</v>
      </c>
      <c r="I12" s="966">
        <f>IF(G12="","",SUM(G12:G13))</f>
        <v>11</v>
      </c>
      <c r="J12" s="968" t="str">
        <f>C8</f>
        <v>大分トリニータＵ－１２</v>
      </c>
      <c r="K12" s="190"/>
      <c r="L12" s="190"/>
      <c r="M12" s="969" t="s">
        <v>791</v>
      </c>
      <c r="N12" s="972" t="str">
        <f>O7</f>
        <v>ＯＫＹ山香サッカークラブ</v>
      </c>
      <c r="O12" s="966">
        <f>IF(Q12="","",SUM(Q12:Q13))</f>
        <v>3</v>
      </c>
      <c r="P12" s="940" t="s">
        <v>336</v>
      </c>
      <c r="Q12" s="217">
        <v>2</v>
      </c>
      <c r="R12" s="217" t="s">
        <v>61</v>
      </c>
      <c r="S12" s="217">
        <v>0</v>
      </c>
      <c r="T12" s="940" t="s">
        <v>339</v>
      </c>
      <c r="U12" s="966">
        <f>IF(S12="","",SUM(S12:S13))</f>
        <v>4</v>
      </c>
      <c r="V12" s="968" t="str">
        <f>O8</f>
        <v>滝尾下郡サッカースポーツ少年団</v>
      </c>
    </row>
    <row r="13" spans="1:67" ht="18.75" customHeight="1" x14ac:dyDescent="0.25">
      <c r="A13" s="946"/>
      <c r="B13" s="965"/>
      <c r="C13" s="967"/>
      <c r="D13" s="906"/>
      <c r="E13" s="190">
        <v>1</v>
      </c>
      <c r="F13" s="190" t="s">
        <v>126</v>
      </c>
      <c r="G13" s="190">
        <v>5</v>
      </c>
      <c r="H13" s="906"/>
      <c r="I13" s="967"/>
      <c r="J13" s="957"/>
      <c r="K13" s="190"/>
      <c r="L13" s="190"/>
      <c r="M13" s="970"/>
      <c r="N13" s="973"/>
      <c r="O13" s="967"/>
      <c r="P13" s="906"/>
      <c r="Q13" s="190">
        <v>1</v>
      </c>
      <c r="R13" s="190" t="s">
        <v>126</v>
      </c>
      <c r="S13" s="190">
        <v>4</v>
      </c>
      <c r="T13" s="906"/>
      <c r="U13" s="967"/>
      <c r="V13" s="957"/>
    </row>
    <row r="14" spans="1:67" ht="19.5" customHeight="1" x14ac:dyDescent="0.25">
      <c r="A14" s="946"/>
      <c r="B14" s="980"/>
      <c r="C14" s="967"/>
      <c r="D14" s="906"/>
      <c r="E14" s="190"/>
      <c r="F14" s="190" t="s">
        <v>407</v>
      </c>
      <c r="G14" s="190"/>
      <c r="H14" s="906"/>
      <c r="I14" s="967"/>
      <c r="J14" s="958"/>
      <c r="K14" s="190"/>
      <c r="L14" s="190"/>
      <c r="M14" s="971"/>
      <c r="N14" s="974"/>
      <c r="O14" s="975"/>
      <c r="P14" s="908"/>
      <c r="Q14" s="190"/>
      <c r="R14" s="190" t="s">
        <v>407</v>
      </c>
      <c r="S14" s="190"/>
      <c r="T14" s="908"/>
      <c r="U14" s="975"/>
      <c r="V14" s="976"/>
    </row>
    <row r="15" spans="1:67" ht="18.75" customHeight="1" x14ac:dyDescent="0.25">
      <c r="A15" s="192" t="s">
        <v>2463</v>
      </c>
      <c r="B15" s="989" t="s">
        <v>15150</v>
      </c>
      <c r="C15" s="989"/>
      <c r="D15" s="989"/>
      <c r="E15" s="989"/>
      <c r="F15" s="989"/>
      <c r="G15" s="990" t="s">
        <v>2464</v>
      </c>
      <c r="H15" s="990"/>
      <c r="I15" s="990"/>
      <c r="J15" s="991" t="s">
        <v>15152</v>
      </c>
      <c r="K15" s="991"/>
      <c r="L15" s="190"/>
      <c r="M15" s="192" t="s">
        <v>2463</v>
      </c>
      <c r="N15" s="989" t="s">
        <v>15180</v>
      </c>
      <c r="O15" s="989"/>
      <c r="P15" s="989"/>
      <c r="Q15" s="989"/>
      <c r="R15" s="989"/>
      <c r="S15" s="990" t="s">
        <v>2464</v>
      </c>
      <c r="T15" s="990"/>
      <c r="U15" s="990"/>
      <c r="V15" s="991" t="s">
        <v>15152</v>
      </c>
      <c r="W15" s="991"/>
      <c r="Y15" s="954" t="str">
        <f>$Y$6</f>
        <v>パート</v>
      </c>
      <c r="Z15" s="955"/>
      <c r="AA15" s="955"/>
      <c r="AB15" s="955"/>
      <c r="AC15" s="955" t="str">
        <f>$AB$6</f>
        <v>D</v>
      </c>
      <c r="AD15" s="955"/>
      <c r="AE15" s="956"/>
      <c r="AF15" s="945" t="str">
        <f>$Y$21</f>
        <v>日出サッカースポーツ少年団</v>
      </c>
      <c r="AG15" s="945"/>
      <c r="AH15" s="945"/>
      <c r="AI15" s="945"/>
      <c r="AJ15" s="945"/>
      <c r="AK15" s="945" t="str">
        <f>$Y$27</f>
        <v>大分トリニータＵ－１２</v>
      </c>
      <c r="AL15" s="945"/>
      <c r="AM15" s="945"/>
      <c r="AN15" s="945"/>
      <c r="AO15" s="945"/>
      <c r="AP15" s="945" t="str">
        <f>$Y$33</f>
        <v>弥生少年サッカークラブ</v>
      </c>
      <c r="AQ15" s="945"/>
      <c r="AR15" s="945"/>
      <c r="AS15" s="945"/>
      <c r="AT15" s="945"/>
      <c r="AU15" s="945" t="s">
        <v>1535</v>
      </c>
      <c r="AV15" s="945"/>
      <c r="AW15" s="944" t="s">
        <v>2060</v>
      </c>
      <c r="AX15" s="945"/>
      <c r="AY15" s="944" t="s">
        <v>1208</v>
      </c>
      <c r="AZ15" s="945"/>
      <c r="BA15" s="945" t="s">
        <v>1727</v>
      </c>
      <c r="BB15" s="945"/>
      <c r="BC15" s="945" t="s">
        <v>2005</v>
      </c>
      <c r="BD15" s="945"/>
      <c r="BE15" s="945" t="s">
        <v>2006</v>
      </c>
      <c r="BF15" s="945"/>
      <c r="BG15" s="945" t="s">
        <v>1768</v>
      </c>
      <c r="BH15" s="945"/>
      <c r="BI15" s="944" t="s">
        <v>698</v>
      </c>
      <c r="BJ15" s="945"/>
      <c r="BK15" s="944" t="s">
        <v>1100</v>
      </c>
      <c r="BL15" s="945"/>
      <c r="BM15" s="944" t="s">
        <v>502</v>
      </c>
      <c r="BN15" s="945"/>
      <c r="BO15" s="947" t="s">
        <v>2127</v>
      </c>
    </row>
    <row r="16" spans="1:67" x14ac:dyDescent="0.25">
      <c r="A16" s="193" t="s">
        <v>2465</v>
      </c>
      <c r="B16" s="992" t="s">
        <v>15150</v>
      </c>
      <c r="C16" s="992"/>
      <c r="D16" s="992"/>
      <c r="E16" s="992"/>
      <c r="F16" s="992"/>
      <c r="G16" s="983" t="s">
        <v>2464</v>
      </c>
      <c r="H16" s="984"/>
      <c r="I16" s="985"/>
      <c r="J16" s="993" t="s">
        <v>15153</v>
      </c>
      <c r="K16" s="993"/>
      <c r="L16" s="190"/>
      <c r="M16" s="193" t="s">
        <v>2465</v>
      </c>
      <c r="N16" s="992" t="s">
        <v>15180</v>
      </c>
      <c r="O16" s="992"/>
      <c r="P16" s="992"/>
      <c r="Q16" s="992"/>
      <c r="R16" s="992"/>
      <c r="S16" s="983" t="s">
        <v>2464</v>
      </c>
      <c r="T16" s="984"/>
      <c r="U16" s="985"/>
      <c r="V16" s="993" t="s">
        <v>15153</v>
      </c>
      <c r="W16" s="993"/>
      <c r="Y16" s="905"/>
      <c r="Z16" s="906"/>
      <c r="AA16" s="906"/>
      <c r="AB16" s="906"/>
      <c r="AC16" s="906"/>
      <c r="AD16" s="906"/>
      <c r="AE16" s="957"/>
      <c r="AF16" s="946"/>
      <c r="AG16" s="946"/>
      <c r="AH16" s="946"/>
      <c r="AI16" s="946"/>
      <c r="AJ16" s="946"/>
      <c r="AK16" s="946"/>
      <c r="AL16" s="946"/>
      <c r="AM16" s="946"/>
      <c r="AN16" s="946"/>
      <c r="AO16" s="946"/>
      <c r="AP16" s="946"/>
      <c r="AQ16" s="946"/>
      <c r="AR16" s="946"/>
      <c r="AS16" s="946"/>
      <c r="AT16" s="946"/>
      <c r="AU16" s="946"/>
      <c r="AV16" s="946"/>
      <c r="AW16" s="946"/>
      <c r="AX16" s="946"/>
      <c r="AY16" s="946"/>
      <c r="AZ16" s="946"/>
      <c r="BA16" s="946"/>
      <c r="BB16" s="946"/>
      <c r="BC16" s="946"/>
      <c r="BD16" s="946"/>
      <c r="BE16" s="946"/>
      <c r="BF16" s="946"/>
      <c r="BG16" s="946"/>
      <c r="BH16" s="946"/>
      <c r="BI16" s="946"/>
      <c r="BJ16" s="946"/>
      <c r="BK16" s="946"/>
      <c r="BL16" s="946"/>
      <c r="BM16" s="946"/>
      <c r="BN16" s="946"/>
      <c r="BO16" s="948"/>
    </row>
    <row r="17" spans="1:67" x14ac:dyDescent="0.25">
      <c r="A17" s="194" t="s">
        <v>2466</v>
      </c>
      <c r="B17" s="982" t="s">
        <v>15151</v>
      </c>
      <c r="C17" s="982"/>
      <c r="D17" s="982"/>
      <c r="E17" s="982"/>
      <c r="F17" s="982"/>
      <c r="G17" s="983" t="s">
        <v>2464</v>
      </c>
      <c r="H17" s="984"/>
      <c r="I17" s="985"/>
      <c r="J17" s="986" t="s">
        <v>15153</v>
      </c>
      <c r="K17" s="986"/>
      <c r="L17" s="190"/>
      <c r="M17" s="194" t="s">
        <v>2466</v>
      </c>
      <c r="N17" s="982" t="s">
        <v>15181</v>
      </c>
      <c r="O17" s="982"/>
      <c r="P17" s="982"/>
      <c r="Q17" s="982"/>
      <c r="R17" s="982"/>
      <c r="S17" s="983" t="s">
        <v>2464</v>
      </c>
      <c r="T17" s="984"/>
      <c r="U17" s="985"/>
      <c r="V17" s="986" t="s">
        <v>15153</v>
      </c>
      <c r="W17" s="986"/>
      <c r="Y17" s="905"/>
      <c r="Z17" s="906"/>
      <c r="AA17" s="906"/>
      <c r="AB17" s="906"/>
      <c r="AC17" s="906"/>
      <c r="AD17" s="906"/>
      <c r="AE17" s="957"/>
      <c r="AF17" s="946"/>
      <c r="AG17" s="946"/>
      <c r="AH17" s="946"/>
      <c r="AI17" s="946"/>
      <c r="AJ17" s="946"/>
      <c r="AK17" s="946"/>
      <c r="AL17" s="946"/>
      <c r="AM17" s="946"/>
      <c r="AN17" s="946"/>
      <c r="AO17" s="946"/>
      <c r="AP17" s="946"/>
      <c r="AQ17" s="946"/>
      <c r="AR17" s="946"/>
      <c r="AS17" s="946"/>
      <c r="AT17" s="946"/>
      <c r="AU17" s="946"/>
      <c r="AV17" s="946"/>
      <c r="AW17" s="946"/>
      <c r="AX17" s="946"/>
      <c r="AY17" s="946"/>
      <c r="AZ17" s="946"/>
      <c r="BA17" s="946"/>
      <c r="BB17" s="946"/>
      <c r="BC17" s="946"/>
      <c r="BD17" s="946"/>
      <c r="BE17" s="946"/>
      <c r="BF17" s="946"/>
      <c r="BG17" s="946"/>
      <c r="BH17" s="946"/>
      <c r="BI17" s="946"/>
      <c r="BJ17" s="946"/>
      <c r="BK17" s="946"/>
      <c r="BL17" s="946"/>
      <c r="BM17" s="946"/>
      <c r="BN17" s="946"/>
      <c r="BO17" s="948"/>
    </row>
    <row r="18" spans="1:67" x14ac:dyDescent="0.25">
      <c r="A18" s="195" t="s">
        <v>609</v>
      </c>
      <c r="B18" s="205" t="str">
        <f>IF(ISERROR(VLOOKUP(G18,審判員!$A:$C,2,FALSE))=TRUE,"",VLOOKUP(G18,審判員!$A:$C,2,FALSE))</f>
        <v>箕迫　雄介</v>
      </c>
      <c r="C18" s="211">
        <f>IF(ISERROR(VLOOKUP(G18,審判員!$A:$C,3,FALSE))=TRUE,"",VLOOKUP(G18,審判員!$A:$C,3,FALSE))</f>
        <v>3</v>
      </c>
      <c r="D18" s="218" t="s">
        <v>612</v>
      </c>
      <c r="E18" s="955" t="s">
        <v>201</v>
      </c>
      <c r="F18" s="955"/>
      <c r="G18" s="955" t="s">
        <v>15154</v>
      </c>
      <c r="H18" s="955"/>
      <c r="I18" s="955"/>
      <c r="J18" s="987" t="s">
        <v>788</v>
      </c>
      <c r="K18" s="988"/>
      <c r="L18" s="190"/>
      <c r="M18" s="195" t="s">
        <v>609</v>
      </c>
      <c r="N18" s="205" t="str">
        <f>IF(ISERROR(VLOOKUP(S18,審判員!$A:$C,2,FALSE))=TRUE,"",VLOOKUP(S18,審判員!$A:$C,2,FALSE))</f>
        <v>酒井　隆宏</v>
      </c>
      <c r="O18" s="211">
        <f>IF(ISERROR(VLOOKUP(S18,審判員!$A:$C,3,FALSE))=TRUE,"",VLOOKUP(S18,審判員!$A:$C,3,FALSE))</f>
        <v>3</v>
      </c>
      <c r="P18" s="218" t="s">
        <v>612</v>
      </c>
      <c r="Q18" s="955" t="s">
        <v>201</v>
      </c>
      <c r="R18" s="955"/>
      <c r="S18" s="955" t="s">
        <v>15182</v>
      </c>
      <c r="T18" s="955"/>
      <c r="U18" s="955"/>
      <c r="V18" s="987" t="s">
        <v>788</v>
      </c>
      <c r="W18" s="988"/>
      <c r="Y18" s="905"/>
      <c r="Z18" s="906"/>
      <c r="AA18" s="906"/>
      <c r="AB18" s="906"/>
      <c r="AC18" s="906"/>
      <c r="AD18" s="906"/>
      <c r="AE18" s="957"/>
      <c r="AF18" s="946"/>
      <c r="AG18" s="946"/>
      <c r="AH18" s="946"/>
      <c r="AI18" s="946"/>
      <c r="AJ18" s="946"/>
      <c r="AK18" s="946"/>
      <c r="AL18" s="946"/>
      <c r="AM18" s="946"/>
      <c r="AN18" s="946"/>
      <c r="AO18" s="946"/>
      <c r="AP18" s="946"/>
      <c r="AQ18" s="946"/>
      <c r="AR18" s="946"/>
      <c r="AS18" s="946"/>
      <c r="AT18" s="946"/>
      <c r="AU18" s="946"/>
      <c r="AV18" s="946"/>
      <c r="AW18" s="946"/>
      <c r="AX18" s="946"/>
      <c r="AY18" s="946"/>
      <c r="AZ18" s="946"/>
      <c r="BA18" s="946"/>
      <c r="BB18" s="946"/>
      <c r="BC18" s="946"/>
      <c r="BD18" s="946"/>
      <c r="BE18" s="946"/>
      <c r="BF18" s="946"/>
      <c r="BG18" s="946"/>
      <c r="BH18" s="946"/>
      <c r="BI18" s="946"/>
      <c r="BJ18" s="946"/>
      <c r="BK18" s="946"/>
      <c r="BL18" s="946"/>
      <c r="BM18" s="946"/>
      <c r="BN18" s="946"/>
      <c r="BO18" s="948"/>
    </row>
    <row r="19" spans="1:67" x14ac:dyDescent="0.25">
      <c r="A19" s="196" t="s">
        <v>704</v>
      </c>
      <c r="B19" s="206" t="str">
        <f>IF(ISERROR(VLOOKUP(G19,審判員!$A:$C,2,FALSE))=TRUE,"",VLOOKUP(G19,審判員!$A:$C,2,FALSE))</f>
        <v>長野　高志</v>
      </c>
      <c r="C19" s="212">
        <f>IF(ISERROR(VLOOKUP(G19,審判員!$A:$C,3,FALSE))=TRUE,"",VLOOKUP(G19,審判員!$A:$C,3,FALSE))</f>
        <v>3</v>
      </c>
      <c r="D19" s="219" t="s">
        <v>612</v>
      </c>
      <c r="E19" s="906" t="s">
        <v>1286</v>
      </c>
      <c r="F19" s="906"/>
      <c r="G19" s="906" t="s">
        <v>15155</v>
      </c>
      <c r="H19" s="906"/>
      <c r="I19" s="906"/>
      <c r="J19" s="891" t="str">
        <f>N12</f>
        <v>ＯＫＹ山香サッカークラブ</v>
      </c>
      <c r="K19" s="981"/>
      <c r="L19" s="190"/>
      <c r="M19" s="196" t="s">
        <v>704</v>
      </c>
      <c r="N19" s="206" t="str">
        <f>IF(ISERROR(VLOOKUP(S19,審判員!$A:$C,2,FALSE))=TRUE,"",VLOOKUP(S19,審判員!$A:$C,2,FALSE))</f>
        <v>笠置　忠照</v>
      </c>
      <c r="O19" s="212">
        <f>IF(ISERROR(VLOOKUP(S19,審判員!$A:$C,3,FALSE))=TRUE,"",VLOOKUP(S19,審判員!$A:$C,3,FALSE))</f>
        <v>3</v>
      </c>
      <c r="P19" s="219" t="s">
        <v>612</v>
      </c>
      <c r="Q19" s="906" t="s">
        <v>1286</v>
      </c>
      <c r="R19" s="906"/>
      <c r="S19" s="906" t="s">
        <v>15183</v>
      </c>
      <c r="T19" s="906"/>
      <c r="U19" s="906"/>
      <c r="V19" s="891" t="str">
        <f>B12</f>
        <v>日出サッカースポーツ少年団</v>
      </c>
      <c r="W19" s="981"/>
      <c r="Y19" s="905"/>
      <c r="Z19" s="906"/>
      <c r="AA19" s="906"/>
      <c r="AB19" s="906"/>
      <c r="AC19" s="906"/>
      <c r="AD19" s="906"/>
      <c r="AE19" s="957"/>
      <c r="AF19" s="946"/>
      <c r="AG19" s="946"/>
      <c r="AH19" s="946"/>
      <c r="AI19" s="946"/>
      <c r="AJ19" s="946"/>
      <c r="AK19" s="946"/>
      <c r="AL19" s="946"/>
      <c r="AM19" s="946"/>
      <c r="AN19" s="946"/>
      <c r="AO19" s="946"/>
      <c r="AP19" s="946"/>
      <c r="AQ19" s="946"/>
      <c r="AR19" s="946"/>
      <c r="AS19" s="946"/>
      <c r="AT19" s="946"/>
      <c r="AU19" s="946"/>
      <c r="AV19" s="946"/>
      <c r="AW19" s="946"/>
      <c r="AX19" s="946"/>
      <c r="AY19" s="946"/>
      <c r="AZ19" s="946"/>
      <c r="BA19" s="946"/>
      <c r="BB19" s="946"/>
      <c r="BC19" s="946"/>
      <c r="BD19" s="946"/>
      <c r="BE19" s="946"/>
      <c r="BF19" s="946"/>
      <c r="BG19" s="946"/>
      <c r="BH19" s="946"/>
      <c r="BI19" s="946"/>
      <c r="BJ19" s="946"/>
      <c r="BK19" s="946"/>
      <c r="BL19" s="946"/>
      <c r="BM19" s="946"/>
      <c r="BN19" s="946"/>
      <c r="BO19" s="948"/>
    </row>
    <row r="20" spans="1:67" x14ac:dyDescent="0.25">
      <c r="A20" s="196" t="s">
        <v>2007</v>
      </c>
      <c r="B20" s="206" t="str">
        <f>IF(ISERROR(VLOOKUP(G20,審判員!$A:$C,2,FALSE))=TRUE,"",VLOOKUP(G20,審判員!$A:$C,2,FALSE))</f>
        <v>宮迫　利範</v>
      </c>
      <c r="C20" s="212">
        <f>IF(ISERROR(VLOOKUP(G20,審判員!$A:$C,3,FALSE))=TRUE,"",VLOOKUP(G20,審判員!$A:$C,3,FALSE))</f>
        <v>3</v>
      </c>
      <c r="D20" s="219" t="s">
        <v>612</v>
      </c>
      <c r="E20" s="906" t="s">
        <v>1286</v>
      </c>
      <c r="F20" s="906"/>
      <c r="G20" s="906" t="s">
        <v>15156</v>
      </c>
      <c r="H20" s="906"/>
      <c r="I20" s="906"/>
      <c r="J20" s="891" t="str">
        <f>V12</f>
        <v>滝尾下郡サッカースポーツ少年団</v>
      </c>
      <c r="K20" s="981"/>
      <c r="L20" s="190"/>
      <c r="M20" s="196" t="s">
        <v>2007</v>
      </c>
      <c r="N20" s="206" t="str">
        <f>IF(ISERROR(VLOOKUP(S20,審判員!$A:$C,2,FALSE))=TRUE,"",VLOOKUP(S20,審判員!$A:$C,2,FALSE))</f>
        <v>小川　翔太</v>
      </c>
      <c r="O20" s="212">
        <f>IF(ISERROR(VLOOKUP(S20,審判員!$A:$C,3,FALSE))=TRUE,"",VLOOKUP(S20,審判員!$A:$C,3,FALSE))</f>
        <v>3</v>
      </c>
      <c r="P20" s="219" t="s">
        <v>612</v>
      </c>
      <c r="Q20" s="906" t="s">
        <v>1286</v>
      </c>
      <c r="R20" s="906"/>
      <c r="S20" s="906" t="s">
        <v>15184</v>
      </c>
      <c r="T20" s="906"/>
      <c r="U20" s="906"/>
      <c r="V20" s="891" t="str">
        <f>J12</f>
        <v>大分トリニータＵ－１２</v>
      </c>
      <c r="W20" s="981"/>
      <c r="Y20" s="941"/>
      <c r="Z20" s="936"/>
      <c r="AA20" s="936"/>
      <c r="AB20" s="936"/>
      <c r="AC20" s="936"/>
      <c r="AD20" s="936"/>
      <c r="AE20" s="958"/>
      <c r="AF20" s="946"/>
      <c r="AG20" s="946"/>
      <c r="AH20" s="946"/>
      <c r="AI20" s="946"/>
      <c r="AJ20" s="946"/>
      <c r="AK20" s="946"/>
      <c r="AL20" s="946"/>
      <c r="AM20" s="946"/>
      <c r="AN20" s="946"/>
      <c r="AO20" s="946"/>
      <c r="AP20" s="946"/>
      <c r="AQ20" s="946"/>
      <c r="AR20" s="946"/>
      <c r="AS20" s="946"/>
      <c r="AT20" s="946"/>
      <c r="AU20" s="946"/>
      <c r="AV20" s="946"/>
      <c r="AW20" s="946"/>
      <c r="AX20" s="946"/>
      <c r="AY20" s="946"/>
      <c r="AZ20" s="946"/>
      <c r="BA20" s="946"/>
      <c r="BB20" s="946"/>
      <c r="BC20" s="946"/>
      <c r="BD20" s="946"/>
      <c r="BE20" s="946"/>
      <c r="BF20" s="946"/>
      <c r="BG20" s="946"/>
      <c r="BH20" s="946"/>
      <c r="BI20" s="946"/>
      <c r="BJ20" s="946"/>
      <c r="BK20" s="946"/>
      <c r="BL20" s="946"/>
      <c r="BM20" s="946"/>
      <c r="BN20" s="946"/>
      <c r="BO20" s="949"/>
    </row>
    <row r="21" spans="1:67" ht="18.75" customHeight="1" x14ac:dyDescent="0.25">
      <c r="A21" s="197" t="s">
        <v>2008</v>
      </c>
      <c r="B21" s="207" t="str">
        <f>IF(ISERROR(VLOOKUP(G21,審判員!$A:$C,2,FALSE))=TRUE,"",VLOOKUP(G21,審判員!$A:$C,2,FALSE))</f>
        <v>藤原　佑史朗</v>
      </c>
      <c r="C21" s="213">
        <f>IF(ISERROR(VLOOKUP(G21,審判員!$A:$C,3,FALSE))=TRUE,"",VLOOKUP(G21,審判員!$A:$C,3,FALSE))</f>
        <v>3</v>
      </c>
      <c r="D21" s="220" t="s">
        <v>612</v>
      </c>
      <c r="E21" s="977" t="s">
        <v>1286</v>
      </c>
      <c r="F21" s="977"/>
      <c r="G21" s="977" t="s">
        <v>15157</v>
      </c>
      <c r="H21" s="977"/>
      <c r="I21" s="977"/>
      <c r="J21" s="978" t="s">
        <v>788</v>
      </c>
      <c r="K21" s="979"/>
      <c r="L21" s="190"/>
      <c r="M21" s="197" t="s">
        <v>2008</v>
      </c>
      <c r="N21" s="207" t="str">
        <f>IF(ISERROR(VLOOKUP(S21,審判員!$A:$C,2,FALSE))=TRUE,"",VLOOKUP(S21,審判員!$A:$C,2,FALSE))</f>
        <v>大本　敏行</v>
      </c>
      <c r="O21" s="213">
        <f>IF(ISERROR(VLOOKUP(S21,審判員!$A:$C,3,FALSE))=TRUE,"",VLOOKUP(S21,審判員!$A:$C,3,FALSE))</f>
        <v>3</v>
      </c>
      <c r="P21" s="220" t="s">
        <v>612</v>
      </c>
      <c r="Q21" s="977" t="s">
        <v>1286</v>
      </c>
      <c r="R21" s="977"/>
      <c r="S21" s="977" t="s">
        <v>15185</v>
      </c>
      <c r="T21" s="977"/>
      <c r="U21" s="977"/>
      <c r="V21" s="978" t="s">
        <v>788</v>
      </c>
      <c r="W21" s="979"/>
      <c r="Y21" s="939" t="str">
        <f>$AC$7</f>
        <v>日出サッカースポーツ少年団</v>
      </c>
      <c r="Z21" s="940"/>
      <c r="AA21" s="940"/>
      <c r="AB21" s="940"/>
      <c r="AC21" s="940"/>
      <c r="AD21" s="940" t="s">
        <v>242</v>
      </c>
      <c r="AE21" s="940"/>
      <c r="AF21" s="950"/>
      <c r="AG21" s="942"/>
      <c r="AH21" s="942"/>
      <c r="AI21" s="942"/>
      <c r="AJ21" s="951"/>
      <c r="AK21" s="923" t="str">
        <f>IF(AK25="","",IF(AK25&gt;AN25,"○",IF(AK25&lt;AN25,"●",IF(AK23&gt;AN23,"△",IF(AK23&lt;AN23,"▲")))))</f>
        <v>●</v>
      </c>
      <c r="AL21" s="924"/>
      <c r="AM21" s="924"/>
      <c r="AN21" s="924"/>
      <c r="AO21" s="925"/>
      <c r="AP21" s="923" t="str">
        <f>IF(AP25="","",IF(AP25&gt;AS25,"○",IF(AP25&lt;AS25,"●",IF(AP23&gt;AS23,"△",IF(AP23&lt;AS23,"▲")))))</f>
        <v>●</v>
      </c>
      <c r="AQ21" s="924"/>
      <c r="AR21" s="924"/>
      <c r="AS21" s="924"/>
      <c r="AT21" s="925"/>
      <c r="AU21" s="903">
        <f>COUNTIF($AF$21:$AT$22,"○")</f>
        <v>0</v>
      </c>
      <c r="AV21" s="903"/>
      <c r="AW21" s="903">
        <f>COUNTIF($AF$21:$AT$22,"△")</f>
        <v>0</v>
      </c>
      <c r="AX21" s="903"/>
      <c r="AY21" s="903">
        <f>COUNTIF($AF$21:$AT$22,"▲")</f>
        <v>0</v>
      </c>
      <c r="AZ21" s="903"/>
      <c r="BA21" s="903">
        <f>COUNTIF($AF$21:$AT$22,"●")</f>
        <v>2</v>
      </c>
      <c r="BB21" s="903"/>
      <c r="BC21" s="903">
        <f>SUM($AK$25,$AP$25)</f>
        <v>1</v>
      </c>
      <c r="BD21" s="903"/>
      <c r="BE21" s="903">
        <f>SUM($AN$25,$AS$25)</f>
        <v>13</v>
      </c>
      <c r="BF21" s="903"/>
      <c r="BG21" s="903">
        <f>($AU$21*3)+($AW$21*2)+($AY$21*1)</f>
        <v>0</v>
      </c>
      <c r="BH21" s="903"/>
      <c r="BI21" s="910">
        <f>RANK($BG$21,$BG$21:$BH$38)</f>
        <v>3</v>
      </c>
      <c r="BJ21" s="910"/>
      <c r="BK21" s="903">
        <f>$BC$21-$BE$21</f>
        <v>-12</v>
      </c>
      <c r="BL21" s="903"/>
      <c r="BM21" s="910">
        <f>RANK($BK$21,$BK$21:$BL$38)</f>
        <v>3</v>
      </c>
      <c r="BN21" s="910"/>
      <c r="BO21" s="912"/>
    </row>
    <row r="22" spans="1:67" ht="18.75" customHeight="1" x14ac:dyDescent="0.25">
      <c r="A22" s="198" t="s">
        <v>469</v>
      </c>
      <c r="B22" s="208" t="s">
        <v>606</v>
      </c>
      <c r="C22" s="208" t="s">
        <v>234</v>
      </c>
      <c r="D22" s="208" t="s">
        <v>272</v>
      </c>
      <c r="E22" s="208" t="s">
        <v>750</v>
      </c>
      <c r="F22" s="223"/>
      <c r="G22" s="208" t="s">
        <v>750</v>
      </c>
      <c r="H22" s="208" t="s">
        <v>272</v>
      </c>
      <c r="I22" s="208" t="s">
        <v>234</v>
      </c>
      <c r="J22" s="208" t="s">
        <v>606</v>
      </c>
      <c r="K22" s="225" t="s">
        <v>469</v>
      </c>
      <c r="L22" s="190"/>
      <c r="M22" s="198" t="s">
        <v>469</v>
      </c>
      <c r="N22" s="208" t="s">
        <v>606</v>
      </c>
      <c r="O22" s="208" t="s">
        <v>234</v>
      </c>
      <c r="P22" s="208" t="s">
        <v>272</v>
      </c>
      <c r="Q22" s="208" t="s">
        <v>750</v>
      </c>
      <c r="R22" s="223"/>
      <c r="S22" s="208" t="s">
        <v>750</v>
      </c>
      <c r="T22" s="208" t="s">
        <v>272</v>
      </c>
      <c r="U22" s="208" t="s">
        <v>234</v>
      </c>
      <c r="V22" s="208" t="s">
        <v>606</v>
      </c>
      <c r="W22" s="225" t="s">
        <v>469</v>
      </c>
      <c r="Y22" s="905"/>
      <c r="Z22" s="906"/>
      <c r="AA22" s="906"/>
      <c r="AB22" s="906"/>
      <c r="AC22" s="906"/>
      <c r="AD22" s="906"/>
      <c r="AE22" s="906"/>
      <c r="AF22" s="929"/>
      <c r="AG22" s="930"/>
      <c r="AH22" s="930"/>
      <c r="AI22" s="930"/>
      <c r="AJ22" s="931"/>
      <c r="AK22" s="917"/>
      <c r="AL22" s="918"/>
      <c r="AM22" s="918"/>
      <c r="AN22" s="918"/>
      <c r="AO22" s="920"/>
      <c r="AP22" s="917"/>
      <c r="AQ22" s="918"/>
      <c r="AR22" s="918"/>
      <c r="AS22" s="918"/>
      <c r="AT22" s="920"/>
      <c r="AU22" s="903"/>
      <c r="AV22" s="903"/>
      <c r="AW22" s="903"/>
      <c r="AX22" s="903"/>
      <c r="AY22" s="903"/>
      <c r="AZ22" s="903"/>
      <c r="BA22" s="903"/>
      <c r="BB22" s="903"/>
      <c r="BC22" s="903"/>
      <c r="BD22" s="903"/>
      <c r="BE22" s="903"/>
      <c r="BF22" s="903"/>
      <c r="BG22" s="903"/>
      <c r="BH22" s="903"/>
      <c r="BI22" s="910"/>
      <c r="BJ22" s="910"/>
      <c r="BK22" s="903"/>
      <c r="BL22" s="903"/>
      <c r="BM22" s="910"/>
      <c r="BN22" s="910"/>
      <c r="BO22" s="913"/>
    </row>
    <row r="23" spans="1:67" ht="18.75" customHeight="1" x14ac:dyDescent="0.25">
      <c r="A23" s="199"/>
      <c r="B23" s="209" t="str">
        <f>IF(ISERROR(VLOOKUP(CONCATENATE($B$12,"_",C23),選手名簿!$A:$E,5,FALSE))=TRUE,"",VLOOKUP(CONCATENATE($B$12,"_",C23),選手名簿!$A:$E,5,FALSE))</f>
        <v/>
      </c>
      <c r="C23" s="214"/>
      <c r="D23" s="214"/>
      <c r="E23" s="221"/>
      <c r="F23" s="223"/>
      <c r="G23" s="221"/>
      <c r="H23" s="214"/>
      <c r="I23" s="214"/>
      <c r="J23" s="206" t="str">
        <f>IF(ISERROR(VLOOKUP(CONCATENATE($J$12,"_",I23),選手名簿!$A:$E,5,FALSE))=TRUE,"",VLOOKUP(CONCATENATE($J$12,"_",I23),選手名簿!$A:$E,5,FALSE))</f>
        <v/>
      </c>
      <c r="K23" s="226"/>
      <c r="L23" s="190"/>
      <c r="M23" s="199"/>
      <c r="N23" s="209" t="str">
        <f>IF(ISERROR(VLOOKUP(CONCATENATE($N$12,"_",O23),選手名簿!$A:$E,5,FALSE))=TRUE,"",VLOOKUP(CONCATENATE($N$12,"_",O23),選手名簿!$A:$E,5,FALSE))</f>
        <v/>
      </c>
      <c r="O23" s="214"/>
      <c r="P23" s="214"/>
      <c r="Q23" s="221"/>
      <c r="R23" s="223"/>
      <c r="S23" s="221"/>
      <c r="T23" s="214"/>
      <c r="U23" s="214"/>
      <c r="V23" s="206" t="str">
        <f>IF(ISERROR(VLOOKUP(CONCATENATE($V$12,"_",U23),選手名簿!$A:$E,5,FALSE))=TRUE,"",VLOOKUP(CONCATENATE($V$12,"_",U23),選手名簿!$A:$E,5,FALSE))</f>
        <v/>
      </c>
      <c r="W23" s="226"/>
      <c r="Y23" s="905"/>
      <c r="Z23" s="906"/>
      <c r="AA23" s="906"/>
      <c r="AB23" s="906"/>
      <c r="AC23" s="906"/>
      <c r="AD23" s="906"/>
      <c r="AE23" s="906"/>
      <c r="AF23" s="929"/>
      <c r="AG23" s="930"/>
      <c r="AH23" s="930"/>
      <c r="AI23" s="930"/>
      <c r="AJ23" s="931"/>
      <c r="AK23" s="915" t="str">
        <f>IF($E$14="","",$E$14)</f>
        <v/>
      </c>
      <c r="AL23" s="916"/>
      <c r="AM23" s="916" t="s">
        <v>2011</v>
      </c>
      <c r="AN23" s="916" t="str">
        <f>IF($G$14="","",$G$14)</f>
        <v/>
      </c>
      <c r="AO23" s="919"/>
      <c r="AP23" s="915" t="str">
        <f>IF($G$50="","",$G$50)</f>
        <v/>
      </c>
      <c r="AQ23" s="916"/>
      <c r="AR23" s="916" t="s">
        <v>2011</v>
      </c>
      <c r="AS23" s="916" t="str">
        <f>IF($E$50="","",$E$50)</f>
        <v/>
      </c>
      <c r="AT23" s="919"/>
      <c r="AU23" s="903"/>
      <c r="AV23" s="903"/>
      <c r="AW23" s="903"/>
      <c r="AX23" s="903"/>
      <c r="AY23" s="903"/>
      <c r="AZ23" s="903"/>
      <c r="BA23" s="903"/>
      <c r="BB23" s="903"/>
      <c r="BC23" s="903"/>
      <c r="BD23" s="903"/>
      <c r="BE23" s="903"/>
      <c r="BF23" s="903"/>
      <c r="BG23" s="903"/>
      <c r="BH23" s="903"/>
      <c r="BI23" s="910"/>
      <c r="BJ23" s="910"/>
      <c r="BK23" s="903"/>
      <c r="BL23" s="903"/>
      <c r="BM23" s="910"/>
      <c r="BN23" s="910"/>
      <c r="BO23" s="913"/>
    </row>
    <row r="24" spans="1:67" ht="18.75" customHeight="1" x14ac:dyDescent="0.25">
      <c r="A24" s="199"/>
      <c r="B24" s="209" t="str">
        <f>IF(ISERROR(VLOOKUP(CONCATENATE($B$12,"_",C24),選手名簿!$A:$E,5,FALSE))=TRUE,"",VLOOKUP(CONCATENATE($B$12,"_",C24),選手名簿!$A:$E,5,FALSE))</f>
        <v/>
      </c>
      <c r="C24" s="214"/>
      <c r="D24" s="214"/>
      <c r="E24" s="221"/>
      <c r="F24" s="223"/>
      <c r="G24" s="221"/>
      <c r="H24" s="214"/>
      <c r="I24" s="214"/>
      <c r="J24" s="209" t="str">
        <f>IF(ISERROR(VLOOKUP(CONCATENATE($J$12,"_",I24),選手名簿!$A:$E,5,FALSE))=TRUE,"",VLOOKUP(CONCATENATE($J$12,"_",I24),選手名簿!$A:$E,5,FALSE))</f>
        <v/>
      </c>
      <c r="K24" s="226"/>
      <c r="L24" s="190"/>
      <c r="M24" s="199"/>
      <c r="N24" s="209" t="str">
        <f>IF(ISERROR(VLOOKUP(CONCATENATE($N$12,"_",O24),選手名簿!$A:$E,5,FALSE))=TRUE,"",VLOOKUP(CONCATENATE($N$12,"_",O24),選手名簿!$A:$E,5,FALSE))</f>
        <v/>
      </c>
      <c r="O24" s="214"/>
      <c r="P24" s="214"/>
      <c r="Q24" s="221"/>
      <c r="R24" s="223"/>
      <c r="S24" s="221"/>
      <c r="T24" s="214"/>
      <c r="U24" s="214"/>
      <c r="V24" s="209" t="str">
        <f>IF(ISERROR(VLOOKUP(CONCATENATE($V$12,"_",U24),選手名簿!$A:$E,5,FALSE))=TRUE,"",VLOOKUP(CONCATENATE($V$12,"_",U24),選手名簿!$A:$E,5,FALSE))</f>
        <v/>
      </c>
      <c r="W24" s="226"/>
      <c r="Y24" s="905"/>
      <c r="Z24" s="906"/>
      <c r="AA24" s="906"/>
      <c r="AB24" s="906"/>
      <c r="AC24" s="906"/>
      <c r="AD24" s="906" t="s">
        <v>2010</v>
      </c>
      <c r="AE24" s="906"/>
      <c r="AF24" s="929"/>
      <c r="AG24" s="930"/>
      <c r="AH24" s="930"/>
      <c r="AI24" s="930"/>
      <c r="AJ24" s="931"/>
      <c r="AK24" s="917"/>
      <c r="AL24" s="918"/>
      <c r="AM24" s="918"/>
      <c r="AN24" s="918"/>
      <c r="AO24" s="920"/>
      <c r="AP24" s="917"/>
      <c r="AQ24" s="918"/>
      <c r="AR24" s="918"/>
      <c r="AS24" s="918"/>
      <c r="AT24" s="920"/>
      <c r="AU24" s="903"/>
      <c r="AV24" s="903"/>
      <c r="AW24" s="903"/>
      <c r="AX24" s="903"/>
      <c r="AY24" s="903"/>
      <c r="AZ24" s="903"/>
      <c r="BA24" s="903"/>
      <c r="BB24" s="903"/>
      <c r="BC24" s="903"/>
      <c r="BD24" s="903"/>
      <c r="BE24" s="903"/>
      <c r="BF24" s="903"/>
      <c r="BG24" s="903"/>
      <c r="BH24" s="903"/>
      <c r="BI24" s="910"/>
      <c r="BJ24" s="910"/>
      <c r="BK24" s="903"/>
      <c r="BL24" s="903"/>
      <c r="BM24" s="910"/>
      <c r="BN24" s="910"/>
      <c r="BO24" s="913"/>
    </row>
    <row r="25" spans="1:67" ht="18.75" customHeight="1" x14ac:dyDescent="0.25">
      <c r="A25" s="199"/>
      <c r="B25" s="209" t="str">
        <f>IF(ISERROR(VLOOKUP(CONCATENATE($B$12,"_",C25),選手名簿!$A:$E,5,FALSE))=TRUE,"",VLOOKUP(CONCATENATE($B$12,"_",C25),選手名簿!$A:$E,5,FALSE))</f>
        <v/>
      </c>
      <c r="C25" s="214"/>
      <c r="D25" s="214"/>
      <c r="E25" s="221"/>
      <c r="F25" s="223"/>
      <c r="G25" s="221"/>
      <c r="H25" s="214"/>
      <c r="I25" s="214"/>
      <c r="J25" s="209" t="str">
        <f>IF(ISERROR(VLOOKUP(CONCATENATE($J$12,"_",I25),選手名簿!$A:$E,5,FALSE))=TRUE,"",VLOOKUP(CONCATENATE($J$12,"_",I25),選手名簿!$A:$E,5,FALSE))</f>
        <v/>
      </c>
      <c r="K25" s="226"/>
      <c r="L25" s="190"/>
      <c r="M25" s="199"/>
      <c r="N25" s="209" t="str">
        <f>IF(ISERROR(VLOOKUP(CONCATENATE($N$12,"_",O25),選手名簿!$A:$E,5,FALSE))=TRUE,"",VLOOKUP(CONCATENATE($N$12,"_",O25),選手名簿!$A:$E,5,FALSE))</f>
        <v/>
      </c>
      <c r="O25" s="214"/>
      <c r="P25" s="214"/>
      <c r="Q25" s="221"/>
      <c r="R25" s="223"/>
      <c r="S25" s="221"/>
      <c r="T25" s="214"/>
      <c r="U25" s="214"/>
      <c r="V25" s="209" t="str">
        <f>IF(ISERROR(VLOOKUP(CONCATENATE($V$12,"_",U25),選手名簿!$A:$E,5,FALSE))=TRUE,"",VLOOKUP(CONCATENATE($V$12,"_",U25),選手名簿!$A:$E,5,FALSE))</f>
        <v/>
      </c>
      <c r="W25" s="226"/>
      <c r="Y25" s="905"/>
      <c r="Z25" s="906"/>
      <c r="AA25" s="906"/>
      <c r="AB25" s="906"/>
      <c r="AC25" s="906"/>
      <c r="AD25" s="906"/>
      <c r="AE25" s="906"/>
      <c r="AF25" s="929"/>
      <c r="AG25" s="930"/>
      <c r="AH25" s="930"/>
      <c r="AI25" s="930"/>
      <c r="AJ25" s="931"/>
      <c r="AK25" s="915">
        <f>$C$12</f>
        <v>1</v>
      </c>
      <c r="AL25" s="916"/>
      <c r="AM25" s="916" t="s">
        <v>2011</v>
      </c>
      <c r="AN25" s="916">
        <f>$I$12</f>
        <v>11</v>
      </c>
      <c r="AO25" s="919"/>
      <c r="AP25" s="915">
        <f>$I$48</f>
        <v>0</v>
      </c>
      <c r="AQ25" s="916"/>
      <c r="AR25" s="916" t="s">
        <v>2011</v>
      </c>
      <c r="AS25" s="916">
        <f>$C$48</f>
        <v>2</v>
      </c>
      <c r="AT25" s="919"/>
      <c r="AU25" s="903"/>
      <c r="AV25" s="903"/>
      <c r="AW25" s="903"/>
      <c r="AX25" s="903"/>
      <c r="AY25" s="903"/>
      <c r="AZ25" s="903"/>
      <c r="BA25" s="903"/>
      <c r="BB25" s="903"/>
      <c r="BC25" s="903"/>
      <c r="BD25" s="903"/>
      <c r="BE25" s="903"/>
      <c r="BF25" s="903"/>
      <c r="BG25" s="903"/>
      <c r="BH25" s="903"/>
      <c r="BI25" s="910"/>
      <c r="BJ25" s="910"/>
      <c r="BK25" s="903"/>
      <c r="BL25" s="903"/>
      <c r="BM25" s="910"/>
      <c r="BN25" s="910"/>
      <c r="BO25" s="913"/>
    </row>
    <row r="26" spans="1:67" ht="18.75" customHeight="1" x14ac:dyDescent="0.25">
      <c r="A26" s="199"/>
      <c r="B26" s="209" t="str">
        <f>IF(ISERROR(VLOOKUP(CONCATENATE($B$12,"_",C26),選手名簿!$A:$E,5,FALSE))=TRUE,"",VLOOKUP(CONCATENATE($B$12,"_",C26),選手名簿!$A:$E,5,FALSE))</f>
        <v/>
      </c>
      <c r="C26" s="214"/>
      <c r="D26" s="214"/>
      <c r="E26" s="221"/>
      <c r="F26" s="223"/>
      <c r="G26" s="221"/>
      <c r="H26" s="214"/>
      <c r="I26" s="214"/>
      <c r="J26" s="209" t="str">
        <f>IF(ISERROR(VLOOKUP(CONCATENATE($J$12,"_",I26),選手名簿!$A:$E,5,FALSE))=TRUE,"",VLOOKUP(CONCATENATE($J$12,"_",I26),選手名簿!$A:$E,5,FALSE))</f>
        <v/>
      </c>
      <c r="K26" s="226"/>
      <c r="L26" s="190"/>
      <c r="M26" s="199"/>
      <c r="N26" s="209" t="str">
        <f>IF(ISERROR(VLOOKUP(CONCATENATE($N$12,"_",O26),選手名簿!$A:$E,5,FALSE))=TRUE,"",VLOOKUP(CONCATENATE($N$12,"_",O26),選手名簿!$A:$E,5,FALSE))</f>
        <v/>
      </c>
      <c r="O26" s="214"/>
      <c r="P26" s="214"/>
      <c r="Q26" s="221"/>
      <c r="R26" s="223"/>
      <c r="S26" s="221"/>
      <c r="T26" s="214"/>
      <c r="U26" s="214"/>
      <c r="V26" s="209" t="str">
        <f>IF(ISERROR(VLOOKUP(CONCATENATE($V$12,"_",U26),選手名簿!$A:$E,5,FALSE))=TRUE,"",VLOOKUP(CONCATENATE($V$12,"_",U26),選手名簿!$A:$E,5,FALSE))</f>
        <v/>
      </c>
      <c r="W26" s="226"/>
      <c r="Y26" s="941"/>
      <c r="Z26" s="936"/>
      <c r="AA26" s="936"/>
      <c r="AB26" s="936"/>
      <c r="AC26" s="936"/>
      <c r="AD26" s="936"/>
      <c r="AE26" s="936"/>
      <c r="AF26" s="952"/>
      <c r="AG26" s="943"/>
      <c r="AH26" s="943"/>
      <c r="AI26" s="943"/>
      <c r="AJ26" s="953"/>
      <c r="AK26" s="937"/>
      <c r="AL26" s="560"/>
      <c r="AM26" s="560"/>
      <c r="AN26" s="560"/>
      <c r="AO26" s="938"/>
      <c r="AP26" s="937"/>
      <c r="AQ26" s="560"/>
      <c r="AR26" s="560"/>
      <c r="AS26" s="560"/>
      <c r="AT26" s="938"/>
      <c r="AU26" s="903"/>
      <c r="AV26" s="903"/>
      <c r="AW26" s="903"/>
      <c r="AX26" s="903"/>
      <c r="AY26" s="903"/>
      <c r="AZ26" s="903"/>
      <c r="BA26" s="903"/>
      <c r="BB26" s="903"/>
      <c r="BC26" s="903"/>
      <c r="BD26" s="903"/>
      <c r="BE26" s="903"/>
      <c r="BF26" s="903"/>
      <c r="BG26" s="903"/>
      <c r="BH26" s="903"/>
      <c r="BI26" s="910"/>
      <c r="BJ26" s="910"/>
      <c r="BK26" s="903"/>
      <c r="BL26" s="903"/>
      <c r="BM26" s="910"/>
      <c r="BN26" s="910"/>
      <c r="BO26" s="935"/>
    </row>
    <row r="27" spans="1:67" ht="18.75" customHeight="1" x14ac:dyDescent="0.25">
      <c r="A27" s="200"/>
      <c r="B27" s="210" t="str">
        <f>IF(ISERROR(VLOOKUP(CONCATENATE($B$12,"_",C27),選手名簿!$A:$E,5,FALSE))=TRUE,"",VLOOKUP(CONCATENATE($B$12,"_",C27),選手名簿!$A:$E,5,FALSE))</f>
        <v/>
      </c>
      <c r="C27" s="215"/>
      <c r="D27" s="215"/>
      <c r="E27" s="222"/>
      <c r="F27" s="224"/>
      <c r="G27" s="222"/>
      <c r="H27" s="215"/>
      <c r="I27" s="215"/>
      <c r="J27" s="210" t="str">
        <f>IF(ISERROR(VLOOKUP(CONCATENATE($J$12,"_",I27),選手名簿!$A:$E,5,FALSE))=TRUE,"",VLOOKUP(CONCATENATE($J$12,"_",I27),選手名簿!$A:$E,5,FALSE))</f>
        <v/>
      </c>
      <c r="K27" s="227"/>
      <c r="L27" s="190"/>
      <c r="M27" s="200"/>
      <c r="N27" s="210" t="str">
        <f>IF(ISERROR(VLOOKUP(CONCATENATE($N$12,"_",O27),選手名簿!$A:$E,5,FALSE))=TRUE,"",VLOOKUP(CONCATENATE($N$12,"_",O27),選手名簿!$A:$E,5,FALSE))</f>
        <v/>
      </c>
      <c r="O27" s="215"/>
      <c r="P27" s="215"/>
      <c r="Q27" s="222"/>
      <c r="R27" s="224"/>
      <c r="S27" s="222"/>
      <c r="T27" s="215"/>
      <c r="U27" s="215"/>
      <c r="V27" s="210" t="str">
        <f>IF(ISERROR(VLOOKUP(CONCATENATE($V$12,"_",U27),選手名簿!$A:$E,5,FALSE))=TRUE,"",VLOOKUP(CONCATENATE($V$12,"_",U27),選手名簿!$A:$E,5,FALSE))</f>
        <v/>
      </c>
      <c r="W27" s="227"/>
      <c r="Y27" s="939" t="str">
        <f>$AC$8</f>
        <v>大分トリニータＵ－１２</v>
      </c>
      <c r="Z27" s="940"/>
      <c r="AA27" s="940"/>
      <c r="AB27" s="940"/>
      <c r="AC27" s="940"/>
      <c r="AD27" s="940" t="s">
        <v>242</v>
      </c>
      <c r="AE27" s="940"/>
      <c r="AF27" s="923" t="str">
        <f>IF(AF31="","",IF(AF31&gt;AI31,"○",IF(AF31&lt;AI31,"●",IF(AF29&gt;AI29,"△",IF(AF29&lt;AI29,"▲")))))</f>
        <v>○</v>
      </c>
      <c r="AG27" s="924"/>
      <c r="AH27" s="924"/>
      <c r="AI27" s="924"/>
      <c r="AJ27" s="925"/>
      <c r="AK27" s="942"/>
      <c r="AL27" s="942"/>
      <c r="AM27" s="942"/>
      <c r="AN27" s="942"/>
      <c r="AO27" s="942"/>
      <c r="AP27" s="923" t="str">
        <f>IF(AP31="","",IF(AP31&gt;AS31,"○",IF(AP31&lt;AS31,"●",IF(AP29&gt;AS29,"△",IF(AP29&lt;AS29,"▲")))))</f>
        <v>▲</v>
      </c>
      <c r="AQ27" s="924"/>
      <c r="AR27" s="924"/>
      <c r="AS27" s="924"/>
      <c r="AT27" s="925"/>
      <c r="AU27" s="903">
        <f>COUNTIF($AF$27:$AT$28,"○")</f>
        <v>1</v>
      </c>
      <c r="AV27" s="903"/>
      <c r="AW27" s="903">
        <f>COUNTIF($AF$27:$AT$28,"△")</f>
        <v>0</v>
      </c>
      <c r="AX27" s="903"/>
      <c r="AY27" s="903">
        <f>COUNTIF($AF$27:$AT$28,"▲")</f>
        <v>1</v>
      </c>
      <c r="AZ27" s="903"/>
      <c r="BA27" s="903">
        <f>COUNTIF($AF$27:$AT$28,"●")</f>
        <v>0</v>
      </c>
      <c r="BB27" s="903"/>
      <c r="BC27" s="903">
        <f>SUM($AF$31,$AP$31)</f>
        <v>11</v>
      </c>
      <c r="BD27" s="903"/>
      <c r="BE27" s="903">
        <f>SUM($AI$31,$AS$31)</f>
        <v>1</v>
      </c>
      <c r="BF27" s="903"/>
      <c r="BG27" s="903">
        <f>($AU$27*3)+($AW$27*2)+($AY$27*1)</f>
        <v>4</v>
      </c>
      <c r="BH27" s="903"/>
      <c r="BI27" s="910">
        <f>RANK($BG$27,$BG$21:$BH$38)</f>
        <v>2</v>
      </c>
      <c r="BJ27" s="910"/>
      <c r="BK27" s="903">
        <f>$BC$27-$BE$27</f>
        <v>10</v>
      </c>
      <c r="BL27" s="903"/>
      <c r="BM27" s="910">
        <f>RANK($BK$27,$BK$21:$BL$38)</f>
        <v>1</v>
      </c>
      <c r="BN27" s="910"/>
      <c r="BO27" s="912"/>
    </row>
    <row r="28" spans="1:67" ht="18.75" customHeight="1" x14ac:dyDescent="0.25">
      <c r="A28" s="190"/>
      <c r="B28" s="190"/>
      <c r="C28" s="190"/>
      <c r="D28" s="190"/>
      <c r="E28" s="190"/>
      <c r="F28" s="190"/>
      <c r="G28" s="190"/>
      <c r="H28" s="190"/>
      <c r="I28" s="190"/>
      <c r="J28" s="190"/>
      <c r="K28" s="190"/>
      <c r="L28" s="190"/>
      <c r="M28" s="190"/>
      <c r="N28" s="190"/>
      <c r="O28" s="190"/>
      <c r="P28" s="190"/>
      <c r="Q28" s="190"/>
      <c r="R28" s="190"/>
      <c r="S28" s="190"/>
      <c r="T28" s="190"/>
      <c r="U28" s="190"/>
      <c r="V28" s="190"/>
      <c r="Y28" s="905"/>
      <c r="Z28" s="906"/>
      <c r="AA28" s="906"/>
      <c r="AB28" s="906"/>
      <c r="AC28" s="906"/>
      <c r="AD28" s="906"/>
      <c r="AE28" s="906"/>
      <c r="AF28" s="917"/>
      <c r="AG28" s="918"/>
      <c r="AH28" s="918"/>
      <c r="AI28" s="918"/>
      <c r="AJ28" s="920"/>
      <c r="AK28" s="930"/>
      <c r="AL28" s="930"/>
      <c r="AM28" s="930"/>
      <c r="AN28" s="930"/>
      <c r="AO28" s="930"/>
      <c r="AP28" s="917"/>
      <c r="AQ28" s="918"/>
      <c r="AR28" s="918"/>
      <c r="AS28" s="918"/>
      <c r="AT28" s="920"/>
      <c r="AU28" s="903"/>
      <c r="AV28" s="903"/>
      <c r="AW28" s="903"/>
      <c r="AX28" s="903"/>
      <c r="AY28" s="903"/>
      <c r="AZ28" s="903"/>
      <c r="BA28" s="903"/>
      <c r="BB28" s="903"/>
      <c r="BC28" s="903"/>
      <c r="BD28" s="903"/>
      <c r="BE28" s="903"/>
      <c r="BF28" s="903"/>
      <c r="BG28" s="903"/>
      <c r="BH28" s="903"/>
      <c r="BI28" s="910"/>
      <c r="BJ28" s="910"/>
      <c r="BK28" s="903"/>
      <c r="BL28" s="903"/>
      <c r="BM28" s="910"/>
      <c r="BN28" s="910"/>
      <c r="BO28" s="913"/>
    </row>
    <row r="29" spans="1:67" ht="18.75" customHeight="1" x14ac:dyDescent="0.25">
      <c r="A29" s="190"/>
      <c r="B29" s="190"/>
      <c r="C29" s="190"/>
      <c r="D29" s="190"/>
      <c r="E29" s="190"/>
      <c r="F29" s="190"/>
      <c r="G29" s="190"/>
      <c r="H29" s="190"/>
      <c r="I29" s="190"/>
      <c r="J29" s="190"/>
      <c r="K29" s="190"/>
      <c r="L29" s="190"/>
      <c r="M29" s="190"/>
      <c r="N29" s="190"/>
      <c r="O29" s="190"/>
      <c r="P29" s="190"/>
      <c r="Q29" s="190"/>
      <c r="R29" s="190"/>
      <c r="S29" s="190"/>
      <c r="T29" s="190"/>
      <c r="U29" s="190"/>
      <c r="V29" s="190"/>
      <c r="Y29" s="905"/>
      <c r="Z29" s="906"/>
      <c r="AA29" s="906"/>
      <c r="AB29" s="906"/>
      <c r="AC29" s="906"/>
      <c r="AD29" s="906"/>
      <c r="AE29" s="906"/>
      <c r="AF29" s="915" t="str">
        <f>AN23</f>
        <v/>
      </c>
      <c r="AG29" s="916"/>
      <c r="AH29" s="916" t="s">
        <v>2011</v>
      </c>
      <c r="AI29" s="916" t="str">
        <f>AK23</f>
        <v/>
      </c>
      <c r="AJ29" s="919"/>
      <c r="AK29" s="930"/>
      <c r="AL29" s="930"/>
      <c r="AM29" s="930"/>
      <c r="AN29" s="930"/>
      <c r="AO29" s="930"/>
      <c r="AP29" s="915">
        <f>IF($E$32="","",$E$32)</f>
        <v>2</v>
      </c>
      <c r="AQ29" s="916"/>
      <c r="AR29" s="916" t="s">
        <v>2011</v>
      </c>
      <c r="AS29" s="916">
        <f>IF($G$32="","",$G$32)</f>
        <v>3</v>
      </c>
      <c r="AT29" s="919"/>
      <c r="AU29" s="903"/>
      <c r="AV29" s="903"/>
      <c r="AW29" s="903"/>
      <c r="AX29" s="903"/>
      <c r="AY29" s="903"/>
      <c r="AZ29" s="903"/>
      <c r="BA29" s="903"/>
      <c r="BB29" s="903"/>
      <c r="BC29" s="903"/>
      <c r="BD29" s="903"/>
      <c r="BE29" s="903"/>
      <c r="BF29" s="903"/>
      <c r="BG29" s="903"/>
      <c r="BH29" s="903"/>
      <c r="BI29" s="910"/>
      <c r="BJ29" s="910"/>
      <c r="BK29" s="903"/>
      <c r="BL29" s="903"/>
      <c r="BM29" s="910"/>
      <c r="BN29" s="910"/>
      <c r="BO29" s="913"/>
    </row>
    <row r="30" spans="1:67" ht="18.75" customHeight="1" x14ac:dyDescent="0.25">
      <c r="A30" s="963" t="s">
        <v>1217</v>
      </c>
      <c r="B30" s="964" t="str">
        <f>C8</f>
        <v>大分トリニータＵ－１２</v>
      </c>
      <c r="C30" s="966">
        <f>IF(E30="","",SUM(E30:E31))</f>
        <v>0</v>
      </c>
      <c r="D30" s="940" t="s">
        <v>336</v>
      </c>
      <c r="E30" s="217">
        <v>0</v>
      </c>
      <c r="F30" s="217" t="s">
        <v>61</v>
      </c>
      <c r="G30" s="217">
        <v>0</v>
      </c>
      <c r="H30" s="940" t="s">
        <v>339</v>
      </c>
      <c r="I30" s="966">
        <f>IF(G30="","",SUM(G30:G31))</f>
        <v>0</v>
      </c>
      <c r="J30" s="968" t="str">
        <f>C9</f>
        <v>弥生少年サッカークラブ</v>
      </c>
      <c r="K30" s="190"/>
      <c r="L30" s="190"/>
      <c r="M30" s="969" t="s">
        <v>2018</v>
      </c>
      <c r="N30" s="964" t="str">
        <f>O8</f>
        <v>滝尾下郡サッカースポーツ少年団</v>
      </c>
      <c r="O30" s="966">
        <f>IF(Q30="","",SUM(Q30:Q31))</f>
        <v>0</v>
      </c>
      <c r="P30" s="940" t="s">
        <v>336</v>
      </c>
      <c r="Q30" s="217">
        <v>0</v>
      </c>
      <c r="R30" s="217" t="s">
        <v>61</v>
      </c>
      <c r="S30" s="217">
        <v>1</v>
      </c>
      <c r="T30" s="940" t="s">
        <v>339</v>
      </c>
      <c r="U30" s="966">
        <f>IF(S30="","",SUM(S30:S31))</f>
        <v>2</v>
      </c>
      <c r="V30" s="968" t="str">
        <f>O9</f>
        <v>はやぶさフットボールクラブ</v>
      </c>
      <c r="Y30" s="905"/>
      <c r="Z30" s="906"/>
      <c r="AA30" s="906"/>
      <c r="AB30" s="906"/>
      <c r="AC30" s="906"/>
      <c r="AD30" s="906" t="s">
        <v>2010</v>
      </c>
      <c r="AE30" s="906"/>
      <c r="AF30" s="917"/>
      <c r="AG30" s="918"/>
      <c r="AH30" s="918"/>
      <c r="AI30" s="918"/>
      <c r="AJ30" s="920"/>
      <c r="AK30" s="930"/>
      <c r="AL30" s="930"/>
      <c r="AM30" s="930"/>
      <c r="AN30" s="930"/>
      <c r="AO30" s="930"/>
      <c r="AP30" s="917"/>
      <c r="AQ30" s="918"/>
      <c r="AR30" s="918"/>
      <c r="AS30" s="918"/>
      <c r="AT30" s="920"/>
      <c r="AU30" s="903"/>
      <c r="AV30" s="903"/>
      <c r="AW30" s="903"/>
      <c r="AX30" s="903"/>
      <c r="AY30" s="903"/>
      <c r="AZ30" s="903"/>
      <c r="BA30" s="903"/>
      <c r="BB30" s="903"/>
      <c r="BC30" s="903"/>
      <c r="BD30" s="903"/>
      <c r="BE30" s="903"/>
      <c r="BF30" s="903"/>
      <c r="BG30" s="903"/>
      <c r="BH30" s="903"/>
      <c r="BI30" s="910"/>
      <c r="BJ30" s="910"/>
      <c r="BK30" s="903"/>
      <c r="BL30" s="903"/>
      <c r="BM30" s="910"/>
      <c r="BN30" s="910"/>
      <c r="BO30" s="913"/>
    </row>
    <row r="31" spans="1:67" ht="18.75" customHeight="1" x14ac:dyDescent="0.25">
      <c r="A31" s="946"/>
      <c r="B31" s="965"/>
      <c r="C31" s="967"/>
      <c r="D31" s="906"/>
      <c r="E31" s="190">
        <v>0</v>
      </c>
      <c r="F31" s="190" t="s">
        <v>126</v>
      </c>
      <c r="G31" s="190">
        <v>0</v>
      </c>
      <c r="H31" s="906"/>
      <c r="I31" s="967"/>
      <c r="J31" s="957"/>
      <c r="K31" s="190"/>
      <c r="L31" s="190"/>
      <c r="M31" s="970"/>
      <c r="N31" s="965"/>
      <c r="O31" s="967"/>
      <c r="P31" s="906"/>
      <c r="Q31" s="190">
        <v>0</v>
      </c>
      <c r="R31" s="190" t="s">
        <v>126</v>
      </c>
      <c r="S31" s="190">
        <v>1</v>
      </c>
      <c r="T31" s="906"/>
      <c r="U31" s="967"/>
      <c r="V31" s="957"/>
      <c r="Y31" s="905"/>
      <c r="Z31" s="906"/>
      <c r="AA31" s="906"/>
      <c r="AB31" s="906"/>
      <c r="AC31" s="906"/>
      <c r="AD31" s="906"/>
      <c r="AE31" s="906"/>
      <c r="AF31" s="915">
        <f>AN25</f>
        <v>11</v>
      </c>
      <c r="AG31" s="916"/>
      <c r="AH31" s="916" t="s">
        <v>2011</v>
      </c>
      <c r="AI31" s="916">
        <f>AK25</f>
        <v>1</v>
      </c>
      <c r="AJ31" s="919"/>
      <c r="AK31" s="930"/>
      <c r="AL31" s="930"/>
      <c r="AM31" s="930"/>
      <c r="AN31" s="930"/>
      <c r="AO31" s="930"/>
      <c r="AP31" s="915">
        <f>$C$30</f>
        <v>0</v>
      </c>
      <c r="AQ31" s="916"/>
      <c r="AR31" s="916" t="s">
        <v>2011</v>
      </c>
      <c r="AS31" s="916">
        <f>$I$30</f>
        <v>0</v>
      </c>
      <c r="AT31" s="919"/>
      <c r="AU31" s="903"/>
      <c r="AV31" s="903"/>
      <c r="AW31" s="903"/>
      <c r="AX31" s="903"/>
      <c r="AY31" s="903"/>
      <c r="AZ31" s="903"/>
      <c r="BA31" s="903"/>
      <c r="BB31" s="903"/>
      <c r="BC31" s="903"/>
      <c r="BD31" s="903"/>
      <c r="BE31" s="903"/>
      <c r="BF31" s="903"/>
      <c r="BG31" s="903"/>
      <c r="BH31" s="903"/>
      <c r="BI31" s="910"/>
      <c r="BJ31" s="910"/>
      <c r="BK31" s="903"/>
      <c r="BL31" s="903"/>
      <c r="BM31" s="910"/>
      <c r="BN31" s="910"/>
      <c r="BO31" s="913"/>
    </row>
    <row r="32" spans="1:67" ht="18.75" customHeight="1" x14ac:dyDescent="0.25">
      <c r="A32" s="946"/>
      <c r="B32" s="965"/>
      <c r="C32" s="967"/>
      <c r="D32" s="906"/>
      <c r="E32" s="190">
        <v>2</v>
      </c>
      <c r="F32" s="190" t="s">
        <v>407</v>
      </c>
      <c r="G32" s="190">
        <v>3</v>
      </c>
      <c r="H32" s="906"/>
      <c r="I32" s="967"/>
      <c r="J32" s="957"/>
      <c r="K32" s="190"/>
      <c r="L32" s="190"/>
      <c r="M32" s="971"/>
      <c r="N32" s="994"/>
      <c r="O32" s="975"/>
      <c r="P32" s="908"/>
      <c r="Q32" s="190"/>
      <c r="R32" s="190" t="s">
        <v>407</v>
      </c>
      <c r="S32" s="190"/>
      <c r="T32" s="908"/>
      <c r="U32" s="975"/>
      <c r="V32" s="976"/>
      <c r="Y32" s="941"/>
      <c r="Z32" s="936"/>
      <c r="AA32" s="936"/>
      <c r="AB32" s="936"/>
      <c r="AC32" s="936"/>
      <c r="AD32" s="936"/>
      <c r="AE32" s="936"/>
      <c r="AF32" s="937"/>
      <c r="AG32" s="560"/>
      <c r="AH32" s="560"/>
      <c r="AI32" s="560"/>
      <c r="AJ32" s="938"/>
      <c r="AK32" s="943"/>
      <c r="AL32" s="943"/>
      <c r="AM32" s="943"/>
      <c r="AN32" s="943"/>
      <c r="AO32" s="943"/>
      <c r="AP32" s="937"/>
      <c r="AQ32" s="560"/>
      <c r="AR32" s="560"/>
      <c r="AS32" s="560"/>
      <c r="AT32" s="938"/>
      <c r="AU32" s="903"/>
      <c r="AV32" s="903"/>
      <c r="AW32" s="903"/>
      <c r="AX32" s="903"/>
      <c r="AY32" s="903"/>
      <c r="AZ32" s="903"/>
      <c r="BA32" s="903"/>
      <c r="BB32" s="903"/>
      <c r="BC32" s="903"/>
      <c r="BD32" s="903"/>
      <c r="BE32" s="903"/>
      <c r="BF32" s="903"/>
      <c r="BG32" s="903"/>
      <c r="BH32" s="903"/>
      <c r="BI32" s="910"/>
      <c r="BJ32" s="910"/>
      <c r="BK32" s="903"/>
      <c r="BL32" s="903"/>
      <c r="BM32" s="910"/>
      <c r="BN32" s="910"/>
      <c r="BO32" s="935"/>
    </row>
    <row r="33" spans="1:67" ht="18.75" customHeight="1" x14ac:dyDescent="0.25">
      <c r="A33" s="192" t="s">
        <v>2463</v>
      </c>
      <c r="B33" s="989" t="s">
        <v>15221</v>
      </c>
      <c r="C33" s="989"/>
      <c r="D33" s="989"/>
      <c r="E33" s="989"/>
      <c r="F33" s="989"/>
      <c r="G33" s="990" t="s">
        <v>2464</v>
      </c>
      <c r="H33" s="990"/>
      <c r="I33" s="990"/>
      <c r="J33" s="991" t="s">
        <v>15152</v>
      </c>
      <c r="K33" s="991"/>
      <c r="L33" s="190"/>
      <c r="M33" s="192" t="s">
        <v>2463</v>
      </c>
      <c r="N33" s="989" t="s">
        <v>15180</v>
      </c>
      <c r="O33" s="989"/>
      <c r="P33" s="989"/>
      <c r="Q33" s="989"/>
      <c r="R33" s="989"/>
      <c r="S33" s="990" t="s">
        <v>2464</v>
      </c>
      <c r="T33" s="990"/>
      <c r="U33" s="990"/>
      <c r="V33" s="991" t="s">
        <v>15152</v>
      </c>
      <c r="W33" s="991"/>
      <c r="Y33" s="905" t="str">
        <f>$AC$9</f>
        <v>弥生少年サッカークラブ</v>
      </c>
      <c r="Z33" s="906"/>
      <c r="AA33" s="906"/>
      <c r="AB33" s="906"/>
      <c r="AC33" s="906"/>
      <c r="AD33" s="906" t="s">
        <v>242</v>
      </c>
      <c r="AE33" s="906"/>
      <c r="AF33" s="923" t="str">
        <f>IF(AF37="","",IF(AF37&gt;AI37,"○",IF(AF37&lt;AI37,"●",IF(AF35&gt;AI35,"△",IF(AF35&lt;AI35,"▲")))))</f>
        <v>○</v>
      </c>
      <c r="AG33" s="924"/>
      <c r="AH33" s="924"/>
      <c r="AI33" s="924"/>
      <c r="AJ33" s="925"/>
      <c r="AK33" s="923" t="str">
        <f>IF(AK37="","",IF(AK37&gt;AN37,"○",IF(AK37&lt;AN37,"●",IF(AK35&gt;AN35,"△",IF(AK35&lt;AN35,"▲")))))</f>
        <v>△</v>
      </c>
      <c r="AL33" s="924"/>
      <c r="AM33" s="924"/>
      <c r="AN33" s="924"/>
      <c r="AO33" s="925"/>
      <c r="AP33" s="926"/>
      <c r="AQ33" s="927"/>
      <c r="AR33" s="927"/>
      <c r="AS33" s="927"/>
      <c r="AT33" s="928"/>
      <c r="AU33" s="903">
        <f>COUNTIF($AF$33:$AT$34,"○")</f>
        <v>1</v>
      </c>
      <c r="AV33" s="903"/>
      <c r="AW33" s="902">
        <f>COUNTIF($AF$33:$AT$34,"△")</f>
        <v>1</v>
      </c>
      <c r="AX33" s="902"/>
      <c r="AY33" s="902">
        <f>COUNTIF($AF$33:$AT$34,"▲")</f>
        <v>0</v>
      </c>
      <c r="AZ33" s="902"/>
      <c r="BA33" s="902">
        <f>COUNTIF($AF$33:$AT$34,"●")</f>
        <v>0</v>
      </c>
      <c r="BB33" s="902"/>
      <c r="BC33" s="902">
        <f>SUM($AF$37,$AK$37)</f>
        <v>2</v>
      </c>
      <c r="BD33" s="902"/>
      <c r="BE33" s="902">
        <f>SUM($AI$37,$AN$37)</f>
        <v>0</v>
      </c>
      <c r="BF33" s="902"/>
      <c r="BG33" s="902">
        <f>($AU$33*3)+($AW$33*2)+($AY$33*1)</f>
        <v>5</v>
      </c>
      <c r="BH33" s="902"/>
      <c r="BI33" s="909">
        <f>RANK($BG$33,$BG$21:$BH$38)</f>
        <v>1</v>
      </c>
      <c r="BJ33" s="909"/>
      <c r="BK33" s="902">
        <f>$BC$33-$BE$33</f>
        <v>2</v>
      </c>
      <c r="BL33" s="902"/>
      <c r="BM33" s="909">
        <f>RANK($BK$33,$BK$21:$BL$38)</f>
        <v>2</v>
      </c>
      <c r="BN33" s="909"/>
      <c r="BO33" s="912"/>
    </row>
    <row r="34" spans="1:67" ht="18.75" customHeight="1" x14ac:dyDescent="0.25">
      <c r="A34" s="193" t="s">
        <v>2465</v>
      </c>
      <c r="B34" s="992" t="s">
        <v>15221</v>
      </c>
      <c r="C34" s="992"/>
      <c r="D34" s="992"/>
      <c r="E34" s="992"/>
      <c r="F34" s="992"/>
      <c r="G34" s="983" t="s">
        <v>2464</v>
      </c>
      <c r="H34" s="984"/>
      <c r="I34" s="985"/>
      <c r="J34" s="993" t="s">
        <v>15153</v>
      </c>
      <c r="K34" s="993"/>
      <c r="L34" s="190"/>
      <c r="M34" s="193" t="s">
        <v>2465</v>
      </c>
      <c r="N34" s="992" t="s">
        <v>15180</v>
      </c>
      <c r="O34" s="992"/>
      <c r="P34" s="992"/>
      <c r="Q34" s="992"/>
      <c r="R34" s="992"/>
      <c r="S34" s="983" t="s">
        <v>2464</v>
      </c>
      <c r="T34" s="984"/>
      <c r="U34" s="985"/>
      <c r="V34" s="993" t="s">
        <v>15153</v>
      </c>
      <c r="W34" s="993"/>
      <c r="Y34" s="905"/>
      <c r="Z34" s="906"/>
      <c r="AA34" s="906"/>
      <c r="AB34" s="906"/>
      <c r="AC34" s="906"/>
      <c r="AD34" s="906"/>
      <c r="AE34" s="906"/>
      <c r="AF34" s="917"/>
      <c r="AG34" s="918"/>
      <c r="AH34" s="918"/>
      <c r="AI34" s="918"/>
      <c r="AJ34" s="920"/>
      <c r="AK34" s="917"/>
      <c r="AL34" s="918"/>
      <c r="AM34" s="918"/>
      <c r="AN34" s="918"/>
      <c r="AO34" s="920"/>
      <c r="AP34" s="929"/>
      <c r="AQ34" s="930"/>
      <c r="AR34" s="930"/>
      <c r="AS34" s="930"/>
      <c r="AT34" s="931"/>
      <c r="AU34" s="903"/>
      <c r="AV34" s="903"/>
      <c r="AW34" s="903"/>
      <c r="AX34" s="903"/>
      <c r="AY34" s="903"/>
      <c r="AZ34" s="903"/>
      <c r="BA34" s="903"/>
      <c r="BB34" s="903"/>
      <c r="BC34" s="903"/>
      <c r="BD34" s="903"/>
      <c r="BE34" s="903"/>
      <c r="BF34" s="903"/>
      <c r="BG34" s="903"/>
      <c r="BH34" s="903"/>
      <c r="BI34" s="910"/>
      <c r="BJ34" s="910"/>
      <c r="BK34" s="903"/>
      <c r="BL34" s="903"/>
      <c r="BM34" s="910"/>
      <c r="BN34" s="910"/>
      <c r="BO34" s="913"/>
    </row>
    <row r="35" spans="1:67" ht="18.75" customHeight="1" x14ac:dyDescent="0.25">
      <c r="A35" s="194" t="s">
        <v>2466</v>
      </c>
      <c r="B35" s="982" t="s">
        <v>15150</v>
      </c>
      <c r="C35" s="982"/>
      <c r="D35" s="982"/>
      <c r="E35" s="982"/>
      <c r="F35" s="982"/>
      <c r="G35" s="983" t="s">
        <v>2464</v>
      </c>
      <c r="H35" s="984"/>
      <c r="I35" s="985"/>
      <c r="J35" s="986" t="s">
        <v>15153</v>
      </c>
      <c r="K35" s="986"/>
      <c r="L35" s="190"/>
      <c r="M35" s="194" t="s">
        <v>2466</v>
      </c>
      <c r="N35" s="982" t="s">
        <v>15241</v>
      </c>
      <c r="O35" s="982"/>
      <c r="P35" s="982"/>
      <c r="Q35" s="982"/>
      <c r="R35" s="982"/>
      <c r="S35" s="983" t="s">
        <v>2464</v>
      </c>
      <c r="T35" s="984"/>
      <c r="U35" s="985"/>
      <c r="V35" s="986" t="s">
        <v>15153</v>
      </c>
      <c r="W35" s="986"/>
      <c r="Y35" s="905"/>
      <c r="Z35" s="906"/>
      <c r="AA35" s="906"/>
      <c r="AB35" s="906"/>
      <c r="AC35" s="906"/>
      <c r="AD35" s="906"/>
      <c r="AE35" s="906"/>
      <c r="AF35" s="915" t="str">
        <f>AS23</f>
        <v/>
      </c>
      <c r="AG35" s="916"/>
      <c r="AH35" s="916" t="s">
        <v>2011</v>
      </c>
      <c r="AI35" s="916" t="str">
        <f>AP23</f>
        <v/>
      </c>
      <c r="AJ35" s="919"/>
      <c r="AK35" s="915">
        <f>AS29</f>
        <v>3</v>
      </c>
      <c r="AL35" s="916"/>
      <c r="AM35" s="916" t="s">
        <v>2011</v>
      </c>
      <c r="AN35" s="916">
        <f>AP29</f>
        <v>2</v>
      </c>
      <c r="AO35" s="919"/>
      <c r="AP35" s="929"/>
      <c r="AQ35" s="930"/>
      <c r="AR35" s="930"/>
      <c r="AS35" s="930"/>
      <c r="AT35" s="931"/>
      <c r="AU35" s="903"/>
      <c r="AV35" s="903"/>
      <c r="AW35" s="903"/>
      <c r="AX35" s="903"/>
      <c r="AY35" s="903"/>
      <c r="AZ35" s="903"/>
      <c r="BA35" s="903"/>
      <c r="BB35" s="903"/>
      <c r="BC35" s="903"/>
      <c r="BD35" s="903"/>
      <c r="BE35" s="903"/>
      <c r="BF35" s="903"/>
      <c r="BG35" s="903"/>
      <c r="BH35" s="903"/>
      <c r="BI35" s="910"/>
      <c r="BJ35" s="910"/>
      <c r="BK35" s="903"/>
      <c r="BL35" s="903"/>
      <c r="BM35" s="910"/>
      <c r="BN35" s="910"/>
      <c r="BO35" s="913"/>
    </row>
    <row r="36" spans="1:67" ht="18.75" customHeight="1" x14ac:dyDescent="0.25">
      <c r="A36" s="195" t="s">
        <v>609</v>
      </c>
      <c r="B36" s="205" t="str">
        <f>IF(ISERROR(VLOOKUP(G36,審判員!$A:$C,2,FALSE))=TRUE,"",VLOOKUP(G36,審判員!$A:$C,2,FALSE))</f>
        <v>藤原　佑史朗</v>
      </c>
      <c r="C36" s="211">
        <f>IF(ISERROR(VLOOKUP(G36,審判員!$A:$C,3,FALSE))=TRUE,"",VLOOKUP(G36,審判員!$A:$C,3,FALSE))</f>
        <v>3</v>
      </c>
      <c r="D36" s="218" t="s">
        <v>612</v>
      </c>
      <c r="E36" s="955" t="s">
        <v>201</v>
      </c>
      <c r="F36" s="955"/>
      <c r="G36" s="955" t="s">
        <v>15157</v>
      </c>
      <c r="H36" s="955"/>
      <c r="I36" s="955"/>
      <c r="J36" s="987" t="s">
        <v>788</v>
      </c>
      <c r="K36" s="988"/>
      <c r="L36" s="190"/>
      <c r="M36" s="195" t="s">
        <v>609</v>
      </c>
      <c r="N36" s="205" t="str">
        <f>IF(ISERROR(VLOOKUP(S36,審判員!$A:$C,2,FALSE))=TRUE,"",VLOOKUP(S36,審判員!$A:$C,2,FALSE))</f>
        <v>安部　正信</v>
      </c>
      <c r="O36" s="211">
        <f>IF(ISERROR(VLOOKUP(S36,審判員!$A:$C,3,FALSE))=TRUE,"",VLOOKUP(S36,審判員!$A:$C,3,FALSE))</f>
        <v>3</v>
      </c>
      <c r="P36" s="218" t="s">
        <v>612</v>
      </c>
      <c r="Q36" s="955" t="s">
        <v>201</v>
      </c>
      <c r="R36" s="955"/>
      <c r="S36" s="955" t="s">
        <v>15242</v>
      </c>
      <c r="T36" s="955"/>
      <c r="U36" s="955"/>
      <c r="V36" s="987" t="s">
        <v>788</v>
      </c>
      <c r="W36" s="988"/>
      <c r="Y36" s="905"/>
      <c r="Z36" s="906"/>
      <c r="AA36" s="906"/>
      <c r="AB36" s="906"/>
      <c r="AC36" s="906"/>
      <c r="AD36" s="906" t="s">
        <v>2010</v>
      </c>
      <c r="AE36" s="906"/>
      <c r="AF36" s="917"/>
      <c r="AG36" s="918"/>
      <c r="AH36" s="918"/>
      <c r="AI36" s="918"/>
      <c r="AJ36" s="920"/>
      <c r="AK36" s="917"/>
      <c r="AL36" s="918"/>
      <c r="AM36" s="918"/>
      <c r="AN36" s="918"/>
      <c r="AO36" s="920"/>
      <c r="AP36" s="929"/>
      <c r="AQ36" s="930"/>
      <c r="AR36" s="930"/>
      <c r="AS36" s="930"/>
      <c r="AT36" s="931"/>
      <c r="AU36" s="903"/>
      <c r="AV36" s="903"/>
      <c r="AW36" s="903"/>
      <c r="AX36" s="903"/>
      <c r="AY36" s="903"/>
      <c r="AZ36" s="903"/>
      <c r="BA36" s="903"/>
      <c r="BB36" s="903"/>
      <c r="BC36" s="903"/>
      <c r="BD36" s="903"/>
      <c r="BE36" s="903"/>
      <c r="BF36" s="903"/>
      <c r="BG36" s="903"/>
      <c r="BH36" s="903"/>
      <c r="BI36" s="910"/>
      <c r="BJ36" s="910"/>
      <c r="BK36" s="903"/>
      <c r="BL36" s="903"/>
      <c r="BM36" s="910"/>
      <c r="BN36" s="910"/>
      <c r="BO36" s="913"/>
    </row>
    <row r="37" spans="1:67" ht="18.75" customHeight="1" x14ac:dyDescent="0.25">
      <c r="A37" s="196" t="s">
        <v>704</v>
      </c>
      <c r="B37" s="206" t="str">
        <f>IF(ISERROR(VLOOKUP(G37,審判員!$A:$C,2,FALSE))=TRUE,"",VLOOKUP(G37,審判員!$A:$C,2,FALSE))</f>
        <v>宮迫　利範</v>
      </c>
      <c r="C37" s="212">
        <f>IF(ISERROR(VLOOKUP(G37,審判員!$A:$C,3,FALSE))=TRUE,"",VLOOKUP(G37,審判員!$A:$C,3,FALSE))</f>
        <v>3</v>
      </c>
      <c r="D37" s="219" t="s">
        <v>612</v>
      </c>
      <c r="E37" s="906" t="s">
        <v>1286</v>
      </c>
      <c r="F37" s="906"/>
      <c r="G37" s="906" t="s">
        <v>15156</v>
      </c>
      <c r="H37" s="906"/>
      <c r="I37" s="906"/>
      <c r="J37" s="891" t="str">
        <f>N30</f>
        <v>滝尾下郡サッカースポーツ少年団</v>
      </c>
      <c r="K37" s="981"/>
      <c r="L37" s="190"/>
      <c r="M37" s="196" t="s">
        <v>704</v>
      </c>
      <c r="N37" s="206" t="str">
        <f>IF(ISERROR(VLOOKUP(S37,審判員!$A:$C,2,FALSE))=TRUE,"",VLOOKUP(S37,審判員!$A:$C,2,FALSE))</f>
        <v>小川　翔太</v>
      </c>
      <c r="O37" s="212">
        <f>IF(ISERROR(VLOOKUP(S37,審判員!$A:$C,3,FALSE))=TRUE,"",VLOOKUP(S37,審判員!$A:$C,3,FALSE))</f>
        <v>3</v>
      </c>
      <c r="P37" s="219" t="s">
        <v>612</v>
      </c>
      <c r="Q37" s="906" t="s">
        <v>1286</v>
      </c>
      <c r="R37" s="906"/>
      <c r="S37" s="906" t="s">
        <v>15184</v>
      </c>
      <c r="T37" s="906"/>
      <c r="U37" s="906"/>
      <c r="V37" s="891" t="str">
        <f>B30</f>
        <v>大分トリニータＵ－１２</v>
      </c>
      <c r="W37" s="981"/>
      <c r="Y37" s="905"/>
      <c r="Z37" s="906"/>
      <c r="AA37" s="906"/>
      <c r="AB37" s="906"/>
      <c r="AC37" s="906"/>
      <c r="AD37" s="906"/>
      <c r="AE37" s="906"/>
      <c r="AF37" s="915">
        <f>AS25</f>
        <v>2</v>
      </c>
      <c r="AG37" s="916"/>
      <c r="AH37" s="916" t="s">
        <v>2011</v>
      </c>
      <c r="AI37" s="916">
        <f>AP25</f>
        <v>0</v>
      </c>
      <c r="AJ37" s="919"/>
      <c r="AK37" s="915">
        <f>AS31</f>
        <v>0</v>
      </c>
      <c r="AL37" s="916"/>
      <c r="AM37" s="916" t="s">
        <v>2011</v>
      </c>
      <c r="AN37" s="916">
        <f>AP31</f>
        <v>0</v>
      </c>
      <c r="AO37" s="919"/>
      <c r="AP37" s="929"/>
      <c r="AQ37" s="930"/>
      <c r="AR37" s="930"/>
      <c r="AS37" s="930"/>
      <c r="AT37" s="931"/>
      <c r="AU37" s="903"/>
      <c r="AV37" s="903"/>
      <c r="AW37" s="903"/>
      <c r="AX37" s="903"/>
      <c r="AY37" s="903"/>
      <c r="AZ37" s="903"/>
      <c r="BA37" s="903"/>
      <c r="BB37" s="903"/>
      <c r="BC37" s="903"/>
      <c r="BD37" s="903"/>
      <c r="BE37" s="903"/>
      <c r="BF37" s="903"/>
      <c r="BG37" s="903"/>
      <c r="BH37" s="903"/>
      <c r="BI37" s="910"/>
      <c r="BJ37" s="910"/>
      <c r="BK37" s="903"/>
      <c r="BL37" s="903"/>
      <c r="BM37" s="910"/>
      <c r="BN37" s="910"/>
      <c r="BO37" s="913"/>
    </row>
    <row r="38" spans="1:67" ht="19.5" customHeight="1" x14ac:dyDescent="0.25">
      <c r="A38" s="196" t="s">
        <v>2007</v>
      </c>
      <c r="B38" s="206" t="str">
        <f>IF(ISERROR(VLOOKUP(G38,審判員!$A:$C,2,FALSE))=TRUE,"",VLOOKUP(G38,審判員!$A:$C,2,FALSE))</f>
        <v>高橋　芳洋</v>
      </c>
      <c r="C38" s="212">
        <f>IF(ISERROR(VLOOKUP(G38,審判員!$A:$C,3,FALSE))=TRUE,"",VLOOKUP(G38,審判員!$A:$C,3,FALSE))</f>
        <v>3</v>
      </c>
      <c r="D38" s="219" t="s">
        <v>612</v>
      </c>
      <c r="E38" s="906" t="s">
        <v>1286</v>
      </c>
      <c r="F38" s="906"/>
      <c r="G38" s="906" t="s">
        <v>15222</v>
      </c>
      <c r="H38" s="906"/>
      <c r="I38" s="906"/>
      <c r="J38" s="891" t="str">
        <f>V30</f>
        <v>はやぶさフットボールクラブ</v>
      </c>
      <c r="K38" s="981"/>
      <c r="L38" s="190"/>
      <c r="M38" s="196" t="s">
        <v>2007</v>
      </c>
      <c r="N38" s="206" t="str">
        <f>IF(ISERROR(VLOOKUP(S38,審判員!$A:$C,2,FALSE))=TRUE,"",VLOOKUP(S38,審判員!$A:$C,2,FALSE))</f>
        <v>五十川　文明</v>
      </c>
      <c r="O38" s="212">
        <f>IF(ISERROR(VLOOKUP(S38,審判員!$A:$C,3,FALSE))=TRUE,"",VLOOKUP(S38,審判員!$A:$C,3,FALSE))</f>
        <v>3</v>
      </c>
      <c r="P38" s="219" t="s">
        <v>612</v>
      </c>
      <c r="Q38" s="906" t="s">
        <v>1286</v>
      </c>
      <c r="R38" s="906"/>
      <c r="S38" s="906" t="s">
        <v>15243</v>
      </c>
      <c r="T38" s="906"/>
      <c r="U38" s="906"/>
      <c r="V38" s="891" t="str">
        <f>J30</f>
        <v>弥生少年サッカークラブ</v>
      </c>
      <c r="W38" s="981"/>
      <c r="Y38" s="907"/>
      <c r="Z38" s="908"/>
      <c r="AA38" s="908"/>
      <c r="AB38" s="908"/>
      <c r="AC38" s="908"/>
      <c r="AD38" s="908"/>
      <c r="AE38" s="908"/>
      <c r="AF38" s="921"/>
      <c r="AG38" s="565"/>
      <c r="AH38" s="565"/>
      <c r="AI38" s="565"/>
      <c r="AJ38" s="922"/>
      <c r="AK38" s="921"/>
      <c r="AL38" s="565"/>
      <c r="AM38" s="565"/>
      <c r="AN38" s="565"/>
      <c r="AO38" s="922"/>
      <c r="AP38" s="932"/>
      <c r="AQ38" s="933"/>
      <c r="AR38" s="933"/>
      <c r="AS38" s="933"/>
      <c r="AT38" s="934"/>
      <c r="AU38" s="904"/>
      <c r="AV38" s="904"/>
      <c r="AW38" s="904"/>
      <c r="AX38" s="904"/>
      <c r="AY38" s="904"/>
      <c r="AZ38" s="904"/>
      <c r="BA38" s="904"/>
      <c r="BB38" s="904"/>
      <c r="BC38" s="904"/>
      <c r="BD38" s="904"/>
      <c r="BE38" s="904"/>
      <c r="BF38" s="904"/>
      <c r="BG38" s="904"/>
      <c r="BH38" s="904"/>
      <c r="BI38" s="911"/>
      <c r="BJ38" s="911"/>
      <c r="BK38" s="904"/>
      <c r="BL38" s="904"/>
      <c r="BM38" s="911"/>
      <c r="BN38" s="911"/>
      <c r="BO38" s="914"/>
    </row>
    <row r="39" spans="1:67" x14ac:dyDescent="0.25">
      <c r="A39" s="197" t="s">
        <v>2008</v>
      </c>
      <c r="B39" s="207" t="str">
        <f>IF(ISERROR(VLOOKUP(G39,審判員!$A:$C,2,FALSE))=TRUE,"",VLOOKUP(G39,審判員!$A:$C,2,FALSE))</f>
        <v>箕迫　雄介</v>
      </c>
      <c r="C39" s="213">
        <f>IF(ISERROR(VLOOKUP(G39,審判員!$A:$C,3,FALSE))=TRUE,"",VLOOKUP(G39,審判員!$A:$C,3,FALSE))</f>
        <v>3</v>
      </c>
      <c r="D39" s="220" t="s">
        <v>612</v>
      </c>
      <c r="E39" s="977" t="s">
        <v>1286</v>
      </c>
      <c r="F39" s="977"/>
      <c r="G39" s="977" t="s">
        <v>15154</v>
      </c>
      <c r="H39" s="977"/>
      <c r="I39" s="977"/>
      <c r="J39" s="978" t="s">
        <v>788</v>
      </c>
      <c r="K39" s="979"/>
      <c r="L39" s="190"/>
      <c r="M39" s="197" t="s">
        <v>2008</v>
      </c>
      <c r="N39" s="207" t="str">
        <f>IF(ISERROR(VLOOKUP(S39,審判員!$A:$C,2,FALSE))=TRUE,"",VLOOKUP(S39,審判員!$A:$C,2,FALSE))</f>
        <v>鶴田　和也</v>
      </c>
      <c r="O39" s="213">
        <f>IF(ISERROR(VLOOKUP(S39,審判員!$A:$C,3,FALSE))=TRUE,"",VLOOKUP(S39,審判員!$A:$C,3,FALSE))</f>
        <v>3</v>
      </c>
      <c r="P39" s="220" t="s">
        <v>612</v>
      </c>
      <c r="Q39" s="977" t="s">
        <v>1286</v>
      </c>
      <c r="R39" s="977"/>
      <c r="S39" s="977" t="s">
        <v>15244</v>
      </c>
      <c r="T39" s="977"/>
      <c r="U39" s="977"/>
      <c r="V39" s="978" t="s">
        <v>788</v>
      </c>
      <c r="W39" s="979"/>
    </row>
    <row r="40" spans="1:67" x14ac:dyDescent="0.25">
      <c r="A40" s="198" t="s">
        <v>469</v>
      </c>
      <c r="B40" s="208" t="s">
        <v>606</v>
      </c>
      <c r="C40" s="208" t="s">
        <v>234</v>
      </c>
      <c r="D40" s="208" t="s">
        <v>272</v>
      </c>
      <c r="E40" s="208" t="s">
        <v>750</v>
      </c>
      <c r="F40" s="223"/>
      <c r="G40" s="208" t="s">
        <v>750</v>
      </c>
      <c r="H40" s="208" t="s">
        <v>272</v>
      </c>
      <c r="I40" s="208" t="s">
        <v>234</v>
      </c>
      <c r="J40" s="208" t="s">
        <v>606</v>
      </c>
      <c r="K40" s="225" t="s">
        <v>469</v>
      </c>
      <c r="L40" s="190"/>
      <c r="M40" s="198" t="s">
        <v>469</v>
      </c>
      <c r="N40" s="208" t="s">
        <v>606</v>
      </c>
      <c r="O40" s="208" t="s">
        <v>234</v>
      </c>
      <c r="P40" s="208" t="s">
        <v>272</v>
      </c>
      <c r="Q40" s="208" t="s">
        <v>750</v>
      </c>
      <c r="R40" s="223"/>
      <c r="S40" s="208" t="s">
        <v>750</v>
      </c>
      <c r="T40" s="208" t="s">
        <v>272</v>
      </c>
      <c r="U40" s="208" t="s">
        <v>234</v>
      </c>
      <c r="V40" s="208" t="s">
        <v>606</v>
      </c>
      <c r="W40" s="225" t="s">
        <v>469</v>
      </c>
      <c r="Y40" s="891" t="s">
        <v>2125</v>
      </c>
      <c r="Z40" s="891"/>
      <c r="AA40" s="891"/>
      <c r="AB40" s="891"/>
      <c r="AC40" s="891"/>
      <c r="AD40" s="891"/>
      <c r="AE40" s="891"/>
      <c r="AF40" s="891"/>
      <c r="AG40" s="891"/>
      <c r="AH40" s="891"/>
      <c r="AI40" s="891"/>
      <c r="AJ40" s="891"/>
      <c r="AK40" s="891"/>
      <c r="AL40" s="891"/>
      <c r="AM40" s="891"/>
      <c r="AN40" s="891"/>
      <c r="AO40" s="891"/>
      <c r="AP40" s="891"/>
      <c r="AQ40" s="891"/>
      <c r="AR40" s="891"/>
      <c r="AS40" s="891"/>
      <c r="AT40" s="891"/>
      <c r="AU40" s="891"/>
      <c r="AV40" s="891"/>
      <c r="AW40" s="891"/>
      <c r="AX40" s="891"/>
      <c r="AY40" s="891"/>
      <c r="AZ40" s="891"/>
      <c r="BA40" s="891"/>
      <c r="BB40" s="891"/>
      <c r="BC40" s="891"/>
      <c r="BD40" s="891"/>
      <c r="BE40" s="891"/>
      <c r="BF40" s="891"/>
    </row>
    <row r="41" spans="1:67" x14ac:dyDescent="0.25">
      <c r="A41" s="199"/>
      <c r="B41" s="209" t="str">
        <f>IF(ISERROR(VLOOKUP(CONCATENATE($B$30,"_",C41),選手名簿!$A:$E,5,FALSE))=TRUE,"",VLOOKUP(CONCATENATE($B$30,"_",C41),選手名簿!$A:$E,5,FALSE))</f>
        <v/>
      </c>
      <c r="C41" s="214"/>
      <c r="D41" s="214"/>
      <c r="E41" s="221"/>
      <c r="F41" s="223"/>
      <c r="G41" s="221"/>
      <c r="H41" s="214"/>
      <c r="I41" s="214"/>
      <c r="J41" s="209" t="str">
        <f>IF(ISERROR(VLOOKUP(CONCATENATE($J$30,"_",I41),選手名簿!$A:$E,5,FALSE))=TRUE,"",VLOOKUP(CONCATENATE($J$30,"_",I41),選手名簿!$A:$E,5,FALSE))</f>
        <v/>
      </c>
      <c r="K41" s="226"/>
      <c r="L41" s="190"/>
      <c r="M41" s="199"/>
      <c r="N41" s="209" t="str">
        <f>IF(ISERROR(VLOOKUP(CONCATENATE($N$30,"_",O41),選手名簿!$A:$E,5,FALSE))=TRUE,"",VLOOKUP(CONCATENATE($N$30,"_",O41),選手名簿!$A:$E,5,FALSE))</f>
        <v/>
      </c>
      <c r="O41" s="214"/>
      <c r="P41" s="214"/>
      <c r="Q41" s="221"/>
      <c r="R41" s="223"/>
      <c r="S41" s="221"/>
      <c r="T41" s="214"/>
      <c r="U41" s="214"/>
      <c r="V41" s="206" t="str">
        <f>IF(ISERROR(VLOOKUP(CONCATENATE($V$30,"_",U41),選手名簿!$A:$E,5,FALSE))=TRUE,"",VLOOKUP(CONCATENATE($V$30,"_",U41),選手名簿!$A:$E,5,FALSE))</f>
        <v/>
      </c>
      <c r="W41" s="226"/>
      <c r="Y41" s="891"/>
      <c r="Z41" s="891"/>
      <c r="AA41" s="891"/>
      <c r="AB41" s="891"/>
      <c r="AC41" s="891"/>
      <c r="AD41" s="891"/>
      <c r="AE41" s="891"/>
      <c r="AF41" s="891"/>
      <c r="AG41" s="891"/>
      <c r="AH41" s="891"/>
      <c r="AI41" s="891"/>
      <c r="AJ41" s="891"/>
      <c r="AK41" s="891"/>
      <c r="AL41" s="891"/>
      <c r="AM41" s="891"/>
      <c r="AN41" s="891"/>
      <c r="AO41" s="891"/>
      <c r="AP41" s="891"/>
      <c r="AQ41" s="891"/>
      <c r="AR41" s="891"/>
      <c r="AS41" s="891"/>
      <c r="AT41" s="891"/>
      <c r="AU41" s="891"/>
      <c r="AV41" s="891"/>
      <c r="AW41" s="891"/>
      <c r="AX41" s="891"/>
      <c r="AY41" s="891"/>
      <c r="AZ41" s="891"/>
      <c r="BA41" s="891"/>
      <c r="BB41" s="891"/>
      <c r="BC41" s="891"/>
      <c r="BD41" s="891"/>
      <c r="BE41" s="891"/>
      <c r="BF41" s="891"/>
    </row>
    <row r="42" spans="1:67" ht="18.75" customHeight="1" x14ac:dyDescent="0.25">
      <c r="A42" s="199"/>
      <c r="B42" s="209" t="str">
        <f>IF(ISERROR(VLOOKUP(CONCATENATE($B$30,"_",C42),選手名簿!$A:$E,5,FALSE))=TRUE,"",VLOOKUP(CONCATENATE($B$30,"_",C42),選手名簿!$A:$E,5,FALSE))</f>
        <v/>
      </c>
      <c r="C42" s="214"/>
      <c r="D42" s="214"/>
      <c r="E42" s="221"/>
      <c r="F42" s="223"/>
      <c r="G42" s="221"/>
      <c r="H42" s="214"/>
      <c r="I42" s="214"/>
      <c r="J42" s="209" t="str">
        <f>IF(ISERROR(VLOOKUP(CONCATENATE($J$30,"_",I42),選手名簿!$A:$E,5,FALSE))=TRUE,"",VLOOKUP(CONCATENATE($J$30,"_",I42),選手名簿!$A:$E,5,FALSE))</f>
        <v/>
      </c>
      <c r="K42" s="226"/>
      <c r="L42" s="190"/>
      <c r="M42" s="199"/>
      <c r="N42" s="209" t="str">
        <f>IF(ISERROR(VLOOKUP(CONCATENATE($N$30,"_",O42),選手名簿!$A:$E,5,FALSE))=TRUE,"",VLOOKUP(CONCATENATE($N$30,"_",O42),選手名簿!$A:$E,5,FALSE))</f>
        <v/>
      </c>
      <c r="O42" s="214"/>
      <c r="P42" s="214"/>
      <c r="Q42" s="221"/>
      <c r="R42" s="223"/>
      <c r="S42" s="221"/>
      <c r="T42" s="214"/>
      <c r="U42" s="214"/>
      <c r="V42" s="209" t="str">
        <f>IF(ISERROR(VLOOKUP(CONCATENATE($V$30,"_",U42),選手名簿!$A:$E,5,FALSE))=TRUE,"",VLOOKUP(CONCATENATE($V$30,"_",U42),選手名簿!$A:$E,5,FALSE))</f>
        <v/>
      </c>
      <c r="W42" s="226"/>
      <c r="Y42" s="892" t="s">
        <v>2013</v>
      </c>
      <c r="Z42" s="893"/>
      <c r="AA42" s="896" t="s">
        <v>159</v>
      </c>
      <c r="AB42" s="232" t="s">
        <v>408</v>
      </c>
      <c r="AC42" s="231"/>
      <c r="AD42" s="898" t="s">
        <v>2060</v>
      </c>
      <c r="AE42" s="232" t="s">
        <v>2015</v>
      </c>
      <c r="AF42" s="231"/>
      <c r="AG42" s="898" t="s">
        <v>1208</v>
      </c>
      <c r="AH42" s="232" t="s">
        <v>2126</v>
      </c>
      <c r="AI42" s="231"/>
      <c r="AJ42" s="900" t="s">
        <v>1727</v>
      </c>
      <c r="AK42" s="234" t="s">
        <v>2016</v>
      </c>
    </row>
    <row r="43" spans="1:67" ht="19.5" customHeight="1" x14ac:dyDescent="0.25">
      <c r="A43" s="199"/>
      <c r="B43" s="209" t="str">
        <f>IF(ISERROR(VLOOKUP(CONCATENATE($B$30,"_",C43),選手名簿!$A:$E,5,FALSE))=TRUE,"",VLOOKUP(CONCATENATE($B$30,"_",C43),選手名簿!$A:$E,5,FALSE))</f>
        <v/>
      </c>
      <c r="C43" s="214"/>
      <c r="D43" s="214"/>
      <c r="E43" s="221"/>
      <c r="F43" s="223"/>
      <c r="G43" s="221"/>
      <c r="H43" s="214"/>
      <c r="I43" s="214"/>
      <c r="J43" s="209" t="str">
        <f>IF(ISERROR(VLOOKUP(CONCATENATE($J$30,"_",I43),選手名簿!$A:$E,5,FALSE))=TRUE,"",VLOOKUP(CONCATENATE($J$30,"_",I43),選手名簿!$A:$E,5,FALSE))</f>
        <v/>
      </c>
      <c r="K43" s="226"/>
      <c r="L43" s="190"/>
      <c r="M43" s="199"/>
      <c r="N43" s="209" t="str">
        <f>IF(ISERROR(VLOOKUP(CONCATENATE($N$30,"_",O43),選手名簿!$A:$E,5,FALSE))=TRUE,"",VLOOKUP(CONCATENATE($N$30,"_",O43),選手名簿!$A:$E,5,FALSE))</f>
        <v/>
      </c>
      <c r="O43" s="214"/>
      <c r="P43" s="214"/>
      <c r="Q43" s="221"/>
      <c r="R43" s="223"/>
      <c r="S43" s="221"/>
      <c r="T43" s="214"/>
      <c r="U43" s="214"/>
      <c r="V43" s="209" t="str">
        <f>IF(ISERROR(VLOOKUP(CONCATENATE($V$30,"_",U43),選手名簿!$A:$E,5,FALSE))=TRUE,"",VLOOKUP(CONCATENATE($V$30,"_",U43),選手名簿!$A:$E,5,FALSE))</f>
        <v/>
      </c>
      <c r="W43" s="226"/>
      <c r="Y43" s="894"/>
      <c r="Z43" s="895"/>
      <c r="AA43" s="897"/>
      <c r="AB43" s="233">
        <v>3</v>
      </c>
      <c r="AC43" s="230"/>
      <c r="AD43" s="899"/>
      <c r="AE43" s="233">
        <v>2</v>
      </c>
      <c r="AF43" s="230"/>
      <c r="AG43" s="899"/>
      <c r="AH43" s="233">
        <v>1</v>
      </c>
      <c r="AI43" s="230"/>
      <c r="AJ43" s="901"/>
      <c r="AK43" s="235">
        <v>0</v>
      </c>
    </row>
    <row r="44" spans="1:67" ht="19.5" customHeight="1" x14ac:dyDescent="0.25">
      <c r="A44" s="199"/>
      <c r="B44" s="209" t="str">
        <f>IF(ISERROR(VLOOKUP(CONCATENATE($B$30,"_",C44),選手名簿!$A:$E,5,FALSE))=TRUE,"",VLOOKUP(CONCATENATE($B$30,"_",C44),選手名簿!$A:$E,5,FALSE))</f>
        <v/>
      </c>
      <c r="C44" s="214"/>
      <c r="D44" s="214"/>
      <c r="E44" s="221"/>
      <c r="F44" s="223"/>
      <c r="G44" s="221"/>
      <c r="H44" s="214"/>
      <c r="I44" s="214"/>
      <c r="J44" s="209" t="str">
        <f>IF(ISERROR(VLOOKUP(CONCATENATE($J$30,"_",I44),選手名簿!$A:$E,5,FALSE))=TRUE,"",VLOOKUP(CONCATENATE($J$30,"_",I44),選手名簿!$A:$E,5,FALSE))</f>
        <v/>
      </c>
      <c r="K44" s="226"/>
      <c r="L44" s="190"/>
      <c r="M44" s="199"/>
      <c r="N44" s="209" t="str">
        <f>IF(ISERROR(VLOOKUP(CONCATENATE($N$30,"_",O44),選手名簿!$A:$E,5,FALSE))=TRUE,"",VLOOKUP(CONCATENATE($N$30,"_",O44),選手名簿!$A:$E,5,FALSE))</f>
        <v/>
      </c>
      <c r="O44" s="214"/>
      <c r="P44" s="214"/>
      <c r="Q44" s="221"/>
      <c r="R44" s="223"/>
      <c r="S44" s="221"/>
      <c r="T44" s="214"/>
      <c r="U44" s="214"/>
      <c r="V44" s="209" t="str">
        <f>IF(ISERROR(VLOOKUP(CONCATENATE($V$30,"_",U44),選手名簿!$A:$E,5,FALSE))=TRUE,"",VLOOKUP(CONCATENATE($V$30,"_",U44),選手名簿!$A:$E,5,FALSE))</f>
        <v/>
      </c>
      <c r="W44" s="226"/>
    </row>
    <row r="45" spans="1:67" x14ac:dyDescent="0.25">
      <c r="A45" s="200"/>
      <c r="B45" s="210" t="str">
        <f>IF(ISERROR(VLOOKUP(CONCATENATE($B$30,"_",C45),選手名簿!$A:$E,5,FALSE))=TRUE,"",VLOOKUP(CONCATENATE($B$30,"_",C45),選手名簿!$A:$E,5,FALSE))</f>
        <v/>
      </c>
      <c r="C45" s="215"/>
      <c r="D45" s="215"/>
      <c r="E45" s="222"/>
      <c r="F45" s="224"/>
      <c r="G45" s="222"/>
      <c r="H45" s="215"/>
      <c r="I45" s="215"/>
      <c r="J45" s="210" t="str">
        <f>IF(ISERROR(VLOOKUP(CONCATENATE($J$30,"_",I45),選手名簿!$A:$E,5,FALSE))=TRUE,"",VLOOKUP(CONCATENATE($J$30,"_",I45),選手名簿!$A:$E,5,FALSE))</f>
        <v/>
      </c>
      <c r="K45" s="227"/>
      <c r="L45" s="190"/>
      <c r="M45" s="200"/>
      <c r="N45" s="210" t="str">
        <f>IF(ISERROR(VLOOKUP(CONCATENATE($N$30,"_",O45),選手名簿!$A:$E,5,FALSE))=TRUE,"",VLOOKUP(CONCATENATE($N$30,"_",O45),選手名簿!$A:$E,5,FALSE))</f>
        <v/>
      </c>
      <c r="O45" s="215"/>
      <c r="P45" s="215"/>
      <c r="Q45" s="222"/>
      <c r="R45" s="224"/>
      <c r="S45" s="222"/>
      <c r="T45" s="215"/>
      <c r="U45" s="215"/>
      <c r="V45" s="210" t="str">
        <f>IF(ISERROR(VLOOKUP(CONCATENATE($V$30,"_",U45),選手名簿!$A:$E,5,FALSE))=TRUE,"",VLOOKUP(CONCATENATE($V$30,"_",U45),選手名簿!$A:$E,5,FALSE))</f>
        <v/>
      </c>
      <c r="W45" s="227"/>
    </row>
    <row r="46" spans="1:67" x14ac:dyDescent="0.25">
      <c r="A46" s="190"/>
      <c r="B46" s="190"/>
      <c r="C46" s="190"/>
      <c r="D46" s="190"/>
      <c r="E46" s="190"/>
      <c r="F46" s="190"/>
      <c r="G46" s="190"/>
      <c r="H46" s="190"/>
      <c r="I46" s="190"/>
      <c r="J46" s="190"/>
      <c r="K46" s="190"/>
      <c r="L46" s="190"/>
      <c r="M46" s="190"/>
      <c r="N46" s="190"/>
      <c r="O46" s="190"/>
      <c r="P46" s="190"/>
      <c r="Q46" s="190"/>
      <c r="R46" s="190"/>
      <c r="S46" s="190"/>
      <c r="T46" s="190"/>
      <c r="U46" s="190"/>
      <c r="V46" s="190"/>
    </row>
    <row r="47" spans="1:67" x14ac:dyDescent="0.25">
      <c r="A47" s="190"/>
      <c r="B47" s="190"/>
      <c r="C47" s="190"/>
      <c r="D47" s="190"/>
      <c r="E47" s="190"/>
      <c r="F47" s="190"/>
      <c r="G47" s="190"/>
      <c r="H47" s="190"/>
      <c r="I47" s="190"/>
      <c r="J47" s="190"/>
      <c r="K47" s="190"/>
      <c r="L47" s="190"/>
      <c r="M47" s="190"/>
      <c r="N47" s="190"/>
      <c r="O47" s="190"/>
      <c r="P47" s="190"/>
      <c r="Q47" s="190"/>
      <c r="R47" s="190"/>
      <c r="S47" s="190"/>
      <c r="T47" s="190"/>
      <c r="U47" s="190"/>
      <c r="V47" s="190"/>
    </row>
    <row r="48" spans="1:67" ht="18.75" customHeight="1" x14ac:dyDescent="0.25">
      <c r="A48" s="963" t="s">
        <v>1703</v>
      </c>
      <c r="B48" s="964" t="str">
        <f>C9</f>
        <v>弥生少年サッカークラブ</v>
      </c>
      <c r="C48" s="966">
        <f>IF(E48="","",SUM(E48:E49))</f>
        <v>2</v>
      </c>
      <c r="D48" s="940" t="s">
        <v>336</v>
      </c>
      <c r="E48" s="217">
        <v>1</v>
      </c>
      <c r="F48" s="217" t="s">
        <v>61</v>
      </c>
      <c r="G48" s="217">
        <v>0</v>
      </c>
      <c r="H48" s="940" t="s">
        <v>339</v>
      </c>
      <c r="I48" s="966">
        <f>IF(G48="","",SUM(G48:G49))</f>
        <v>0</v>
      </c>
      <c r="J48" s="968" t="str">
        <f>C7</f>
        <v>日出サッカースポーツ少年団</v>
      </c>
      <c r="K48" s="190"/>
      <c r="M48" s="969" t="s">
        <v>1596</v>
      </c>
      <c r="N48" s="972" t="str">
        <f>O9</f>
        <v>はやぶさフットボールクラブ</v>
      </c>
      <c r="O48" s="966">
        <f>IF(Q48="","",SUM(Q48:Q49))</f>
        <v>2</v>
      </c>
      <c r="P48" s="940" t="s">
        <v>336</v>
      </c>
      <c r="Q48" s="217">
        <v>1</v>
      </c>
      <c r="R48" s="217" t="s">
        <v>61</v>
      </c>
      <c r="S48" s="217">
        <v>0</v>
      </c>
      <c r="T48" s="940" t="s">
        <v>339</v>
      </c>
      <c r="U48" s="966">
        <f>IF(S48="","",SUM(S48:S49))</f>
        <v>0</v>
      </c>
      <c r="V48" s="968" t="str">
        <f>O7</f>
        <v>ＯＫＹ山香サッカークラブ</v>
      </c>
      <c r="Y48" s="959" t="str">
        <f>$Y$1</f>
        <v>OFA 第 57 回大分県U-12サッカー大会　兼　KYFA 九州U-12サッカー大会大分県大会</v>
      </c>
      <c r="Z48" s="959"/>
      <c r="AA48" s="959"/>
      <c r="AB48" s="959"/>
      <c r="AC48" s="959"/>
      <c r="AD48" s="959"/>
      <c r="AE48" s="959"/>
      <c r="AF48" s="959"/>
      <c r="AG48" s="959"/>
      <c r="AH48" s="959"/>
      <c r="AI48" s="959"/>
      <c r="AJ48" s="959"/>
      <c r="AK48" s="959"/>
      <c r="AL48" s="959"/>
      <c r="AM48" s="959"/>
      <c r="AN48" s="959"/>
      <c r="AO48" s="959"/>
      <c r="AP48" s="959"/>
      <c r="AQ48" s="959"/>
      <c r="AR48" s="959"/>
      <c r="AS48" s="959"/>
      <c r="AT48" s="959"/>
      <c r="AU48" s="959"/>
      <c r="AV48" s="959"/>
      <c r="AW48" s="959"/>
      <c r="AX48" s="959"/>
      <c r="AY48" s="959"/>
      <c r="AZ48" s="959"/>
      <c r="BA48" s="959"/>
      <c r="BB48" s="959"/>
      <c r="BC48" s="959"/>
      <c r="BD48" s="959"/>
      <c r="BE48" s="959"/>
      <c r="BF48" s="959"/>
      <c r="BG48" s="959"/>
      <c r="BI48" s="959" t="str">
        <f>$BI$1</f>
        <v>１次リーグ結果　報告用紙</v>
      </c>
      <c r="BJ48" s="959"/>
      <c r="BK48" s="959"/>
      <c r="BL48" s="959"/>
      <c r="BM48" s="959"/>
      <c r="BN48" s="959"/>
      <c r="BO48" s="959"/>
    </row>
    <row r="49" spans="1:67" ht="18.75" customHeight="1" x14ac:dyDescent="0.25">
      <c r="A49" s="946"/>
      <c r="B49" s="965"/>
      <c r="C49" s="967"/>
      <c r="D49" s="906"/>
      <c r="E49" s="190">
        <v>1</v>
      </c>
      <c r="F49" s="190" t="s">
        <v>126</v>
      </c>
      <c r="G49" s="190">
        <v>0</v>
      </c>
      <c r="H49" s="906"/>
      <c r="I49" s="967"/>
      <c r="J49" s="957"/>
      <c r="K49" s="190"/>
      <c r="M49" s="970"/>
      <c r="N49" s="973"/>
      <c r="O49" s="967"/>
      <c r="P49" s="906"/>
      <c r="Q49" s="190">
        <v>1</v>
      </c>
      <c r="R49" s="190" t="s">
        <v>126</v>
      </c>
      <c r="S49" s="190">
        <v>0</v>
      </c>
      <c r="T49" s="906"/>
      <c r="U49" s="967"/>
      <c r="V49" s="957"/>
      <c r="Y49" s="959"/>
      <c r="Z49" s="959"/>
      <c r="AA49" s="959"/>
      <c r="AB49" s="959"/>
      <c r="AC49" s="959"/>
      <c r="AD49" s="959"/>
      <c r="AE49" s="959"/>
      <c r="AF49" s="959"/>
      <c r="AG49" s="959"/>
      <c r="AH49" s="959"/>
      <c r="AI49" s="959"/>
      <c r="AJ49" s="959"/>
      <c r="AK49" s="959"/>
      <c r="AL49" s="959"/>
      <c r="AM49" s="959"/>
      <c r="AN49" s="959"/>
      <c r="AO49" s="959"/>
      <c r="AP49" s="959"/>
      <c r="AQ49" s="959"/>
      <c r="AR49" s="959"/>
      <c r="AS49" s="959"/>
      <c r="AT49" s="959"/>
      <c r="AU49" s="959"/>
      <c r="AV49" s="959"/>
      <c r="AW49" s="959"/>
      <c r="AX49" s="959"/>
      <c r="AY49" s="959"/>
      <c r="AZ49" s="959"/>
      <c r="BA49" s="959"/>
      <c r="BB49" s="959"/>
      <c r="BC49" s="959"/>
      <c r="BD49" s="959"/>
      <c r="BE49" s="959"/>
      <c r="BF49" s="959"/>
      <c r="BG49" s="959"/>
      <c r="BI49" s="959"/>
      <c r="BJ49" s="959"/>
      <c r="BK49" s="959"/>
      <c r="BL49" s="959"/>
      <c r="BM49" s="959"/>
      <c r="BN49" s="959"/>
      <c r="BO49" s="959"/>
    </row>
    <row r="50" spans="1:67" ht="19.5" customHeight="1" x14ac:dyDescent="0.25">
      <c r="A50" s="946"/>
      <c r="B50" s="965"/>
      <c r="C50" s="967"/>
      <c r="D50" s="906"/>
      <c r="E50" s="190"/>
      <c r="F50" s="190" t="s">
        <v>407</v>
      </c>
      <c r="G50" s="190"/>
      <c r="H50" s="906"/>
      <c r="I50" s="967"/>
      <c r="J50" s="957"/>
      <c r="K50" s="190"/>
      <c r="M50" s="971"/>
      <c r="N50" s="974"/>
      <c r="O50" s="975"/>
      <c r="P50" s="908"/>
      <c r="Q50" s="190"/>
      <c r="R50" s="190" t="s">
        <v>407</v>
      </c>
      <c r="S50" s="190"/>
      <c r="T50" s="908"/>
      <c r="U50" s="975"/>
      <c r="V50" s="976"/>
      <c r="Y50" s="959" t="s">
        <v>1962</v>
      </c>
      <c r="Z50" s="959"/>
      <c r="AA50" s="959"/>
      <c r="AB50" s="959"/>
      <c r="AC50" s="959"/>
      <c r="AD50" s="959"/>
      <c r="AE50" s="959"/>
      <c r="AF50" s="959"/>
      <c r="AG50" s="959"/>
      <c r="AH50" s="959"/>
      <c r="AI50" s="959"/>
      <c r="AJ50" s="959"/>
      <c r="AK50" s="959"/>
      <c r="AL50" s="959"/>
      <c r="AM50" s="959"/>
      <c r="AN50" s="959"/>
      <c r="AO50" s="959"/>
      <c r="AP50" s="959"/>
      <c r="AQ50" s="959"/>
      <c r="AR50" s="959"/>
      <c r="AS50" s="959"/>
      <c r="AT50" s="959"/>
      <c r="AU50" s="959"/>
      <c r="AV50" s="959"/>
      <c r="AW50" s="959"/>
      <c r="AX50" s="959"/>
      <c r="AY50" s="959"/>
      <c r="AZ50" s="959"/>
      <c r="BA50" s="959"/>
      <c r="BB50" s="959"/>
      <c r="BC50" s="959"/>
      <c r="BD50" s="959"/>
      <c r="BE50" s="959"/>
      <c r="BF50" s="959"/>
      <c r="BG50" s="959"/>
    </row>
    <row r="51" spans="1:67" ht="18.75" customHeight="1" x14ac:dyDescent="0.25">
      <c r="A51" s="192" t="s">
        <v>2463</v>
      </c>
      <c r="B51" s="989" t="s">
        <v>15258</v>
      </c>
      <c r="C51" s="989"/>
      <c r="D51" s="989"/>
      <c r="E51" s="989"/>
      <c r="F51" s="989"/>
      <c r="G51" s="990" t="s">
        <v>2464</v>
      </c>
      <c r="H51" s="990"/>
      <c r="I51" s="990"/>
      <c r="J51" s="991" t="s">
        <v>15152</v>
      </c>
      <c r="K51" s="991"/>
      <c r="M51" s="192" t="s">
        <v>2463</v>
      </c>
      <c r="N51" s="989" t="s">
        <v>15180</v>
      </c>
      <c r="O51" s="989"/>
      <c r="P51" s="989"/>
      <c r="Q51" s="989"/>
      <c r="R51" s="989"/>
      <c r="S51" s="990" t="s">
        <v>2464</v>
      </c>
      <c r="T51" s="990"/>
      <c r="U51" s="990"/>
      <c r="V51" s="991" t="s">
        <v>15152</v>
      </c>
      <c r="W51" s="991"/>
      <c r="Y51" s="959"/>
      <c r="Z51" s="959"/>
      <c r="AA51" s="959"/>
      <c r="AB51" s="959"/>
      <c r="AC51" s="959"/>
      <c r="AD51" s="959"/>
      <c r="AE51" s="959"/>
      <c r="AF51" s="959"/>
      <c r="AG51" s="959"/>
      <c r="AH51" s="959"/>
      <c r="AI51" s="959"/>
      <c r="AJ51" s="959"/>
      <c r="AK51" s="959"/>
      <c r="AL51" s="959"/>
      <c r="AM51" s="959"/>
      <c r="AN51" s="959"/>
      <c r="AO51" s="959"/>
      <c r="AP51" s="959"/>
      <c r="AQ51" s="959"/>
      <c r="AR51" s="959"/>
      <c r="AS51" s="959"/>
      <c r="AT51" s="959"/>
      <c r="AU51" s="959"/>
      <c r="AV51" s="959"/>
      <c r="AW51" s="959"/>
      <c r="AX51" s="959"/>
      <c r="AY51" s="959"/>
      <c r="AZ51" s="959"/>
      <c r="BA51" s="959"/>
      <c r="BB51" s="959"/>
      <c r="BC51" s="959"/>
      <c r="BD51" s="959"/>
      <c r="BE51" s="959"/>
      <c r="BF51" s="959"/>
      <c r="BG51" s="959"/>
    </row>
    <row r="52" spans="1:67" ht="18.75" customHeight="1" x14ac:dyDescent="0.25">
      <c r="A52" s="193" t="s">
        <v>2465</v>
      </c>
      <c r="B52" s="992" t="s">
        <v>15258</v>
      </c>
      <c r="C52" s="992"/>
      <c r="D52" s="992"/>
      <c r="E52" s="992"/>
      <c r="F52" s="992"/>
      <c r="G52" s="983" t="s">
        <v>2464</v>
      </c>
      <c r="H52" s="984"/>
      <c r="I52" s="985"/>
      <c r="J52" s="993" t="s">
        <v>15153</v>
      </c>
      <c r="K52" s="993"/>
      <c r="M52" s="193" t="s">
        <v>2465</v>
      </c>
      <c r="N52" s="992" t="s">
        <v>15180</v>
      </c>
      <c r="O52" s="992"/>
      <c r="P52" s="992"/>
      <c r="Q52" s="992"/>
      <c r="R52" s="992"/>
      <c r="S52" s="983" t="s">
        <v>2464</v>
      </c>
      <c r="T52" s="984"/>
      <c r="U52" s="985"/>
      <c r="V52" s="993" t="s">
        <v>15153</v>
      </c>
      <c r="W52" s="993"/>
      <c r="Y52" s="189"/>
      <c r="Z52" s="189"/>
      <c r="AA52" s="189"/>
      <c r="AB52" s="189"/>
      <c r="AC52" s="189"/>
      <c r="AD52" s="189"/>
      <c r="AE52" s="189"/>
      <c r="AF52" s="189"/>
      <c r="AG52" s="189"/>
      <c r="AH52" s="189"/>
      <c r="AI52" s="189"/>
      <c r="AJ52" s="189"/>
      <c r="AK52" s="189"/>
      <c r="AL52" s="189"/>
      <c r="AM52" s="189"/>
      <c r="AN52" s="189"/>
      <c r="AO52" s="189"/>
      <c r="AP52" s="189"/>
      <c r="AQ52" s="189"/>
      <c r="AR52" s="189"/>
      <c r="AS52" s="189"/>
      <c r="AT52" s="189"/>
      <c r="AU52" s="189"/>
      <c r="AV52" s="189"/>
      <c r="AW52" s="189"/>
      <c r="AX52" s="189"/>
      <c r="AY52" s="189"/>
      <c r="AZ52" s="189"/>
      <c r="BA52" s="189"/>
      <c r="BB52" s="189"/>
      <c r="BC52" s="189"/>
      <c r="BD52" s="189"/>
      <c r="BE52" s="189"/>
      <c r="BF52" s="189"/>
      <c r="BG52" s="189"/>
    </row>
    <row r="53" spans="1:67" ht="18.75" customHeight="1" x14ac:dyDescent="0.25">
      <c r="A53" s="194" t="s">
        <v>2466</v>
      </c>
      <c r="B53" s="982" t="s">
        <v>15259</v>
      </c>
      <c r="C53" s="982"/>
      <c r="D53" s="982"/>
      <c r="E53" s="982"/>
      <c r="F53" s="982"/>
      <c r="G53" s="983" t="s">
        <v>2464</v>
      </c>
      <c r="H53" s="984"/>
      <c r="I53" s="985"/>
      <c r="J53" s="986" t="s">
        <v>15153</v>
      </c>
      <c r="K53" s="986"/>
      <c r="M53" s="194" t="s">
        <v>2466</v>
      </c>
      <c r="N53" s="982" t="s">
        <v>15150</v>
      </c>
      <c r="O53" s="982"/>
      <c r="P53" s="982"/>
      <c r="Q53" s="982"/>
      <c r="R53" s="982"/>
      <c r="S53" s="983" t="s">
        <v>2464</v>
      </c>
      <c r="T53" s="984"/>
      <c r="U53" s="985"/>
      <c r="V53" s="986" t="s">
        <v>15153</v>
      </c>
      <c r="W53" s="986"/>
      <c r="Y53" s="189"/>
      <c r="Z53" s="189"/>
      <c r="AA53" s="189"/>
      <c r="AB53" s="189"/>
      <c r="AC53" s="189"/>
      <c r="AD53" s="189"/>
      <c r="AE53" s="189"/>
      <c r="AF53" s="189"/>
      <c r="AG53" s="189"/>
      <c r="AH53" s="189"/>
      <c r="AI53" s="189"/>
    </row>
    <row r="54" spans="1:67" x14ac:dyDescent="0.25">
      <c r="A54" s="195" t="s">
        <v>609</v>
      </c>
      <c r="B54" s="205" t="str">
        <f>IF(ISERROR(VLOOKUP(G54,審判員!$A:$C,2,FALSE))=TRUE,"",VLOOKUP(G54,審判員!$A:$C,2,FALSE))</f>
        <v>大本　敏行</v>
      </c>
      <c r="C54" s="211">
        <f>IF(ISERROR(VLOOKUP(G54,審判員!$A:$C,3,FALSE))=TRUE,"",VLOOKUP(G54,審判員!$A:$C,3,FALSE))</f>
        <v>3</v>
      </c>
      <c r="D54" s="218" t="s">
        <v>612</v>
      </c>
      <c r="E54" s="955" t="s">
        <v>201</v>
      </c>
      <c r="F54" s="955"/>
      <c r="G54" s="955" t="s">
        <v>15185</v>
      </c>
      <c r="H54" s="955"/>
      <c r="I54" s="955"/>
      <c r="J54" s="987" t="s">
        <v>788</v>
      </c>
      <c r="K54" s="988"/>
      <c r="L54" s="190"/>
      <c r="M54" s="195" t="s">
        <v>609</v>
      </c>
      <c r="N54" s="205" t="str">
        <f>IF(ISERROR(VLOOKUP(S54,審判員!$A:$C,2,FALSE))=TRUE,"",VLOOKUP(S54,審判員!$A:$C,2,FALSE))</f>
        <v>鶴田　和也</v>
      </c>
      <c r="O54" s="211">
        <f>IF(ISERROR(VLOOKUP(S54,審判員!$A:$C,3,FALSE))=TRUE,"",VLOOKUP(S54,審判員!$A:$C,3,FALSE))</f>
        <v>3</v>
      </c>
      <c r="P54" s="218" t="s">
        <v>612</v>
      </c>
      <c r="Q54" s="955" t="s">
        <v>201</v>
      </c>
      <c r="R54" s="955"/>
      <c r="S54" s="955" t="s">
        <v>15244</v>
      </c>
      <c r="T54" s="955"/>
      <c r="U54" s="955"/>
      <c r="V54" s="987" t="s">
        <v>788</v>
      </c>
      <c r="W54" s="988"/>
      <c r="Y54" s="590" t="s">
        <v>487</v>
      </c>
      <c r="Z54" s="590"/>
      <c r="AA54" s="590"/>
      <c r="AB54" s="960" t="str">
        <f>$N$4</f>
        <v>速杵国東</v>
      </c>
      <c r="AC54" s="960"/>
      <c r="AD54" s="960"/>
      <c r="AE54" s="960"/>
      <c r="AF54" s="960"/>
      <c r="AG54" s="960"/>
      <c r="AH54" s="590" t="s">
        <v>659</v>
      </c>
      <c r="AI54" s="961" t="str">
        <f>$P$4</f>
        <v>フットボールセンター大分きつき(杵築市営サッカー場)</v>
      </c>
      <c r="AJ54" s="961"/>
      <c r="AK54" s="961"/>
      <c r="AL54" s="961"/>
      <c r="AM54" s="961"/>
      <c r="AN54" s="961"/>
      <c r="AO54" s="961"/>
      <c r="AP54" s="961"/>
      <c r="AQ54" s="961"/>
      <c r="AR54" s="961"/>
      <c r="AS54" s="961"/>
      <c r="AT54" s="961"/>
      <c r="AU54" s="961"/>
      <c r="AV54" s="961"/>
      <c r="AW54" s="961"/>
    </row>
    <row r="55" spans="1:67" x14ac:dyDescent="0.25">
      <c r="A55" s="196" t="s">
        <v>704</v>
      </c>
      <c r="B55" s="206" t="str">
        <f>IF(ISERROR(VLOOKUP(G55,審判員!$A:$C,2,FALSE))=TRUE,"",VLOOKUP(G55,審判員!$A:$C,2,FALSE))</f>
        <v>高橋　芳洋</v>
      </c>
      <c r="C55" s="212">
        <f>IF(ISERROR(VLOOKUP(G55,審判員!$A:$C,3,FALSE))=TRUE,"",VLOOKUP(G55,審判員!$A:$C,3,FALSE))</f>
        <v>3</v>
      </c>
      <c r="D55" s="219" t="s">
        <v>612</v>
      </c>
      <c r="E55" s="906" t="s">
        <v>1286</v>
      </c>
      <c r="F55" s="906"/>
      <c r="G55" s="906" t="s">
        <v>15222</v>
      </c>
      <c r="H55" s="906"/>
      <c r="I55" s="906"/>
      <c r="J55" s="891" t="str">
        <f>N48</f>
        <v>はやぶさフットボールクラブ</v>
      </c>
      <c r="K55" s="981"/>
      <c r="L55" s="190"/>
      <c r="M55" s="196" t="s">
        <v>704</v>
      </c>
      <c r="N55" s="206" t="str">
        <f>IF(ISERROR(VLOOKUP(S55,審判員!$A:$C,2,FALSE))=TRUE,"",VLOOKUP(S55,審判員!$A:$C,2,FALSE))</f>
        <v>五十川　文明</v>
      </c>
      <c r="O55" s="212">
        <f>IF(ISERROR(VLOOKUP(S55,審判員!$A:$C,3,FALSE))=TRUE,"",VLOOKUP(S55,審判員!$A:$C,3,FALSE))</f>
        <v>3</v>
      </c>
      <c r="P55" s="219" t="s">
        <v>612</v>
      </c>
      <c r="Q55" s="906" t="s">
        <v>1286</v>
      </c>
      <c r="R55" s="906"/>
      <c r="S55" s="906" t="s">
        <v>15243</v>
      </c>
      <c r="T55" s="906"/>
      <c r="U55" s="906"/>
      <c r="V55" s="891" t="str">
        <f>B48</f>
        <v>弥生少年サッカークラブ</v>
      </c>
      <c r="W55" s="981"/>
      <c r="Y55" s="590"/>
      <c r="Z55" s="590"/>
      <c r="AA55" s="590"/>
      <c r="AB55" s="960"/>
      <c r="AC55" s="960"/>
      <c r="AD55" s="960"/>
      <c r="AE55" s="960"/>
      <c r="AF55" s="960"/>
      <c r="AG55" s="960"/>
      <c r="AH55" s="590"/>
      <c r="AI55" s="961"/>
      <c r="AJ55" s="961"/>
      <c r="AK55" s="961"/>
      <c r="AL55" s="961"/>
      <c r="AM55" s="961"/>
      <c r="AN55" s="961"/>
      <c r="AO55" s="961"/>
      <c r="AP55" s="961"/>
      <c r="AQ55" s="961"/>
      <c r="AR55" s="961"/>
      <c r="AS55" s="961"/>
      <c r="AT55" s="961"/>
      <c r="AU55" s="961"/>
      <c r="AV55" s="961"/>
      <c r="AW55" s="961"/>
    </row>
    <row r="56" spans="1:67" x14ac:dyDescent="0.25">
      <c r="A56" s="196" t="s">
        <v>2007</v>
      </c>
      <c r="B56" s="206" t="str">
        <f>IF(ISERROR(VLOOKUP(G56,審判員!$A:$C,2,FALSE))=TRUE,"",VLOOKUP(G56,審判員!$A:$C,2,FALSE))</f>
        <v>長野　高志</v>
      </c>
      <c r="C56" s="212">
        <f>IF(ISERROR(VLOOKUP(G56,審判員!$A:$C,3,FALSE))=TRUE,"",VLOOKUP(G56,審判員!$A:$C,3,FALSE))</f>
        <v>3</v>
      </c>
      <c r="D56" s="219" t="s">
        <v>612</v>
      </c>
      <c r="E56" s="906" t="s">
        <v>1286</v>
      </c>
      <c r="F56" s="906"/>
      <c r="G56" s="906" t="s">
        <v>15155</v>
      </c>
      <c r="H56" s="906"/>
      <c r="I56" s="906"/>
      <c r="J56" s="891" t="str">
        <f>V48</f>
        <v>ＯＫＹ山香サッカークラブ</v>
      </c>
      <c r="K56" s="981"/>
      <c r="L56" s="190"/>
      <c r="M56" s="196" t="s">
        <v>2007</v>
      </c>
      <c r="N56" s="206" t="str">
        <f>IF(ISERROR(VLOOKUP(S56,審判員!$A:$C,2,FALSE))=TRUE,"",VLOOKUP(S56,審判員!$A:$C,2,FALSE))</f>
        <v>笠置　忠照</v>
      </c>
      <c r="O56" s="212">
        <f>IF(ISERROR(VLOOKUP(S56,審判員!$A:$C,3,FALSE))=TRUE,"",VLOOKUP(S56,審判員!$A:$C,3,FALSE))</f>
        <v>3</v>
      </c>
      <c r="P56" s="219" t="s">
        <v>612</v>
      </c>
      <c r="Q56" s="906" t="s">
        <v>1286</v>
      </c>
      <c r="R56" s="906"/>
      <c r="S56" s="906" t="s">
        <v>15183</v>
      </c>
      <c r="T56" s="906"/>
      <c r="U56" s="906"/>
      <c r="V56" s="891" t="str">
        <f>J48</f>
        <v>日出サッカースポーツ少年団</v>
      </c>
      <c r="W56" s="981"/>
      <c r="Y56" s="58"/>
      <c r="Z56" s="58"/>
      <c r="AA56" s="58"/>
      <c r="AB56" s="58"/>
      <c r="AC56" s="58"/>
      <c r="AD56" s="58"/>
      <c r="AE56" s="58"/>
      <c r="AF56" s="58"/>
      <c r="AG56" s="58"/>
      <c r="AH56" s="58"/>
      <c r="AI56" s="216"/>
      <c r="AJ56" s="216"/>
      <c r="AK56" s="216"/>
      <c r="AL56" s="216"/>
      <c r="AM56" s="216"/>
      <c r="AN56" s="216"/>
      <c r="AO56" s="216"/>
      <c r="AP56" s="216"/>
      <c r="AQ56" s="216"/>
      <c r="AR56" s="216"/>
      <c r="AS56" s="216"/>
      <c r="AT56" s="216"/>
      <c r="AU56" s="216"/>
      <c r="AV56" s="216"/>
      <c r="AW56" s="216"/>
    </row>
    <row r="57" spans="1:67" x14ac:dyDescent="0.25">
      <c r="A57" s="197" t="s">
        <v>2008</v>
      </c>
      <c r="B57" s="207" t="str">
        <f>IF(ISERROR(VLOOKUP(G57,審判員!$A:$C,2,FALSE))=TRUE,"",VLOOKUP(G57,審判員!$A:$C,2,FALSE))</f>
        <v>酒井　隆宏</v>
      </c>
      <c r="C57" s="213">
        <f>IF(ISERROR(VLOOKUP(G57,審判員!$A:$C,3,FALSE))=TRUE,"",VLOOKUP(G57,審判員!$A:$C,3,FALSE))</f>
        <v>3</v>
      </c>
      <c r="D57" s="220" t="s">
        <v>612</v>
      </c>
      <c r="E57" s="977" t="s">
        <v>1286</v>
      </c>
      <c r="F57" s="977"/>
      <c r="G57" s="977" t="s">
        <v>15182</v>
      </c>
      <c r="H57" s="977"/>
      <c r="I57" s="977"/>
      <c r="J57" s="978" t="s">
        <v>788</v>
      </c>
      <c r="K57" s="979"/>
      <c r="L57" s="190"/>
      <c r="M57" s="197" t="s">
        <v>2008</v>
      </c>
      <c r="N57" s="207" t="str">
        <f>IF(ISERROR(VLOOKUP(S57,審判員!$A:$C,2,FALSE))=TRUE,"",VLOOKUP(S57,審判員!$A:$C,2,FALSE))</f>
        <v>安部　正信</v>
      </c>
      <c r="O57" s="213">
        <f>IF(ISERROR(VLOOKUP(S57,審判員!$A:$C,3,FALSE))=TRUE,"",VLOOKUP(S57,審判員!$A:$C,3,FALSE))</f>
        <v>3</v>
      </c>
      <c r="P57" s="220" t="s">
        <v>612</v>
      </c>
      <c r="Q57" s="977" t="s">
        <v>1286</v>
      </c>
      <c r="R57" s="977"/>
      <c r="S57" s="977" t="s">
        <v>15242</v>
      </c>
      <c r="T57" s="977"/>
      <c r="U57" s="977"/>
      <c r="V57" s="978" t="s">
        <v>788</v>
      </c>
      <c r="W57" s="979"/>
      <c r="Y57" s="190"/>
      <c r="Z57" s="190"/>
      <c r="AA57" s="190"/>
    </row>
    <row r="58" spans="1:67" x14ac:dyDescent="0.25">
      <c r="A58" s="198" t="s">
        <v>469</v>
      </c>
      <c r="B58" s="208" t="s">
        <v>606</v>
      </c>
      <c r="C58" s="208" t="s">
        <v>234</v>
      </c>
      <c r="D58" s="208" t="s">
        <v>272</v>
      </c>
      <c r="E58" s="208" t="s">
        <v>750</v>
      </c>
      <c r="F58" s="223"/>
      <c r="G58" s="208" t="s">
        <v>750</v>
      </c>
      <c r="H58" s="208" t="s">
        <v>272</v>
      </c>
      <c r="I58" s="208" t="s">
        <v>234</v>
      </c>
      <c r="J58" s="208" t="s">
        <v>606</v>
      </c>
      <c r="K58" s="225" t="s">
        <v>469</v>
      </c>
      <c r="L58" s="190"/>
      <c r="M58" s="198" t="s">
        <v>469</v>
      </c>
      <c r="N58" s="208" t="s">
        <v>606</v>
      </c>
      <c r="O58" s="208" t="s">
        <v>234</v>
      </c>
      <c r="P58" s="208" t="s">
        <v>272</v>
      </c>
      <c r="Q58" s="208" t="s">
        <v>750</v>
      </c>
      <c r="R58" s="223"/>
      <c r="S58" s="208" t="s">
        <v>750</v>
      </c>
      <c r="T58" s="208" t="s">
        <v>272</v>
      </c>
      <c r="U58" s="208" t="s">
        <v>234</v>
      </c>
      <c r="V58" s="208" t="s">
        <v>606</v>
      </c>
      <c r="W58" s="225" t="s">
        <v>469</v>
      </c>
      <c r="Y58" s="590" t="s">
        <v>430</v>
      </c>
      <c r="Z58" s="590"/>
      <c r="AA58" s="590"/>
      <c r="AB58" s="960" t="str">
        <f>$N$6</f>
        <v>J</v>
      </c>
      <c r="AC58" s="960"/>
      <c r="AD58" s="960"/>
      <c r="AE58" s="960"/>
      <c r="AF58" s="960"/>
      <c r="AG58" s="960"/>
    </row>
    <row r="59" spans="1:67" x14ac:dyDescent="0.25">
      <c r="A59" s="199"/>
      <c r="B59" s="209" t="str">
        <f>IF(ISERROR(VLOOKUP(CONCATENATE($B$48,"_",C59),選手名簿!$A:$E,5,FALSE))=TRUE,"",VLOOKUP(CONCATENATE($B$48,"_",C59),選手名簿!$A:$E,5,FALSE))</f>
        <v/>
      </c>
      <c r="C59" s="214"/>
      <c r="D59" s="214"/>
      <c r="E59" s="221"/>
      <c r="F59" s="223"/>
      <c r="G59" s="221"/>
      <c r="H59" s="214"/>
      <c r="I59" s="214"/>
      <c r="J59" s="209" t="str">
        <f>IF(ISERROR(VLOOKUP(CONCATENATE($J$48,"_",I59),選手名簿!$A:$E,5,FALSE))=TRUE,"",VLOOKUP(CONCATENATE($J$48,"_",I59),選手名簿!$A:$E,5,FALSE))</f>
        <v/>
      </c>
      <c r="K59" s="226"/>
      <c r="L59" s="190"/>
      <c r="M59" s="199"/>
      <c r="N59" s="209" t="str">
        <f>IF(ISERROR(VLOOKUP(CONCATENATE($N$48,"_",O59),選手名簿!$A:$E,5,FALSE))=TRUE,"",VLOOKUP(CONCATENATE($N$48,"_",O59),選手名簿!$A:$E,5,FALSE))</f>
        <v/>
      </c>
      <c r="O59" s="214"/>
      <c r="P59" s="214"/>
      <c r="Q59" s="221"/>
      <c r="R59" s="223"/>
      <c r="S59" s="221"/>
      <c r="T59" s="214"/>
      <c r="U59" s="214"/>
      <c r="V59" s="206" t="str">
        <f>IF(ISERROR(VLOOKUP(CONCATENATE($V$48,"_",U59),選手名簿!$A:$E,5,FALSE))=TRUE,"",VLOOKUP(CONCATENATE($V$48,"_",U59),選手名簿!$A:$E,5,FALSE))</f>
        <v/>
      </c>
      <c r="W59" s="226"/>
      <c r="Y59" s="590"/>
      <c r="Z59" s="590"/>
      <c r="AA59" s="590"/>
      <c r="AB59" s="962"/>
      <c r="AC59" s="962"/>
      <c r="AD59" s="962"/>
      <c r="AE59" s="962"/>
      <c r="AF59" s="962"/>
      <c r="AG59" s="962"/>
    </row>
    <row r="60" spans="1:67" x14ac:dyDescent="0.25">
      <c r="A60" s="199"/>
      <c r="B60" s="209" t="str">
        <f>IF(ISERROR(VLOOKUP(CONCATENATE($B$48,"_",C60),選手名簿!$A:$E,5,FALSE))=TRUE,"",VLOOKUP(CONCATENATE($B$48,"_",C60),選手名簿!$A:$E,5,FALSE))</f>
        <v/>
      </c>
      <c r="C60" s="214"/>
      <c r="D60" s="214"/>
      <c r="E60" s="221"/>
      <c r="F60" s="223"/>
      <c r="G60" s="221"/>
      <c r="H60" s="214"/>
      <c r="I60" s="214"/>
      <c r="J60" s="209" t="str">
        <f>IF(ISERROR(VLOOKUP(CONCATENATE($J$48,"_",I60),選手名簿!$A:$E,5,FALSE))=TRUE,"",VLOOKUP(CONCATENATE($J$48,"_",I60),選手名簿!$A:$E,5,FALSE))</f>
        <v/>
      </c>
      <c r="K60" s="226"/>
      <c r="L60" s="190"/>
      <c r="M60" s="199"/>
      <c r="N60" s="209" t="str">
        <f>IF(ISERROR(VLOOKUP(CONCATENATE($N$48,"_",O60),選手名簿!$A:$E,5,FALSE))=TRUE,"",VLOOKUP(CONCATENATE($N$48,"_",O60),選手名簿!$A:$E,5,FALSE))</f>
        <v/>
      </c>
      <c r="O60" s="214"/>
      <c r="P60" s="214"/>
      <c r="Q60" s="221"/>
      <c r="R60" s="223"/>
      <c r="S60" s="221"/>
      <c r="T60" s="214"/>
      <c r="U60" s="214"/>
      <c r="V60" s="209" t="str">
        <f>IF(ISERROR(VLOOKUP(CONCATENATE($V$48,"_",U60),選手名簿!$A:$E,5,FALSE))=TRUE,"",VLOOKUP(CONCATENATE($V$48,"_",U60),選手名簿!$A:$E,5,FALSE))</f>
        <v/>
      </c>
      <c r="W60" s="226"/>
      <c r="Y60" s="58"/>
      <c r="Z60" s="713" t="str">
        <f>$N$7</f>
        <v>J1</v>
      </c>
      <c r="AA60" s="713"/>
      <c r="AB60" s="713"/>
      <c r="AC60" s="713" t="str">
        <f>$O$7</f>
        <v>ＯＫＹ山香サッカークラブ</v>
      </c>
      <c r="AD60" s="713"/>
      <c r="AE60" s="713"/>
      <c r="AF60" s="713"/>
      <c r="AG60" s="713"/>
      <c r="AH60" s="713"/>
      <c r="AI60" s="713"/>
      <c r="AJ60" s="713"/>
      <c r="AK60" s="713"/>
      <c r="AL60" s="713"/>
      <c r="AM60" s="713"/>
      <c r="AN60" s="713"/>
      <c r="AO60" s="713"/>
      <c r="AP60" s="713" t="str">
        <f>$V$7</f>
        <v>速杵国東</v>
      </c>
      <c r="AQ60" s="713"/>
      <c r="AR60" s="713"/>
      <c r="AS60" s="713"/>
    </row>
    <row r="61" spans="1:67" x14ac:dyDescent="0.25">
      <c r="A61" s="199"/>
      <c r="B61" s="209" t="str">
        <f>IF(ISERROR(VLOOKUP(CONCATENATE($B$48,"_",C61),選手名簿!$A:$E,5,FALSE))=TRUE,"",VLOOKUP(CONCATENATE($B$48,"_",C61),選手名簿!$A:$E,5,FALSE))</f>
        <v/>
      </c>
      <c r="C61" s="214"/>
      <c r="D61" s="214"/>
      <c r="E61" s="221"/>
      <c r="F61" s="223"/>
      <c r="G61" s="221"/>
      <c r="H61" s="214"/>
      <c r="I61" s="214"/>
      <c r="J61" s="209" t="str">
        <f>IF(ISERROR(VLOOKUP(CONCATENATE($J$48,"_",I61),選手名簿!$A:$E,5,FALSE))=TRUE,"",VLOOKUP(CONCATENATE($J$48,"_",I61),選手名簿!$A:$E,5,FALSE))</f>
        <v/>
      </c>
      <c r="K61" s="226"/>
      <c r="L61" s="190"/>
      <c r="M61" s="199"/>
      <c r="N61" s="209" t="str">
        <f>IF(ISERROR(VLOOKUP(CONCATENATE($N$48,"_",O61),選手名簿!$A:$E,5,FALSE))=TRUE,"",VLOOKUP(CONCATENATE($N$48,"_",O61),選手名簿!$A:$E,5,FALSE))</f>
        <v/>
      </c>
      <c r="O61" s="214"/>
      <c r="P61" s="214"/>
      <c r="Q61" s="221"/>
      <c r="R61" s="223"/>
      <c r="S61" s="221"/>
      <c r="T61" s="214"/>
      <c r="U61" s="214"/>
      <c r="V61" s="209" t="str">
        <f>IF(ISERROR(VLOOKUP(CONCATENATE($V$48,"_",U61),選手名簿!$A:$E,5,FALSE))=TRUE,"",VLOOKUP(CONCATENATE($V$48,"_",U61),選手名簿!$A:$E,5,FALSE))</f>
        <v/>
      </c>
      <c r="W61" s="226"/>
      <c r="Y61" s="58"/>
      <c r="Z61" s="713"/>
      <c r="AA61" s="713"/>
      <c r="AB61" s="713"/>
      <c r="AC61" s="713"/>
      <c r="AD61" s="713"/>
      <c r="AE61" s="713"/>
      <c r="AF61" s="713"/>
      <c r="AG61" s="713"/>
      <c r="AH61" s="713"/>
      <c r="AI61" s="713"/>
      <c r="AJ61" s="713"/>
      <c r="AK61" s="713"/>
      <c r="AL61" s="713"/>
      <c r="AM61" s="713"/>
      <c r="AN61" s="713"/>
      <c r="AO61" s="713"/>
      <c r="AP61" s="713"/>
      <c r="AQ61" s="713"/>
      <c r="AR61" s="713"/>
      <c r="AS61" s="713"/>
    </row>
    <row r="62" spans="1:67" x14ac:dyDescent="0.25">
      <c r="A62" s="199"/>
      <c r="B62" s="209" t="str">
        <f>IF(ISERROR(VLOOKUP(CONCATENATE($B$48,"_",C62),選手名簿!$A:$E,5,FALSE))=TRUE,"",VLOOKUP(CONCATENATE($B$48,"_",C62),選手名簿!$A:$E,5,FALSE))</f>
        <v/>
      </c>
      <c r="C62" s="214"/>
      <c r="D62" s="214"/>
      <c r="E62" s="221"/>
      <c r="F62" s="223"/>
      <c r="G62" s="221"/>
      <c r="H62" s="214"/>
      <c r="I62" s="214"/>
      <c r="J62" s="209" t="str">
        <f>IF(ISERROR(VLOOKUP(CONCATENATE($J$48,"_",I62),選手名簿!$A:$E,5,FALSE))=TRUE,"",VLOOKUP(CONCATENATE($J$48,"_",I62),選手名簿!$A:$E,5,FALSE))</f>
        <v/>
      </c>
      <c r="K62" s="226"/>
      <c r="L62" s="190"/>
      <c r="M62" s="199"/>
      <c r="N62" s="209" t="str">
        <f>IF(ISERROR(VLOOKUP(CONCATENATE($N$48,"_",O62),選手名簿!$A:$E,5,FALSE))=TRUE,"",VLOOKUP(CONCATENATE($N$48,"_",O62),選手名簿!$A:$E,5,FALSE))</f>
        <v/>
      </c>
      <c r="O62" s="214"/>
      <c r="P62" s="214"/>
      <c r="Q62" s="221"/>
      <c r="R62" s="223"/>
      <c r="S62" s="221"/>
      <c r="T62" s="214"/>
      <c r="U62" s="214"/>
      <c r="V62" s="209" t="str">
        <f>IF(ISERROR(VLOOKUP(CONCATENATE($V$48,"_",U62),選手名簿!$A:$E,5,FALSE))=TRUE,"",VLOOKUP(CONCATENATE($V$48,"_",U62),選手名簿!$A:$E,5,FALSE))</f>
        <v/>
      </c>
      <c r="W62" s="226"/>
      <c r="Y62" s="58"/>
      <c r="Z62" s="713" t="str">
        <f>$N$8</f>
        <v>J2</v>
      </c>
      <c r="AA62" s="713"/>
      <c r="AB62" s="713"/>
      <c r="AC62" s="713" t="str">
        <f>$O$8</f>
        <v>滝尾下郡サッカースポーツ少年団</v>
      </c>
      <c r="AD62" s="713"/>
      <c r="AE62" s="713"/>
      <c r="AF62" s="713"/>
      <c r="AG62" s="713"/>
      <c r="AH62" s="713"/>
      <c r="AI62" s="713"/>
      <c r="AJ62" s="713"/>
      <c r="AK62" s="713"/>
      <c r="AL62" s="713"/>
      <c r="AM62" s="713"/>
      <c r="AN62" s="713"/>
      <c r="AO62" s="713"/>
      <c r="AP62" s="713" t="str">
        <f>$V$8</f>
        <v>大分</v>
      </c>
      <c r="AQ62" s="713"/>
      <c r="AR62" s="713"/>
      <c r="AS62" s="713"/>
    </row>
    <row r="63" spans="1:67" x14ac:dyDescent="0.25">
      <c r="A63" s="200"/>
      <c r="B63" s="210" t="str">
        <f>IF(ISERROR(VLOOKUP(CONCATENATE($B$48,"_",C63),選手名簿!$A:$E,5,FALSE))=TRUE,"",VLOOKUP(CONCATENATE($B$48,"_",C63),選手名簿!$A:$E,5,FALSE))</f>
        <v/>
      </c>
      <c r="C63" s="215"/>
      <c r="D63" s="215"/>
      <c r="E63" s="222"/>
      <c r="F63" s="224"/>
      <c r="G63" s="222"/>
      <c r="H63" s="215"/>
      <c r="I63" s="215"/>
      <c r="J63" s="210" t="str">
        <f>IF(ISERROR(VLOOKUP(CONCATENATE($J$48,"_",I63),選手名簿!$A:$E,5,FALSE))=TRUE,"",VLOOKUP(CONCATENATE($J$48,"_",I63),選手名簿!$A:$E,5,FALSE))</f>
        <v/>
      </c>
      <c r="K63" s="227"/>
      <c r="L63" s="190"/>
      <c r="M63" s="200"/>
      <c r="N63" s="210" t="str">
        <f>IF(ISERROR(VLOOKUP(CONCATENATE($N$48,"_",O63),選手名簿!$A:$E,5,FALSE))=TRUE,"",VLOOKUP(CONCATENATE($N$48,"_",O63),選手名簿!$A:$E,5,FALSE))</f>
        <v/>
      </c>
      <c r="O63" s="215"/>
      <c r="P63" s="215"/>
      <c r="Q63" s="222"/>
      <c r="R63" s="224"/>
      <c r="S63" s="222"/>
      <c r="T63" s="215"/>
      <c r="U63" s="215"/>
      <c r="V63" s="210" t="str">
        <f>IF(ISERROR(VLOOKUP(CONCATENATE($V$48,"_",U63),選手名簿!$A:$E,5,FALSE))=TRUE,"",VLOOKUP(CONCATENATE($V$48,"_",U63),選手名簿!$A:$E,5,FALSE))</f>
        <v/>
      </c>
      <c r="W63" s="227"/>
      <c r="Y63" s="58"/>
      <c r="Z63" s="713"/>
      <c r="AA63" s="713"/>
      <c r="AB63" s="713"/>
      <c r="AC63" s="713"/>
      <c r="AD63" s="713"/>
      <c r="AE63" s="713"/>
      <c r="AF63" s="713"/>
      <c r="AG63" s="713"/>
      <c r="AH63" s="713"/>
      <c r="AI63" s="713"/>
      <c r="AJ63" s="713"/>
      <c r="AK63" s="713"/>
      <c r="AL63" s="713"/>
      <c r="AM63" s="713"/>
      <c r="AN63" s="713"/>
      <c r="AO63" s="713"/>
      <c r="AP63" s="713"/>
      <c r="AQ63" s="713"/>
      <c r="AR63" s="713"/>
      <c r="AS63" s="713"/>
    </row>
    <row r="64" spans="1:67" ht="18.75" customHeight="1" x14ac:dyDescent="0.25">
      <c r="A64" s="190"/>
      <c r="B64" s="190"/>
      <c r="C64" s="190"/>
      <c r="D64" s="190"/>
      <c r="E64" s="190"/>
      <c r="F64" s="190"/>
      <c r="G64" s="190"/>
      <c r="H64" s="190"/>
      <c r="I64" s="190"/>
      <c r="J64" s="190"/>
      <c r="K64" s="190"/>
      <c r="L64" s="190"/>
      <c r="M64" s="190"/>
      <c r="N64" s="190"/>
      <c r="O64" s="190"/>
      <c r="P64" s="190"/>
      <c r="Q64" s="190"/>
      <c r="R64" s="190"/>
      <c r="S64" s="190"/>
      <c r="T64" s="190"/>
      <c r="U64" s="190"/>
      <c r="V64" s="190"/>
      <c r="Y64" s="190"/>
      <c r="Z64" s="713" t="str">
        <f>$N$9</f>
        <v>J3</v>
      </c>
      <c r="AA64" s="713"/>
      <c r="AB64" s="713"/>
      <c r="AC64" s="713" t="str">
        <f>$O$9</f>
        <v>はやぶさフットボールクラブ</v>
      </c>
      <c r="AD64" s="713"/>
      <c r="AE64" s="713"/>
      <c r="AF64" s="713"/>
      <c r="AG64" s="713"/>
      <c r="AH64" s="713"/>
      <c r="AI64" s="713"/>
      <c r="AJ64" s="713"/>
      <c r="AK64" s="713"/>
      <c r="AL64" s="713"/>
      <c r="AM64" s="713"/>
      <c r="AN64" s="713"/>
      <c r="AO64" s="713"/>
      <c r="AP64" s="713" t="str">
        <f>$V$9</f>
        <v>中津</v>
      </c>
      <c r="AQ64" s="713"/>
      <c r="AR64" s="713"/>
      <c r="AS64" s="713"/>
    </row>
    <row r="65" spans="25:67" x14ac:dyDescent="0.25">
      <c r="Z65" s="713"/>
      <c r="AA65" s="713"/>
      <c r="AB65" s="713"/>
      <c r="AC65" s="713"/>
      <c r="AD65" s="713"/>
      <c r="AE65" s="713"/>
      <c r="AF65" s="713"/>
      <c r="AG65" s="713"/>
      <c r="AH65" s="713"/>
      <c r="AI65" s="713"/>
      <c r="AJ65" s="713"/>
      <c r="AK65" s="713"/>
      <c r="AL65" s="713"/>
      <c r="AM65" s="713"/>
      <c r="AN65" s="713"/>
      <c r="AO65" s="713"/>
      <c r="AP65" s="713"/>
      <c r="AQ65" s="713"/>
      <c r="AR65" s="713"/>
      <c r="AS65" s="713"/>
    </row>
    <row r="70" spans="25:67" ht="18.75" customHeight="1" x14ac:dyDescent="0.25"/>
    <row r="71" spans="25:67" ht="18.75" customHeight="1" x14ac:dyDescent="0.25"/>
    <row r="72" spans="25:67" ht="18.75" customHeight="1" x14ac:dyDescent="0.25">
      <c r="Y72" s="954" t="str">
        <f>$Y$6</f>
        <v>パート</v>
      </c>
      <c r="Z72" s="955"/>
      <c r="AA72" s="955"/>
      <c r="AB72" s="955"/>
      <c r="AC72" s="955" t="str">
        <f>$AB$58</f>
        <v>J</v>
      </c>
      <c r="AD72" s="955"/>
      <c r="AE72" s="956"/>
      <c r="AF72" s="945" t="str">
        <f>$Y$78</f>
        <v>ＯＫＹ山香サッカークラブ</v>
      </c>
      <c r="AG72" s="945"/>
      <c r="AH72" s="945"/>
      <c r="AI72" s="945"/>
      <c r="AJ72" s="945"/>
      <c r="AK72" s="945" t="str">
        <f>$Y$84</f>
        <v>滝尾下郡サッカースポーツ少年団</v>
      </c>
      <c r="AL72" s="945"/>
      <c r="AM72" s="945"/>
      <c r="AN72" s="945"/>
      <c r="AO72" s="945"/>
      <c r="AP72" s="945" t="str">
        <f>$Y$90</f>
        <v>はやぶさフットボールクラブ</v>
      </c>
      <c r="AQ72" s="945"/>
      <c r="AR72" s="945"/>
      <c r="AS72" s="945"/>
      <c r="AT72" s="945"/>
      <c r="AU72" s="945" t="s">
        <v>1535</v>
      </c>
      <c r="AV72" s="945"/>
      <c r="AW72" s="944" t="s">
        <v>2060</v>
      </c>
      <c r="AX72" s="945"/>
      <c r="AY72" s="944" t="s">
        <v>1208</v>
      </c>
      <c r="AZ72" s="945"/>
      <c r="BA72" s="945" t="s">
        <v>1727</v>
      </c>
      <c r="BB72" s="945"/>
      <c r="BC72" s="945" t="s">
        <v>2005</v>
      </c>
      <c r="BD72" s="945"/>
      <c r="BE72" s="945" t="s">
        <v>2006</v>
      </c>
      <c r="BF72" s="945"/>
      <c r="BG72" s="945" t="s">
        <v>1768</v>
      </c>
      <c r="BH72" s="945"/>
      <c r="BI72" s="944" t="s">
        <v>698</v>
      </c>
      <c r="BJ72" s="945"/>
      <c r="BK72" s="944" t="s">
        <v>1100</v>
      </c>
      <c r="BL72" s="945"/>
      <c r="BM72" s="944" t="s">
        <v>502</v>
      </c>
      <c r="BN72" s="945"/>
      <c r="BO72" s="947" t="s">
        <v>2127</v>
      </c>
    </row>
    <row r="73" spans="25:67" ht="18.75" customHeight="1" x14ac:dyDescent="0.25">
      <c r="Y73" s="905"/>
      <c r="Z73" s="906"/>
      <c r="AA73" s="906"/>
      <c r="AB73" s="906"/>
      <c r="AC73" s="906"/>
      <c r="AD73" s="906"/>
      <c r="AE73" s="957"/>
      <c r="AF73" s="946"/>
      <c r="AG73" s="946"/>
      <c r="AH73" s="946"/>
      <c r="AI73" s="946"/>
      <c r="AJ73" s="946"/>
      <c r="AK73" s="946"/>
      <c r="AL73" s="946"/>
      <c r="AM73" s="946"/>
      <c r="AN73" s="946"/>
      <c r="AO73" s="946"/>
      <c r="AP73" s="946"/>
      <c r="AQ73" s="946"/>
      <c r="AR73" s="946"/>
      <c r="AS73" s="946"/>
      <c r="AT73" s="946"/>
      <c r="AU73" s="946"/>
      <c r="AV73" s="946"/>
      <c r="AW73" s="946"/>
      <c r="AX73" s="946"/>
      <c r="AY73" s="946"/>
      <c r="AZ73" s="946"/>
      <c r="BA73" s="946"/>
      <c r="BB73" s="946"/>
      <c r="BC73" s="946"/>
      <c r="BD73" s="946"/>
      <c r="BE73" s="946"/>
      <c r="BF73" s="946"/>
      <c r="BG73" s="946"/>
      <c r="BH73" s="946"/>
      <c r="BI73" s="946"/>
      <c r="BJ73" s="946"/>
      <c r="BK73" s="946"/>
      <c r="BL73" s="946"/>
      <c r="BM73" s="946"/>
      <c r="BN73" s="946"/>
      <c r="BO73" s="948"/>
    </row>
    <row r="74" spans="25:67" ht="18.75" customHeight="1" x14ac:dyDescent="0.25">
      <c r="Y74" s="905"/>
      <c r="Z74" s="906"/>
      <c r="AA74" s="906"/>
      <c r="AB74" s="906"/>
      <c r="AC74" s="906"/>
      <c r="AD74" s="906"/>
      <c r="AE74" s="957"/>
      <c r="AF74" s="946"/>
      <c r="AG74" s="946"/>
      <c r="AH74" s="946"/>
      <c r="AI74" s="946"/>
      <c r="AJ74" s="946"/>
      <c r="AK74" s="946"/>
      <c r="AL74" s="946"/>
      <c r="AM74" s="946"/>
      <c r="AN74" s="946"/>
      <c r="AO74" s="946"/>
      <c r="AP74" s="946"/>
      <c r="AQ74" s="946"/>
      <c r="AR74" s="946"/>
      <c r="AS74" s="946"/>
      <c r="AT74" s="946"/>
      <c r="AU74" s="946"/>
      <c r="AV74" s="946"/>
      <c r="AW74" s="946"/>
      <c r="AX74" s="946"/>
      <c r="AY74" s="946"/>
      <c r="AZ74" s="946"/>
      <c r="BA74" s="946"/>
      <c r="BB74" s="946"/>
      <c r="BC74" s="946"/>
      <c r="BD74" s="946"/>
      <c r="BE74" s="946"/>
      <c r="BF74" s="946"/>
      <c r="BG74" s="946"/>
      <c r="BH74" s="946"/>
      <c r="BI74" s="946"/>
      <c r="BJ74" s="946"/>
      <c r="BK74" s="946"/>
      <c r="BL74" s="946"/>
      <c r="BM74" s="946"/>
      <c r="BN74" s="946"/>
      <c r="BO74" s="948"/>
    </row>
    <row r="75" spans="25:67" ht="19.5" customHeight="1" x14ac:dyDescent="0.25">
      <c r="Y75" s="905"/>
      <c r="Z75" s="906"/>
      <c r="AA75" s="906"/>
      <c r="AB75" s="906"/>
      <c r="AC75" s="906"/>
      <c r="AD75" s="906"/>
      <c r="AE75" s="957"/>
      <c r="AF75" s="946"/>
      <c r="AG75" s="946"/>
      <c r="AH75" s="946"/>
      <c r="AI75" s="946"/>
      <c r="AJ75" s="946"/>
      <c r="AK75" s="946"/>
      <c r="AL75" s="946"/>
      <c r="AM75" s="946"/>
      <c r="AN75" s="946"/>
      <c r="AO75" s="946"/>
      <c r="AP75" s="946"/>
      <c r="AQ75" s="946"/>
      <c r="AR75" s="946"/>
      <c r="AS75" s="946"/>
      <c r="AT75" s="946"/>
      <c r="AU75" s="946"/>
      <c r="AV75" s="946"/>
      <c r="AW75" s="946"/>
      <c r="AX75" s="946"/>
      <c r="AY75" s="946"/>
      <c r="AZ75" s="946"/>
      <c r="BA75" s="946"/>
      <c r="BB75" s="946"/>
      <c r="BC75" s="946"/>
      <c r="BD75" s="946"/>
      <c r="BE75" s="946"/>
      <c r="BF75" s="946"/>
      <c r="BG75" s="946"/>
      <c r="BH75" s="946"/>
      <c r="BI75" s="946"/>
      <c r="BJ75" s="946"/>
      <c r="BK75" s="946"/>
      <c r="BL75" s="946"/>
      <c r="BM75" s="946"/>
      <c r="BN75" s="946"/>
      <c r="BO75" s="948"/>
    </row>
    <row r="76" spans="25:67" ht="19.5" customHeight="1" x14ac:dyDescent="0.25">
      <c r="Y76" s="905"/>
      <c r="Z76" s="906"/>
      <c r="AA76" s="906"/>
      <c r="AB76" s="906"/>
      <c r="AC76" s="906"/>
      <c r="AD76" s="906"/>
      <c r="AE76" s="957"/>
      <c r="AF76" s="946"/>
      <c r="AG76" s="946"/>
      <c r="AH76" s="946"/>
      <c r="AI76" s="946"/>
      <c r="AJ76" s="946"/>
      <c r="AK76" s="946"/>
      <c r="AL76" s="946"/>
      <c r="AM76" s="946"/>
      <c r="AN76" s="946"/>
      <c r="AO76" s="946"/>
      <c r="AP76" s="946"/>
      <c r="AQ76" s="946"/>
      <c r="AR76" s="946"/>
      <c r="AS76" s="946"/>
      <c r="AT76" s="946"/>
      <c r="AU76" s="946"/>
      <c r="AV76" s="946"/>
      <c r="AW76" s="946"/>
      <c r="AX76" s="946"/>
      <c r="AY76" s="946"/>
      <c r="AZ76" s="946"/>
      <c r="BA76" s="946"/>
      <c r="BB76" s="946"/>
      <c r="BC76" s="946"/>
      <c r="BD76" s="946"/>
      <c r="BE76" s="946"/>
      <c r="BF76" s="946"/>
      <c r="BG76" s="946"/>
      <c r="BH76" s="946"/>
      <c r="BI76" s="946"/>
      <c r="BJ76" s="946"/>
      <c r="BK76" s="946"/>
      <c r="BL76" s="946"/>
      <c r="BM76" s="946"/>
      <c r="BN76" s="946"/>
      <c r="BO76" s="948"/>
    </row>
    <row r="77" spans="25:67" ht="18.75" customHeight="1" x14ac:dyDescent="0.25">
      <c r="Y77" s="941"/>
      <c r="Z77" s="936"/>
      <c r="AA77" s="936"/>
      <c r="AB77" s="936"/>
      <c r="AC77" s="936"/>
      <c r="AD77" s="936"/>
      <c r="AE77" s="958"/>
      <c r="AF77" s="946"/>
      <c r="AG77" s="946"/>
      <c r="AH77" s="946"/>
      <c r="AI77" s="946"/>
      <c r="AJ77" s="946"/>
      <c r="AK77" s="946"/>
      <c r="AL77" s="946"/>
      <c r="AM77" s="946"/>
      <c r="AN77" s="946"/>
      <c r="AO77" s="946"/>
      <c r="AP77" s="946"/>
      <c r="AQ77" s="946"/>
      <c r="AR77" s="946"/>
      <c r="AS77" s="946"/>
      <c r="AT77" s="946"/>
      <c r="AU77" s="946"/>
      <c r="AV77" s="946"/>
      <c r="AW77" s="946"/>
      <c r="AX77" s="946"/>
      <c r="AY77" s="946"/>
      <c r="AZ77" s="946"/>
      <c r="BA77" s="946"/>
      <c r="BB77" s="946"/>
      <c r="BC77" s="946"/>
      <c r="BD77" s="946"/>
      <c r="BE77" s="946"/>
      <c r="BF77" s="946"/>
      <c r="BG77" s="946"/>
      <c r="BH77" s="946"/>
      <c r="BI77" s="946"/>
      <c r="BJ77" s="946"/>
      <c r="BK77" s="946"/>
      <c r="BL77" s="946"/>
      <c r="BM77" s="946"/>
      <c r="BN77" s="946"/>
      <c r="BO77" s="949"/>
    </row>
    <row r="78" spans="25:67" ht="18.75" customHeight="1" x14ac:dyDescent="0.25">
      <c r="Y78" s="939" t="str">
        <f>$AC$60</f>
        <v>ＯＫＹ山香サッカークラブ</v>
      </c>
      <c r="Z78" s="940"/>
      <c r="AA78" s="940"/>
      <c r="AB78" s="940"/>
      <c r="AC78" s="940"/>
      <c r="AD78" s="940" t="s">
        <v>242</v>
      </c>
      <c r="AE78" s="940"/>
      <c r="AF78" s="950"/>
      <c r="AG78" s="942"/>
      <c r="AH78" s="942"/>
      <c r="AI78" s="942"/>
      <c r="AJ78" s="951"/>
      <c r="AK78" s="923" t="str">
        <f>IF(AK82="","",IF(AK82&gt;AN82,"○",IF(AK82&lt;AN82,"●",IF(AK80&gt;AN80,"△",IF(AK80&lt;AN80,"▲")))))</f>
        <v>●</v>
      </c>
      <c r="AL78" s="924"/>
      <c r="AM78" s="924"/>
      <c r="AN78" s="924"/>
      <c r="AO78" s="925"/>
      <c r="AP78" s="923" t="str">
        <f>IF(AP82="","",IF(AP82&gt;AS82,"○",IF(AP82&lt;AS82,"●",IF(AP80&gt;AS80,"△",IF(AP80&lt;AS80,"▲")))))</f>
        <v>●</v>
      </c>
      <c r="AQ78" s="924"/>
      <c r="AR78" s="924"/>
      <c r="AS78" s="924"/>
      <c r="AT78" s="925"/>
      <c r="AU78" s="903">
        <f>COUNTIF($AF$78:$AT$79,"○")</f>
        <v>0</v>
      </c>
      <c r="AV78" s="903"/>
      <c r="AW78" s="903">
        <f>COUNTIF($AF$78:$AT$79,"△")</f>
        <v>0</v>
      </c>
      <c r="AX78" s="903"/>
      <c r="AY78" s="903">
        <f>COUNTIF($AF$78:$AT$79,"▲")</f>
        <v>0</v>
      </c>
      <c r="AZ78" s="903"/>
      <c r="BA78" s="903">
        <f>COUNTIF($AF$78:$AT$79,"●")</f>
        <v>2</v>
      </c>
      <c r="BB78" s="903"/>
      <c r="BC78" s="903">
        <f>SUM($AK$82,$AP$82)</f>
        <v>3</v>
      </c>
      <c r="BD78" s="903"/>
      <c r="BE78" s="903">
        <f>SUM($AN$82,$AS$82)</f>
        <v>6</v>
      </c>
      <c r="BF78" s="903"/>
      <c r="BG78" s="903">
        <f>($AU$78*3)+($AW$78*2)+($AY$78*1)</f>
        <v>0</v>
      </c>
      <c r="BH78" s="903"/>
      <c r="BI78" s="910">
        <f>RANK($BG$78,$BG$78:$BH$95)</f>
        <v>3</v>
      </c>
      <c r="BJ78" s="910"/>
      <c r="BK78" s="903">
        <f>$BC$78-$BE$78</f>
        <v>-3</v>
      </c>
      <c r="BL78" s="903"/>
      <c r="BM78" s="910">
        <f>RANK($BK$78,$BK$78:$BL$95)</f>
        <v>3</v>
      </c>
      <c r="BN78" s="910"/>
      <c r="BO78" s="912"/>
    </row>
    <row r="79" spans="25:67" ht="18.75" customHeight="1" x14ac:dyDescent="0.25">
      <c r="Y79" s="905"/>
      <c r="Z79" s="906"/>
      <c r="AA79" s="906"/>
      <c r="AB79" s="906"/>
      <c r="AC79" s="906"/>
      <c r="AD79" s="906"/>
      <c r="AE79" s="906"/>
      <c r="AF79" s="929"/>
      <c r="AG79" s="930"/>
      <c r="AH79" s="930"/>
      <c r="AI79" s="930"/>
      <c r="AJ79" s="931"/>
      <c r="AK79" s="917"/>
      <c r="AL79" s="918"/>
      <c r="AM79" s="918"/>
      <c r="AN79" s="918"/>
      <c r="AO79" s="920"/>
      <c r="AP79" s="917"/>
      <c r="AQ79" s="918"/>
      <c r="AR79" s="918"/>
      <c r="AS79" s="918"/>
      <c r="AT79" s="920"/>
      <c r="AU79" s="903"/>
      <c r="AV79" s="903"/>
      <c r="AW79" s="903"/>
      <c r="AX79" s="903"/>
      <c r="AY79" s="903"/>
      <c r="AZ79" s="903"/>
      <c r="BA79" s="903"/>
      <c r="BB79" s="903"/>
      <c r="BC79" s="903"/>
      <c r="BD79" s="903"/>
      <c r="BE79" s="903"/>
      <c r="BF79" s="903"/>
      <c r="BG79" s="903"/>
      <c r="BH79" s="903"/>
      <c r="BI79" s="910"/>
      <c r="BJ79" s="910"/>
      <c r="BK79" s="903"/>
      <c r="BL79" s="903"/>
      <c r="BM79" s="910"/>
      <c r="BN79" s="910"/>
      <c r="BO79" s="913"/>
    </row>
    <row r="80" spans="25:67" ht="18.75" customHeight="1" x14ac:dyDescent="0.25">
      <c r="Y80" s="905"/>
      <c r="Z80" s="906"/>
      <c r="AA80" s="906"/>
      <c r="AB80" s="906"/>
      <c r="AC80" s="906"/>
      <c r="AD80" s="906"/>
      <c r="AE80" s="906"/>
      <c r="AF80" s="929"/>
      <c r="AG80" s="930"/>
      <c r="AH80" s="930"/>
      <c r="AI80" s="930"/>
      <c r="AJ80" s="931"/>
      <c r="AK80" s="915" t="str">
        <f>IF($Q$14="","",$Q$14)</f>
        <v/>
      </c>
      <c r="AL80" s="916"/>
      <c r="AM80" s="916" t="s">
        <v>2011</v>
      </c>
      <c r="AN80" s="916" t="str">
        <f>IF($S$14="","",$S$14)</f>
        <v/>
      </c>
      <c r="AO80" s="919"/>
      <c r="AP80" s="915" t="str">
        <f>IF($S$50="","",$S$50)</f>
        <v/>
      </c>
      <c r="AQ80" s="916"/>
      <c r="AR80" s="916" t="s">
        <v>2011</v>
      </c>
      <c r="AS80" s="916" t="str">
        <f>IF($Q$50="","",$Q$50)</f>
        <v/>
      </c>
      <c r="AT80" s="919"/>
      <c r="AU80" s="903"/>
      <c r="AV80" s="903"/>
      <c r="AW80" s="903"/>
      <c r="AX80" s="903"/>
      <c r="AY80" s="903"/>
      <c r="AZ80" s="903"/>
      <c r="BA80" s="903"/>
      <c r="BB80" s="903"/>
      <c r="BC80" s="903"/>
      <c r="BD80" s="903"/>
      <c r="BE80" s="903"/>
      <c r="BF80" s="903"/>
      <c r="BG80" s="903"/>
      <c r="BH80" s="903"/>
      <c r="BI80" s="910"/>
      <c r="BJ80" s="910"/>
      <c r="BK80" s="903"/>
      <c r="BL80" s="903"/>
      <c r="BM80" s="910"/>
      <c r="BN80" s="910"/>
      <c r="BO80" s="913"/>
    </row>
    <row r="81" spans="25:67" ht="19.5" customHeight="1" x14ac:dyDescent="0.25">
      <c r="Y81" s="905"/>
      <c r="Z81" s="906"/>
      <c r="AA81" s="906"/>
      <c r="AB81" s="906"/>
      <c r="AC81" s="906"/>
      <c r="AD81" s="906" t="s">
        <v>2010</v>
      </c>
      <c r="AE81" s="906"/>
      <c r="AF81" s="929"/>
      <c r="AG81" s="930"/>
      <c r="AH81" s="930"/>
      <c r="AI81" s="930"/>
      <c r="AJ81" s="931"/>
      <c r="AK81" s="917"/>
      <c r="AL81" s="918"/>
      <c r="AM81" s="918"/>
      <c r="AN81" s="918"/>
      <c r="AO81" s="920"/>
      <c r="AP81" s="917"/>
      <c r="AQ81" s="918"/>
      <c r="AR81" s="918"/>
      <c r="AS81" s="918"/>
      <c r="AT81" s="920"/>
      <c r="AU81" s="903"/>
      <c r="AV81" s="903"/>
      <c r="AW81" s="903"/>
      <c r="AX81" s="903"/>
      <c r="AY81" s="903"/>
      <c r="AZ81" s="903"/>
      <c r="BA81" s="903"/>
      <c r="BB81" s="903"/>
      <c r="BC81" s="903"/>
      <c r="BD81" s="903"/>
      <c r="BE81" s="903"/>
      <c r="BF81" s="903"/>
      <c r="BG81" s="903"/>
      <c r="BH81" s="903"/>
      <c r="BI81" s="910"/>
      <c r="BJ81" s="910"/>
      <c r="BK81" s="903"/>
      <c r="BL81" s="903"/>
      <c r="BM81" s="910"/>
      <c r="BN81" s="910"/>
      <c r="BO81" s="913"/>
    </row>
    <row r="82" spans="25:67" ht="18.75" customHeight="1" x14ac:dyDescent="0.25">
      <c r="Y82" s="905"/>
      <c r="Z82" s="906"/>
      <c r="AA82" s="906"/>
      <c r="AB82" s="906"/>
      <c r="AC82" s="906"/>
      <c r="AD82" s="906"/>
      <c r="AE82" s="906"/>
      <c r="AF82" s="929"/>
      <c r="AG82" s="930"/>
      <c r="AH82" s="930"/>
      <c r="AI82" s="930"/>
      <c r="AJ82" s="931"/>
      <c r="AK82" s="915">
        <f>$O$12</f>
        <v>3</v>
      </c>
      <c r="AL82" s="916"/>
      <c r="AM82" s="916" t="s">
        <v>2011</v>
      </c>
      <c r="AN82" s="916">
        <f>$U$12</f>
        <v>4</v>
      </c>
      <c r="AO82" s="919"/>
      <c r="AP82" s="915">
        <f>$U$48</f>
        <v>0</v>
      </c>
      <c r="AQ82" s="916"/>
      <c r="AR82" s="916" t="s">
        <v>2011</v>
      </c>
      <c r="AS82" s="916">
        <f>$O$48</f>
        <v>2</v>
      </c>
      <c r="AT82" s="919"/>
      <c r="AU82" s="903"/>
      <c r="AV82" s="903"/>
      <c r="AW82" s="903"/>
      <c r="AX82" s="903"/>
      <c r="AY82" s="903"/>
      <c r="AZ82" s="903"/>
      <c r="BA82" s="903"/>
      <c r="BB82" s="903"/>
      <c r="BC82" s="903"/>
      <c r="BD82" s="903"/>
      <c r="BE82" s="903"/>
      <c r="BF82" s="903"/>
      <c r="BG82" s="903"/>
      <c r="BH82" s="903"/>
      <c r="BI82" s="910"/>
      <c r="BJ82" s="910"/>
      <c r="BK82" s="903"/>
      <c r="BL82" s="903"/>
      <c r="BM82" s="910"/>
      <c r="BN82" s="910"/>
      <c r="BO82" s="913"/>
    </row>
    <row r="83" spans="25:67" ht="18.75" customHeight="1" x14ac:dyDescent="0.25">
      <c r="Y83" s="941"/>
      <c r="Z83" s="936"/>
      <c r="AA83" s="936"/>
      <c r="AB83" s="936"/>
      <c r="AC83" s="936"/>
      <c r="AD83" s="936"/>
      <c r="AE83" s="936"/>
      <c r="AF83" s="952"/>
      <c r="AG83" s="943"/>
      <c r="AH83" s="943"/>
      <c r="AI83" s="943"/>
      <c r="AJ83" s="953"/>
      <c r="AK83" s="937"/>
      <c r="AL83" s="560"/>
      <c r="AM83" s="560"/>
      <c r="AN83" s="560"/>
      <c r="AO83" s="938"/>
      <c r="AP83" s="937"/>
      <c r="AQ83" s="560"/>
      <c r="AR83" s="560"/>
      <c r="AS83" s="560"/>
      <c r="AT83" s="938"/>
      <c r="AU83" s="903"/>
      <c r="AV83" s="903"/>
      <c r="AW83" s="903"/>
      <c r="AX83" s="903"/>
      <c r="AY83" s="903"/>
      <c r="AZ83" s="903"/>
      <c r="BA83" s="903"/>
      <c r="BB83" s="903"/>
      <c r="BC83" s="903"/>
      <c r="BD83" s="903"/>
      <c r="BE83" s="903"/>
      <c r="BF83" s="903"/>
      <c r="BG83" s="903"/>
      <c r="BH83" s="903"/>
      <c r="BI83" s="910"/>
      <c r="BJ83" s="910"/>
      <c r="BK83" s="903"/>
      <c r="BL83" s="903"/>
      <c r="BM83" s="910"/>
      <c r="BN83" s="910"/>
      <c r="BO83" s="935"/>
    </row>
    <row r="84" spans="25:67" ht="18.75" customHeight="1" x14ac:dyDescent="0.25">
      <c r="Y84" s="939" t="str">
        <f>$AC$62</f>
        <v>滝尾下郡サッカースポーツ少年団</v>
      </c>
      <c r="Z84" s="940"/>
      <c r="AA84" s="940"/>
      <c r="AB84" s="940"/>
      <c r="AC84" s="940"/>
      <c r="AD84" s="940" t="s">
        <v>242</v>
      </c>
      <c r="AE84" s="940"/>
      <c r="AF84" s="923" t="str">
        <f>IF(AF88="","",IF(AF88&gt;AI88,"○",IF(AF88&lt;AI88,"●",IF(AF86&gt;AI86,"△",IF(AF86&lt;AI86,"▲")))))</f>
        <v>○</v>
      </c>
      <c r="AG84" s="924"/>
      <c r="AH84" s="924"/>
      <c r="AI84" s="924"/>
      <c r="AJ84" s="925"/>
      <c r="AK84" s="942"/>
      <c r="AL84" s="942"/>
      <c r="AM84" s="942"/>
      <c r="AN84" s="942"/>
      <c r="AO84" s="942"/>
      <c r="AP84" s="923" t="str">
        <f>IF(AP88="","",IF(AP88&gt;AS88,"○",IF(AP88&lt;AS88,"●",IF(AP86&gt;AS86,"△",IF(AP86&lt;AS86,"▲")))))</f>
        <v>●</v>
      </c>
      <c r="AQ84" s="924"/>
      <c r="AR84" s="924"/>
      <c r="AS84" s="924"/>
      <c r="AT84" s="925"/>
      <c r="AU84" s="903">
        <f>COUNTIF($AF$84:$AT$85,"○")</f>
        <v>1</v>
      </c>
      <c r="AV84" s="903"/>
      <c r="AW84" s="903">
        <f>COUNTIF($AF$84:$AT$85,"△")</f>
        <v>0</v>
      </c>
      <c r="AX84" s="903"/>
      <c r="AY84" s="903">
        <f>COUNTIF($AF$84:$AT$85,"▲")</f>
        <v>0</v>
      </c>
      <c r="AZ84" s="903"/>
      <c r="BA84" s="903">
        <f>COUNTIF($AF$84:$AT$85,"●")</f>
        <v>1</v>
      </c>
      <c r="BB84" s="903"/>
      <c r="BC84" s="903">
        <f>SUM($AF$88,$AP$88)</f>
        <v>4</v>
      </c>
      <c r="BD84" s="903"/>
      <c r="BE84" s="903">
        <f>SUM($AI$88,$AS$88)</f>
        <v>5</v>
      </c>
      <c r="BF84" s="903"/>
      <c r="BG84" s="903">
        <f>($AU$84*3)+($AW$84*2)+($AY$84*1)</f>
        <v>3</v>
      </c>
      <c r="BH84" s="903"/>
      <c r="BI84" s="910">
        <f>RANK($BG$84,$BG$78:$BH$95)</f>
        <v>2</v>
      </c>
      <c r="BJ84" s="910"/>
      <c r="BK84" s="903">
        <f>$BC$84-$BE$84</f>
        <v>-1</v>
      </c>
      <c r="BL84" s="903"/>
      <c r="BM84" s="910">
        <f>RANK($BK$84,$BK$78:$BL$95)</f>
        <v>2</v>
      </c>
      <c r="BN84" s="910"/>
      <c r="BO84" s="912"/>
    </row>
    <row r="85" spans="25:67" ht="18.75" customHeight="1" x14ac:dyDescent="0.25">
      <c r="Y85" s="905"/>
      <c r="Z85" s="906"/>
      <c r="AA85" s="906"/>
      <c r="AB85" s="906"/>
      <c r="AC85" s="906"/>
      <c r="AD85" s="906"/>
      <c r="AE85" s="906"/>
      <c r="AF85" s="917"/>
      <c r="AG85" s="918"/>
      <c r="AH85" s="918"/>
      <c r="AI85" s="918"/>
      <c r="AJ85" s="920"/>
      <c r="AK85" s="930"/>
      <c r="AL85" s="930"/>
      <c r="AM85" s="930"/>
      <c r="AN85" s="930"/>
      <c r="AO85" s="930"/>
      <c r="AP85" s="917"/>
      <c r="AQ85" s="918"/>
      <c r="AR85" s="918"/>
      <c r="AS85" s="918"/>
      <c r="AT85" s="920"/>
      <c r="AU85" s="903"/>
      <c r="AV85" s="903"/>
      <c r="AW85" s="903"/>
      <c r="AX85" s="903"/>
      <c r="AY85" s="903"/>
      <c r="AZ85" s="903"/>
      <c r="BA85" s="903"/>
      <c r="BB85" s="903"/>
      <c r="BC85" s="903"/>
      <c r="BD85" s="903"/>
      <c r="BE85" s="903"/>
      <c r="BF85" s="903"/>
      <c r="BG85" s="903"/>
      <c r="BH85" s="903"/>
      <c r="BI85" s="910"/>
      <c r="BJ85" s="910"/>
      <c r="BK85" s="903"/>
      <c r="BL85" s="903"/>
      <c r="BM85" s="910"/>
      <c r="BN85" s="910"/>
      <c r="BO85" s="913"/>
    </row>
    <row r="86" spans="25:67" ht="19.5" customHeight="1" x14ac:dyDescent="0.25">
      <c r="Y86" s="905"/>
      <c r="Z86" s="906"/>
      <c r="AA86" s="906"/>
      <c r="AB86" s="906"/>
      <c r="AC86" s="906"/>
      <c r="AD86" s="906"/>
      <c r="AE86" s="906"/>
      <c r="AF86" s="915" t="str">
        <f>AN80</f>
        <v/>
      </c>
      <c r="AG86" s="916"/>
      <c r="AH86" s="916" t="s">
        <v>2011</v>
      </c>
      <c r="AI86" s="916" t="str">
        <f>AK80</f>
        <v/>
      </c>
      <c r="AJ86" s="919"/>
      <c r="AK86" s="930"/>
      <c r="AL86" s="930"/>
      <c r="AM86" s="930"/>
      <c r="AN86" s="930"/>
      <c r="AO86" s="930"/>
      <c r="AP86" s="915" t="str">
        <f>IF($Q$32="","",$Q$32)</f>
        <v/>
      </c>
      <c r="AQ86" s="916"/>
      <c r="AR86" s="916" t="s">
        <v>2011</v>
      </c>
      <c r="AS86" s="916" t="str">
        <f>IF($S$32="","",$S$32)</f>
        <v/>
      </c>
      <c r="AT86" s="919"/>
      <c r="AU86" s="903"/>
      <c r="AV86" s="903"/>
      <c r="AW86" s="903"/>
      <c r="AX86" s="903"/>
      <c r="AY86" s="903"/>
      <c r="AZ86" s="903"/>
      <c r="BA86" s="903"/>
      <c r="BB86" s="903"/>
      <c r="BC86" s="903"/>
      <c r="BD86" s="903"/>
      <c r="BE86" s="903"/>
      <c r="BF86" s="903"/>
      <c r="BG86" s="903"/>
      <c r="BH86" s="903"/>
      <c r="BI86" s="910"/>
      <c r="BJ86" s="910"/>
      <c r="BK86" s="903"/>
      <c r="BL86" s="903"/>
      <c r="BM86" s="910"/>
      <c r="BN86" s="910"/>
      <c r="BO86" s="913"/>
    </row>
    <row r="87" spans="25:67" ht="19.5" customHeight="1" x14ac:dyDescent="0.25">
      <c r="Y87" s="905"/>
      <c r="Z87" s="906"/>
      <c r="AA87" s="906"/>
      <c r="AB87" s="906"/>
      <c r="AC87" s="906"/>
      <c r="AD87" s="906" t="s">
        <v>2010</v>
      </c>
      <c r="AE87" s="906"/>
      <c r="AF87" s="917"/>
      <c r="AG87" s="918"/>
      <c r="AH87" s="918"/>
      <c r="AI87" s="918"/>
      <c r="AJ87" s="920"/>
      <c r="AK87" s="930"/>
      <c r="AL87" s="930"/>
      <c r="AM87" s="930"/>
      <c r="AN87" s="930"/>
      <c r="AO87" s="930"/>
      <c r="AP87" s="917"/>
      <c r="AQ87" s="918"/>
      <c r="AR87" s="918"/>
      <c r="AS87" s="918"/>
      <c r="AT87" s="920"/>
      <c r="AU87" s="903"/>
      <c r="AV87" s="903"/>
      <c r="AW87" s="903"/>
      <c r="AX87" s="903"/>
      <c r="AY87" s="903"/>
      <c r="AZ87" s="903"/>
      <c r="BA87" s="903"/>
      <c r="BB87" s="903"/>
      <c r="BC87" s="903"/>
      <c r="BD87" s="903"/>
      <c r="BE87" s="903"/>
      <c r="BF87" s="903"/>
      <c r="BG87" s="903"/>
      <c r="BH87" s="903"/>
      <c r="BI87" s="910"/>
      <c r="BJ87" s="910"/>
      <c r="BK87" s="903"/>
      <c r="BL87" s="903"/>
      <c r="BM87" s="910"/>
      <c r="BN87" s="910"/>
      <c r="BO87" s="913"/>
    </row>
    <row r="88" spans="25:67" ht="18.75" customHeight="1" x14ac:dyDescent="0.25">
      <c r="Y88" s="905"/>
      <c r="Z88" s="906"/>
      <c r="AA88" s="906"/>
      <c r="AB88" s="906"/>
      <c r="AC88" s="906"/>
      <c r="AD88" s="906"/>
      <c r="AE88" s="906"/>
      <c r="AF88" s="915">
        <f>AN82</f>
        <v>4</v>
      </c>
      <c r="AG88" s="916"/>
      <c r="AH88" s="916" t="s">
        <v>2011</v>
      </c>
      <c r="AI88" s="916">
        <f>AK82</f>
        <v>3</v>
      </c>
      <c r="AJ88" s="919"/>
      <c r="AK88" s="930"/>
      <c r="AL88" s="930"/>
      <c r="AM88" s="930"/>
      <c r="AN88" s="930"/>
      <c r="AO88" s="930"/>
      <c r="AP88" s="915">
        <f>$O$30</f>
        <v>0</v>
      </c>
      <c r="AQ88" s="916"/>
      <c r="AR88" s="916" t="s">
        <v>2011</v>
      </c>
      <c r="AS88" s="916">
        <f>$U$30</f>
        <v>2</v>
      </c>
      <c r="AT88" s="919"/>
      <c r="AU88" s="903"/>
      <c r="AV88" s="903"/>
      <c r="AW88" s="903"/>
      <c r="AX88" s="903"/>
      <c r="AY88" s="903"/>
      <c r="AZ88" s="903"/>
      <c r="BA88" s="903"/>
      <c r="BB88" s="903"/>
      <c r="BC88" s="903"/>
      <c r="BD88" s="903"/>
      <c r="BE88" s="903"/>
      <c r="BF88" s="903"/>
      <c r="BG88" s="903"/>
      <c r="BH88" s="903"/>
      <c r="BI88" s="910"/>
      <c r="BJ88" s="910"/>
      <c r="BK88" s="903"/>
      <c r="BL88" s="903"/>
      <c r="BM88" s="910"/>
      <c r="BN88" s="910"/>
      <c r="BO88" s="913"/>
    </row>
    <row r="89" spans="25:67" ht="18.75" customHeight="1" x14ac:dyDescent="0.25">
      <c r="Y89" s="941"/>
      <c r="Z89" s="936"/>
      <c r="AA89" s="936"/>
      <c r="AB89" s="936"/>
      <c r="AC89" s="936"/>
      <c r="AD89" s="936"/>
      <c r="AE89" s="936"/>
      <c r="AF89" s="937"/>
      <c r="AG89" s="560"/>
      <c r="AH89" s="560"/>
      <c r="AI89" s="560"/>
      <c r="AJ89" s="938"/>
      <c r="AK89" s="943"/>
      <c r="AL89" s="943"/>
      <c r="AM89" s="943"/>
      <c r="AN89" s="943"/>
      <c r="AO89" s="943"/>
      <c r="AP89" s="937"/>
      <c r="AQ89" s="560"/>
      <c r="AR89" s="560"/>
      <c r="AS89" s="560"/>
      <c r="AT89" s="938"/>
      <c r="AU89" s="903"/>
      <c r="AV89" s="903"/>
      <c r="AW89" s="903"/>
      <c r="AX89" s="903"/>
      <c r="AY89" s="903"/>
      <c r="AZ89" s="903"/>
      <c r="BA89" s="903"/>
      <c r="BB89" s="903"/>
      <c r="BC89" s="903"/>
      <c r="BD89" s="903"/>
      <c r="BE89" s="903"/>
      <c r="BF89" s="903"/>
      <c r="BG89" s="903"/>
      <c r="BH89" s="903"/>
      <c r="BI89" s="910"/>
      <c r="BJ89" s="910"/>
      <c r="BK89" s="903"/>
      <c r="BL89" s="903"/>
      <c r="BM89" s="910"/>
      <c r="BN89" s="910"/>
      <c r="BO89" s="935"/>
    </row>
    <row r="90" spans="25:67" ht="19.5" customHeight="1" x14ac:dyDescent="0.25">
      <c r="Y90" s="905" t="str">
        <f>$AC$64</f>
        <v>はやぶさフットボールクラブ</v>
      </c>
      <c r="Z90" s="906"/>
      <c r="AA90" s="906"/>
      <c r="AB90" s="906"/>
      <c r="AC90" s="906"/>
      <c r="AD90" s="906" t="s">
        <v>242</v>
      </c>
      <c r="AE90" s="906"/>
      <c r="AF90" s="923" t="str">
        <f>IF(AF94="","",IF(AF94&gt;AI94,"○",IF(AF94&lt;AI94,"●",IF(AF92&gt;AI92,"△",IF(AF92&lt;AI92,"▲")))))</f>
        <v>○</v>
      </c>
      <c r="AG90" s="924"/>
      <c r="AH90" s="924"/>
      <c r="AI90" s="924"/>
      <c r="AJ90" s="925"/>
      <c r="AK90" s="923" t="str">
        <f>IF(AK94="","",IF(AK94&gt;AN94,"○",IF(AK94&lt;AN94,"●",IF(AK92&gt;AN92,"△",IF(AK92&lt;AN92,"▲")))))</f>
        <v>○</v>
      </c>
      <c r="AL90" s="924"/>
      <c r="AM90" s="924"/>
      <c r="AN90" s="924"/>
      <c r="AO90" s="925"/>
      <c r="AP90" s="926"/>
      <c r="AQ90" s="927"/>
      <c r="AR90" s="927"/>
      <c r="AS90" s="927"/>
      <c r="AT90" s="928"/>
      <c r="AU90" s="903">
        <f>COUNTIF($AF$90:$AT$91,"○")</f>
        <v>2</v>
      </c>
      <c r="AV90" s="903"/>
      <c r="AW90" s="902">
        <f>COUNTIF($AF$90:$AT$91,"△")</f>
        <v>0</v>
      </c>
      <c r="AX90" s="902"/>
      <c r="AY90" s="902">
        <f>COUNTIF($AF$90:$AT$91,"▲")</f>
        <v>0</v>
      </c>
      <c r="AZ90" s="902"/>
      <c r="BA90" s="902">
        <f>COUNTIF($AF$90:$AT$91,"●")</f>
        <v>0</v>
      </c>
      <c r="BB90" s="902"/>
      <c r="BC90" s="902">
        <f>SUM($AF$94,$AK$94)</f>
        <v>4</v>
      </c>
      <c r="BD90" s="902"/>
      <c r="BE90" s="902">
        <f>SUM($AI$94,$AN$94)</f>
        <v>0</v>
      </c>
      <c r="BF90" s="902"/>
      <c r="BG90" s="902">
        <f>($AU$90*3)+($AW$90*2)+($AY$90*1)</f>
        <v>6</v>
      </c>
      <c r="BH90" s="902"/>
      <c r="BI90" s="909">
        <f>RANK($BG$90,$BG$78:$BH$95)</f>
        <v>1</v>
      </c>
      <c r="BJ90" s="909"/>
      <c r="BK90" s="902">
        <f>$BC$90-$BE$90</f>
        <v>4</v>
      </c>
      <c r="BL90" s="902"/>
      <c r="BM90" s="909">
        <f>RANK($BK$90,$BK$78:$BL$95)</f>
        <v>1</v>
      </c>
      <c r="BN90" s="909"/>
      <c r="BO90" s="912"/>
    </row>
    <row r="91" spans="25:67" ht="19.5" customHeight="1" x14ac:dyDescent="0.25">
      <c r="Y91" s="905"/>
      <c r="Z91" s="906"/>
      <c r="AA91" s="906"/>
      <c r="AB91" s="906"/>
      <c r="AC91" s="906"/>
      <c r="AD91" s="906"/>
      <c r="AE91" s="906"/>
      <c r="AF91" s="917"/>
      <c r="AG91" s="918"/>
      <c r="AH91" s="918"/>
      <c r="AI91" s="918"/>
      <c r="AJ91" s="920"/>
      <c r="AK91" s="917"/>
      <c r="AL91" s="918"/>
      <c r="AM91" s="918"/>
      <c r="AN91" s="918"/>
      <c r="AO91" s="920"/>
      <c r="AP91" s="929"/>
      <c r="AQ91" s="930"/>
      <c r="AR91" s="930"/>
      <c r="AS91" s="930"/>
      <c r="AT91" s="931"/>
      <c r="AU91" s="903"/>
      <c r="AV91" s="903"/>
      <c r="AW91" s="903"/>
      <c r="AX91" s="903"/>
      <c r="AY91" s="903"/>
      <c r="AZ91" s="903"/>
      <c r="BA91" s="903"/>
      <c r="BB91" s="903"/>
      <c r="BC91" s="903"/>
      <c r="BD91" s="903"/>
      <c r="BE91" s="903"/>
      <c r="BF91" s="903"/>
      <c r="BG91" s="903"/>
      <c r="BH91" s="903"/>
      <c r="BI91" s="910"/>
      <c r="BJ91" s="910"/>
      <c r="BK91" s="903"/>
      <c r="BL91" s="903"/>
      <c r="BM91" s="910"/>
      <c r="BN91" s="910"/>
      <c r="BO91" s="913"/>
    </row>
    <row r="92" spans="25:67" ht="18.75" customHeight="1" x14ac:dyDescent="0.25">
      <c r="Y92" s="905"/>
      <c r="Z92" s="906"/>
      <c r="AA92" s="906"/>
      <c r="AB92" s="906"/>
      <c r="AC92" s="906"/>
      <c r="AD92" s="906"/>
      <c r="AE92" s="906"/>
      <c r="AF92" s="915" t="str">
        <f>AS80</f>
        <v/>
      </c>
      <c r="AG92" s="916"/>
      <c r="AH92" s="916" t="s">
        <v>2011</v>
      </c>
      <c r="AI92" s="916" t="str">
        <f>AP80</f>
        <v/>
      </c>
      <c r="AJ92" s="919"/>
      <c r="AK92" s="915" t="str">
        <f>AS86</f>
        <v/>
      </c>
      <c r="AL92" s="916"/>
      <c r="AM92" s="916" t="s">
        <v>2011</v>
      </c>
      <c r="AN92" s="916" t="str">
        <f>AP86</f>
        <v/>
      </c>
      <c r="AO92" s="919"/>
      <c r="AP92" s="929"/>
      <c r="AQ92" s="930"/>
      <c r="AR92" s="930"/>
      <c r="AS92" s="930"/>
      <c r="AT92" s="931"/>
      <c r="AU92" s="903"/>
      <c r="AV92" s="903"/>
      <c r="AW92" s="903"/>
      <c r="AX92" s="903"/>
      <c r="AY92" s="903"/>
      <c r="AZ92" s="903"/>
      <c r="BA92" s="903"/>
      <c r="BB92" s="903"/>
      <c r="BC92" s="903"/>
      <c r="BD92" s="903"/>
      <c r="BE92" s="903"/>
      <c r="BF92" s="903"/>
      <c r="BG92" s="903"/>
      <c r="BH92" s="903"/>
      <c r="BI92" s="910"/>
      <c r="BJ92" s="910"/>
      <c r="BK92" s="903"/>
      <c r="BL92" s="903"/>
      <c r="BM92" s="910"/>
      <c r="BN92" s="910"/>
      <c r="BO92" s="913"/>
    </row>
    <row r="93" spans="25:67" ht="18.75" customHeight="1" x14ac:dyDescent="0.25">
      <c r="Y93" s="905"/>
      <c r="Z93" s="906"/>
      <c r="AA93" s="906"/>
      <c r="AB93" s="906"/>
      <c r="AC93" s="906"/>
      <c r="AD93" s="906" t="s">
        <v>2010</v>
      </c>
      <c r="AE93" s="906"/>
      <c r="AF93" s="917"/>
      <c r="AG93" s="918"/>
      <c r="AH93" s="918"/>
      <c r="AI93" s="918"/>
      <c r="AJ93" s="920"/>
      <c r="AK93" s="917"/>
      <c r="AL93" s="918"/>
      <c r="AM93" s="918"/>
      <c r="AN93" s="918"/>
      <c r="AO93" s="920"/>
      <c r="AP93" s="929"/>
      <c r="AQ93" s="930"/>
      <c r="AR93" s="930"/>
      <c r="AS93" s="930"/>
      <c r="AT93" s="931"/>
      <c r="AU93" s="903"/>
      <c r="AV93" s="903"/>
      <c r="AW93" s="903"/>
      <c r="AX93" s="903"/>
      <c r="AY93" s="903"/>
      <c r="AZ93" s="903"/>
      <c r="BA93" s="903"/>
      <c r="BB93" s="903"/>
      <c r="BC93" s="903"/>
      <c r="BD93" s="903"/>
      <c r="BE93" s="903"/>
      <c r="BF93" s="903"/>
      <c r="BG93" s="903"/>
      <c r="BH93" s="903"/>
      <c r="BI93" s="910"/>
      <c r="BJ93" s="910"/>
      <c r="BK93" s="903"/>
      <c r="BL93" s="903"/>
      <c r="BM93" s="910"/>
      <c r="BN93" s="910"/>
      <c r="BO93" s="913"/>
    </row>
    <row r="94" spans="25:67" ht="18.75" customHeight="1" x14ac:dyDescent="0.25">
      <c r="Y94" s="905"/>
      <c r="Z94" s="906"/>
      <c r="AA94" s="906"/>
      <c r="AB94" s="906"/>
      <c r="AC94" s="906"/>
      <c r="AD94" s="906"/>
      <c r="AE94" s="906"/>
      <c r="AF94" s="915">
        <f>AS82</f>
        <v>2</v>
      </c>
      <c r="AG94" s="916"/>
      <c r="AH94" s="916" t="s">
        <v>2011</v>
      </c>
      <c r="AI94" s="916">
        <f>AP82</f>
        <v>0</v>
      </c>
      <c r="AJ94" s="919"/>
      <c r="AK94" s="915">
        <f>AS88</f>
        <v>2</v>
      </c>
      <c r="AL94" s="916"/>
      <c r="AM94" s="916" t="s">
        <v>2011</v>
      </c>
      <c r="AN94" s="916">
        <f>AP88</f>
        <v>0</v>
      </c>
      <c r="AO94" s="919"/>
      <c r="AP94" s="929"/>
      <c r="AQ94" s="930"/>
      <c r="AR94" s="930"/>
      <c r="AS94" s="930"/>
      <c r="AT94" s="931"/>
      <c r="AU94" s="903"/>
      <c r="AV94" s="903"/>
      <c r="AW94" s="903"/>
      <c r="AX94" s="903"/>
      <c r="AY94" s="903"/>
      <c r="AZ94" s="903"/>
      <c r="BA94" s="903"/>
      <c r="BB94" s="903"/>
      <c r="BC94" s="903"/>
      <c r="BD94" s="903"/>
      <c r="BE94" s="903"/>
      <c r="BF94" s="903"/>
      <c r="BG94" s="903"/>
      <c r="BH94" s="903"/>
      <c r="BI94" s="910"/>
      <c r="BJ94" s="910"/>
      <c r="BK94" s="903"/>
      <c r="BL94" s="903"/>
      <c r="BM94" s="910"/>
      <c r="BN94" s="910"/>
      <c r="BO94" s="913"/>
    </row>
    <row r="95" spans="25:67" ht="19.5" customHeight="1" x14ac:dyDescent="0.25">
      <c r="Y95" s="907"/>
      <c r="Z95" s="908"/>
      <c r="AA95" s="908"/>
      <c r="AB95" s="908"/>
      <c r="AC95" s="908"/>
      <c r="AD95" s="908"/>
      <c r="AE95" s="908"/>
      <c r="AF95" s="921"/>
      <c r="AG95" s="565"/>
      <c r="AH95" s="565"/>
      <c r="AI95" s="565"/>
      <c r="AJ95" s="922"/>
      <c r="AK95" s="921"/>
      <c r="AL95" s="565"/>
      <c r="AM95" s="565"/>
      <c r="AN95" s="565"/>
      <c r="AO95" s="922"/>
      <c r="AP95" s="932"/>
      <c r="AQ95" s="933"/>
      <c r="AR95" s="933"/>
      <c r="AS95" s="933"/>
      <c r="AT95" s="934"/>
      <c r="AU95" s="904"/>
      <c r="AV95" s="904"/>
      <c r="AW95" s="904"/>
      <c r="AX95" s="904"/>
      <c r="AY95" s="904"/>
      <c r="AZ95" s="904"/>
      <c r="BA95" s="904"/>
      <c r="BB95" s="904"/>
      <c r="BC95" s="904"/>
      <c r="BD95" s="904"/>
      <c r="BE95" s="904"/>
      <c r="BF95" s="904"/>
      <c r="BG95" s="904"/>
      <c r="BH95" s="904"/>
      <c r="BI95" s="911"/>
      <c r="BJ95" s="911"/>
      <c r="BK95" s="904"/>
      <c r="BL95" s="904"/>
      <c r="BM95" s="911"/>
      <c r="BN95" s="911"/>
      <c r="BO95" s="914"/>
    </row>
    <row r="97" spans="25:58" x14ac:dyDescent="0.25">
      <c r="Y97" s="891" t="s">
        <v>2125</v>
      </c>
      <c r="Z97" s="891"/>
      <c r="AA97" s="891"/>
      <c r="AB97" s="891"/>
      <c r="AC97" s="891"/>
      <c r="AD97" s="891"/>
      <c r="AE97" s="891"/>
      <c r="AF97" s="891"/>
      <c r="AG97" s="891"/>
      <c r="AH97" s="891"/>
      <c r="AI97" s="891"/>
      <c r="AJ97" s="891"/>
      <c r="AK97" s="891"/>
      <c r="AL97" s="891"/>
      <c r="AM97" s="891"/>
      <c r="AN97" s="891"/>
      <c r="AO97" s="891"/>
      <c r="AP97" s="891"/>
      <c r="AQ97" s="891"/>
      <c r="AR97" s="891"/>
      <c r="AS97" s="891"/>
      <c r="AT97" s="891"/>
      <c r="AU97" s="891"/>
      <c r="AV97" s="891"/>
      <c r="AW97" s="891"/>
      <c r="AX97" s="891"/>
      <c r="AY97" s="891"/>
      <c r="AZ97" s="891"/>
      <c r="BA97" s="891"/>
      <c r="BB97" s="891"/>
      <c r="BC97" s="891"/>
      <c r="BD97" s="891"/>
      <c r="BE97" s="891"/>
      <c r="BF97" s="891"/>
    </row>
    <row r="98" spans="25:58" x14ac:dyDescent="0.25">
      <c r="Y98" s="891"/>
      <c r="Z98" s="891"/>
      <c r="AA98" s="891"/>
      <c r="AB98" s="891"/>
      <c r="AC98" s="891"/>
      <c r="AD98" s="891"/>
      <c r="AE98" s="891"/>
      <c r="AF98" s="891"/>
      <c r="AG98" s="891"/>
      <c r="AH98" s="891"/>
      <c r="AI98" s="891"/>
      <c r="AJ98" s="891"/>
      <c r="AK98" s="891"/>
      <c r="AL98" s="891"/>
      <c r="AM98" s="891"/>
      <c r="AN98" s="891"/>
      <c r="AO98" s="891"/>
      <c r="AP98" s="891"/>
      <c r="AQ98" s="891"/>
      <c r="AR98" s="891"/>
      <c r="AS98" s="891"/>
      <c r="AT98" s="891"/>
      <c r="AU98" s="891"/>
      <c r="AV98" s="891"/>
      <c r="AW98" s="891"/>
      <c r="AX98" s="891"/>
      <c r="AY98" s="891"/>
      <c r="AZ98" s="891"/>
      <c r="BA98" s="891"/>
      <c r="BB98" s="891"/>
      <c r="BC98" s="891"/>
      <c r="BD98" s="891"/>
      <c r="BE98" s="891"/>
      <c r="BF98" s="891"/>
    </row>
    <row r="99" spans="25:58" x14ac:dyDescent="0.25">
      <c r="Y99" s="892" t="s">
        <v>2013</v>
      </c>
      <c r="Z99" s="893"/>
      <c r="AA99" s="896" t="s">
        <v>159</v>
      </c>
      <c r="AB99" s="232" t="s">
        <v>408</v>
      </c>
      <c r="AC99" s="231"/>
      <c r="AD99" s="898" t="s">
        <v>2060</v>
      </c>
      <c r="AE99" s="232" t="s">
        <v>2015</v>
      </c>
      <c r="AF99" s="231"/>
      <c r="AG99" s="898" t="s">
        <v>1208</v>
      </c>
      <c r="AH99" s="232" t="s">
        <v>2126</v>
      </c>
      <c r="AI99" s="231"/>
      <c r="AJ99" s="900" t="s">
        <v>1727</v>
      </c>
      <c r="AK99" s="234" t="s">
        <v>2016</v>
      </c>
    </row>
    <row r="100" spans="25:58" x14ac:dyDescent="0.25">
      <c r="Y100" s="894"/>
      <c r="Z100" s="895"/>
      <c r="AA100" s="897"/>
      <c r="AB100" s="233">
        <v>3</v>
      </c>
      <c r="AC100" s="230"/>
      <c r="AD100" s="899"/>
      <c r="AE100" s="233">
        <v>2</v>
      </c>
      <c r="AF100" s="230"/>
      <c r="AG100" s="899"/>
      <c r="AH100" s="233">
        <v>1</v>
      </c>
      <c r="AI100" s="230"/>
      <c r="AJ100" s="901"/>
      <c r="AK100" s="235">
        <v>0</v>
      </c>
    </row>
  </sheetData>
  <mergeCells count="441">
    <mergeCell ref="A1:I1"/>
    <mergeCell ref="J1:K1"/>
    <mergeCell ref="M1:U1"/>
    <mergeCell ref="V1:W1"/>
    <mergeCell ref="Y1:BG1"/>
    <mergeCell ref="BI1:BO1"/>
    <mergeCell ref="A2:K2"/>
    <mergeCell ref="M2:W2"/>
    <mergeCell ref="Y2:BG2"/>
    <mergeCell ref="D4:K4"/>
    <mergeCell ref="P4:W4"/>
    <mergeCell ref="Y4:AA4"/>
    <mergeCell ref="AB4:AG4"/>
    <mergeCell ref="AI4:AW4"/>
    <mergeCell ref="Y6:AA6"/>
    <mergeCell ref="AB6:AG6"/>
    <mergeCell ref="C7:I7"/>
    <mergeCell ref="J7:K7"/>
    <mergeCell ref="O7:U7"/>
    <mergeCell ref="V7:W7"/>
    <mergeCell ref="Z7:AB7"/>
    <mergeCell ref="AC7:AO7"/>
    <mergeCell ref="AP7:AS7"/>
    <mergeCell ref="C8:I8"/>
    <mergeCell ref="J8:K8"/>
    <mergeCell ref="O8:U8"/>
    <mergeCell ref="V8:W8"/>
    <mergeCell ref="Z8:AB8"/>
    <mergeCell ref="AC8:AO8"/>
    <mergeCell ref="AP8:AS8"/>
    <mergeCell ref="C9:I9"/>
    <mergeCell ref="J9:K9"/>
    <mergeCell ref="O9:U9"/>
    <mergeCell ref="V9:W9"/>
    <mergeCell ref="Z9:AB9"/>
    <mergeCell ref="AC9:AO9"/>
    <mergeCell ref="AP9:AS9"/>
    <mergeCell ref="B15:F15"/>
    <mergeCell ref="G15:I15"/>
    <mergeCell ref="J15:K15"/>
    <mergeCell ref="N15:R15"/>
    <mergeCell ref="S15:U15"/>
    <mergeCell ref="V15:W15"/>
    <mergeCell ref="B16:F16"/>
    <mergeCell ref="G16:I16"/>
    <mergeCell ref="J16:K16"/>
    <mergeCell ref="N16:R16"/>
    <mergeCell ref="S16:U16"/>
    <mergeCell ref="V16:W16"/>
    <mergeCell ref="B17:F17"/>
    <mergeCell ref="G17:I17"/>
    <mergeCell ref="J17:K17"/>
    <mergeCell ref="N17:R17"/>
    <mergeCell ref="S17:U17"/>
    <mergeCell ref="V17:W17"/>
    <mergeCell ref="E18:F18"/>
    <mergeCell ref="G18:I18"/>
    <mergeCell ref="J18:K18"/>
    <mergeCell ref="Q18:R18"/>
    <mergeCell ref="S18:U18"/>
    <mergeCell ref="V18:W18"/>
    <mergeCell ref="E19:F19"/>
    <mergeCell ref="G19:I19"/>
    <mergeCell ref="J19:K19"/>
    <mergeCell ref="Q19:R19"/>
    <mergeCell ref="S19:U19"/>
    <mergeCell ref="V19:W19"/>
    <mergeCell ref="E20:F20"/>
    <mergeCell ref="G20:I20"/>
    <mergeCell ref="J20:K20"/>
    <mergeCell ref="Q20:R20"/>
    <mergeCell ref="S20:U20"/>
    <mergeCell ref="V20:W20"/>
    <mergeCell ref="E21:F21"/>
    <mergeCell ref="G21:I21"/>
    <mergeCell ref="J21:K21"/>
    <mergeCell ref="Q21:R21"/>
    <mergeCell ref="S21:U21"/>
    <mergeCell ref="V21:W21"/>
    <mergeCell ref="B33:F33"/>
    <mergeCell ref="G33:I33"/>
    <mergeCell ref="J33:K33"/>
    <mergeCell ref="N33:R33"/>
    <mergeCell ref="S33:U33"/>
    <mergeCell ref="V33:W33"/>
    <mergeCell ref="H30:H32"/>
    <mergeCell ref="I30:I32"/>
    <mergeCell ref="J30:J32"/>
    <mergeCell ref="M30:M32"/>
    <mergeCell ref="N30:N32"/>
    <mergeCell ref="O30:O32"/>
    <mergeCell ref="P30:P32"/>
    <mergeCell ref="T30:T32"/>
    <mergeCell ref="U30:U32"/>
    <mergeCell ref="V30:V32"/>
    <mergeCell ref="B34:F34"/>
    <mergeCell ref="G34:I34"/>
    <mergeCell ref="J34:K34"/>
    <mergeCell ref="N34:R34"/>
    <mergeCell ref="S34:U34"/>
    <mergeCell ref="V34:W34"/>
    <mergeCell ref="B35:F35"/>
    <mergeCell ref="G35:I35"/>
    <mergeCell ref="J35:K35"/>
    <mergeCell ref="N35:R35"/>
    <mergeCell ref="S35:U35"/>
    <mergeCell ref="V35:W35"/>
    <mergeCell ref="E36:F36"/>
    <mergeCell ref="G36:I36"/>
    <mergeCell ref="J36:K36"/>
    <mergeCell ref="Q36:R36"/>
    <mergeCell ref="S36:U36"/>
    <mergeCell ref="V36:W36"/>
    <mergeCell ref="E37:F37"/>
    <mergeCell ref="G37:I37"/>
    <mergeCell ref="J37:K37"/>
    <mergeCell ref="Q37:R37"/>
    <mergeCell ref="S37:U37"/>
    <mergeCell ref="V37:W37"/>
    <mergeCell ref="E38:F38"/>
    <mergeCell ref="G38:I38"/>
    <mergeCell ref="J38:K38"/>
    <mergeCell ref="Q38:R38"/>
    <mergeCell ref="S38:U38"/>
    <mergeCell ref="V38:W38"/>
    <mergeCell ref="E39:F39"/>
    <mergeCell ref="G39:I39"/>
    <mergeCell ref="J39:K39"/>
    <mergeCell ref="Q39:R39"/>
    <mergeCell ref="S39:U39"/>
    <mergeCell ref="V39:W39"/>
    <mergeCell ref="B51:F51"/>
    <mergeCell ref="G51:I51"/>
    <mergeCell ref="J51:K51"/>
    <mergeCell ref="N51:R51"/>
    <mergeCell ref="S51:U51"/>
    <mergeCell ref="V51:W51"/>
    <mergeCell ref="B52:F52"/>
    <mergeCell ref="G52:I52"/>
    <mergeCell ref="J52:K52"/>
    <mergeCell ref="N52:R52"/>
    <mergeCell ref="S52:U52"/>
    <mergeCell ref="V52:W52"/>
    <mergeCell ref="B53:F53"/>
    <mergeCell ref="G53:I53"/>
    <mergeCell ref="J53:K53"/>
    <mergeCell ref="N53:R53"/>
    <mergeCell ref="S53:U53"/>
    <mergeCell ref="V53:W53"/>
    <mergeCell ref="E54:F54"/>
    <mergeCell ref="G54:I54"/>
    <mergeCell ref="J54:K54"/>
    <mergeCell ref="Q54:R54"/>
    <mergeCell ref="S54:U54"/>
    <mergeCell ref="V54:W54"/>
    <mergeCell ref="E55:F55"/>
    <mergeCell ref="G55:I55"/>
    <mergeCell ref="J55:K55"/>
    <mergeCell ref="Q55:R55"/>
    <mergeCell ref="S55:U55"/>
    <mergeCell ref="V55:W55"/>
    <mergeCell ref="E56:F56"/>
    <mergeCell ref="G56:I56"/>
    <mergeCell ref="J56:K56"/>
    <mergeCell ref="Q56:R56"/>
    <mergeCell ref="S56:U56"/>
    <mergeCell ref="V56:W56"/>
    <mergeCell ref="E57:F57"/>
    <mergeCell ref="G57:I57"/>
    <mergeCell ref="J57:K57"/>
    <mergeCell ref="Q57:R57"/>
    <mergeCell ref="S57:U57"/>
    <mergeCell ref="V57:W57"/>
    <mergeCell ref="A12:A14"/>
    <mergeCell ref="B12:B14"/>
    <mergeCell ref="C12:C14"/>
    <mergeCell ref="D12:D14"/>
    <mergeCell ref="H12:H14"/>
    <mergeCell ref="I12:I14"/>
    <mergeCell ref="J12:J14"/>
    <mergeCell ref="M12:M14"/>
    <mergeCell ref="N12:N14"/>
    <mergeCell ref="O12:O14"/>
    <mergeCell ref="P12:P14"/>
    <mergeCell ref="T12:T14"/>
    <mergeCell ref="U12:U14"/>
    <mergeCell ref="V12:V14"/>
    <mergeCell ref="A30:A32"/>
    <mergeCell ref="B30:B32"/>
    <mergeCell ref="C30:C32"/>
    <mergeCell ref="D30:D32"/>
    <mergeCell ref="Y15:AB20"/>
    <mergeCell ref="AC15:AE20"/>
    <mergeCell ref="AF15:AJ20"/>
    <mergeCell ref="AK15:AO20"/>
    <mergeCell ref="AP15:AT20"/>
    <mergeCell ref="AU15:AV20"/>
    <mergeCell ref="AW15:AX20"/>
    <mergeCell ref="AY15:AZ20"/>
    <mergeCell ref="BA15:BB20"/>
    <mergeCell ref="BC15:BD20"/>
    <mergeCell ref="BE15:BF20"/>
    <mergeCell ref="BG15:BH20"/>
    <mergeCell ref="BI15:BJ20"/>
    <mergeCell ref="BK15:BL20"/>
    <mergeCell ref="BM15:BN20"/>
    <mergeCell ref="BO15:BO20"/>
    <mergeCell ref="Y21:AC26"/>
    <mergeCell ref="AD21:AE23"/>
    <mergeCell ref="AF21:AJ26"/>
    <mergeCell ref="AK21:AO22"/>
    <mergeCell ref="AP21:AT22"/>
    <mergeCell ref="AU21:AV26"/>
    <mergeCell ref="AW21:AX26"/>
    <mergeCell ref="AY21:AZ26"/>
    <mergeCell ref="BA21:BB26"/>
    <mergeCell ref="BC21:BD26"/>
    <mergeCell ref="BE21:BF26"/>
    <mergeCell ref="BG21:BH26"/>
    <mergeCell ref="BI21:BJ26"/>
    <mergeCell ref="BK21:BL26"/>
    <mergeCell ref="BM21:BN26"/>
    <mergeCell ref="BO21:BO26"/>
    <mergeCell ref="AK23:AL24"/>
    <mergeCell ref="AM23:AM24"/>
    <mergeCell ref="AN23:AO24"/>
    <mergeCell ref="AP23:AQ24"/>
    <mergeCell ref="AR23:AR24"/>
    <mergeCell ref="AS23:AT24"/>
    <mergeCell ref="AD24:AE26"/>
    <mergeCell ref="AK25:AL26"/>
    <mergeCell ref="AM25:AM26"/>
    <mergeCell ref="AN25:AO26"/>
    <mergeCell ref="AP25:AQ26"/>
    <mergeCell ref="AR25:AR26"/>
    <mergeCell ref="AS25:AT26"/>
    <mergeCell ref="Y27:AC32"/>
    <mergeCell ref="AD27:AE29"/>
    <mergeCell ref="AF27:AJ28"/>
    <mergeCell ref="AK27:AO32"/>
    <mergeCell ref="AP27:AT28"/>
    <mergeCell ref="AU27:AV32"/>
    <mergeCell ref="AW27:AX32"/>
    <mergeCell ref="AY27:AZ32"/>
    <mergeCell ref="BA27:BB32"/>
    <mergeCell ref="AD30:AE32"/>
    <mergeCell ref="BC27:BD32"/>
    <mergeCell ref="BE27:BF32"/>
    <mergeCell ref="BG27:BH32"/>
    <mergeCell ref="BI27:BJ32"/>
    <mergeCell ref="BK27:BL32"/>
    <mergeCell ref="BM27:BN32"/>
    <mergeCell ref="BO27:BO32"/>
    <mergeCell ref="AF29:AG30"/>
    <mergeCell ref="AH29:AH30"/>
    <mergeCell ref="AI29:AJ30"/>
    <mergeCell ref="AP29:AQ30"/>
    <mergeCell ref="AR29:AR30"/>
    <mergeCell ref="AS29:AT30"/>
    <mergeCell ref="AF31:AG32"/>
    <mergeCell ref="AH31:AH32"/>
    <mergeCell ref="AI31:AJ32"/>
    <mergeCell ref="AP31:AQ32"/>
    <mergeCell ref="AR31:AR32"/>
    <mergeCell ref="AS31:AT32"/>
    <mergeCell ref="Y33:AC38"/>
    <mergeCell ref="AD33:AE35"/>
    <mergeCell ref="AF33:AJ34"/>
    <mergeCell ref="AK33:AO34"/>
    <mergeCell ref="AP33:AT38"/>
    <mergeCell ref="AU33:AV38"/>
    <mergeCell ref="AW33:AX38"/>
    <mergeCell ref="AY33:AZ38"/>
    <mergeCell ref="BA33:BB38"/>
    <mergeCell ref="AD36:AE38"/>
    <mergeCell ref="BC33:BD38"/>
    <mergeCell ref="BE33:BF38"/>
    <mergeCell ref="BG33:BH38"/>
    <mergeCell ref="BI33:BJ38"/>
    <mergeCell ref="BK33:BL38"/>
    <mergeCell ref="BM33:BN38"/>
    <mergeCell ref="BO33:BO38"/>
    <mergeCell ref="AF35:AG36"/>
    <mergeCell ref="AH35:AH36"/>
    <mergeCell ref="AI35:AJ36"/>
    <mergeCell ref="AK35:AL36"/>
    <mergeCell ref="AM35:AM36"/>
    <mergeCell ref="AN35:AO36"/>
    <mergeCell ref="AF37:AG38"/>
    <mergeCell ref="AH37:AH38"/>
    <mergeCell ref="AI37:AJ38"/>
    <mergeCell ref="AK37:AL38"/>
    <mergeCell ref="AM37:AM38"/>
    <mergeCell ref="AN37:AO38"/>
    <mergeCell ref="Y40:BF41"/>
    <mergeCell ref="Y42:Z43"/>
    <mergeCell ref="AA42:AA43"/>
    <mergeCell ref="AD42:AD43"/>
    <mergeCell ref="AG42:AG43"/>
    <mergeCell ref="AJ42:AJ43"/>
    <mergeCell ref="A48:A50"/>
    <mergeCell ref="B48:B50"/>
    <mergeCell ref="C48:C50"/>
    <mergeCell ref="D48:D50"/>
    <mergeCell ref="H48:H50"/>
    <mergeCell ref="I48:I50"/>
    <mergeCell ref="J48:J50"/>
    <mergeCell ref="M48:M50"/>
    <mergeCell ref="N48:N50"/>
    <mergeCell ref="O48:O50"/>
    <mergeCell ref="P48:P50"/>
    <mergeCell ref="T48:T50"/>
    <mergeCell ref="U48:U50"/>
    <mergeCell ref="V48:V50"/>
    <mergeCell ref="Y48:BG49"/>
    <mergeCell ref="BI48:BO49"/>
    <mergeCell ref="Y50:BG51"/>
    <mergeCell ref="Y54:AA55"/>
    <mergeCell ref="AB54:AG55"/>
    <mergeCell ref="AH54:AH55"/>
    <mergeCell ref="AI54:AW55"/>
    <mergeCell ref="Y58:AA59"/>
    <mergeCell ref="AB58:AG59"/>
    <mergeCell ref="Z60:AB61"/>
    <mergeCell ref="AC60:AO61"/>
    <mergeCell ref="AP60:AS61"/>
    <mergeCell ref="Z62:AB63"/>
    <mergeCell ref="AC62:AO63"/>
    <mergeCell ref="AP62:AS63"/>
    <mergeCell ref="Z64:AB65"/>
    <mergeCell ref="AC64:AO65"/>
    <mergeCell ref="AP64:AS65"/>
    <mergeCell ref="Y72:AB77"/>
    <mergeCell ref="AC72:AE77"/>
    <mergeCell ref="AF72:AJ77"/>
    <mergeCell ref="AK72:AO77"/>
    <mergeCell ref="AP72:AT77"/>
    <mergeCell ref="AU72:AV77"/>
    <mergeCell ref="AW72:AX77"/>
    <mergeCell ref="AY72:AZ77"/>
    <mergeCell ref="BA72:BB77"/>
    <mergeCell ref="BC72:BD77"/>
    <mergeCell ref="BE72:BF77"/>
    <mergeCell ref="BG72:BH77"/>
    <mergeCell ref="BI72:BJ77"/>
    <mergeCell ref="BK72:BL77"/>
    <mergeCell ref="BM72:BN77"/>
    <mergeCell ref="BO72:BO77"/>
    <mergeCell ref="Y78:AC83"/>
    <mergeCell ref="AD78:AE80"/>
    <mergeCell ref="AF78:AJ83"/>
    <mergeCell ref="AK78:AO79"/>
    <mergeCell ref="AP78:AT79"/>
    <mergeCell ref="AU78:AV83"/>
    <mergeCell ref="AW78:AX83"/>
    <mergeCell ref="AY78:AZ83"/>
    <mergeCell ref="BA78:BB83"/>
    <mergeCell ref="BC78:BD83"/>
    <mergeCell ref="BE78:BF83"/>
    <mergeCell ref="BG78:BH83"/>
    <mergeCell ref="BI78:BJ83"/>
    <mergeCell ref="BK78:BL83"/>
    <mergeCell ref="BM78:BN83"/>
    <mergeCell ref="BO78:BO83"/>
    <mergeCell ref="AK80:AL81"/>
    <mergeCell ref="AM80:AM81"/>
    <mergeCell ref="AN80:AO81"/>
    <mergeCell ref="AP80:AQ81"/>
    <mergeCell ref="AR80:AR81"/>
    <mergeCell ref="AS80:AT81"/>
    <mergeCell ref="AD81:AE83"/>
    <mergeCell ref="AK82:AL83"/>
    <mergeCell ref="AM82:AM83"/>
    <mergeCell ref="AN82:AO83"/>
    <mergeCell ref="AP82:AQ83"/>
    <mergeCell ref="AR82:AR83"/>
    <mergeCell ref="AS82:AT83"/>
    <mergeCell ref="Y84:AC89"/>
    <mergeCell ref="AD84:AE86"/>
    <mergeCell ref="AF84:AJ85"/>
    <mergeCell ref="AK84:AO89"/>
    <mergeCell ref="AP84:AT85"/>
    <mergeCell ref="BM84:BN89"/>
    <mergeCell ref="BO84:BO89"/>
    <mergeCell ref="AF86:AG87"/>
    <mergeCell ref="AH86:AH87"/>
    <mergeCell ref="AI86:AJ87"/>
    <mergeCell ref="AP86:AQ87"/>
    <mergeCell ref="AR86:AR87"/>
    <mergeCell ref="AS86:AT87"/>
    <mergeCell ref="AD87:AE89"/>
    <mergeCell ref="AF88:AG89"/>
    <mergeCell ref="AH88:AH89"/>
    <mergeCell ref="AI88:AJ89"/>
    <mergeCell ref="AP88:AQ89"/>
    <mergeCell ref="AR88:AR89"/>
    <mergeCell ref="AS88:AT89"/>
    <mergeCell ref="AU84:AV89"/>
    <mergeCell ref="AW84:AX89"/>
    <mergeCell ref="AY84:AZ89"/>
    <mergeCell ref="BA84:BB89"/>
    <mergeCell ref="BC84:BD89"/>
    <mergeCell ref="BE84:BF89"/>
    <mergeCell ref="BG84:BH89"/>
    <mergeCell ref="BI84:BJ89"/>
    <mergeCell ref="BK84:BL89"/>
    <mergeCell ref="BI90:BJ95"/>
    <mergeCell ref="BK90:BL95"/>
    <mergeCell ref="BM90:BN95"/>
    <mergeCell ref="BO90:BO95"/>
    <mergeCell ref="AF92:AG93"/>
    <mergeCell ref="AH92:AH93"/>
    <mergeCell ref="AI92:AJ93"/>
    <mergeCell ref="AK92:AL93"/>
    <mergeCell ref="AM92:AM93"/>
    <mergeCell ref="AN92:AO93"/>
    <mergeCell ref="AF94:AG95"/>
    <mergeCell ref="AH94:AH95"/>
    <mergeCell ref="AI94:AJ95"/>
    <mergeCell ref="AK94:AL95"/>
    <mergeCell ref="AM94:AM95"/>
    <mergeCell ref="AN94:AO95"/>
    <mergeCell ref="AF90:AJ91"/>
    <mergeCell ref="AK90:AO91"/>
    <mergeCell ref="AP90:AT95"/>
    <mergeCell ref="AU90:AV95"/>
    <mergeCell ref="AW90:AX95"/>
    <mergeCell ref="AY90:AZ95"/>
    <mergeCell ref="BA90:BB95"/>
    <mergeCell ref="Y97:BF98"/>
    <mergeCell ref="Y99:Z100"/>
    <mergeCell ref="AA99:AA100"/>
    <mergeCell ref="AD99:AD100"/>
    <mergeCell ref="AG99:AG100"/>
    <mergeCell ref="AJ99:AJ100"/>
    <mergeCell ref="BC90:BD95"/>
    <mergeCell ref="BE90:BF95"/>
    <mergeCell ref="BG90:BH95"/>
    <mergeCell ref="Y90:AC95"/>
    <mergeCell ref="AD90:AE92"/>
    <mergeCell ref="AD93:AE95"/>
  </mergeCells>
  <phoneticPr fontId="29"/>
  <printOptions horizontalCentered="1" verticalCentered="1"/>
  <pageMargins left="0" right="0" top="0" bottom="0" header="0.51181102362204722" footer="0.51181102362204722"/>
  <pageSetup paperSize="9" scale="42"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300-000000000000}">
          <x14:formula1>
            <xm:f>審判員!$I$1:$I$17</xm:f>
          </x14:formula1>
          <xm:sqref>E23:E27 E41:E45 E59:E63 G23:G27 G41:G45 G59:G63 Q23:Q27 Q41:Q45 Q59:Q63 S23:S27 S41:S45 S59:S63</xm:sqref>
        </x14:dataValidation>
        <x14:dataValidation type="list" allowBlank="1" showInputMessage="1" showErrorMessage="1" xr:uid="{00000000-0002-0000-1300-000001000000}">
          <x14:formula1>
            <xm:f>審判員!$G$1:$G$3</xm:f>
          </x14:formula1>
          <xm:sqref>A23:A27 K23:K27 A41:A45 K41:K45 A59:A63 K59:K63 M23:M27 W41:W45 W59:W63 M59:M63 W23:W27 M41:M45</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FF99"/>
    <pageSetUpPr fitToPage="1"/>
  </sheetPr>
  <dimension ref="A1:BO100"/>
  <sheetViews>
    <sheetView view="pageBreakPreview" zoomScale="50" zoomScaleNormal="40" zoomScaleSheetLayoutView="50" workbookViewId="0">
      <selection activeCell="A3" sqref="A3"/>
    </sheetView>
  </sheetViews>
  <sheetFormatPr defaultColWidth="9" defaultRowHeight="18.75" x14ac:dyDescent="0.25"/>
  <cols>
    <col min="1" max="1" width="19.46484375" style="66" customWidth="1"/>
    <col min="2" max="2" width="39.86328125" style="66" customWidth="1"/>
    <col min="3" max="3" width="10.73046875" style="66" customWidth="1"/>
    <col min="4" max="4" width="4.46484375" style="66" customWidth="1"/>
    <col min="5" max="5" width="10.3984375" style="66" customWidth="1"/>
    <col min="6" max="6" width="5.73046875" style="66" bestFit="1" customWidth="1"/>
    <col min="7" max="7" width="10.3984375" style="66" customWidth="1"/>
    <col min="8" max="8" width="4.46484375" style="66" customWidth="1"/>
    <col min="9" max="9" width="10.73046875" style="66" bestFit="1" customWidth="1"/>
    <col min="10" max="10" width="39.86328125" style="66" customWidth="1"/>
    <col min="11" max="11" width="15.73046875" style="66" customWidth="1"/>
    <col min="12" max="12" width="3.46484375" style="66" customWidth="1"/>
    <col min="13" max="13" width="19.46484375" style="66" customWidth="1"/>
    <col min="14" max="14" width="39.86328125" style="66" customWidth="1"/>
    <col min="15" max="15" width="10.73046875" style="66" customWidth="1"/>
    <col min="16" max="16" width="4.46484375" style="66" customWidth="1"/>
    <col min="17" max="17" width="10.3984375" style="66" customWidth="1"/>
    <col min="18" max="18" width="5.73046875" style="66" bestFit="1" customWidth="1"/>
    <col min="19" max="19" width="10.3984375" style="66" customWidth="1"/>
    <col min="20" max="20" width="4.46484375" style="66" customWidth="1"/>
    <col min="21" max="21" width="10.73046875" style="66" customWidth="1"/>
    <col min="22" max="22" width="39.86328125" style="66" customWidth="1"/>
    <col min="23" max="23" width="15.73046875" style="66" customWidth="1"/>
    <col min="24" max="24" width="9" style="66"/>
    <col min="25" max="59" width="5.86328125" style="66" customWidth="1"/>
    <col min="60" max="16384" width="9" style="66"/>
  </cols>
  <sheetData>
    <row r="1" spans="1:67" ht="27.75" x14ac:dyDescent="0.25">
      <c r="A1" s="959" t="str">
        <f>抽選会資料!A1</f>
        <v>OFA 第 57 回大分県U-12サッカー大会　兼　KYFA 九州U-12サッカー大会大分県大会</v>
      </c>
      <c r="B1" s="959"/>
      <c r="C1" s="959"/>
      <c r="D1" s="959"/>
      <c r="E1" s="959"/>
      <c r="F1" s="959"/>
      <c r="G1" s="959"/>
      <c r="H1" s="959"/>
      <c r="I1" s="959"/>
      <c r="J1" s="959" t="s">
        <v>279</v>
      </c>
      <c r="K1" s="959"/>
      <c r="L1" s="228"/>
      <c r="M1" s="959" t="str">
        <f>抽選会資料!A1</f>
        <v>OFA 第 57 回大分県U-12サッカー大会　兼　KYFA 九州U-12サッカー大会大分県大会</v>
      </c>
      <c r="N1" s="959"/>
      <c r="O1" s="959"/>
      <c r="P1" s="959"/>
      <c r="Q1" s="959"/>
      <c r="R1" s="959"/>
      <c r="S1" s="959"/>
      <c r="T1" s="959"/>
      <c r="U1" s="959"/>
      <c r="V1" s="959" t="s">
        <v>279</v>
      </c>
      <c r="W1" s="959"/>
      <c r="Y1" s="959" t="str">
        <f>$A$1</f>
        <v>OFA 第 57 回大分県U-12サッカー大会　兼　KYFA 九州U-12サッカー大会大分県大会</v>
      </c>
      <c r="Z1" s="959"/>
      <c r="AA1" s="959"/>
      <c r="AB1" s="959"/>
      <c r="AC1" s="959"/>
      <c r="AD1" s="959"/>
      <c r="AE1" s="959"/>
      <c r="AF1" s="959"/>
      <c r="AG1" s="959"/>
      <c r="AH1" s="959"/>
      <c r="AI1" s="959"/>
      <c r="AJ1" s="959"/>
      <c r="AK1" s="959"/>
      <c r="AL1" s="959"/>
      <c r="AM1" s="959"/>
      <c r="AN1" s="959"/>
      <c r="AO1" s="959"/>
      <c r="AP1" s="959"/>
      <c r="AQ1" s="959"/>
      <c r="AR1" s="959"/>
      <c r="AS1" s="959"/>
      <c r="AT1" s="959"/>
      <c r="AU1" s="959"/>
      <c r="AV1" s="959"/>
      <c r="AW1" s="959"/>
      <c r="AX1" s="959"/>
      <c r="AY1" s="959"/>
      <c r="AZ1" s="959"/>
      <c r="BA1" s="959"/>
      <c r="BB1" s="959"/>
      <c r="BC1" s="959"/>
      <c r="BD1" s="959"/>
      <c r="BE1" s="959"/>
      <c r="BF1" s="959"/>
      <c r="BG1" s="959"/>
      <c r="BI1" s="959" t="str">
        <f>$J$1</f>
        <v>１次リーグ結果　報告用紙</v>
      </c>
      <c r="BJ1" s="959"/>
      <c r="BK1" s="959"/>
      <c r="BL1" s="959"/>
      <c r="BM1" s="959"/>
      <c r="BN1" s="959"/>
      <c r="BO1" s="959"/>
    </row>
    <row r="2" spans="1:67" ht="37.5" customHeight="1" x14ac:dyDescent="0.25">
      <c r="A2" s="959" t="s">
        <v>1962</v>
      </c>
      <c r="B2" s="959"/>
      <c r="C2" s="959"/>
      <c r="D2" s="959"/>
      <c r="E2" s="959"/>
      <c r="F2" s="959"/>
      <c r="G2" s="959"/>
      <c r="H2" s="959"/>
      <c r="I2" s="959"/>
      <c r="J2" s="959"/>
      <c r="K2" s="959"/>
      <c r="L2" s="189"/>
      <c r="M2" s="959" t="s">
        <v>1962</v>
      </c>
      <c r="N2" s="959"/>
      <c r="O2" s="959"/>
      <c r="P2" s="959"/>
      <c r="Q2" s="959"/>
      <c r="R2" s="959"/>
      <c r="S2" s="959"/>
      <c r="T2" s="959"/>
      <c r="U2" s="959"/>
      <c r="V2" s="959"/>
      <c r="W2" s="959"/>
      <c r="Y2" s="959" t="s">
        <v>1962</v>
      </c>
      <c r="Z2" s="959"/>
      <c r="AA2" s="959"/>
      <c r="AB2" s="959"/>
      <c r="AC2" s="959"/>
      <c r="AD2" s="959"/>
      <c r="AE2" s="959"/>
      <c r="AF2" s="959"/>
      <c r="AG2" s="959"/>
      <c r="AH2" s="959"/>
      <c r="AI2" s="959"/>
      <c r="AJ2" s="959"/>
      <c r="AK2" s="959"/>
      <c r="AL2" s="959"/>
      <c r="AM2" s="959"/>
      <c r="AN2" s="959"/>
      <c r="AO2" s="959"/>
      <c r="AP2" s="959"/>
      <c r="AQ2" s="959"/>
      <c r="AR2" s="959"/>
      <c r="AS2" s="959"/>
      <c r="AT2" s="959"/>
      <c r="AU2" s="959"/>
      <c r="AV2" s="959"/>
      <c r="AW2" s="959"/>
      <c r="AX2" s="959"/>
      <c r="AY2" s="959"/>
      <c r="AZ2" s="959"/>
      <c r="BA2" s="959"/>
      <c r="BB2" s="959"/>
      <c r="BC2" s="959"/>
      <c r="BD2" s="959"/>
      <c r="BE2" s="959"/>
      <c r="BF2" s="959"/>
      <c r="BG2" s="959"/>
    </row>
    <row r="3" spans="1:67" ht="37.5" customHeight="1" x14ac:dyDescent="0.25">
      <c r="A3" s="189"/>
      <c r="B3" s="189"/>
      <c r="C3" s="189"/>
      <c r="D3" s="189"/>
      <c r="E3" s="189"/>
      <c r="F3" s="189"/>
      <c r="G3" s="189"/>
      <c r="H3" s="189"/>
      <c r="I3" s="189"/>
      <c r="J3" s="189"/>
      <c r="K3" s="189"/>
      <c r="L3" s="189"/>
      <c r="M3" s="189"/>
      <c r="N3" s="189"/>
      <c r="O3" s="189"/>
      <c r="P3" s="189"/>
      <c r="Q3" s="189"/>
      <c r="R3" s="189"/>
      <c r="S3" s="189"/>
      <c r="T3" s="189"/>
      <c r="U3" s="189"/>
      <c r="V3" s="189"/>
      <c r="W3" s="189"/>
      <c r="Y3" s="189"/>
      <c r="Z3" s="189"/>
      <c r="AA3" s="189"/>
      <c r="AB3" s="189"/>
      <c r="AC3" s="189"/>
      <c r="AD3" s="189"/>
      <c r="AE3" s="189"/>
      <c r="AF3" s="189"/>
      <c r="AG3" s="189"/>
      <c r="AH3" s="189"/>
      <c r="AI3" s="189"/>
    </row>
    <row r="4" spans="1:67" ht="37.5" customHeight="1" x14ac:dyDescent="0.25">
      <c r="A4" s="58" t="s">
        <v>487</v>
      </c>
      <c r="B4" s="201" t="str">
        <f>組み合わせ!DH7</f>
        <v>宇佐高田</v>
      </c>
      <c r="C4" s="58" t="s">
        <v>659</v>
      </c>
      <c r="D4" s="961" t="str">
        <f>VLOOKUP(B4,抽選会資料!$B$55:$F$63,2,FALSE)</f>
        <v>宇佐市平成令和の森スポーツ公園</v>
      </c>
      <c r="E4" s="961"/>
      <c r="F4" s="961"/>
      <c r="G4" s="961"/>
      <c r="H4" s="961"/>
      <c r="I4" s="961"/>
      <c r="J4" s="961"/>
      <c r="K4" s="961"/>
      <c r="L4" s="68"/>
      <c r="M4" s="58" t="s">
        <v>487</v>
      </c>
      <c r="N4" s="201" t="str">
        <f>組み合わせ!DH7</f>
        <v>宇佐高田</v>
      </c>
      <c r="O4" s="58" t="s">
        <v>659</v>
      </c>
      <c r="P4" s="961" t="str">
        <f>VLOOKUP(N4,抽選会資料!$B$55:$F$63,2,FALSE)</f>
        <v>宇佐市平成令和の森スポーツ公園</v>
      </c>
      <c r="Q4" s="961"/>
      <c r="R4" s="961"/>
      <c r="S4" s="961"/>
      <c r="T4" s="961"/>
      <c r="U4" s="961"/>
      <c r="V4" s="961"/>
      <c r="W4" s="961"/>
      <c r="X4" s="39"/>
      <c r="Y4" s="590" t="s">
        <v>487</v>
      </c>
      <c r="Z4" s="590"/>
      <c r="AA4" s="590"/>
      <c r="AB4" s="960" t="str">
        <f>$B$4</f>
        <v>宇佐高田</v>
      </c>
      <c r="AC4" s="960"/>
      <c r="AD4" s="960"/>
      <c r="AE4" s="960"/>
      <c r="AF4" s="960"/>
      <c r="AG4" s="960"/>
      <c r="AH4" s="58" t="s">
        <v>659</v>
      </c>
      <c r="AI4" s="961" t="str">
        <f>$D$4</f>
        <v>宇佐市平成令和の森スポーツ公園</v>
      </c>
      <c r="AJ4" s="961"/>
      <c r="AK4" s="961"/>
      <c r="AL4" s="961"/>
      <c r="AM4" s="961"/>
      <c r="AN4" s="961"/>
      <c r="AO4" s="961"/>
      <c r="AP4" s="961"/>
      <c r="AQ4" s="961"/>
      <c r="AR4" s="961"/>
      <c r="AS4" s="961"/>
      <c r="AT4" s="961"/>
      <c r="AU4" s="961"/>
      <c r="AV4" s="961"/>
      <c r="AW4" s="961"/>
    </row>
    <row r="5" spans="1:67" ht="37.5" customHeight="1" x14ac:dyDescent="0.25">
      <c r="A5" s="190"/>
      <c r="B5" s="190"/>
      <c r="C5" s="190"/>
      <c r="D5" s="190"/>
      <c r="E5" s="190"/>
      <c r="F5" s="190"/>
      <c r="G5" s="190"/>
      <c r="H5" s="190"/>
      <c r="I5" s="190"/>
      <c r="J5" s="190"/>
      <c r="K5" s="190"/>
      <c r="L5" s="190"/>
      <c r="M5" s="190"/>
      <c r="N5" s="190"/>
      <c r="O5" s="190"/>
      <c r="P5" s="190"/>
      <c r="Q5" s="190"/>
      <c r="R5" s="190"/>
      <c r="S5" s="190"/>
      <c r="T5" s="190"/>
      <c r="U5" s="190"/>
      <c r="V5" s="190"/>
      <c r="W5" s="190"/>
      <c r="Y5" s="190"/>
      <c r="Z5" s="190"/>
      <c r="AA5" s="190"/>
    </row>
    <row r="6" spans="1:67" ht="37.5" customHeight="1" x14ac:dyDescent="0.25">
      <c r="A6" s="58" t="s">
        <v>430</v>
      </c>
      <c r="B6" s="236" t="str">
        <f>VLOOKUP(B4,組み合わせ!$AL$95:$BU$112,13,FALSE)</f>
        <v>E</v>
      </c>
      <c r="C6" s="58"/>
      <c r="D6" s="58"/>
      <c r="M6" s="58" t="s">
        <v>430</v>
      </c>
      <c r="N6" s="236" t="str">
        <f>VLOOKUP(N4,組み合わせ!$AL$95:$BU$112,25,FALSE)</f>
        <v>L</v>
      </c>
      <c r="O6" s="229"/>
      <c r="P6" s="229"/>
      <c r="Y6" s="590" t="s">
        <v>430</v>
      </c>
      <c r="Z6" s="590"/>
      <c r="AA6" s="590"/>
      <c r="AB6" s="962" t="str">
        <f>$B$6</f>
        <v>E</v>
      </c>
      <c r="AC6" s="962"/>
      <c r="AD6" s="962"/>
      <c r="AE6" s="962"/>
      <c r="AF6" s="962"/>
      <c r="AG6" s="962"/>
    </row>
    <row r="7" spans="1:67" ht="37.5" customHeight="1" x14ac:dyDescent="0.25">
      <c r="A7" s="58"/>
      <c r="B7" s="202" t="str">
        <f>CONCATENATE($B$6,1)</f>
        <v>E1</v>
      </c>
      <c r="C7" s="998" t="str">
        <f>HLOOKUP(B7,組み合わせ!$B$48:$EO$86,2,FALSE)</f>
        <v>ＦＣ　ＷＡＹＳ</v>
      </c>
      <c r="D7" s="998"/>
      <c r="E7" s="998"/>
      <c r="F7" s="998"/>
      <c r="G7" s="998"/>
      <c r="H7" s="998"/>
      <c r="I7" s="998"/>
      <c r="J7" s="998" t="str">
        <f>HLOOKUP(B7,組み合わせ!$B$48:$EO$86,32,FALSE)</f>
        <v>宇佐高田</v>
      </c>
      <c r="K7" s="999"/>
      <c r="M7" s="229"/>
      <c r="N7" s="202" t="str">
        <f>CONCATENATE($N$6,1)</f>
        <v>L1</v>
      </c>
      <c r="O7" s="998" t="str">
        <f>HLOOKUP(N7,組み合わせ!$B$48:$EO$86,2,FALSE)</f>
        <v>四日市南ＳＳＣ</v>
      </c>
      <c r="P7" s="998"/>
      <c r="Q7" s="998"/>
      <c r="R7" s="998"/>
      <c r="S7" s="998"/>
      <c r="T7" s="998"/>
      <c r="U7" s="998"/>
      <c r="V7" s="998" t="str">
        <f>HLOOKUP(N7,組み合わせ!$B$48:$EO$86,32,FALSE)</f>
        <v>宇佐高田</v>
      </c>
      <c r="W7" s="999"/>
      <c r="Y7" s="58"/>
      <c r="Z7" s="713" t="str">
        <f>+B7</f>
        <v>E1</v>
      </c>
      <c r="AA7" s="713"/>
      <c r="AB7" s="713"/>
      <c r="AC7" s="713" t="str">
        <f>$C$7</f>
        <v>ＦＣ　ＷＡＹＳ</v>
      </c>
      <c r="AD7" s="713"/>
      <c r="AE7" s="713"/>
      <c r="AF7" s="713"/>
      <c r="AG7" s="713"/>
      <c r="AH7" s="713"/>
      <c r="AI7" s="713"/>
      <c r="AJ7" s="713"/>
      <c r="AK7" s="713"/>
      <c r="AL7" s="713"/>
      <c r="AM7" s="713"/>
      <c r="AN7" s="713"/>
      <c r="AO7" s="713"/>
      <c r="AP7" s="713" t="str">
        <f>$J$7</f>
        <v>宇佐高田</v>
      </c>
      <c r="AQ7" s="713"/>
      <c r="AR7" s="713"/>
      <c r="AS7" s="713"/>
    </row>
    <row r="8" spans="1:67" ht="37.5" customHeight="1" x14ac:dyDescent="0.25">
      <c r="A8" s="58"/>
      <c r="B8" s="203" t="str">
        <f>CONCATENATE($B$6,2)</f>
        <v>E2</v>
      </c>
      <c r="C8" s="549" t="str">
        <f>HLOOKUP(B8,組み合わせ!$B$48:$EO$86,2,FALSE)</f>
        <v>アトレチコエラン横瀬</v>
      </c>
      <c r="D8" s="549"/>
      <c r="E8" s="549"/>
      <c r="F8" s="549"/>
      <c r="G8" s="549"/>
      <c r="H8" s="549"/>
      <c r="I8" s="549"/>
      <c r="J8" s="549" t="str">
        <f>HLOOKUP(B8,組み合わせ!$B$48:$EO$86,32,FALSE)</f>
        <v>大分</v>
      </c>
      <c r="K8" s="995"/>
      <c r="M8" s="229"/>
      <c r="N8" s="203" t="str">
        <f>CONCATENATE($N$6,2)</f>
        <v>L2</v>
      </c>
      <c r="O8" s="549" t="str">
        <f>HLOOKUP(N8,組み合わせ!$B$48:$EO$86,2,FALSE)</f>
        <v>明野東サッカースポーツ少年団</v>
      </c>
      <c r="P8" s="549"/>
      <c r="Q8" s="549"/>
      <c r="R8" s="549"/>
      <c r="S8" s="549"/>
      <c r="T8" s="549"/>
      <c r="U8" s="549"/>
      <c r="V8" s="549" t="str">
        <f>HLOOKUP(N8,組み合わせ!$B$48:$EO$86,32,FALSE)</f>
        <v>大分</v>
      </c>
      <c r="W8" s="995"/>
      <c r="Y8" s="58"/>
      <c r="Z8" s="713" t="str">
        <f>+B8</f>
        <v>E2</v>
      </c>
      <c r="AA8" s="713"/>
      <c r="AB8" s="713"/>
      <c r="AC8" s="713" t="str">
        <f>$C$8</f>
        <v>アトレチコエラン横瀬</v>
      </c>
      <c r="AD8" s="713"/>
      <c r="AE8" s="713"/>
      <c r="AF8" s="713"/>
      <c r="AG8" s="713"/>
      <c r="AH8" s="713"/>
      <c r="AI8" s="713"/>
      <c r="AJ8" s="713"/>
      <c r="AK8" s="713"/>
      <c r="AL8" s="713"/>
      <c r="AM8" s="713"/>
      <c r="AN8" s="713"/>
      <c r="AO8" s="713"/>
      <c r="AP8" s="713" t="str">
        <f>$J$8</f>
        <v>大分</v>
      </c>
      <c r="AQ8" s="713"/>
      <c r="AR8" s="713"/>
      <c r="AS8" s="713"/>
    </row>
    <row r="9" spans="1:67" ht="37.5" customHeight="1" x14ac:dyDescent="0.25">
      <c r="A9" s="190"/>
      <c r="B9" s="204" t="str">
        <f>CONCATENATE($B$6,3)</f>
        <v>E3</v>
      </c>
      <c r="C9" s="996" t="str">
        <f>HLOOKUP(B9,組み合わせ!$B$48:$EO$86,2,FALSE)</f>
        <v>ＦＣ　ＪＵＮＩＯＲＳ</v>
      </c>
      <c r="D9" s="996"/>
      <c r="E9" s="996"/>
      <c r="F9" s="996"/>
      <c r="G9" s="996"/>
      <c r="H9" s="996"/>
      <c r="I9" s="996"/>
      <c r="J9" s="996" t="str">
        <f>HLOOKUP(B9,組み合わせ!$B$48:$EO$86,32,FALSE)</f>
        <v>中津</v>
      </c>
      <c r="K9" s="997"/>
      <c r="L9" s="190"/>
      <c r="M9" s="190"/>
      <c r="N9" s="204" t="str">
        <f>CONCATENATE($N$6,3)</f>
        <v>L3</v>
      </c>
      <c r="O9" s="996" t="str">
        <f>HLOOKUP(N9,組み合わせ!$B$48:$EO$86,2,FALSE)</f>
        <v>佐伯リベロフットボールクラブ</v>
      </c>
      <c r="P9" s="996"/>
      <c r="Q9" s="996"/>
      <c r="R9" s="996"/>
      <c r="S9" s="996"/>
      <c r="T9" s="996"/>
      <c r="U9" s="996"/>
      <c r="V9" s="996" t="str">
        <f>HLOOKUP(N9,組み合わせ!$B$48:$EO$86,32,FALSE)</f>
        <v>佐伯</v>
      </c>
      <c r="W9" s="997"/>
      <c r="Y9" s="190"/>
      <c r="Z9" s="713" t="str">
        <f>+B9</f>
        <v>E3</v>
      </c>
      <c r="AA9" s="713"/>
      <c r="AB9" s="713"/>
      <c r="AC9" s="713" t="str">
        <f>$C$9</f>
        <v>ＦＣ　ＪＵＮＩＯＲＳ</v>
      </c>
      <c r="AD9" s="713"/>
      <c r="AE9" s="713"/>
      <c r="AF9" s="713"/>
      <c r="AG9" s="713"/>
      <c r="AH9" s="713"/>
      <c r="AI9" s="713"/>
      <c r="AJ9" s="713"/>
      <c r="AK9" s="713"/>
      <c r="AL9" s="713"/>
      <c r="AM9" s="713"/>
      <c r="AN9" s="713"/>
      <c r="AO9" s="713"/>
      <c r="AP9" s="713" t="str">
        <f>$J$9</f>
        <v>中津</v>
      </c>
      <c r="AQ9" s="713"/>
      <c r="AR9" s="713"/>
      <c r="AS9" s="713"/>
    </row>
    <row r="10" spans="1:67" ht="37.5" customHeight="1" x14ac:dyDescent="0.25">
      <c r="A10" s="191" t="s">
        <v>497</v>
      </c>
      <c r="B10" s="189"/>
      <c r="C10" s="189"/>
      <c r="D10" s="189"/>
      <c r="E10" s="189"/>
      <c r="F10" s="189"/>
      <c r="G10" s="189"/>
      <c r="H10" s="189"/>
      <c r="I10" s="189"/>
      <c r="J10" s="189"/>
      <c r="K10" s="189"/>
      <c r="L10" s="189"/>
      <c r="M10" s="191" t="s">
        <v>637</v>
      </c>
      <c r="N10" s="189"/>
      <c r="O10" s="189"/>
      <c r="P10" s="189"/>
      <c r="Q10" s="189"/>
      <c r="R10" s="189"/>
      <c r="S10" s="189"/>
      <c r="T10" s="189"/>
      <c r="U10" s="189"/>
      <c r="V10" s="189"/>
      <c r="W10" s="189"/>
    </row>
    <row r="12" spans="1:67" ht="18.75" customHeight="1" x14ac:dyDescent="0.25">
      <c r="A12" s="963" t="s">
        <v>789</v>
      </c>
      <c r="B12" s="964" t="str">
        <f>C7</f>
        <v>ＦＣ　ＷＡＹＳ</v>
      </c>
      <c r="C12" s="966">
        <f>IF(E12="","",SUM(E12:E13))</f>
        <v>0</v>
      </c>
      <c r="D12" s="940" t="s">
        <v>336</v>
      </c>
      <c r="E12" s="217">
        <v>0</v>
      </c>
      <c r="F12" s="217" t="s">
        <v>61</v>
      </c>
      <c r="G12" s="217">
        <v>4</v>
      </c>
      <c r="H12" s="940" t="s">
        <v>339</v>
      </c>
      <c r="I12" s="966">
        <f>IF(G12="","",SUM(G12:G13))</f>
        <v>5</v>
      </c>
      <c r="J12" s="968" t="str">
        <f>C8</f>
        <v>アトレチコエラン横瀬</v>
      </c>
      <c r="K12" s="190"/>
      <c r="L12" s="190"/>
      <c r="M12" s="969" t="s">
        <v>791</v>
      </c>
      <c r="N12" s="972" t="str">
        <f>O7</f>
        <v>四日市南ＳＳＣ</v>
      </c>
      <c r="O12" s="966">
        <f>IF(Q12="","",SUM(Q12:Q13))</f>
        <v>1</v>
      </c>
      <c r="P12" s="940" t="s">
        <v>336</v>
      </c>
      <c r="Q12" s="217">
        <v>0</v>
      </c>
      <c r="R12" s="217" t="s">
        <v>61</v>
      </c>
      <c r="S12" s="217">
        <v>0</v>
      </c>
      <c r="T12" s="940" t="s">
        <v>339</v>
      </c>
      <c r="U12" s="966">
        <f>IF(S12="","",SUM(S12:S13))</f>
        <v>1</v>
      </c>
      <c r="V12" s="968" t="str">
        <f>O8</f>
        <v>明野東サッカースポーツ少年団</v>
      </c>
    </row>
    <row r="13" spans="1:67" ht="18.75" customHeight="1" x14ac:dyDescent="0.25">
      <c r="A13" s="946"/>
      <c r="B13" s="965"/>
      <c r="C13" s="967"/>
      <c r="D13" s="906"/>
      <c r="E13" s="190">
        <v>0</v>
      </c>
      <c r="F13" s="190" t="s">
        <v>126</v>
      </c>
      <c r="G13" s="190">
        <v>1</v>
      </c>
      <c r="H13" s="906"/>
      <c r="I13" s="967"/>
      <c r="J13" s="957"/>
      <c r="K13" s="190"/>
      <c r="L13" s="190"/>
      <c r="M13" s="970"/>
      <c r="N13" s="973"/>
      <c r="O13" s="967"/>
      <c r="P13" s="906"/>
      <c r="Q13" s="190">
        <v>1</v>
      </c>
      <c r="R13" s="190" t="s">
        <v>126</v>
      </c>
      <c r="S13" s="190">
        <v>1</v>
      </c>
      <c r="T13" s="906"/>
      <c r="U13" s="967"/>
      <c r="V13" s="957"/>
    </row>
    <row r="14" spans="1:67" ht="19.5" customHeight="1" x14ac:dyDescent="0.25">
      <c r="A14" s="946"/>
      <c r="B14" s="980"/>
      <c r="C14" s="967"/>
      <c r="D14" s="906"/>
      <c r="E14" s="190"/>
      <c r="F14" s="190" t="s">
        <v>407</v>
      </c>
      <c r="G14" s="190"/>
      <c r="H14" s="906"/>
      <c r="I14" s="967"/>
      <c r="J14" s="958"/>
      <c r="K14" s="190"/>
      <c r="L14" s="190"/>
      <c r="M14" s="971"/>
      <c r="N14" s="974"/>
      <c r="O14" s="975"/>
      <c r="P14" s="908"/>
      <c r="Q14" s="190"/>
      <c r="R14" s="190" t="s">
        <v>407</v>
      </c>
      <c r="S14" s="190"/>
      <c r="T14" s="908"/>
      <c r="U14" s="975"/>
      <c r="V14" s="976"/>
    </row>
    <row r="15" spans="1:67" ht="18.75" customHeight="1" x14ac:dyDescent="0.25">
      <c r="A15" s="192" t="s">
        <v>2463</v>
      </c>
      <c r="B15" s="989" t="s">
        <v>15173</v>
      </c>
      <c r="C15" s="989"/>
      <c r="D15" s="989"/>
      <c r="E15" s="989"/>
      <c r="F15" s="989"/>
      <c r="G15" s="990" t="s">
        <v>2464</v>
      </c>
      <c r="H15" s="990"/>
      <c r="I15" s="990"/>
      <c r="J15" s="991" t="s">
        <v>15175</v>
      </c>
      <c r="K15" s="991"/>
      <c r="L15" s="190"/>
      <c r="M15" s="192" t="s">
        <v>2463</v>
      </c>
      <c r="N15" s="989" t="s">
        <v>15207</v>
      </c>
      <c r="O15" s="989"/>
      <c r="P15" s="989"/>
      <c r="Q15" s="989"/>
      <c r="R15" s="989"/>
      <c r="S15" s="990" t="s">
        <v>2464</v>
      </c>
      <c r="T15" s="990"/>
      <c r="U15" s="990"/>
      <c r="V15" s="991" t="s">
        <v>15175</v>
      </c>
      <c r="W15" s="991"/>
      <c r="Y15" s="954" t="str">
        <f>$Y$6</f>
        <v>パート</v>
      </c>
      <c r="Z15" s="955"/>
      <c r="AA15" s="955"/>
      <c r="AB15" s="955"/>
      <c r="AC15" s="955" t="str">
        <f>$AB$6</f>
        <v>E</v>
      </c>
      <c r="AD15" s="955"/>
      <c r="AE15" s="956"/>
      <c r="AF15" s="945" t="str">
        <f>$Y$21</f>
        <v>ＦＣ　ＷＡＹＳ</v>
      </c>
      <c r="AG15" s="945"/>
      <c r="AH15" s="945"/>
      <c r="AI15" s="945"/>
      <c r="AJ15" s="945"/>
      <c r="AK15" s="945" t="str">
        <f>$Y$27</f>
        <v>アトレチコエラン横瀬</v>
      </c>
      <c r="AL15" s="945"/>
      <c r="AM15" s="945"/>
      <c r="AN15" s="945"/>
      <c r="AO15" s="945"/>
      <c r="AP15" s="945" t="str">
        <f>$Y$33</f>
        <v>ＦＣ　ＪＵＮＩＯＲＳ</v>
      </c>
      <c r="AQ15" s="945"/>
      <c r="AR15" s="945"/>
      <c r="AS15" s="945"/>
      <c r="AT15" s="945"/>
      <c r="AU15" s="945" t="s">
        <v>1535</v>
      </c>
      <c r="AV15" s="945"/>
      <c r="AW15" s="944" t="s">
        <v>2060</v>
      </c>
      <c r="AX15" s="945"/>
      <c r="AY15" s="944" t="s">
        <v>1208</v>
      </c>
      <c r="AZ15" s="945"/>
      <c r="BA15" s="945" t="s">
        <v>1727</v>
      </c>
      <c r="BB15" s="945"/>
      <c r="BC15" s="945" t="s">
        <v>2005</v>
      </c>
      <c r="BD15" s="945"/>
      <c r="BE15" s="945" t="s">
        <v>2006</v>
      </c>
      <c r="BF15" s="945"/>
      <c r="BG15" s="945" t="s">
        <v>1768</v>
      </c>
      <c r="BH15" s="945"/>
      <c r="BI15" s="944" t="s">
        <v>698</v>
      </c>
      <c r="BJ15" s="945"/>
      <c r="BK15" s="944" t="s">
        <v>1100</v>
      </c>
      <c r="BL15" s="945"/>
      <c r="BM15" s="944" t="s">
        <v>502</v>
      </c>
      <c r="BN15" s="945"/>
      <c r="BO15" s="947" t="s">
        <v>2127</v>
      </c>
    </row>
    <row r="16" spans="1:67" x14ac:dyDescent="0.25">
      <c r="A16" s="193" t="s">
        <v>2465</v>
      </c>
      <c r="B16" s="992" t="s">
        <v>15173</v>
      </c>
      <c r="C16" s="992"/>
      <c r="D16" s="992"/>
      <c r="E16" s="992"/>
      <c r="F16" s="992"/>
      <c r="G16" s="983" t="s">
        <v>2464</v>
      </c>
      <c r="H16" s="984"/>
      <c r="I16" s="985"/>
      <c r="J16" s="993" t="s">
        <v>15175</v>
      </c>
      <c r="K16" s="993"/>
      <c r="L16" s="190"/>
      <c r="M16" s="193" t="s">
        <v>2465</v>
      </c>
      <c r="N16" s="992" t="s">
        <v>15207</v>
      </c>
      <c r="O16" s="992"/>
      <c r="P16" s="992"/>
      <c r="Q16" s="992"/>
      <c r="R16" s="992"/>
      <c r="S16" s="983" t="s">
        <v>2464</v>
      </c>
      <c r="T16" s="984"/>
      <c r="U16" s="985"/>
      <c r="V16" s="993" t="s">
        <v>15175</v>
      </c>
      <c r="W16" s="993"/>
      <c r="Y16" s="905"/>
      <c r="Z16" s="906"/>
      <c r="AA16" s="906"/>
      <c r="AB16" s="906"/>
      <c r="AC16" s="906"/>
      <c r="AD16" s="906"/>
      <c r="AE16" s="957"/>
      <c r="AF16" s="946"/>
      <c r="AG16" s="946"/>
      <c r="AH16" s="946"/>
      <c r="AI16" s="946"/>
      <c r="AJ16" s="946"/>
      <c r="AK16" s="946"/>
      <c r="AL16" s="946"/>
      <c r="AM16" s="946"/>
      <c r="AN16" s="946"/>
      <c r="AO16" s="946"/>
      <c r="AP16" s="946"/>
      <c r="AQ16" s="946"/>
      <c r="AR16" s="946"/>
      <c r="AS16" s="946"/>
      <c r="AT16" s="946"/>
      <c r="AU16" s="946"/>
      <c r="AV16" s="946"/>
      <c r="AW16" s="946"/>
      <c r="AX16" s="946"/>
      <c r="AY16" s="946"/>
      <c r="AZ16" s="946"/>
      <c r="BA16" s="946"/>
      <c r="BB16" s="946"/>
      <c r="BC16" s="946"/>
      <c r="BD16" s="946"/>
      <c r="BE16" s="946"/>
      <c r="BF16" s="946"/>
      <c r="BG16" s="946"/>
      <c r="BH16" s="946"/>
      <c r="BI16" s="946"/>
      <c r="BJ16" s="946"/>
      <c r="BK16" s="946"/>
      <c r="BL16" s="946"/>
      <c r="BM16" s="946"/>
      <c r="BN16" s="946"/>
      <c r="BO16" s="948"/>
    </row>
    <row r="17" spans="1:67" x14ac:dyDescent="0.25">
      <c r="A17" s="194" t="s">
        <v>2466</v>
      </c>
      <c r="B17" s="982" t="s">
        <v>15174</v>
      </c>
      <c r="C17" s="982"/>
      <c r="D17" s="982"/>
      <c r="E17" s="982"/>
      <c r="F17" s="982"/>
      <c r="G17" s="983" t="s">
        <v>2464</v>
      </c>
      <c r="H17" s="984"/>
      <c r="I17" s="985"/>
      <c r="J17" s="986" t="s">
        <v>15175</v>
      </c>
      <c r="K17" s="986"/>
      <c r="L17" s="190"/>
      <c r="M17" s="194" t="s">
        <v>2466</v>
      </c>
      <c r="N17" s="982" t="s">
        <v>15208</v>
      </c>
      <c r="O17" s="982"/>
      <c r="P17" s="982"/>
      <c r="Q17" s="982"/>
      <c r="R17" s="982"/>
      <c r="S17" s="983" t="s">
        <v>2464</v>
      </c>
      <c r="T17" s="984"/>
      <c r="U17" s="985"/>
      <c r="V17" s="986" t="s">
        <v>15175</v>
      </c>
      <c r="W17" s="986"/>
      <c r="Y17" s="905"/>
      <c r="Z17" s="906"/>
      <c r="AA17" s="906"/>
      <c r="AB17" s="906"/>
      <c r="AC17" s="906"/>
      <c r="AD17" s="906"/>
      <c r="AE17" s="957"/>
      <c r="AF17" s="946"/>
      <c r="AG17" s="946"/>
      <c r="AH17" s="946"/>
      <c r="AI17" s="946"/>
      <c r="AJ17" s="946"/>
      <c r="AK17" s="946"/>
      <c r="AL17" s="946"/>
      <c r="AM17" s="946"/>
      <c r="AN17" s="946"/>
      <c r="AO17" s="946"/>
      <c r="AP17" s="946"/>
      <c r="AQ17" s="946"/>
      <c r="AR17" s="946"/>
      <c r="AS17" s="946"/>
      <c r="AT17" s="946"/>
      <c r="AU17" s="946"/>
      <c r="AV17" s="946"/>
      <c r="AW17" s="946"/>
      <c r="AX17" s="946"/>
      <c r="AY17" s="946"/>
      <c r="AZ17" s="946"/>
      <c r="BA17" s="946"/>
      <c r="BB17" s="946"/>
      <c r="BC17" s="946"/>
      <c r="BD17" s="946"/>
      <c r="BE17" s="946"/>
      <c r="BF17" s="946"/>
      <c r="BG17" s="946"/>
      <c r="BH17" s="946"/>
      <c r="BI17" s="946"/>
      <c r="BJ17" s="946"/>
      <c r="BK17" s="946"/>
      <c r="BL17" s="946"/>
      <c r="BM17" s="946"/>
      <c r="BN17" s="946"/>
      <c r="BO17" s="948"/>
    </row>
    <row r="18" spans="1:67" x14ac:dyDescent="0.25">
      <c r="A18" s="195" t="s">
        <v>609</v>
      </c>
      <c r="B18" s="205" t="str">
        <f>IF(ISERROR(VLOOKUP(G18,審判員!$A:$C,2,FALSE))=TRUE,"",VLOOKUP(G18,審判員!$A:$C,2,FALSE))</f>
        <v>奥田　和彦</v>
      </c>
      <c r="C18" s="211">
        <f>IF(ISERROR(VLOOKUP(G18,審判員!$A:$C,3,FALSE))=TRUE,"",VLOOKUP(G18,審判員!$A:$C,3,FALSE))</f>
        <v>3</v>
      </c>
      <c r="D18" s="218" t="s">
        <v>612</v>
      </c>
      <c r="E18" s="955" t="s">
        <v>201</v>
      </c>
      <c r="F18" s="955"/>
      <c r="G18" s="955" t="s">
        <v>15176</v>
      </c>
      <c r="H18" s="955"/>
      <c r="I18" s="955"/>
      <c r="J18" s="987" t="s">
        <v>788</v>
      </c>
      <c r="K18" s="988"/>
      <c r="L18" s="190"/>
      <c r="M18" s="195" t="s">
        <v>609</v>
      </c>
      <c r="N18" s="205" t="str">
        <f>IF(ISERROR(VLOOKUP(S18,審判員!$A:$C,2,FALSE))=TRUE,"",VLOOKUP(S18,審判員!$A:$C,2,FALSE))</f>
        <v>柳本　剛</v>
      </c>
      <c r="O18" s="211">
        <f>IF(ISERROR(VLOOKUP(S18,審判員!$A:$C,3,FALSE))=TRUE,"",VLOOKUP(S18,審判員!$A:$C,3,FALSE))</f>
        <v>3</v>
      </c>
      <c r="P18" s="218" t="s">
        <v>612</v>
      </c>
      <c r="Q18" s="955" t="s">
        <v>201</v>
      </c>
      <c r="R18" s="955"/>
      <c r="S18" s="955" t="s">
        <v>15209</v>
      </c>
      <c r="T18" s="955"/>
      <c r="U18" s="955"/>
      <c r="V18" s="987" t="s">
        <v>788</v>
      </c>
      <c r="W18" s="988"/>
      <c r="Y18" s="905"/>
      <c r="Z18" s="906"/>
      <c r="AA18" s="906"/>
      <c r="AB18" s="906"/>
      <c r="AC18" s="906"/>
      <c r="AD18" s="906"/>
      <c r="AE18" s="957"/>
      <c r="AF18" s="946"/>
      <c r="AG18" s="946"/>
      <c r="AH18" s="946"/>
      <c r="AI18" s="946"/>
      <c r="AJ18" s="946"/>
      <c r="AK18" s="946"/>
      <c r="AL18" s="946"/>
      <c r="AM18" s="946"/>
      <c r="AN18" s="946"/>
      <c r="AO18" s="946"/>
      <c r="AP18" s="946"/>
      <c r="AQ18" s="946"/>
      <c r="AR18" s="946"/>
      <c r="AS18" s="946"/>
      <c r="AT18" s="946"/>
      <c r="AU18" s="946"/>
      <c r="AV18" s="946"/>
      <c r="AW18" s="946"/>
      <c r="AX18" s="946"/>
      <c r="AY18" s="946"/>
      <c r="AZ18" s="946"/>
      <c r="BA18" s="946"/>
      <c r="BB18" s="946"/>
      <c r="BC18" s="946"/>
      <c r="BD18" s="946"/>
      <c r="BE18" s="946"/>
      <c r="BF18" s="946"/>
      <c r="BG18" s="946"/>
      <c r="BH18" s="946"/>
      <c r="BI18" s="946"/>
      <c r="BJ18" s="946"/>
      <c r="BK18" s="946"/>
      <c r="BL18" s="946"/>
      <c r="BM18" s="946"/>
      <c r="BN18" s="946"/>
      <c r="BO18" s="948"/>
    </row>
    <row r="19" spans="1:67" x14ac:dyDescent="0.25">
      <c r="A19" s="196" t="s">
        <v>704</v>
      </c>
      <c r="B19" s="206" t="str">
        <f>IF(ISERROR(VLOOKUP(G19,審判員!$A:$C,2,FALSE))=TRUE,"",VLOOKUP(G19,審判員!$A:$C,2,FALSE))</f>
        <v>中園　健太郎</v>
      </c>
      <c r="C19" s="212">
        <f>IF(ISERROR(VLOOKUP(G19,審判員!$A:$C,3,FALSE))=TRUE,"",VLOOKUP(G19,審判員!$A:$C,3,FALSE))</f>
        <v>2</v>
      </c>
      <c r="D19" s="219" t="s">
        <v>612</v>
      </c>
      <c r="E19" s="906" t="s">
        <v>1286</v>
      </c>
      <c r="F19" s="906"/>
      <c r="G19" s="906" t="s">
        <v>15177</v>
      </c>
      <c r="H19" s="906"/>
      <c r="I19" s="906"/>
      <c r="J19" s="891" t="str">
        <f>N12</f>
        <v>四日市南ＳＳＣ</v>
      </c>
      <c r="K19" s="981"/>
      <c r="L19" s="190"/>
      <c r="M19" s="196" t="s">
        <v>704</v>
      </c>
      <c r="N19" s="206" t="str">
        <f>IF(ISERROR(VLOOKUP(S19,審判員!$A:$C,2,FALSE))=TRUE,"",VLOOKUP(S19,審判員!$A:$C,2,FALSE))</f>
        <v>荒牧　聡</v>
      </c>
      <c r="O19" s="212">
        <f>IF(ISERROR(VLOOKUP(S19,審判員!$A:$C,3,FALSE))=TRUE,"",VLOOKUP(S19,審判員!$A:$C,3,FALSE))</f>
        <v>3</v>
      </c>
      <c r="P19" s="219" t="s">
        <v>612</v>
      </c>
      <c r="Q19" s="906" t="s">
        <v>1286</v>
      </c>
      <c r="R19" s="906"/>
      <c r="S19" s="906" t="s">
        <v>15210</v>
      </c>
      <c r="T19" s="906"/>
      <c r="U19" s="906"/>
      <c r="V19" s="891" t="str">
        <f>B12</f>
        <v>ＦＣ　ＷＡＹＳ</v>
      </c>
      <c r="W19" s="981"/>
      <c r="Y19" s="905"/>
      <c r="Z19" s="906"/>
      <c r="AA19" s="906"/>
      <c r="AB19" s="906"/>
      <c r="AC19" s="906"/>
      <c r="AD19" s="906"/>
      <c r="AE19" s="957"/>
      <c r="AF19" s="946"/>
      <c r="AG19" s="946"/>
      <c r="AH19" s="946"/>
      <c r="AI19" s="946"/>
      <c r="AJ19" s="946"/>
      <c r="AK19" s="946"/>
      <c r="AL19" s="946"/>
      <c r="AM19" s="946"/>
      <c r="AN19" s="946"/>
      <c r="AO19" s="946"/>
      <c r="AP19" s="946"/>
      <c r="AQ19" s="946"/>
      <c r="AR19" s="946"/>
      <c r="AS19" s="946"/>
      <c r="AT19" s="946"/>
      <c r="AU19" s="946"/>
      <c r="AV19" s="946"/>
      <c r="AW19" s="946"/>
      <c r="AX19" s="946"/>
      <c r="AY19" s="946"/>
      <c r="AZ19" s="946"/>
      <c r="BA19" s="946"/>
      <c r="BB19" s="946"/>
      <c r="BC19" s="946"/>
      <c r="BD19" s="946"/>
      <c r="BE19" s="946"/>
      <c r="BF19" s="946"/>
      <c r="BG19" s="946"/>
      <c r="BH19" s="946"/>
      <c r="BI19" s="946"/>
      <c r="BJ19" s="946"/>
      <c r="BK19" s="946"/>
      <c r="BL19" s="946"/>
      <c r="BM19" s="946"/>
      <c r="BN19" s="946"/>
      <c r="BO19" s="948"/>
    </row>
    <row r="20" spans="1:67" x14ac:dyDescent="0.25">
      <c r="A20" s="196" t="s">
        <v>2007</v>
      </c>
      <c r="B20" s="206" t="str">
        <f>IF(ISERROR(VLOOKUP(G20,審判員!$A:$C,2,FALSE))=TRUE,"",VLOOKUP(G20,審判員!$A:$C,2,FALSE))</f>
        <v>津守　一雄</v>
      </c>
      <c r="C20" s="212">
        <f>IF(ISERROR(VLOOKUP(G20,審判員!$A:$C,3,FALSE))=TRUE,"",VLOOKUP(G20,審判員!$A:$C,3,FALSE))</f>
        <v>3</v>
      </c>
      <c r="D20" s="219" t="s">
        <v>612</v>
      </c>
      <c r="E20" s="906" t="s">
        <v>1286</v>
      </c>
      <c r="F20" s="906"/>
      <c r="G20" s="906" t="s">
        <v>15178</v>
      </c>
      <c r="H20" s="906"/>
      <c r="I20" s="906"/>
      <c r="J20" s="891" t="str">
        <f>V12</f>
        <v>明野東サッカースポーツ少年団</v>
      </c>
      <c r="K20" s="981"/>
      <c r="L20" s="190"/>
      <c r="M20" s="196" t="s">
        <v>2007</v>
      </c>
      <c r="N20" s="206" t="str">
        <f>IF(ISERROR(VLOOKUP(S20,審判員!$A:$C,2,FALSE))=TRUE,"",VLOOKUP(S20,審判員!$A:$C,2,FALSE))</f>
        <v>江良　信司</v>
      </c>
      <c r="O20" s="212">
        <f>IF(ISERROR(VLOOKUP(S20,審判員!$A:$C,3,FALSE))=TRUE,"",VLOOKUP(S20,審判員!$A:$C,3,FALSE))</f>
        <v>3</v>
      </c>
      <c r="P20" s="219" t="s">
        <v>612</v>
      </c>
      <c r="Q20" s="906" t="s">
        <v>1286</v>
      </c>
      <c r="R20" s="906"/>
      <c r="S20" s="906" t="s">
        <v>15211</v>
      </c>
      <c r="T20" s="906"/>
      <c r="U20" s="906"/>
      <c r="V20" s="891" t="str">
        <f>J12</f>
        <v>アトレチコエラン横瀬</v>
      </c>
      <c r="W20" s="981"/>
      <c r="Y20" s="941"/>
      <c r="Z20" s="936"/>
      <c r="AA20" s="936"/>
      <c r="AB20" s="936"/>
      <c r="AC20" s="936"/>
      <c r="AD20" s="936"/>
      <c r="AE20" s="958"/>
      <c r="AF20" s="946"/>
      <c r="AG20" s="946"/>
      <c r="AH20" s="946"/>
      <c r="AI20" s="946"/>
      <c r="AJ20" s="946"/>
      <c r="AK20" s="946"/>
      <c r="AL20" s="946"/>
      <c r="AM20" s="946"/>
      <c r="AN20" s="946"/>
      <c r="AO20" s="946"/>
      <c r="AP20" s="946"/>
      <c r="AQ20" s="946"/>
      <c r="AR20" s="946"/>
      <c r="AS20" s="946"/>
      <c r="AT20" s="946"/>
      <c r="AU20" s="946"/>
      <c r="AV20" s="946"/>
      <c r="AW20" s="946"/>
      <c r="AX20" s="946"/>
      <c r="AY20" s="946"/>
      <c r="AZ20" s="946"/>
      <c r="BA20" s="946"/>
      <c r="BB20" s="946"/>
      <c r="BC20" s="946"/>
      <c r="BD20" s="946"/>
      <c r="BE20" s="946"/>
      <c r="BF20" s="946"/>
      <c r="BG20" s="946"/>
      <c r="BH20" s="946"/>
      <c r="BI20" s="946"/>
      <c r="BJ20" s="946"/>
      <c r="BK20" s="946"/>
      <c r="BL20" s="946"/>
      <c r="BM20" s="946"/>
      <c r="BN20" s="946"/>
      <c r="BO20" s="949"/>
    </row>
    <row r="21" spans="1:67" ht="18.75" customHeight="1" x14ac:dyDescent="0.25">
      <c r="A21" s="197" t="s">
        <v>2008</v>
      </c>
      <c r="B21" s="207" t="str">
        <f>IF(ISERROR(VLOOKUP(G21,審判員!$A:$C,2,FALSE))=TRUE,"",VLOOKUP(G21,審判員!$A:$C,2,FALSE))</f>
        <v>伊藤　勇士</v>
      </c>
      <c r="C21" s="213">
        <f>IF(ISERROR(VLOOKUP(G21,審判員!$A:$C,3,FALSE))=TRUE,"",VLOOKUP(G21,審判員!$A:$C,3,FALSE))</f>
        <v>3</v>
      </c>
      <c r="D21" s="220" t="s">
        <v>612</v>
      </c>
      <c r="E21" s="977" t="s">
        <v>1286</v>
      </c>
      <c r="F21" s="977"/>
      <c r="G21" s="977" t="s">
        <v>15179</v>
      </c>
      <c r="H21" s="977"/>
      <c r="I21" s="977"/>
      <c r="J21" s="978" t="s">
        <v>788</v>
      </c>
      <c r="K21" s="979"/>
      <c r="L21" s="190"/>
      <c r="M21" s="197" t="s">
        <v>2008</v>
      </c>
      <c r="N21" s="207" t="str">
        <f>IF(ISERROR(VLOOKUP(S21,審判員!$A:$C,2,FALSE))=TRUE,"",VLOOKUP(S21,審判員!$A:$C,2,FALSE))</f>
        <v>中原　笙</v>
      </c>
      <c r="O21" s="213">
        <f>IF(ISERROR(VLOOKUP(S21,審判員!$A:$C,3,FALSE))=TRUE,"",VLOOKUP(S21,審判員!$A:$C,3,FALSE))</f>
        <v>3</v>
      </c>
      <c r="P21" s="220" t="s">
        <v>612</v>
      </c>
      <c r="Q21" s="977" t="s">
        <v>1286</v>
      </c>
      <c r="R21" s="977"/>
      <c r="S21" s="977" t="s">
        <v>15212</v>
      </c>
      <c r="T21" s="977"/>
      <c r="U21" s="977"/>
      <c r="V21" s="978" t="s">
        <v>788</v>
      </c>
      <c r="W21" s="979"/>
      <c r="Y21" s="939" t="str">
        <f>$AC$7</f>
        <v>ＦＣ　ＷＡＹＳ</v>
      </c>
      <c r="Z21" s="940"/>
      <c r="AA21" s="940"/>
      <c r="AB21" s="940"/>
      <c r="AC21" s="940"/>
      <c r="AD21" s="940" t="s">
        <v>242</v>
      </c>
      <c r="AE21" s="940"/>
      <c r="AF21" s="950"/>
      <c r="AG21" s="942"/>
      <c r="AH21" s="942"/>
      <c r="AI21" s="942"/>
      <c r="AJ21" s="951"/>
      <c r="AK21" s="923" t="str">
        <f>IF(AK25="","",IF(AK25&gt;AN25,"○",IF(AK25&lt;AN25,"●",IF(AK23&gt;AN23,"△",IF(AK23&lt;AN23,"▲")))))</f>
        <v>●</v>
      </c>
      <c r="AL21" s="924"/>
      <c r="AM21" s="924"/>
      <c r="AN21" s="924"/>
      <c r="AO21" s="925"/>
      <c r="AP21" s="923" t="str">
        <f>IF(AP25="","",IF(AP25&gt;AS25,"○",IF(AP25&lt;AS25,"●",IF(AP23&gt;AS23,"△",IF(AP23&lt;AS23,"▲")))))</f>
        <v>●</v>
      </c>
      <c r="AQ21" s="924"/>
      <c r="AR21" s="924"/>
      <c r="AS21" s="924"/>
      <c r="AT21" s="925"/>
      <c r="AU21" s="903">
        <f>COUNTIF($AF$21:$AT$22,"○")</f>
        <v>0</v>
      </c>
      <c r="AV21" s="903"/>
      <c r="AW21" s="903">
        <f>COUNTIF($AF$21:$AT$22,"△")</f>
        <v>0</v>
      </c>
      <c r="AX21" s="903"/>
      <c r="AY21" s="903">
        <f>COUNTIF($AF$21:$AT$22,"▲")</f>
        <v>0</v>
      </c>
      <c r="AZ21" s="903"/>
      <c r="BA21" s="903">
        <f>COUNTIF($AF$21:$AT$22,"●")</f>
        <v>2</v>
      </c>
      <c r="BB21" s="903"/>
      <c r="BC21" s="903">
        <f>SUM($AK$25,$AP$25)</f>
        <v>0</v>
      </c>
      <c r="BD21" s="903"/>
      <c r="BE21" s="903">
        <f>SUM($AN$25,$AS$25)</f>
        <v>8</v>
      </c>
      <c r="BF21" s="903"/>
      <c r="BG21" s="903">
        <f>($AU$21*3)+($AW$21*2)+($AY$21*1)</f>
        <v>0</v>
      </c>
      <c r="BH21" s="903"/>
      <c r="BI21" s="910">
        <f>RANK($BG$21,$BG$21:$BH$38)</f>
        <v>3</v>
      </c>
      <c r="BJ21" s="910"/>
      <c r="BK21" s="903">
        <f>$BC$21-$BE$21</f>
        <v>-8</v>
      </c>
      <c r="BL21" s="903"/>
      <c r="BM21" s="910">
        <f>RANK($BK$21,$BK$21:$BL$38)</f>
        <v>3</v>
      </c>
      <c r="BN21" s="910"/>
      <c r="BO21" s="912"/>
    </row>
    <row r="22" spans="1:67" ht="18.75" customHeight="1" x14ac:dyDescent="0.25">
      <c r="A22" s="198" t="s">
        <v>469</v>
      </c>
      <c r="B22" s="208" t="s">
        <v>606</v>
      </c>
      <c r="C22" s="208" t="s">
        <v>234</v>
      </c>
      <c r="D22" s="208" t="s">
        <v>272</v>
      </c>
      <c r="E22" s="208" t="s">
        <v>750</v>
      </c>
      <c r="F22" s="223"/>
      <c r="G22" s="208" t="s">
        <v>750</v>
      </c>
      <c r="H22" s="208" t="s">
        <v>272</v>
      </c>
      <c r="I22" s="208" t="s">
        <v>234</v>
      </c>
      <c r="J22" s="208" t="s">
        <v>606</v>
      </c>
      <c r="K22" s="225" t="s">
        <v>469</v>
      </c>
      <c r="L22" s="190"/>
      <c r="M22" s="198" t="s">
        <v>469</v>
      </c>
      <c r="N22" s="208" t="s">
        <v>606</v>
      </c>
      <c r="O22" s="208" t="s">
        <v>234</v>
      </c>
      <c r="P22" s="208" t="s">
        <v>272</v>
      </c>
      <c r="Q22" s="208" t="s">
        <v>750</v>
      </c>
      <c r="R22" s="223"/>
      <c r="S22" s="208" t="s">
        <v>750</v>
      </c>
      <c r="T22" s="208" t="s">
        <v>272</v>
      </c>
      <c r="U22" s="208" t="s">
        <v>234</v>
      </c>
      <c r="V22" s="208" t="s">
        <v>606</v>
      </c>
      <c r="W22" s="225" t="s">
        <v>469</v>
      </c>
      <c r="Y22" s="905"/>
      <c r="Z22" s="906"/>
      <c r="AA22" s="906"/>
      <c r="AB22" s="906"/>
      <c r="AC22" s="906"/>
      <c r="AD22" s="906"/>
      <c r="AE22" s="906"/>
      <c r="AF22" s="929"/>
      <c r="AG22" s="930"/>
      <c r="AH22" s="930"/>
      <c r="AI22" s="930"/>
      <c r="AJ22" s="931"/>
      <c r="AK22" s="917"/>
      <c r="AL22" s="918"/>
      <c r="AM22" s="918"/>
      <c r="AN22" s="918"/>
      <c r="AO22" s="920"/>
      <c r="AP22" s="917"/>
      <c r="AQ22" s="918"/>
      <c r="AR22" s="918"/>
      <c r="AS22" s="918"/>
      <c r="AT22" s="920"/>
      <c r="AU22" s="903"/>
      <c r="AV22" s="903"/>
      <c r="AW22" s="903"/>
      <c r="AX22" s="903"/>
      <c r="AY22" s="903"/>
      <c r="AZ22" s="903"/>
      <c r="BA22" s="903"/>
      <c r="BB22" s="903"/>
      <c r="BC22" s="903"/>
      <c r="BD22" s="903"/>
      <c r="BE22" s="903"/>
      <c r="BF22" s="903"/>
      <c r="BG22" s="903"/>
      <c r="BH22" s="903"/>
      <c r="BI22" s="910"/>
      <c r="BJ22" s="910"/>
      <c r="BK22" s="903"/>
      <c r="BL22" s="903"/>
      <c r="BM22" s="910"/>
      <c r="BN22" s="910"/>
      <c r="BO22" s="913"/>
    </row>
    <row r="23" spans="1:67" ht="18.75" customHeight="1" x14ac:dyDescent="0.25">
      <c r="A23" s="199"/>
      <c r="B23" s="209" t="str">
        <f>IF(ISERROR(VLOOKUP(CONCATENATE($B$12,"_",C23),選手名簿!$A:$E,5,FALSE))=TRUE,"",VLOOKUP(CONCATENATE($B$12,"_",C23),選手名簿!$A:$E,5,FALSE))</f>
        <v/>
      </c>
      <c r="C23" s="214"/>
      <c r="D23" s="214"/>
      <c r="E23" s="221"/>
      <c r="F23" s="223"/>
      <c r="G23" s="221"/>
      <c r="H23" s="214"/>
      <c r="I23" s="214"/>
      <c r="J23" s="206" t="str">
        <f>IF(ISERROR(VLOOKUP(CONCATENATE($J$12,"_",I23),選手名簿!$A:$E,5,FALSE))=TRUE,"",VLOOKUP(CONCATENATE($J$12,"_",I23),選手名簿!$A:$E,5,FALSE))</f>
        <v/>
      </c>
      <c r="K23" s="226"/>
      <c r="L23" s="190"/>
      <c r="M23" s="199"/>
      <c r="N23" s="209" t="str">
        <f>IF(ISERROR(VLOOKUP(CONCATENATE($N$12,"_",O23),選手名簿!$A:$E,5,FALSE))=TRUE,"",VLOOKUP(CONCATENATE($N$12,"_",O23),選手名簿!$A:$E,5,FALSE))</f>
        <v/>
      </c>
      <c r="O23" s="214"/>
      <c r="P23" s="214"/>
      <c r="Q23" s="221"/>
      <c r="R23" s="223"/>
      <c r="S23" s="221"/>
      <c r="T23" s="214"/>
      <c r="U23" s="214"/>
      <c r="V23" s="206" t="str">
        <f>IF(ISERROR(VLOOKUP(CONCATENATE($V$12,"_",U23),選手名簿!$A:$E,5,FALSE))=TRUE,"",VLOOKUP(CONCATENATE($V$12,"_",U23),選手名簿!$A:$E,5,FALSE))</f>
        <v/>
      </c>
      <c r="W23" s="226"/>
      <c r="Y23" s="905"/>
      <c r="Z23" s="906"/>
      <c r="AA23" s="906"/>
      <c r="AB23" s="906"/>
      <c r="AC23" s="906"/>
      <c r="AD23" s="906"/>
      <c r="AE23" s="906"/>
      <c r="AF23" s="929"/>
      <c r="AG23" s="930"/>
      <c r="AH23" s="930"/>
      <c r="AI23" s="930"/>
      <c r="AJ23" s="931"/>
      <c r="AK23" s="915" t="str">
        <f>IF($E$14="","",$E$14)</f>
        <v/>
      </c>
      <c r="AL23" s="916"/>
      <c r="AM23" s="916" t="s">
        <v>2011</v>
      </c>
      <c r="AN23" s="916" t="str">
        <f>IF($G$14="","",$G$14)</f>
        <v/>
      </c>
      <c r="AO23" s="919"/>
      <c r="AP23" s="915" t="str">
        <f>IF($G$50="","",$G$50)</f>
        <v/>
      </c>
      <c r="AQ23" s="916"/>
      <c r="AR23" s="916" t="s">
        <v>2011</v>
      </c>
      <c r="AS23" s="916" t="str">
        <f>IF($E$50="","",$E$50)</f>
        <v/>
      </c>
      <c r="AT23" s="919"/>
      <c r="AU23" s="903"/>
      <c r="AV23" s="903"/>
      <c r="AW23" s="903"/>
      <c r="AX23" s="903"/>
      <c r="AY23" s="903"/>
      <c r="AZ23" s="903"/>
      <c r="BA23" s="903"/>
      <c r="BB23" s="903"/>
      <c r="BC23" s="903"/>
      <c r="BD23" s="903"/>
      <c r="BE23" s="903"/>
      <c r="BF23" s="903"/>
      <c r="BG23" s="903"/>
      <c r="BH23" s="903"/>
      <c r="BI23" s="910"/>
      <c r="BJ23" s="910"/>
      <c r="BK23" s="903"/>
      <c r="BL23" s="903"/>
      <c r="BM23" s="910"/>
      <c r="BN23" s="910"/>
      <c r="BO23" s="913"/>
    </row>
    <row r="24" spans="1:67" ht="18.75" customHeight="1" x14ac:dyDescent="0.25">
      <c r="A24" s="199"/>
      <c r="B24" s="209" t="str">
        <f>IF(ISERROR(VLOOKUP(CONCATENATE($B$12,"_",C24),選手名簿!$A:$E,5,FALSE))=TRUE,"",VLOOKUP(CONCATENATE($B$12,"_",C24),選手名簿!$A:$E,5,FALSE))</f>
        <v/>
      </c>
      <c r="C24" s="214"/>
      <c r="D24" s="214"/>
      <c r="E24" s="221"/>
      <c r="F24" s="223"/>
      <c r="G24" s="221"/>
      <c r="H24" s="214"/>
      <c r="I24" s="214"/>
      <c r="J24" s="209" t="str">
        <f>IF(ISERROR(VLOOKUP(CONCATENATE($J$12,"_",I24),選手名簿!$A:$E,5,FALSE))=TRUE,"",VLOOKUP(CONCATENATE($J$12,"_",I24),選手名簿!$A:$E,5,FALSE))</f>
        <v/>
      </c>
      <c r="K24" s="226"/>
      <c r="L24" s="190"/>
      <c r="M24" s="199"/>
      <c r="N24" s="209" t="str">
        <f>IF(ISERROR(VLOOKUP(CONCATENATE($N$12,"_",O24),選手名簿!$A:$E,5,FALSE))=TRUE,"",VLOOKUP(CONCATENATE($N$12,"_",O24),選手名簿!$A:$E,5,FALSE))</f>
        <v/>
      </c>
      <c r="O24" s="214"/>
      <c r="P24" s="214"/>
      <c r="Q24" s="221"/>
      <c r="R24" s="223"/>
      <c r="S24" s="221"/>
      <c r="T24" s="214"/>
      <c r="U24" s="214"/>
      <c r="V24" s="209" t="str">
        <f>IF(ISERROR(VLOOKUP(CONCATENATE($V$12,"_",U24),選手名簿!$A:$E,5,FALSE))=TRUE,"",VLOOKUP(CONCATENATE($V$12,"_",U24),選手名簿!$A:$E,5,FALSE))</f>
        <v/>
      </c>
      <c r="W24" s="226"/>
      <c r="Y24" s="905"/>
      <c r="Z24" s="906"/>
      <c r="AA24" s="906"/>
      <c r="AB24" s="906"/>
      <c r="AC24" s="906"/>
      <c r="AD24" s="906" t="s">
        <v>2010</v>
      </c>
      <c r="AE24" s="906"/>
      <c r="AF24" s="929"/>
      <c r="AG24" s="930"/>
      <c r="AH24" s="930"/>
      <c r="AI24" s="930"/>
      <c r="AJ24" s="931"/>
      <c r="AK24" s="917"/>
      <c r="AL24" s="918"/>
      <c r="AM24" s="918"/>
      <c r="AN24" s="918"/>
      <c r="AO24" s="920"/>
      <c r="AP24" s="917"/>
      <c r="AQ24" s="918"/>
      <c r="AR24" s="918"/>
      <c r="AS24" s="918"/>
      <c r="AT24" s="920"/>
      <c r="AU24" s="903"/>
      <c r="AV24" s="903"/>
      <c r="AW24" s="903"/>
      <c r="AX24" s="903"/>
      <c r="AY24" s="903"/>
      <c r="AZ24" s="903"/>
      <c r="BA24" s="903"/>
      <c r="BB24" s="903"/>
      <c r="BC24" s="903"/>
      <c r="BD24" s="903"/>
      <c r="BE24" s="903"/>
      <c r="BF24" s="903"/>
      <c r="BG24" s="903"/>
      <c r="BH24" s="903"/>
      <c r="BI24" s="910"/>
      <c r="BJ24" s="910"/>
      <c r="BK24" s="903"/>
      <c r="BL24" s="903"/>
      <c r="BM24" s="910"/>
      <c r="BN24" s="910"/>
      <c r="BO24" s="913"/>
    </row>
    <row r="25" spans="1:67" ht="18.75" customHeight="1" x14ac:dyDescent="0.25">
      <c r="A25" s="199"/>
      <c r="B25" s="209" t="str">
        <f>IF(ISERROR(VLOOKUP(CONCATENATE($B$12,"_",C25),選手名簿!$A:$E,5,FALSE))=TRUE,"",VLOOKUP(CONCATENATE($B$12,"_",C25),選手名簿!$A:$E,5,FALSE))</f>
        <v/>
      </c>
      <c r="C25" s="214"/>
      <c r="D25" s="214"/>
      <c r="E25" s="221"/>
      <c r="F25" s="223"/>
      <c r="G25" s="221"/>
      <c r="H25" s="214"/>
      <c r="I25" s="214"/>
      <c r="J25" s="209" t="str">
        <f>IF(ISERROR(VLOOKUP(CONCATENATE($J$12,"_",I25),選手名簿!$A:$E,5,FALSE))=TRUE,"",VLOOKUP(CONCATENATE($J$12,"_",I25),選手名簿!$A:$E,5,FALSE))</f>
        <v/>
      </c>
      <c r="K25" s="226"/>
      <c r="L25" s="190"/>
      <c r="M25" s="199"/>
      <c r="N25" s="209" t="str">
        <f>IF(ISERROR(VLOOKUP(CONCATENATE($N$12,"_",O25),選手名簿!$A:$E,5,FALSE))=TRUE,"",VLOOKUP(CONCATENATE($N$12,"_",O25),選手名簿!$A:$E,5,FALSE))</f>
        <v/>
      </c>
      <c r="O25" s="214"/>
      <c r="P25" s="214"/>
      <c r="Q25" s="221"/>
      <c r="R25" s="223"/>
      <c r="S25" s="221"/>
      <c r="T25" s="214"/>
      <c r="U25" s="214"/>
      <c r="V25" s="209" t="str">
        <f>IF(ISERROR(VLOOKUP(CONCATENATE($V$12,"_",U25),選手名簿!$A:$E,5,FALSE))=TRUE,"",VLOOKUP(CONCATENATE($V$12,"_",U25),選手名簿!$A:$E,5,FALSE))</f>
        <v/>
      </c>
      <c r="W25" s="226"/>
      <c r="Y25" s="905"/>
      <c r="Z25" s="906"/>
      <c r="AA25" s="906"/>
      <c r="AB25" s="906"/>
      <c r="AC25" s="906"/>
      <c r="AD25" s="906"/>
      <c r="AE25" s="906"/>
      <c r="AF25" s="929"/>
      <c r="AG25" s="930"/>
      <c r="AH25" s="930"/>
      <c r="AI25" s="930"/>
      <c r="AJ25" s="931"/>
      <c r="AK25" s="915">
        <f>$C$12</f>
        <v>0</v>
      </c>
      <c r="AL25" s="916"/>
      <c r="AM25" s="916" t="s">
        <v>2011</v>
      </c>
      <c r="AN25" s="916">
        <f>$I$12</f>
        <v>5</v>
      </c>
      <c r="AO25" s="919"/>
      <c r="AP25" s="915">
        <f>$I$48</f>
        <v>0</v>
      </c>
      <c r="AQ25" s="916"/>
      <c r="AR25" s="916" t="s">
        <v>2011</v>
      </c>
      <c r="AS25" s="916">
        <f>$C$48</f>
        <v>3</v>
      </c>
      <c r="AT25" s="919"/>
      <c r="AU25" s="903"/>
      <c r="AV25" s="903"/>
      <c r="AW25" s="903"/>
      <c r="AX25" s="903"/>
      <c r="AY25" s="903"/>
      <c r="AZ25" s="903"/>
      <c r="BA25" s="903"/>
      <c r="BB25" s="903"/>
      <c r="BC25" s="903"/>
      <c r="BD25" s="903"/>
      <c r="BE25" s="903"/>
      <c r="BF25" s="903"/>
      <c r="BG25" s="903"/>
      <c r="BH25" s="903"/>
      <c r="BI25" s="910"/>
      <c r="BJ25" s="910"/>
      <c r="BK25" s="903"/>
      <c r="BL25" s="903"/>
      <c r="BM25" s="910"/>
      <c r="BN25" s="910"/>
      <c r="BO25" s="913"/>
    </row>
    <row r="26" spans="1:67" ht="18.75" customHeight="1" x14ac:dyDescent="0.25">
      <c r="A26" s="199"/>
      <c r="B26" s="209" t="str">
        <f>IF(ISERROR(VLOOKUP(CONCATENATE($B$12,"_",C26),選手名簿!$A:$E,5,FALSE))=TRUE,"",VLOOKUP(CONCATENATE($B$12,"_",C26),選手名簿!$A:$E,5,FALSE))</f>
        <v/>
      </c>
      <c r="C26" s="214"/>
      <c r="D26" s="214"/>
      <c r="E26" s="221"/>
      <c r="F26" s="223"/>
      <c r="G26" s="221"/>
      <c r="H26" s="214"/>
      <c r="I26" s="214"/>
      <c r="J26" s="209" t="str">
        <f>IF(ISERROR(VLOOKUP(CONCATENATE($J$12,"_",I26),選手名簿!$A:$E,5,FALSE))=TRUE,"",VLOOKUP(CONCATENATE($J$12,"_",I26),選手名簿!$A:$E,5,FALSE))</f>
        <v/>
      </c>
      <c r="K26" s="226"/>
      <c r="L26" s="190"/>
      <c r="M26" s="199"/>
      <c r="N26" s="209" t="str">
        <f>IF(ISERROR(VLOOKUP(CONCATENATE($N$12,"_",O26),選手名簿!$A:$E,5,FALSE))=TRUE,"",VLOOKUP(CONCATENATE($N$12,"_",O26),選手名簿!$A:$E,5,FALSE))</f>
        <v/>
      </c>
      <c r="O26" s="214"/>
      <c r="P26" s="214"/>
      <c r="Q26" s="221"/>
      <c r="R26" s="223"/>
      <c r="S26" s="221"/>
      <c r="T26" s="214"/>
      <c r="U26" s="214"/>
      <c r="V26" s="209" t="str">
        <f>IF(ISERROR(VLOOKUP(CONCATENATE($V$12,"_",U26),選手名簿!$A:$E,5,FALSE))=TRUE,"",VLOOKUP(CONCATENATE($V$12,"_",U26),選手名簿!$A:$E,5,FALSE))</f>
        <v/>
      </c>
      <c r="W26" s="226"/>
      <c r="Y26" s="941"/>
      <c r="Z26" s="936"/>
      <c r="AA26" s="936"/>
      <c r="AB26" s="936"/>
      <c r="AC26" s="936"/>
      <c r="AD26" s="936"/>
      <c r="AE26" s="936"/>
      <c r="AF26" s="952"/>
      <c r="AG26" s="943"/>
      <c r="AH26" s="943"/>
      <c r="AI26" s="943"/>
      <c r="AJ26" s="953"/>
      <c r="AK26" s="937"/>
      <c r="AL26" s="560"/>
      <c r="AM26" s="560"/>
      <c r="AN26" s="560"/>
      <c r="AO26" s="938"/>
      <c r="AP26" s="937"/>
      <c r="AQ26" s="560"/>
      <c r="AR26" s="560"/>
      <c r="AS26" s="560"/>
      <c r="AT26" s="938"/>
      <c r="AU26" s="903"/>
      <c r="AV26" s="903"/>
      <c r="AW26" s="903"/>
      <c r="AX26" s="903"/>
      <c r="AY26" s="903"/>
      <c r="AZ26" s="903"/>
      <c r="BA26" s="903"/>
      <c r="BB26" s="903"/>
      <c r="BC26" s="903"/>
      <c r="BD26" s="903"/>
      <c r="BE26" s="903"/>
      <c r="BF26" s="903"/>
      <c r="BG26" s="903"/>
      <c r="BH26" s="903"/>
      <c r="BI26" s="910"/>
      <c r="BJ26" s="910"/>
      <c r="BK26" s="903"/>
      <c r="BL26" s="903"/>
      <c r="BM26" s="910"/>
      <c r="BN26" s="910"/>
      <c r="BO26" s="935"/>
    </row>
    <row r="27" spans="1:67" ht="18.75" customHeight="1" x14ac:dyDescent="0.25">
      <c r="A27" s="200"/>
      <c r="B27" s="210" t="str">
        <f>IF(ISERROR(VLOOKUP(CONCATENATE($B$12,"_",C27),選手名簿!$A:$E,5,FALSE))=TRUE,"",VLOOKUP(CONCATENATE($B$12,"_",C27),選手名簿!$A:$E,5,FALSE))</f>
        <v/>
      </c>
      <c r="C27" s="215"/>
      <c r="D27" s="215"/>
      <c r="E27" s="222"/>
      <c r="F27" s="224"/>
      <c r="G27" s="222"/>
      <c r="H27" s="215"/>
      <c r="I27" s="215"/>
      <c r="J27" s="210" t="str">
        <f>IF(ISERROR(VLOOKUP(CONCATENATE($J$12,"_",I27),選手名簿!$A:$E,5,FALSE))=TRUE,"",VLOOKUP(CONCATENATE($J$12,"_",I27),選手名簿!$A:$E,5,FALSE))</f>
        <v/>
      </c>
      <c r="K27" s="227"/>
      <c r="L27" s="190"/>
      <c r="M27" s="200"/>
      <c r="N27" s="210" t="str">
        <f>IF(ISERROR(VLOOKUP(CONCATENATE($N$12,"_",O27),選手名簿!$A:$E,5,FALSE))=TRUE,"",VLOOKUP(CONCATENATE($N$12,"_",O27),選手名簿!$A:$E,5,FALSE))</f>
        <v/>
      </c>
      <c r="O27" s="215"/>
      <c r="P27" s="215"/>
      <c r="Q27" s="222"/>
      <c r="R27" s="224"/>
      <c r="S27" s="222"/>
      <c r="T27" s="215"/>
      <c r="U27" s="215"/>
      <c r="V27" s="210" t="str">
        <f>IF(ISERROR(VLOOKUP(CONCATENATE($V$12,"_",U27),選手名簿!$A:$E,5,FALSE))=TRUE,"",VLOOKUP(CONCATENATE($V$12,"_",U27),選手名簿!$A:$E,5,FALSE))</f>
        <v/>
      </c>
      <c r="W27" s="227"/>
      <c r="Y27" s="939" t="str">
        <f>$AC$8</f>
        <v>アトレチコエラン横瀬</v>
      </c>
      <c r="Z27" s="940"/>
      <c r="AA27" s="940"/>
      <c r="AB27" s="940"/>
      <c r="AC27" s="940"/>
      <c r="AD27" s="940" t="s">
        <v>242</v>
      </c>
      <c r="AE27" s="940"/>
      <c r="AF27" s="923" t="str">
        <f>IF(AF31="","",IF(AF31&gt;AI31,"○",IF(AF31&lt;AI31,"●",IF(AF29&gt;AI29,"△",IF(AF29&lt;AI29,"▲")))))</f>
        <v>○</v>
      </c>
      <c r="AG27" s="924"/>
      <c r="AH27" s="924"/>
      <c r="AI27" s="924"/>
      <c r="AJ27" s="925"/>
      <c r="AK27" s="942"/>
      <c r="AL27" s="942"/>
      <c r="AM27" s="942"/>
      <c r="AN27" s="942"/>
      <c r="AO27" s="942"/>
      <c r="AP27" s="923" t="str">
        <f>IF(AP31="","",IF(AP31&gt;AS31,"○",IF(AP31&lt;AS31,"●",IF(AP29&gt;AS29,"△",IF(AP29&lt;AS29,"▲")))))</f>
        <v>○</v>
      </c>
      <c r="AQ27" s="924"/>
      <c r="AR27" s="924"/>
      <c r="AS27" s="924"/>
      <c r="AT27" s="925"/>
      <c r="AU27" s="903">
        <f>COUNTIF($AF$27:$AT$28,"○")</f>
        <v>2</v>
      </c>
      <c r="AV27" s="903"/>
      <c r="AW27" s="903">
        <f>COUNTIF($AF$27:$AT$28,"△")</f>
        <v>0</v>
      </c>
      <c r="AX27" s="903"/>
      <c r="AY27" s="903">
        <f>COUNTIF($AF$27:$AT$28,"▲")</f>
        <v>0</v>
      </c>
      <c r="AZ27" s="903"/>
      <c r="BA27" s="903">
        <f>COUNTIF($AF$27:$AT$28,"●")</f>
        <v>0</v>
      </c>
      <c r="BB27" s="903"/>
      <c r="BC27" s="903">
        <f>SUM($AF$31,$AP$31)</f>
        <v>7</v>
      </c>
      <c r="BD27" s="903"/>
      <c r="BE27" s="903">
        <f>SUM($AI$31,$AS$31)</f>
        <v>0</v>
      </c>
      <c r="BF27" s="903"/>
      <c r="BG27" s="903">
        <f>($AU$27*3)+($AW$27*2)+($AY$27*1)</f>
        <v>6</v>
      </c>
      <c r="BH27" s="903"/>
      <c r="BI27" s="910">
        <f>RANK($BG$27,$BG$21:$BH$38)</f>
        <v>1</v>
      </c>
      <c r="BJ27" s="910"/>
      <c r="BK27" s="903">
        <f>$BC$27-$BE$27</f>
        <v>7</v>
      </c>
      <c r="BL27" s="903"/>
      <c r="BM27" s="910">
        <f>RANK($BK$27,$BK$21:$BL$38)</f>
        <v>1</v>
      </c>
      <c r="BN27" s="910"/>
      <c r="BO27" s="912"/>
    </row>
    <row r="28" spans="1:67" ht="18.75" customHeight="1" x14ac:dyDescent="0.25">
      <c r="A28" s="190"/>
      <c r="B28" s="190"/>
      <c r="C28" s="190"/>
      <c r="D28" s="190"/>
      <c r="E28" s="190"/>
      <c r="F28" s="190"/>
      <c r="G28" s="190"/>
      <c r="H28" s="190"/>
      <c r="I28" s="190"/>
      <c r="J28" s="190"/>
      <c r="K28" s="190"/>
      <c r="L28" s="190"/>
      <c r="M28" s="190"/>
      <c r="N28" s="190"/>
      <c r="O28" s="190"/>
      <c r="P28" s="190"/>
      <c r="Q28" s="190"/>
      <c r="R28" s="190"/>
      <c r="S28" s="190"/>
      <c r="T28" s="190"/>
      <c r="U28" s="190"/>
      <c r="V28" s="190"/>
      <c r="Y28" s="905"/>
      <c r="Z28" s="906"/>
      <c r="AA28" s="906"/>
      <c r="AB28" s="906"/>
      <c r="AC28" s="906"/>
      <c r="AD28" s="906"/>
      <c r="AE28" s="906"/>
      <c r="AF28" s="917"/>
      <c r="AG28" s="918"/>
      <c r="AH28" s="918"/>
      <c r="AI28" s="918"/>
      <c r="AJ28" s="920"/>
      <c r="AK28" s="930"/>
      <c r="AL28" s="930"/>
      <c r="AM28" s="930"/>
      <c r="AN28" s="930"/>
      <c r="AO28" s="930"/>
      <c r="AP28" s="917"/>
      <c r="AQ28" s="918"/>
      <c r="AR28" s="918"/>
      <c r="AS28" s="918"/>
      <c r="AT28" s="920"/>
      <c r="AU28" s="903"/>
      <c r="AV28" s="903"/>
      <c r="AW28" s="903"/>
      <c r="AX28" s="903"/>
      <c r="AY28" s="903"/>
      <c r="AZ28" s="903"/>
      <c r="BA28" s="903"/>
      <c r="BB28" s="903"/>
      <c r="BC28" s="903"/>
      <c r="BD28" s="903"/>
      <c r="BE28" s="903"/>
      <c r="BF28" s="903"/>
      <c r="BG28" s="903"/>
      <c r="BH28" s="903"/>
      <c r="BI28" s="910"/>
      <c r="BJ28" s="910"/>
      <c r="BK28" s="903"/>
      <c r="BL28" s="903"/>
      <c r="BM28" s="910"/>
      <c r="BN28" s="910"/>
      <c r="BO28" s="913"/>
    </row>
    <row r="29" spans="1:67" ht="18.75" customHeight="1" x14ac:dyDescent="0.25">
      <c r="A29" s="190"/>
      <c r="B29" s="190"/>
      <c r="C29" s="190"/>
      <c r="D29" s="190"/>
      <c r="E29" s="190"/>
      <c r="F29" s="190"/>
      <c r="G29" s="190"/>
      <c r="H29" s="190"/>
      <c r="I29" s="190"/>
      <c r="J29" s="190"/>
      <c r="K29" s="190"/>
      <c r="L29" s="190"/>
      <c r="M29" s="190"/>
      <c r="N29" s="190"/>
      <c r="O29" s="190"/>
      <c r="P29" s="190"/>
      <c r="Q29" s="190"/>
      <c r="R29" s="190"/>
      <c r="S29" s="190"/>
      <c r="T29" s="190"/>
      <c r="U29" s="190"/>
      <c r="V29" s="190"/>
      <c r="Y29" s="905"/>
      <c r="Z29" s="906"/>
      <c r="AA29" s="906"/>
      <c r="AB29" s="906"/>
      <c r="AC29" s="906"/>
      <c r="AD29" s="906"/>
      <c r="AE29" s="906"/>
      <c r="AF29" s="915" t="str">
        <f>AN23</f>
        <v/>
      </c>
      <c r="AG29" s="916"/>
      <c r="AH29" s="916" t="s">
        <v>2011</v>
      </c>
      <c r="AI29" s="916" t="str">
        <f>AK23</f>
        <v/>
      </c>
      <c r="AJ29" s="919"/>
      <c r="AK29" s="930"/>
      <c r="AL29" s="930"/>
      <c r="AM29" s="930"/>
      <c r="AN29" s="930"/>
      <c r="AO29" s="930"/>
      <c r="AP29" s="915" t="str">
        <f>IF($E$32="","",$E$32)</f>
        <v/>
      </c>
      <c r="AQ29" s="916"/>
      <c r="AR29" s="916" t="s">
        <v>2011</v>
      </c>
      <c r="AS29" s="916" t="str">
        <f>IF($G$32="","",$G$32)</f>
        <v/>
      </c>
      <c r="AT29" s="919"/>
      <c r="AU29" s="903"/>
      <c r="AV29" s="903"/>
      <c r="AW29" s="903"/>
      <c r="AX29" s="903"/>
      <c r="AY29" s="903"/>
      <c r="AZ29" s="903"/>
      <c r="BA29" s="903"/>
      <c r="BB29" s="903"/>
      <c r="BC29" s="903"/>
      <c r="BD29" s="903"/>
      <c r="BE29" s="903"/>
      <c r="BF29" s="903"/>
      <c r="BG29" s="903"/>
      <c r="BH29" s="903"/>
      <c r="BI29" s="910"/>
      <c r="BJ29" s="910"/>
      <c r="BK29" s="903"/>
      <c r="BL29" s="903"/>
      <c r="BM29" s="910"/>
      <c r="BN29" s="910"/>
      <c r="BO29" s="913"/>
    </row>
    <row r="30" spans="1:67" ht="18.75" customHeight="1" x14ac:dyDescent="0.25">
      <c r="A30" s="963" t="s">
        <v>1217</v>
      </c>
      <c r="B30" s="964" t="str">
        <f>C8</f>
        <v>アトレチコエラン横瀬</v>
      </c>
      <c r="C30" s="966">
        <f>IF(E30="","",SUM(E30:E31))</f>
        <v>2</v>
      </c>
      <c r="D30" s="940" t="s">
        <v>336</v>
      </c>
      <c r="E30" s="217">
        <v>1</v>
      </c>
      <c r="F30" s="217" t="s">
        <v>61</v>
      </c>
      <c r="G30" s="217">
        <v>0</v>
      </c>
      <c r="H30" s="940" t="s">
        <v>339</v>
      </c>
      <c r="I30" s="966">
        <f>IF(G30="","",SUM(G30:G31))</f>
        <v>0</v>
      </c>
      <c r="J30" s="968" t="str">
        <f>C9</f>
        <v>ＦＣ　ＪＵＮＩＯＲＳ</v>
      </c>
      <c r="K30" s="190"/>
      <c r="L30" s="190"/>
      <c r="M30" s="969" t="s">
        <v>2018</v>
      </c>
      <c r="N30" s="964" t="str">
        <f>O8</f>
        <v>明野東サッカースポーツ少年団</v>
      </c>
      <c r="O30" s="966">
        <f>IF(Q30="","",SUM(Q30:Q31))</f>
        <v>0</v>
      </c>
      <c r="P30" s="940" t="s">
        <v>336</v>
      </c>
      <c r="Q30" s="217">
        <v>0</v>
      </c>
      <c r="R30" s="217" t="s">
        <v>61</v>
      </c>
      <c r="S30" s="217">
        <v>0</v>
      </c>
      <c r="T30" s="940" t="s">
        <v>339</v>
      </c>
      <c r="U30" s="966">
        <f>IF(S30="","",SUM(S30:S31))</f>
        <v>1</v>
      </c>
      <c r="V30" s="968" t="str">
        <f>O9</f>
        <v>佐伯リベロフットボールクラブ</v>
      </c>
      <c r="Y30" s="905"/>
      <c r="Z30" s="906"/>
      <c r="AA30" s="906"/>
      <c r="AB30" s="906"/>
      <c r="AC30" s="906"/>
      <c r="AD30" s="906" t="s">
        <v>2010</v>
      </c>
      <c r="AE30" s="906"/>
      <c r="AF30" s="917"/>
      <c r="AG30" s="918"/>
      <c r="AH30" s="918"/>
      <c r="AI30" s="918"/>
      <c r="AJ30" s="920"/>
      <c r="AK30" s="930"/>
      <c r="AL30" s="930"/>
      <c r="AM30" s="930"/>
      <c r="AN30" s="930"/>
      <c r="AO30" s="930"/>
      <c r="AP30" s="917"/>
      <c r="AQ30" s="918"/>
      <c r="AR30" s="918"/>
      <c r="AS30" s="918"/>
      <c r="AT30" s="920"/>
      <c r="AU30" s="903"/>
      <c r="AV30" s="903"/>
      <c r="AW30" s="903"/>
      <c r="AX30" s="903"/>
      <c r="AY30" s="903"/>
      <c r="AZ30" s="903"/>
      <c r="BA30" s="903"/>
      <c r="BB30" s="903"/>
      <c r="BC30" s="903"/>
      <c r="BD30" s="903"/>
      <c r="BE30" s="903"/>
      <c r="BF30" s="903"/>
      <c r="BG30" s="903"/>
      <c r="BH30" s="903"/>
      <c r="BI30" s="910"/>
      <c r="BJ30" s="910"/>
      <c r="BK30" s="903"/>
      <c r="BL30" s="903"/>
      <c r="BM30" s="910"/>
      <c r="BN30" s="910"/>
      <c r="BO30" s="913"/>
    </row>
    <row r="31" spans="1:67" ht="18.75" customHeight="1" x14ac:dyDescent="0.25">
      <c r="A31" s="946"/>
      <c r="B31" s="965"/>
      <c r="C31" s="967"/>
      <c r="D31" s="906"/>
      <c r="E31" s="190">
        <v>1</v>
      </c>
      <c r="F31" s="190" t="s">
        <v>126</v>
      </c>
      <c r="G31" s="190">
        <v>0</v>
      </c>
      <c r="H31" s="906"/>
      <c r="I31" s="967"/>
      <c r="J31" s="957"/>
      <c r="K31" s="190"/>
      <c r="L31" s="190"/>
      <c r="M31" s="970"/>
      <c r="N31" s="965"/>
      <c r="O31" s="967"/>
      <c r="P31" s="906"/>
      <c r="Q31" s="190">
        <v>0</v>
      </c>
      <c r="R31" s="190" t="s">
        <v>126</v>
      </c>
      <c r="S31" s="190">
        <v>1</v>
      </c>
      <c r="T31" s="906"/>
      <c r="U31" s="967"/>
      <c r="V31" s="957"/>
      <c r="Y31" s="905"/>
      <c r="Z31" s="906"/>
      <c r="AA31" s="906"/>
      <c r="AB31" s="906"/>
      <c r="AC31" s="906"/>
      <c r="AD31" s="906"/>
      <c r="AE31" s="906"/>
      <c r="AF31" s="915">
        <f>AN25</f>
        <v>5</v>
      </c>
      <c r="AG31" s="916"/>
      <c r="AH31" s="916" t="s">
        <v>2011</v>
      </c>
      <c r="AI31" s="916">
        <f>AK25</f>
        <v>0</v>
      </c>
      <c r="AJ31" s="919"/>
      <c r="AK31" s="930"/>
      <c r="AL31" s="930"/>
      <c r="AM31" s="930"/>
      <c r="AN31" s="930"/>
      <c r="AO31" s="930"/>
      <c r="AP31" s="915">
        <f>$C$30</f>
        <v>2</v>
      </c>
      <c r="AQ31" s="916"/>
      <c r="AR31" s="916" t="s">
        <v>2011</v>
      </c>
      <c r="AS31" s="916">
        <f>$I$30</f>
        <v>0</v>
      </c>
      <c r="AT31" s="919"/>
      <c r="AU31" s="903"/>
      <c r="AV31" s="903"/>
      <c r="AW31" s="903"/>
      <c r="AX31" s="903"/>
      <c r="AY31" s="903"/>
      <c r="AZ31" s="903"/>
      <c r="BA31" s="903"/>
      <c r="BB31" s="903"/>
      <c r="BC31" s="903"/>
      <c r="BD31" s="903"/>
      <c r="BE31" s="903"/>
      <c r="BF31" s="903"/>
      <c r="BG31" s="903"/>
      <c r="BH31" s="903"/>
      <c r="BI31" s="910"/>
      <c r="BJ31" s="910"/>
      <c r="BK31" s="903"/>
      <c r="BL31" s="903"/>
      <c r="BM31" s="910"/>
      <c r="BN31" s="910"/>
      <c r="BO31" s="913"/>
    </row>
    <row r="32" spans="1:67" ht="18.75" customHeight="1" x14ac:dyDescent="0.25">
      <c r="A32" s="946"/>
      <c r="B32" s="965"/>
      <c r="C32" s="967"/>
      <c r="D32" s="906"/>
      <c r="E32" s="190"/>
      <c r="F32" s="190" t="s">
        <v>407</v>
      </c>
      <c r="G32" s="190"/>
      <c r="H32" s="906"/>
      <c r="I32" s="967"/>
      <c r="J32" s="957"/>
      <c r="K32" s="190"/>
      <c r="L32" s="190"/>
      <c r="M32" s="971"/>
      <c r="N32" s="994"/>
      <c r="O32" s="975"/>
      <c r="P32" s="908"/>
      <c r="Q32" s="190"/>
      <c r="R32" s="190" t="s">
        <v>407</v>
      </c>
      <c r="S32" s="190"/>
      <c r="T32" s="908"/>
      <c r="U32" s="975"/>
      <c r="V32" s="976"/>
      <c r="Y32" s="941"/>
      <c r="Z32" s="936"/>
      <c r="AA32" s="936"/>
      <c r="AB32" s="936"/>
      <c r="AC32" s="936"/>
      <c r="AD32" s="936"/>
      <c r="AE32" s="936"/>
      <c r="AF32" s="937"/>
      <c r="AG32" s="560"/>
      <c r="AH32" s="560"/>
      <c r="AI32" s="560"/>
      <c r="AJ32" s="938"/>
      <c r="AK32" s="943"/>
      <c r="AL32" s="943"/>
      <c r="AM32" s="943"/>
      <c r="AN32" s="943"/>
      <c r="AO32" s="943"/>
      <c r="AP32" s="937"/>
      <c r="AQ32" s="560"/>
      <c r="AR32" s="560"/>
      <c r="AS32" s="560"/>
      <c r="AT32" s="938"/>
      <c r="AU32" s="903"/>
      <c r="AV32" s="903"/>
      <c r="AW32" s="903"/>
      <c r="AX32" s="903"/>
      <c r="AY32" s="903"/>
      <c r="AZ32" s="903"/>
      <c r="BA32" s="903"/>
      <c r="BB32" s="903"/>
      <c r="BC32" s="903"/>
      <c r="BD32" s="903"/>
      <c r="BE32" s="903"/>
      <c r="BF32" s="903"/>
      <c r="BG32" s="903"/>
      <c r="BH32" s="903"/>
      <c r="BI32" s="910"/>
      <c r="BJ32" s="910"/>
      <c r="BK32" s="903"/>
      <c r="BL32" s="903"/>
      <c r="BM32" s="910"/>
      <c r="BN32" s="910"/>
      <c r="BO32" s="935"/>
    </row>
    <row r="33" spans="1:67" ht="18.75" customHeight="1" x14ac:dyDescent="0.25">
      <c r="A33" s="192" t="s">
        <v>2463</v>
      </c>
      <c r="B33" s="989" t="s">
        <v>15174</v>
      </c>
      <c r="C33" s="989"/>
      <c r="D33" s="989"/>
      <c r="E33" s="989"/>
      <c r="F33" s="989"/>
      <c r="G33" s="990" t="s">
        <v>2464</v>
      </c>
      <c r="H33" s="990"/>
      <c r="I33" s="990"/>
      <c r="J33" s="991" t="s">
        <v>15175</v>
      </c>
      <c r="K33" s="991"/>
      <c r="L33" s="190"/>
      <c r="M33" s="192" t="s">
        <v>2463</v>
      </c>
      <c r="N33" s="989" t="s">
        <v>15207</v>
      </c>
      <c r="O33" s="989"/>
      <c r="P33" s="989"/>
      <c r="Q33" s="989"/>
      <c r="R33" s="989"/>
      <c r="S33" s="990" t="s">
        <v>2464</v>
      </c>
      <c r="T33" s="990"/>
      <c r="U33" s="990"/>
      <c r="V33" s="991" t="s">
        <v>15175</v>
      </c>
      <c r="W33" s="991"/>
      <c r="Y33" s="905" t="str">
        <f>$AC$9</f>
        <v>ＦＣ　ＪＵＮＩＯＲＳ</v>
      </c>
      <c r="Z33" s="906"/>
      <c r="AA33" s="906"/>
      <c r="AB33" s="906"/>
      <c r="AC33" s="906"/>
      <c r="AD33" s="906" t="s">
        <v>242</v>
      </c>
      <c r="AE33" s="906"/>
      <c r="AF33" s="923" t="str">
        <f>IF(AF37="","",IF(AF37&gt;AI37,"○",IF(AF37&lt;AI37,"●",IF(AF35&gt;AI35,"△",IF(AF35&lt;AI35,"▲")))))</f>
        <v>○</v>
      </c>
      <c r="AG33" s="924"/>
      <c r="AH33" s="924"/>
      <c r="AI33" s="924"/>
      <c r="AJ33" s="925"/>
      <c r="AK33" s="923" t="str">
        <f>IF(AK37="","",IF(AK37&gt;AN37,"○",IF(AK37&lt;AN37,"●",IF(AK35&gt;AN35,"△",IF(AK35&lt;AN35,"▲")))))</f>
        <v>●</v>
      </c>
      <c r="AL33" s="924"/>
      <c r="AM33" s="924"/>
      <c r="AN33" s="924"/>
      <c r="AO33" s="925"/>
      <c r="AP33" s="926"/>
      <c r="AQ33" s="927"/>
      <c r="AR33" s="927"/>
      <c r="AS33" s="927"/>
      <c r="AT33" s="928"/>
      <c r="AU33" s="903">
        <f>COUNTIF($AF$33:$AT$34,"○")</f>
        <v>1</v>
      </c>
      <c r="AV33" s="903"/>
      <c r="AW33" s="902">
        <f>COUNTIF($AF$33:$AT$34,"△")</f>
        <v>0</v>
      </c>
      <c r="AX33" s="902"/>
      <c r="AY33" s="902">
        <f>COUNTIF($AF$33:$AT$34,"▲")</f>
        <v>0</v>
      </c>
      <c r="AZ33" s="902"/>
      <c r="BA33" s="902">
        <f>COUNTIF($AF$33:$AT$34,"●")</f>
        <v>1</v>
      </c>
      <c r="BB33" s="902"/>
      <c r="BC33" s="902">
        <f>SUM($AF$37,$AK$37)</f>
        <v>3</v>
      </c>
      <c r="BD33" s="902"/>
      <c r="BE33" s="902">
        <f>SUM($AI$37,$AN$37)</f>
        <v>2</v>
      </c>
      <c r="BF33" s="902"/>
      <c r="BG33" s="902">
        <f>($AU$33*3)+($AW$33*2)+($AY$33*1)</f>
        <v>3</v>
      </c>
      <c r="BH33" s="902"/>
      <c r="BI33" s="909">
        <f>RANK($BG$33,$BG$21:$BH$38)</f>
        <v>2</v>
      </c>
      <c r="BJ33" s="909"/>
      <c r="BK33" s="902">
        <f>$BC$33-$BE$33</f>
        <v>1</v>
      </c>
      <c r="BL33" s="902"/>
      <c r="BM33" s="909">
        <f>RANK($BK$33,$BK$21:$BL$38)</f>
        <v>2</v>
      </c>
      <c r="BN33" s="909"/>
      <c r="BO33" s="912"/>
    </row>
    <row r="34" spans="1:67" ht="18.75" customHeight="1" x14ac:dyDescent="0.25">
      <c r="A34" s="193" t="s">
        <v>2465</v>
      </c>
      <c r="B34" s="992" t="s">
        <v>15174</v>
      </c>
      <c r="C34" s="992"/>
      <c r="D34" s="992"/>
      <c r="E34" s="992"/>
      <c r="F34" s="992"/>
      <c r="G34" s="983" t="s">
        <v>2464</v>
      </c>
      <c r="H34" s="984"/>
      <c r="I34" s="985"/>
      <c r="J34" s="993" t="s">
        <v>15175</v>
      </c>
      <c r="K34" s="993"/>
      <c r="L34" s="190"/>
      <c r="M34" s="193" t="s">
        <v>2465</v>
      </c>
      <c r="N34" s="992" t="s">
        <v>15207</v>
      </c>
      <c r="O34" s="992"/>
      <c r="P34" s="992"/>
      <c r="Q34" s="992"/>
      <c r="R34" s="992"/>
      <c r="S34" s="983" t="s">
        <v>2464</v>
      </c>
      <c r="T34" s="984"/>
      <c r="U34" s="985"/>
      <c r="V34" s="993" t="s">
        <v>15175</v>
      </c>
      <c r="W34" s="993"/>
      <c r="Y34" s="905"/>
      <c r="Z34" s="906"/>
      <c r="AA34" s="906"/>
      <c r="AB34" s="906"/>
      <c r="AC34" s="906"/>
      <c r="AD34" s="906"/>
      <c r="AE34" s="906"/>
      <c r="AF34" s="917"/>
      <c r="AG34" s="918"/>
      <c r="AH34" s="918"/>
      <c r="AI34" s="918"/>
      <c r="AJ34" s="920"/>
      <c r="AK34" s="917"/>
      <c r="AL34" s="918"/>
      <c r="AM34" s="918"/>
      <c r="AN34" s="918"/>
      <c r="AO34" s="920"/>
      <c r="AP34" s="929"/>
      <c r="AQ34" s="930"/>
      <c r="AR34" s="930"/>
      <c r="AS34" s="930"/>
      <c r="AT34" s="931"/>
      <c r="AU34" s="903"/>
      <c r="AV34" s="903"/>
      <c r="AW34" s="903"/>
      <c r="AX34" s="903"/>
      <c r="AY34" s="903"/>
      <c r="AZ34" s="903"/>
      <c r="BA34" s="903"/>
      <c r="BB34" s="903"/>
      <c r="BC34" s="903"/>
      <c r="BD34" s="903"/>
      <c r="BE34" s="903"/>
      <c r="BF34" s="903"/>
      <c r="BG34" s="903"/>
      <c r="BH34" s="903"/>
      <c r="BI34" s="910"/>
      <c r="BJ34" s="910"/>
      <c r="BK34" s="903"/>
      <c r="BL34" s="903"/>
      <c r="BM34" s="910"/>
      <c r="BN34" s="910"/>
      <c r="BO34" s="913"/>
    </row>
    <row r="35" spans="1:67" ht="18.75" customHeight="1" x14ac:dyDescent="0.25">
      <c r="A35" s="194" t="s">
        <v>2466</v>
      </c>
      <c r="B35" s="982" t="s">
        <v>15173</v>
      </c>
      <c r="C35" s="982"/>
      <c r="D35" s="982"/>
      <c r="E35" s="982"/>
      <c r="F35" s="982"/>
      <c r="G35" s="983" t="s">
        <v>2464</v>
      </c>
      <c r="H35" s="984"/>
      <c r="I35" s="985"/>
      <c r="J35" s="986" t="s">
        <v>15175</v>
      </c>
      <c r="K35" s="986"/>
      <c r="L35" s="190"/>
      <c r="M35" s="194" t="s">
        <v>2466</v>
      </c>
      <c r="N35" s="982" t="s">
        <v>15249</v>
      </c>
      <c r="O35" s="982"/>
      <c r="P35" s="982"/>
      <c r="Q35" s="982"/>
      <c r="R35" s="982"/>
      <c r="S35" s="983" t="s">
        <v>2464</v>
      </c>
      <c r="T35" s="984"/>
      <c r="U35" s="985"/>
      <c r="V35" s="986" t="s">
        <v>15175</v>
      </c>
      <c r="W35" s="986"/>
      <c r="Y35" s="905"/>
      <c r="Z35" s="906"/>
      <c r="AA35" s="906"/>
      <c r="AB35" s="906"/>
      <c r="AC35" s="906"/>
      <c r="AD35" s="906"/>
      <c r="AE35" s="906"/>
      <c r="AF35" s="915" t="str">
        <f>AS23</f>
        <v/>
      </c>
      <c r="AG35" s="916"/>
      <c r="AH35" s="916" t="s">
        <v>2011</v>
      </c>
      <c r="AI35" s="916" t="str">
        <f>AP23</f>
        <v/>
      </c>
      <c r="AJ35" s="919"/>
      <c r="AK35" s="915" t="str">
        <f>AS29</f>
        <v/>
      </c>
      <c r="AL35" s="916"/>
      <c r="AM35" s="916" t="s">
        <v>2011</v>
      </c>
      <c r="AN35" s="916" t="str">
        <f>AP29</f>
        <v/>
      </c>
      <c r="AO35" s="919"/>
      <c r="AP35" s="929"/>
      <c r="AQ35" s="930"/>
      <c r="AR35" s="930"/>
      <c r="AS35" s="930"/>
      <c r="AT35" s="931"/>
      <c r="AU35" s="903"/>
      <c r="AV35" s="903"/>
      <c r="AW35" s="903"/>
      <c r="AX35" s="903"/>
      <c r="AY35" s="903"/>
      <c r="AZ35" s="903"/>
      <c r="BA35" s="903"/>
      <c r="BB35" s="903"/>
      <c r="BC35" s="903"/>
      <c r="BD35" s="903"/>
      <c r="BE35" s="903"/>
      <c r="BF35" s="903"/>
      <c r="BG35" s="903"/>
      <c r="BH35" s="903"/>
      <c r="BI35" s="910"/>
      <c r="BJ35" s="910"/>
      <c r="BK35" s="903"/>
      <c r="BL35" s="903"/>
      <c r="BM35" s="910"/>
      <c r="BN35" s="910"/>
      <c r="BO35" s="913"/>
    </row>
    <row r="36" spans="1:67" ht="18.75" customHeight="1" x14ac:dyDescent="0.25">
      <c r="A36" s="195" t="s">
        <v>609</v>
      </c>
      <c r="B36" s="205" t="str">
        <f>IF(ISERROR(VLOOKUP(G36,審判員!$A:$C,2,FALSE))=TRUE,"",VLOOKUP(G36,審判員!$A:$C,2,FALSE))</f>
        <v>中園　健太郎</v>
      </c>
      <c r="C36" s="211">
        <f>IF(ISERROR(VLOOKUP(G36,審判員!$A:$C,3,FALSE))=TRUE,"",VLOOKUP(G36,審判員!$A:$C,3,FALSE))</f>
        <v>2</v>
      </c>
      <c r="D36" s="218" t="s">
        <v>612</v>
      </c>
      <c r="E36" s="955" t="s">
        <v>201</v>
      </c>
      <c r="F36" s="955"/>
      <c r="G36" s="955" t="s">
        <v>15177</v>
      </c>
      <c r="H36" s="955"/>
      <c r="I36" s="955"/>
      <c r="J36" s="987" t="s">
        <v>788</v>
      </c>
      <c r="K36" s="988"/>
      <c r="L36" s="190"/>
      <c r="M36" s="195" t="s">
        <v>609</v>
      </c>
      <c r="N36" s="205" t="str">
        <f>IF(ISERROR(VLOOKUP(S36,審判員!$A:$C,2,FALSE))=TRUE,"",VLOOKUP(S36,審判員!$A:$C,2,FALSE))</f>
        <v>礒辺　宏基</v>
      </c>
      <c r="O36" s="211">
        <f>IF(ISERROR(VLOOKUP(S36,審判員!$A:$C,3,FALSE))=TRUE,"",VLOOKUP(S36,審判員!$A:$C,3,FALSE))</f>
        <v>3</v>
      </c>
      <c r="P36" s="218" t="s">
        <v>612</v>
      </c>
      <c r="Q36" s="955" t="s">
        <v>201</v>
      </c>
      <c r="R36" s="955"/>
      <c r="S36" s="955" t="s">
        <v>15250</v>
      </c>
      <c r="T36" s="955"/>
      <c r="U36" s="955"/>
      <c r="V36" s="987" t="s">
        <v>788</v>
      </c>
      <c r="W36" s="988"/>
      <c r="Y36" s="905"/>
      <c r="Z36" s="906"/>
      <c r="AA36" s="906"/>
      <c r="AB36" s="906"/>
      <c r="AC36" s="906"/>
      <c r="AD36" s="906" t="s">
        <v>2010</v>
      </c>
      <c r="AE36" s="906"/>
      <c r="AF36" s="917"/>
      <c r="AG36" s="918"/>
      <c r="AH36" s="918"/>
      <c r="AI36" s="918"/>
      <c r="AJ36" s="920"/>
      <c r="AK36" s="917"/>
      <c r="AL36" s="918"/>
      <c r="AM36" s="918"/>
      <c r="AN36" s="918"/>
      <c r="AO36" s="920"/>
      <c r="AP36" s="929"/>
      <c r="AQ36" s="930"/>
      <c r="AR36" s="930"/>
      <c r="AS36" s="930"/>
      <c r="AT36" s="931"/>
      <c r="AU36" s="903"/>
      <c r="AV36" s="903"/>
      <c r="AW36" s="903"/>
      <c r="AX36" s="903"/>
      <c r="AY36" s="903"/>
      <c r="AZ36" s="903"/>
      <c r="BA36" s="903"/>
      <c r="BB36" s="903"/>
      <c r="BC36" s="903"/>
      <c r="BD36" s="903"/>
      <c r="BE36" s="903"/>
      <c r="BF36" s="903"/>
      <c r="BG36" s="903"/>
      <c r="BH36" s="903"/>
      <c r="BI36" s="910"/>
      <c r="BJ36" s="910"/>
      <c r="BK36" s="903"/>
      <c r="BL36" s="903"/>
      <c r="BM36" s="910"/>
      <c r="BN36" s="910"/>
      <c r="BO36" s="913"/>
    </row>
    <row r="37" spans="1:67" ht="18.75" customHeight="1" x14ac:dyDescent="0.25">
      <c r="A37" s="196" t="s">
        <v>704</v>
      </c>
      <c r="B37" s="206" t="str">
        <f>IF(ISERROR(VLOOKUP(G37,審判員!$A:$C,2,FALSE))=TRUE,"",VLOOKUP(G37,審判員!$A:$C,2,FALSE))</f>
        <v>津守　一雄</v>
      </c>
      <c r="C37" s="212">
        <f>IF(ISERROR(VLOOKUP(G37,審判員!$A:$C,3,FALSE))=TRUE,"",VLOOKUP(G37,審判員!$A:$C,3,FALSE))</f>
        <v>3</v>
      </c>
      <c r="D37" s="219" t="s">
        <v>612</v>
      </c>
      <c r="E37" s="906" t="s">
        <v>1286</v>
      </c>
      <c r="F37" s="906"/>
      <c r="G37" s="906" t="s">
        <v>15178</v>
      </c>
      <c r="H37" s="906"/>
      <c r="I37" s="906"/>
      <c r="J37" s="891" t="str">
        <f>N30</f>
        <v>明野東サッカースポーツ少年団</v>
      </c>
      <c r="K37" s="981"/>
      <c r="L37" s="190"/>
      <c r="M37" s="196" t="s">
        <v>704</v>
      </c>
      <c r="N37" s="206" t="str">
        <f>IF(ISERROR(VLOOKUP(S37,審判員!$A:$C,2,FALSE))=TRUE,"",VLOOKUP(S37,審判員!$A:$C,2,FALSE))</f>
        <v>江良　信司</v>
      </c>
      <c r="O37" s="212">
        <f>IF(ISERROR(VLOOKUP(S37,審判員!$A:$C,3,FALSE))=TRUE,"",VLOOKUP(S37,審判員!$A:$C,3,FALSE))</f>
        <v>3</v>
      </c>
      <c r="P37" s="219" t="s">
        <v>612</v>
      </c>
      <c r="Q37" s="906" t="s">
        <v>1286</v>
      </c>
      <c r="R37" s="906"/>
      <c r="S37" s="906" t="s">
        <v>15211</v>
      </c>
      <c r="T37" s="906"/>
      <c r="U37" s="906"/>
      <c r="V37" s="891" t="str">
        <f>B30</f>
        <v>アトレチコエラン横瀬</v>
      </c>
      <c r="W37" s="981"/>
      <c r="Y37" s="905"/>
      <c r="Z37" s="906"/>
      <c r="AA37" s="906"/>
      <c r="AB37" s="906"/>
      <c r="AC37" s="906"/>
      <c r="AD37" s="906"/>
      <c r="AE37" s="906"/>
      <c r="AF37" s="915">
        <f>AS25</f>
        <v>3</v>
      </c>
      <c r="AG37" s="916"/>
      <c r="AH37" s="916" t="s">
        <v>2011</v>
      </c>
      <c r="AI37" s="916">
        <f>AP25</f>
        <v>0</v>
      </c>
      <c r="AJ37" s="919"/>
      <c r="AK37" s="915">
        <f>AS31</f>
        <v>0</v>
      </c>
      <c r="AL37" s="916"/>
      <c r="AM37" s="916" t="s">
        <v>2011</v>
      </c>
      <c r="AN37" s="916">
        <f>AP31</f>
        <v>2</v>
      </c>
      <c r="AO37" s="919"/>
      <c r="AP37" s="929"/>
      <c r="AQ37" s="930"/>
      <c r="AR37" s="930"/>
      <c r="AS37" s="930"/>
      <c r="AT37" s="931"/>
      <c r="AU37" s="903"/>
      <c r="AV37" s="903"/>
      <c r="AW37" s="903"/>
      <c r="AX37" s="903"/>
      <c r="AY37" s="903"/>
      <c r="AZ37" s="903"/>
      <c r="BA37" s="903"/>
      <c r="BB37" s="903"/>
      <c r="BC37" s="903"/>
      <c r="BD37" s="903"/>
      <c r="BE37" s="903"/>
      <c r="BF37" s="903"/>
      <c r="BG37" s="903"/>
      <c r="BH37" s="903"/>
      <c r="BI37" s="910"/>
      <c r="BJ37" s="910"/>
      <c r="BK37" s="903"/>
      <c r="BL37" s="903"/>
      <c r="BM37" s="910"/>
      <c r="BN37" s="910"/>
      <c r="BO37" s="913"/>
    </row>
    <row r="38" spans="1:67" ht="19.5" customHeight="1" x14ac:dyDescent="0.25">
      <c r="A38" s="196" t="s">
        <v>2007</v>
      </c>
      <c r="B38" s="206" t="str">
        <f>IF(ISERROR(VLOOKUP(G38,審判員!$A:$C,2,FALSE))=TRUE,"",VLOOKUP(G38,審判員!$A:$C,2,FALSE))</f>
        <v>清家　大介</v>
      </c>
      <c r="C38" s="212">
        <f>IF(ISERROR(VLOOKUP(G38,審判員!$A:$C,3,FALSE))=TRUE,"",VLOOKUP(G38,審判員!$A:$C,3,FALSE))</f>
        <v>3</v>
      </c>
      <c r="D38" s="219" t="s">
        <v>612</v>
      </c>
      <c r="E38" s="906" t="s">
        <v>1286</v>
      </c>
      <c r="F38" s="906"/>
      <c r="G38" s="906" t="s">
        <v>15238</v>
      </c>
      <c r="H38" s="906"/>
      <c r="I38" s="906"/>
      <c r="J38" s="891" t="str">
        <f>V30</f>
        <v>佐伯リベロフットボールクラブ</v>
      </c>
      <c r="K38" s="981"/>
      <c r="L38" s="190"/>
      <c r="M38" s="196" t="s">
        <v>2007</v>
      </c>
      <c r="N38" s="206" t="str">
        <f>IF(ISERROR(VLOOKUP(S38,審判員!$A:$C,2,FALSE))=TRUE,"",VLOOKUP(S38,審判員!$A:$C,2,FALSE))</f>
        <v>柾木　洋平</v>
      </c>
      <c r="O38" s="212">
        <f>IF(ISERROR(VLOOKUP(S38,審判員!$A:$C,3,FALSE))=TRUE,"",VLOOKUP(S38,審判員!$A:$C,3,FALSE))</f>
        <v>3</v>
      </c>
      <c r="P38" s="219" t="s">
        <v>612</v>
      </c>
      <c r="Q38" s="906" t="s">
        <v>1286</v>
      </c>
      <c r="R38" s="906"/>
      <c r="S38" s="906" t="s">
        <v>15251</v>
      </c>
      <c r="T38" s="906"/>
      <c r="U38" s="906"/>
      <c r="V38" s="891" t="str">
        <f>J30</f>
        <v>ＦＣ　ＪＵＮＩＯＲＳ</v>
      </c>
      <c r="W38" s="981"/>
      <c r="Y38" s="907"/>
      <c r="Z38" s="908"/>
      <c r="AA38" s="908"/>
      <c r="AB38" s="908"/>
      <c r="AC38" s="908"/>
      <c r="AD38" s="908"/>
      <c r="AE38" s="908"/>
      <c r="AF38" s="921"/>
      <c r="AG38" s="565"/>
      <c r="AH38" s="565"/>
      <c r="AI38" s="565"/>
      <c r="AJ38" s="922"/>
      <c r="AK38" s="921"/>
      <c r="AL38" s="565"/>
      <c r="AM38" s="565"/>
      <c r="AN38" s="565"/>
      <c r="AO38" s="922"/>
      <c r="AP38" s="932"/>
      <c r="AQ38" s="933"/>
      <c r="AR38" s="933"/>
      <c r="AS38" s="933"/>
      <c r="AT38" s="934"/>
      <c r="AU38" s="904"/>
      <c r="AV38" s="904"/>
      <c r="AW38" s="904"/>
      <c r="AX38" s="904"/>
      <c r="AY38" s="904"/>
      <c r="AZ38" s="904"/>
      <c r="BA38" s="904"/>
      <c r="BB38" s="904"/>
      <c r="BC38" s="904"/>
      <c r="BD38" s="904"/>
      <c r="BE38" s="904"/>
      <c r="BF38" s="904"/>
      <c r="BG38" s="904"/>
      <c r="BH38" s="904"/>
      <c r="BI38" s="911"/>
      <c r="BJ38" s="911"/>
      <c r="BK38" s="904"/>
      <c r="BL38" s="904"/>
      <c r="BM38" s="911"/>
      <c r="BN38" s="911"/>
      <c r="BO38" s="914"/>
    </row>
    <row r="39" spans="1:67" x14ac:dyDescent="0.25">
      <c r="A39" s="197" t="s">
        <v>2008</v>
      </c>
      <c r="B39" s="207" t="str">
        <f>IF(ISERROR(VLOOKUP(G39,審判員!$A:$C,2,FALSE))=TRUE,"",VLOOKUP(G39,審判員!$A:$C,2,FALSE))</f>
        <v>奥田　和彦</v>
      </c>
      <c r="C39" s="213">
        <f>IF(ISERROR(VLOOKUP(G39,審判員!$A:$C,3,FALSE))=TRUE,"",VLOOKUP(G39,審判員!$A:$C,3,FALSE))</f>
        <v>3</v>
      </c>
      <c r="D39" s="220" t="s">
        <v>612</v>
      </c>
      <c r="E39" s="977" t="s">
        <v>1286</v>
      </c>
      <c r="F39" s="977"/>
      <c r="G39" s="977" t="s">
        <v>15176</v>
      </c>
      <c r="H39" s="977"/>
      <c r="I39" s="977"/>
      <c r="J39" s="978" t="s">
        <v>788</v>
      </c>
      <c r="K39" s="979"/>
      <c r="L39" s="190"/>
      <c r="M39" s="197" t="s">
        <v>2008</v>
      </c>
      <c r="N39" s="207" t="str">
        <f>IF(ISERROR(VLOOKUP(S39,審判員!$A:$C,2,FALSE))=TRUE,"",VLOOKUP(S39,審判員!$A:$C,2,FALSE))</f>
        <v>伊藤　勇士</v>
      </c>
      <c r="O39" s="213">
        <f>IF(ISERROR(VLOOKUP(S39,審判員!$A:$C,3,FALSE))=TRUE,"",VLOOKUP(S39,審判員!$A:$C,3,FALSE))</f>
        <v>3</v>
      </c>
      <c r="P39" s="220" t="s">
        <v>612</v>
      </c>
      <c r="Q39" s="977" t="s">
        <v>1286</v>
      </c>
      <c r="R39" s="977"/>
      <c r="S39" s="977" t="s">
        <v>15179</v>
      </c>
      <c r="T39" s="977"/>
      <c r="U39" s="977"/>
      <c r="V39" s="978" t="s">
        <v>788</v>
      </c>
      <c r="W39" s="979"/>
    </row>
    <row r="40" spans="1:67" x14ac:dyDescent="0.25">
      <c r="A40" s="198" t="s">
        <v>469</v>
      </c>
      <c r="B40" s="208" t="s">
        <v>606</v>
      </c>
      <c r="C40" s="208" t="s">
        <v>234</v>
      </c>
      <c r="D40" s="208" t="s">
        <v>272</v>
      </c>
      <c r="E40" s="208" t="s">
        <v>750</v>
      </c>
      <c r="F40" s="223"/>
      <c r="G40" s="208" t="s">
        <v>750</v>
      </c>
      <c r="H40" s="208" t="s">
        <v>272</v>
      </c>
      <c r="I40" s="208" t="s">
        <v>234</v>
      </c>
      <c r="J40" s="208" t="s">
        <v>606</v>
      </c>
      <c r="K40" s="225" t="s">
        <v>469</v>
      </c>
      <c r="L40" s="190"/>
      <c r="M40" s="198" t="s">
        <v>469</v>
      </c>
      <c r="N40" s="208" t="s">
        <v>606</v>
      </c>
      <c r="O40" s="208" t="s">
        <v>234</v>
      </c>
      <c r="P40" s="208" t="s">
        <v>272</v>
      </c>
      <c r="Q40" s="208" t="s">
        <v>750</v>
      </c>
      <c r="R40" s="223"/>
      <c r="S40" s="208" t="s">
        <v>750</v>
      </c>
      <c r="T40" s="208" t="s">
        <v>272</v>
      </c>
      <c r="U40" s="208" t="s">
        <v>234</v>
      </c>
      <c r="V40" s="208" t="s">
        <v>606</v>
      </c>
      <c r="W40" s="225" t="s">
        <v>469</v>
      </c>
      <c r="Y40" s="891" t="s">
        <v>2125</v>
      </c>
      <c r="Z40" s="891"/>
      <c r="AA40" s="891"/>
      <c r="AB40" s="891"/>
      <c r="AC40" s="891"/>
      <c r="AD40" s="891"/>
      <c r="AE40" s="891"/>
      <c r="AF40" s="891"/>
      <c r="AG40" s="891"/>
      <c r="AH40" s="891"/>
      <c r="AI40" s="891"/>
      <c r="AJ40" s="891"/>
      <c r="AK40" s="891"/>
      <c r="AL40" s="891"/>
      <c r="AM40" s="891"/>
      <c r="AN40" s="891"/>
      <c r="AO40" s="891"/>
      <c r="AP40" s="891"/>
      <c r="AQ40" s="891"/>
      <c r="AR40" s="891"/>
      <c r="AS40" s="891"/>
      <c r="AT40" s="891"/>
      <c r="AU40" s="891"/>
      <c r="AV40" s="891"/>
      <c r="AW40" s="891"/>
      <c r="AX40" s="891"/>
      <c r="AY40" s="891"/>
      <c r="AZ40" s="891"/>
      <c r="BA40" s="891"/>
      <c r="BB40" s="891"/>
      <c r="BC40" s="891"/>
      <c r="BD40" s="891"/>
      <c r="BE40" s="891"/>
      <c r="BF40" s="891"/>
    </row>
    <row r="41" spans="1:67" x14ac:dyDescent="0.25">
      <c r="A41" s="199"/>
      <c r="B41" s="209" t="str">
        <f>IF(ISERROR(VLOOKUP(CONCATENATE($B$30,"_",C41),選手名簿!$A:$E,5,FALSE))=TRUE,"",VLOOKUP(CONCATENATE($B$30,"_",C41),選手名簿!$A:$E,5,FALSE))</f>
        <v/>
      </c>
      <c r="C41" s="214"/>
      <c r="D41" s="214"/>
      <c r="E41" s="221"/>
      <c r="F41" s="223"/>
      <c r="G41" s="221" t="s">
        <v>752</v>
      </c>
      <c r="H41" s="214">
        <v>18</v>
      </c>
      <c r="I41" s="214" t="s">
        <v>15240</v>
      </c>
      <c r="J41" s="209" t="s">
        <v>15239</v>
      </c>
      <c r="K41" s="226" t="s">
        <v>579</v>
      </c>
      <c r="L41" s="190"/>
      <c r="M41" s="199" t="s">
        <v>579</v>
      </c>
      <c r="N41" s="209" t="str">
        <f>IF(ISERROR(VLOOKUP(CONCATENATE($N$30,"_",O41),選手名簿!$A:$E,5,FALSE))=TRUE,"",VLOOKUP(CONCATENATE($N$30,"_",O41),選手名簿!$A:$E,5,FALSE))</f>
        <v>御幡　悠希</v>
      </c>
      <c r="O41" s="214">
        <v>13</v>
      </c>
      <c r="P41" s="214">
        <v>33</v>
      </c>
      <c r="Q41" s="221" t="s">
        <v>742</v>
      </c>
      <c r="R41" s="223"/>
      <c r="S41" s="221"/>
      <c r="T41" s="214"/>
      <c r="U41" s="214"/>
      <c r="V41" s="206" t="str">
        <f>IF(ISERROR(VLOOKUP(CONCATENATE($V$30,"_",U41),選手名簿!$A:$E,5,FALSE))=TRUE,"",VLOOKUP(CONCATENATE($V$30,"_",U41),選手名簿!$A:$E,5,FALSE))</f>
        <v/>
      </c>
      <c r="W41" s="226"/>
      <c r="Y41" s="891"/>
      <c r="Z41" s="891"/>
      <c r="AA41" s="891"/>
      <c r="AB41" s="891"/>
      <c r="AC41" s="891"/>
      <c r="AD41" s="891"/>
      <c r="AE41" s="891"/>
      <c r="AF41" s="891"/>
      <c r="AG41" s="891"/>
      <c r="AH41" s="891"/>
      <c r="AI41" s="891"/>
      <c r="AJ41" s="891"/>
      <c r="AK41" s="891"/>
      <c r="AL41" s="891"/>
      <c r="AM41" s="891"/>
      <c r="AN41" s="891"/>
      <c r="AO41" s="891"/>
      <c r="AP41" s="891"/>
      <c r="AQ41" s="891"/>
      <c r="AR41" s="891"/>
      <c r="AS41" s="891"/>
      <c r="AT41" s="891"/>
      <c r="AU41" s="891"/>
      <c r="AV41" s="891"/>
      <c r="AW41" s="891"/>
      <c r="AX41" s="891"/>
      <c r="AY41" s="891"/>
      <c r="AZ41" s="891"/>
      <c r="BA41" s="891"/>
      <c r="BB41" s="891"/>
      <c r="BC41" s="891"/>
      <c r="BD41" s="891"/>
      <c r="BE41" s="891"/>
      <c r="BF41" s="891"/>
    </row>
    <row r="42" spans="1:67" ht="18.75" customHeight="1" x14ac:dyDescent="0.25">
      <c r="A42" s="199"/>
      <c r="B42" s="209" t="str">
        <f>IF(ISERROR(VLOOKUP(CONCATENATE($B$30,"_",C42),選手名簿!$A:$E,5,FALSE))=TRUE,"",VLOOKUP(CONCATENATE($B$30,"_",C42),選手名簿!$A:$E,5,FALSE))</f>
        <v/>
      </c>
      <c r="C42" s="214"/>
      <c r="D42" s="214"/>
      <c r="E42" s="221"/>
      <c r="F42" s="223"/>
      <c r="G42" s="221" t="s">
        <v>742</v>
      </c>
      <c r="H42" s="214">
        <v>29</v>
      </c>
      <c r="I42" s="214">
        <v>5</v>
      </c>
      <c r="J42" s="209" t="str">
        <f>IF(ISERROR(VLOOKUP(CONCATENATE($J$30,"_",I42),選手名簿!$A:$E,5,FALSE))=TRUE,"",VLOOKUP(CONCATENATE($J$30,"_",I42),選手名簿!$A:$E,5,FALSE))</f>
        <v>熊谷　琉星</v>
      </c>
      <c r="K42" s="226" t="s">
        <v>579</v>
      </c>
      <c r="L42" s="190"/>
      <c r="M42" s="199"/>
      <c r="N42" s="209" t="str">
        <f>IF(ISERROR(VLOOKUP(CONCATENATE($N$30,"_",O42),選手名簿!$A:$E,5,FALSE))=TRUE,"",VLOOKUP(CONCATENATE($N$30,"_",O42),選手名簿!$A:$E,5,FALSE))</f>
        <v/>
      </c>
      <c r="O42" s="214"/>
      <c r="P42" s="214"/>
      <c r="Q42" s="221"/>
      <c r="R42" s="223"/>
      <c r="S42" s="221"/>
      <c r="T42" s="214"/>
      <c r="U42" s="214"/>
      <c r="V42" s="209" t="str">
        <f>IF(ISERROR(VLOOKUP(CONCATENATE($V$30,"_",U42),選手名簿!$A:$E,5,FALSE))=TRUE,"",VLOOKUP(CONCATENATE($V$30,"_",U42),選手名簿!$A:$E,5,FALSE))</f>
        <v/>
      </c>
      <c r="W42" s="226"/>
      <c r="Y42" s="892" t="s">
        <v>2013</v>
      </c>
      <c r="Z42" s="893"/>
      <c r="AA42" s="896" t="s">
        <v>159</v>
      </c>
      <c r="AB42" s="232" t="s">
        <v>408</v>
      </c>
      <c r="AC42" s="231"/>
      <c r="AD42" s="898" t="s">
        <v>2060</v>
      </c>
      <c r="AE42" s="232" t="s">
        <v>2015</v>
      </c>
      <c r="AF42" s="231"/>
      <c r="AG42" s="898" t="s">
        <v>1208</v>
      </c>
      <c r="AH42" s="232" t="s">
        <v>2126</v>
      </c>
      <c r="AI42" s="231"/>
      <c r="AJ42" s="900" t="s">
        <v>1727</v>
      </c>
      <c r="AK42" s="234" t="s">
        <v>2016</v>
      </c>
    </row>
    <row r="43" spans="1:67" ht="19.5" customHeight="1" x14ac:dyDescent="0.25">
      <c r="A43" s="199"/>
      <c r="B43" s="209" t="str">
        <f>IF(ISERROR(VLOOKUP(CONCATENATE($B$30,"_",C43),選手名簿!$A:$E,5,FALSE))=TRUE,"",VLOOKUP(CONCATENATE($B$30,"_",C43),選手名簿!$A:$E,5,FALSE))</f>
        <v/>
      </c>
      <c r="C43" s="214"/>
      <c r="D43" s="214"/>
      <c r="E43" s="221"/>
      <c r="F43" s="223"/>
      <c r="G43" s="221"/>
      <c r="H43" s="214"/>
      <c r="I43" s="214"/>
      <c r="J43" s="209" t="str">
        <f>IF(ISERROR(VLOOKUP(CONCATENATE($J$30,"_",I43),選手名簿!$A:$E,5,FALSE))=TRUE,"",VLOOKUP(CONCATENATE($J$30,"_",I43),選手名簿!$A:$E,5,FALSE))</f>
        <v/>
      </c>
      <c r="K43" s="226"/>
      <c r="L43" s="190"/>
      <c r="M43" s="199"/>
      <c r="N43" s="209" t="str">
        <f>IF(ISERROR(VLOOKUP(CONCATENATE($N$30,"_",O43),選手名簿!$A:$E,5,FALSE))=TRUE,"",VLOOKUP(CONCATENATE($N$30,"_",O43),選手名簿!$A:$E,5,FALSE))</f>
        <v/>
      </c>
      <c r="O43" s="214"/>
      <c r="P43" s="214"/>
      <c r="Q43" s="221"/>
      <c r="R43" s="223"/>
      <c r="S43" s="221"/>
      <c r="T43" s="214"/>
      <c r="U43" s="214"/>
      <c r="V43" s="209" t="str">
        <f>IF(ISERROR(VLOOKUP(CONCATENATE($V$30,"_",U43),選手名簿!$A:$E,5,FALSE))=TRUE,"",VLOOKUP(CONCATENATE($V$30,"_",U43),選手名簿!$A:$E,5,FALSE))</f>
        <v/>
      </c>
      <c r="W43" s="226"/>
      <c r="Y43" s="894"/>
      <c r="Z43" s="895"/>
      <c r="AA43" s="897"/>
      <c r="AB43" s="233">
        <v>3</v>
      </c>
      <c r="AC43" s="230"/>
      <c r="AD43" s="899"/>
      <c r="AE43" s="233">
        <v>2</v>
      </c>
      <c r="AF43" s="230"/>
      <c r="AG43" s="899"/>
      <c r="AH43" s="233">
        <v>1</v>
      </c>
      <c r="AI43" s="230"/>
      <c r="AJ43" s="901"/>
      <c r="AK43" s="235">
        <v>0</v>
      </c>
    </row>
    <row r="44" spans="1:67" ht="19.5" customHeight="1" x14ac:dyDescent="0.25">
      <c r="A44" s="199"/>
      <c r="B44" s="209" t="str">
        <f>IF(ISERROR(VLOOKUP(CONCATENATE($B$30,"_",C44),選手名簿!$A:$E,5,FALSE))=TRUE,"",VLOOKUP(CONCATENATE($B$30,"_",C44),選手名簿!$A:$E,5,FALSE))</f>
        <v/>
      </c>
      <c r="C44" s="214"/>
      <c r="D44" s="214"/>
      <c r="E44" s="221"/>
      <c r="F44" s="223"/>
      <c r="G44" s="221"/>
      <c r="H44" s="214"/>
      <c r="I44" s="214"/>
      <c r="J44" s="209" t="str">
        <f>IF(ISERROR(VLOOKUP(CONCATENATE($J$30,"_",I44),選手名簿!$A:$E,5,FALSE))=TRUE,"",VLOOKUP(CONCATENATE($J$30,"_",I44),選手名簿!$A:$E,5,FALSE))</f>
        <v/>
      </c>
      <c r="K44" s="226"/>
      <c r="L44" s="190"/>
      <c r="M44" s="199"/>
      <c r="N44" s="209" t="str">
        <f>IF(ISERROR(VLOOKUP(CONCATENATE($N$30,"_",O44),選手名簿!$A:$E,5,FALSE))=TRUE,"",VLOOKUP(CONCATENATE($N$30,"_",O44),選手名簿!$A:$E,5,FALSE))</f>
        <v/>
      </c>
      <c r="O44" s="214"/>
      <c r="P44" s="214"/>
      <c r="Q44" s="221"/>
      <c r="R44" s="223"/>
      <c r="S44" s="221"/>
      <c r="T44" s="214"/>
      <c r="U44" s="214"/>
      <c r="V44" s="209" t="str">
        <f>IF(ISERROR(VLOOKUP(CONCATENATE($V$30,"_",U44),選手名簿!$A:$E,5,FALSE))=TRUE,"",VLOOKUP(CONCATENATE($V$30,"_",U44),選手名簿!$A:$E,5,FALSE))</f>
        <v/>
      </c>
      <c r="W44" s="226"/>
    </row>
    <row r="45" spans="1:67" x14ac:dyDescent="0.25">
      <c r="A45" s="200"/>
      <c r="B45" s="210" t="str">
        <f>IF(ISERROR(VLOOKUP(CONCATENATE($B$30,"_",C45),選手名簿!$A:$E,5,FALSE))=TRUE,"",VLOOKUP(CONCATENATE($B$30,"_",C45),選手名簿!$A:$E,5,FALSE))</f>
        <v/>
      </c>
      <c r="C45" s="215"/>
      <c r="D45" s="215"/>
      <c r="E45" s="222"/>
      <c r="F45" s="224"/>
      <c r="G45" s="222"/>
      <c r="H45" s="215"/>
      <c r="I45" s="215"/>
      <c r="J45" s="210" t="str">
        <f>IF(ISERROR(VLOOKUP(CONCATENATE($J$30,"_",I45),選手名簿!$A:$E,5,FALSE))=TRUE,"",VLOOKUP(CONCATENATE($J$30,"_",I45),選手名簿!$A:$E,5,FALSE))</f>
        <v/>
      </c>
      <c r="K45" s="227"/>
      <c r="L45" s="190"/>
      <c r="M45" s="200"/>
      <c r="N45" s="210" t="str">
        <f>IF(ISERROR(VLOOKUP(CONCATENATE($N$30,"_",O45),選手名簿!$A:$E,5,FALSE))=TRUE,"",VLOOKUP(CONCATENATE($N$30,"_",O45),選手名簿!$A:$E,5,FALSE))</f>
        <v/>
      </c>
      <c r="O45" s="215"/>
      <c r="P45" s="215"/>
      <c r="Q45" s="222"/>
      <c r="R45" s="224"/>
      <c r="S45" s="222"/>
      <c r="T45" s="215"/>
      <c r="U45" s="215"/>
      <c r="V45" s="210" t="str">
        <f>IF(ISERROR(VLOOKUP(CONCATENATE($V$30,"_",U45),選手名簿!$A:$E,5,FALSE))=TRUE,"",VLOOKUP(CONCATENATE($V$30,"_",U45),選手名簿!$A:$E,5,FALSE))</f>
        <v/>
      </c>
      <c r="W45" s="227"/>
    </row>
    <row r="46" spans="1:67" x14ac:dyDescent="0.25">
      <c r="A46" s="190"/>
      <c r="B46" s="190"/>
      <c r="C46" s="190"/>
      <c r="D46" s="190"/>
      <c r="E46" s="190"/>
      <c r="F46" s="190"/>
      <c r="G46" s="190"/>
      <c r="H46" s="190"/>
      <c r="I46" s="190"/>
      <c r="J46" s="190"/>
      <c r="K46" s="190"/>
      <c r="L46" s="190"/>
      <c r="M46" s="190"/>
      <c r="N46" s="190"/>
      <c r="O46" s="190"/>
      <c r="P46" s="190"/>
      <c r="Q46" s="190"/>
      <c r="R46" s="190"/>
      <c r="S46" s="190"/>
      <c r="T46" s="190"/>
      <c r="U46" s="190"/>
      <c r="V46" s="190"/>
    </row>
    <row r="47" spans="1:67" x14ac:dyDescent="0.25">
      <c r="A47" s="190"/>
      <c r="B47" s="190"/>
      <c r="C47" s="190"/>
      <c r="D47" s="190"/>
      <c r="E47" s="190"/>
      <c r="F47" s="190"/>
      <c r="G47" s="190"/>
      <c r="H47" s="190"/>
      <c r="I47" s="190"/>
      <c r="J47" s="190"/>
      <c r="K47" s="190"/>
      <c r="L47" s="190"/>
      <c r="M47" s="190"/>
      <c r="N47" s="190"/>
      <c r="O47" s="190"/>
      <c r="P47" s="190"/>
      <c r="Q47" s="190"/>
      <c r="R47" s="190"/>
      <c r="S47" s="190"/>
      <c r="T47" s="190"/>
      <c r="U47" s="190"/>
      <c r="V47" s="190"/>
    </row>
    <row r="48" spans="1:67" ht="18.75" customHeight="1" x14ac:dyDescent="0.25">
      <c r="A48" s="963" t="s">
        <v>1703</v>
      </c>
      <c r="B48" s="964" t="str">
        <f>C9</f>
        <v>ＦＣ　ＪＵＮＩＯＲＳ</v>
      </c>
      <c r="C48" s="966">
        <f>IF(E48="","",SUM(E48:E49))</f>
        <v>3</v>
      </c>
      <c r="D48" s="940" t="s">
        <v>336</v>
      </c>
      <c r="E48" s="217">
        <v>2</v>
      </c>
      <c r="F48" s="217" t="s">
        <v>61</v>
      </c>
      <c r="G48" s="217">
        <v>0</v>
      </c>
      <c r="H48" s="940" t="s">
        <v>339</v>
      </c>
      <c r="I48" s="966">
        <f>IF(G48="","",SUM(G48:G49))</f>
        <v>0</v>
      </c>
      <c r="J48" s="968" t="str">
        <f>C7</f>
        <v>ＦＣ　ＷＡＹＳ</v>
      </c>
      <c r="K48" s="190"/>
      <c r="M48" s="969" t="s">
        <v>1596</v>
      </c>
      <c r="N48" s="972" t="str">
        <f>O9</f>
        <v>佐伯リベロフットボールクラブ</v>
      </c>
      <c r="O48" s="966">
        <f>IF(Q48="","",SUM(Q48:Q49))</f>
        <v>1</v>
      </c>
      <c r="P48" s="940" t="s">
        <v>336</v>
      </c>
      <c r="Q48" s="217">
        <v>1</v>
      </c>
      <c r="R48" s="217" t="s">
        <v>61</v>
      </c>
      <c r="S48" s="217">
        <v>0</v>
      </c>
      <c r="T48" s="940" t="s">
        <v>339</v>
      </c>
      <c r="U48" s="966">
        <f>IF(S48="","",SUM(S48:S49))</f>
        <v>2</v>
      </c>
      <c r="V48" s="968" t="str">
        <f>O7</f>
        <v>四日市南ＳＳＣ</v>
      </c>
      <c r="Y48" s="959" t="str">
        <f>$Y$1</f>
        <v>OFA 第 57 回大分県U-12サッカー大会　兼　KYFA 九州U-12サッカー大会大分県大会</v>
      </c>
      <c r="Z48" s="959"/>
      <c r="AA48" s="959"/>
      <c r="AB48" s="959"/>
      <c r="AC48" s="959"/>
      <c r="AD48" s="959"/>
      <c r="AE48" s="959"/>
      <c r="AF48" s="959"/>
      <c r="AG48" s="959"/>
      <c r="AH48" s="959"/>
      <c r="AI48" s="959"/>
      <c r="AJ48" s="959"/>
      <c r="AK48" s="959"/>
      <c r="AL48" s="959"/>
      <c r="AM48" s="959"/>
      <c r="AN48" s="959"/>
      <c r="AO48" s="959"/>
      <c r="AP48" s="959"/>
      <c r="AQ48" s="959"/>
      <c r="AR48" s="959"/>
      <c r="AS48" s="959"/>
      <c r="AT48" s="959"/>
      <c r="AU48" s="959"/>
      <c r="AV48" s="959"/>
      <c r="AW48" s="959"/>
      <c r="AX48" s="959"/>
      <c r="AY48" s="959"/>
      <c r="AZ48" s="959"/>
      <c r="BA48" s="959"/>
      <c r="BB48" s="959"/>
      <c r="BC48" s="959"/>
      <c r="BD48" s="959"/>
      <c r="BE48" s="959"/>
      <c r="BF48" s="959"/>
      <c r="BG48" s="959"/>
      <c r="BI48" s="959" t="str">
        <f>$BI$1</f>
        <v>１次リーグ結果　報告用紙</v>
      </c>
      <c r="BJ48" s="959"/>
      <c r="BK48" s="959"/>
      <c r="BL48" s="959"/>
      <c r="BM48" s="959"/>
      <c r="BN48" s="959"/>
      <c r="BO48" s="959"/>
    </row>
    <row r="49" spans="1:67" ht="18.75" customHeight="1" x14ac:dyDescent="0.25">
      <c r="A49" s="946"/>
      <c r="B49" s="965"/>
      <c r="C49" s="967"/>
      <c r="D49" s="906"/>
      <c r="E49" s="190">
        <v>1</v>
      </c>
      <c r="F49" s="190" t="s">
        <v>126</v>
      </c>
      <c r="G49" s="190">
        <v>0</v>
      </c>
      <c r="H49" s="906"/>
      <c r="I49" s="967"/>
      <c r="J49" s="957"/>
      <c r="K49" s="190"/>
      <c r="M49" s="970"/>
      <c r="N49" s="973"/>
      <c r="O49" s="967"/>
      <c r="P49" s="906"/>
      <c r="Q49" s="190">
        <v>0</v>
      </c>
      <c r="R49" s="190" t="s">
        <v>126</v>
      </c>
      <c r="S49" s="190">
        <v>2</v>
      </c>
      <c r="T49" s="906"/>
      <c r="U49" s="967"/>
      <c r="V49" s="957"/>
      <c r="Y49" s="959"/>
      <c r="Z49" s="959"/>
      <c r="AA49" s="959"/>
      <c r="AB49" s="959"/>
      <c r="AC49" s="959"/>
      <c r="AD49" s="959"/>
      <c r="AE49" s="959"/>
      <c r="AF49" s="959"/>
      <c r="AG49" s="959"/>
      <c r="AH49" s="959"/>
      <c r="AI49" s="959"/>
      <c r="AJ49" s="959"/>
      <c r="AK49" s="959"/>
      <c r="AL49" s="959"/>
      <c r="AM49" s="959"/>
      <c r="AN49" s="959"/>
      <c r="AO49" s="959"/>
      <c r="AP49" s="959"/>
      <c r="AQ49" s="959"/>
      <c r="AR49" s="959"/>
      <c r="AS49" s="959"/>
      <c r="AT49" s="959"/>
      <c r="AU49" s="959"/>
      <c r="AV49" s="959"/>
      <c r="AW49" s="959"/>
      <c r="AX49" s="959"/>
      <c r="AY49" s="959"/>
      <c r="AZ49" s="959"/>
      <c r="BA49" s="959"/>
      <c r="BB49" s="959"/>
      <c r="BC49" s="959"/>
      <c r="BD49" s="959"/>
      <c r="BE49" s="959"/>
      <c r="BF49" s="959"/>
      <c r="BG49" s="959"/>
      <c r="BI49" s="959"/>
      <c r="BJ49" s="959"/>
      <c r="BK49" s="959"/>
      <c r="BL49" s="959"/>
      <c r="BM49" s="959"/>
      <c r="BN49" s="959"/>
      <c r="BO49" s="959"/>
    </row>
    <row r="50" spans="1:67" ht="19.5" customHeight="1" x14ac:dyDescent="0.25">
      <c r="A50" s="946"/>
      <c r="B50" s="965"/>
      <c r="C50" s="967"/>
      <c r="D50" s="906"/>
      <c r="E50" s="190"/>
      <c r="F50" s="190" t="s">
        <v>407</v>
      </c>
      <c r="G50" s="190"/>
      <c r="H50" s="906"/>
      <c r="I50" s="967"/>
      <c r="J50" s="957"/>
      <c r="K50" s="190"/>
      <c r="M50" s="971"/>
      <c r="N50" s="974"/>
      <c r="O50" s="975"/>
      <c r="P50" s="908"/>
      <c r="Q50" s="190"/>
      <c r="R50" s="190" t="s">
        <v>407</v>
      </c>
      <c r="S50" s="190"/>
      <c r="T50" s="908"/>
      <c r="U50" s="975"/>
      <c r="V50" s="976"/>
      <c r="Y50" s="959" t="s">
        <v>1962</v>
      </c>
      <c r="Z50" s="959"/>
      <c r="AA50" s="959"/>
      <c r="AB50" s="959"/>
      <c r="AC50" s="959"/>
      <c r="AD50" s="959"/>
      <c r="AE50" s="959"/>
      <c r="AF50" s="959"/>
      <c r="AG50" s="959"/>
      <c r="AH50" s="959"/>
      <c r="AI50" s="959"/>
      <c r="AJ50" s="959"/>
      <c r="AK50" s="959"/>
      <c r="AL50" s="959"/>
      <c r="AM50" s="959"/>
      <c r="AN50" s="959"/>
      <c r="AO50" s="959"/>
      <c r="AP50" s="959"/>
      <c r="AQ50" s="959"/>
      <c r="AR50" s="959"/>
      <c r="AS50" s="959"/>
      <c r="AT50" s="959"/>
      <c r="AU50" s="959"/>
      <c r="AV50" s="959"/>
      <c r="AW50" s="959"/>
      <c r="AX50" s="959"/>
      <c r="AY50" s="959"/>
      <c r="AZ50" s="959"/>
      <c r="BA50" s="959"/>
      <c r="BB50" s="959"/>
      <c r="BC50" s="959"/>
      <c r="BD50" s="959"/>
      <c r="BE50" s="959"/>
      <c r="BF50" s="959"/>
      <c r="BG50" s="959"/>
    </row>
    <row r="51" spans="1:67" ht="18.75" customHeight="1" x14ac:dyDescent="0.25">
      <c r="A51" s="192" t="s">
        <v>2463</v>
      </c>
      <c r="B51" s="989" t="s">
        <v>15173</v>
      </c>
      <c r="C51" s="989"/>
      <c r="D51" s="989"/>
      <c r="E51" s="989"/>
      <c r="F51" s="989"/>
      <c r="G51" s="990" t="s">
        <v>2464</v>
      </c>
      <c r="H51" s="990"/>
      <c r="I51" s="990"/>
      <c r="J51" s="991" t="s">
        <v>15175</v>
      </c>
      <c r="K51" s="991"/>
      <c r="M51" s="192" t="s">
        <v>2463</v>
      </c>
      <c r="N51" s="989" t="s">
        <v>15174</v>
      </c>
      <c r="O51" s="989"/>
      <c r="P51" s="989"/>
      <c r="Q51" s="989"/>
      <c r="R51" s="989"/>
      <c r="S51" s="990" t="s">
        <v>2464</v>
      </c>
      <c r="T51" s="990"/>
      <c r="U51" s="990"/>
      <c r="V51" s="991" t="s">
        <v>15175</v>
      </c>
      <c r="W51" s="991"/>
      <c r="Y51" s="959"/>
      <c r="Z51" s="959"/>
      <c r="AA51" s="959"/>
      <c r="AB51" s="959"/>
      <c r="AC51" s="959"/>
      <c r="AD51" s="959"/>
      <c r="AE51" s="959"/>
      <c r="AF51" s="959"/>
      <c r="AG51" s="959"/>
      <c r="AH51" s="959"/>
      <c r="AI51" s="959"/>
      <c r="AJ51" s="959"/>
      <c r="AK51" s="959"/>
      <c r="AL51" s="959"/>
      <c r="AM51" s="959"/>
      <c r="AN51" s="959"/>
      <c r="AO51" s="959"/>
      <c r="AP51" s="959"/>
      <c r="AQ51" s="959"/>
      <c r="AR51" s="959"/>
      <c r="AS51" s="959"/>
      <c r="AT51" s="959"/>
      <c r="AU51" s="959"/>
      <c r="AV51" s="959"/>
      <c r="AW51" s="959"/>
      <c r="AX51" s="959"/>
      <c r="AY51" s="959"/>
      <c r="AZ51" s="959"/>
      <c r="BA51" s="959"/>
      <c r="BB51" s="959"/>
      <c r="BC51" s="959"/>
      <c r="BD51" s="959"/>
      <c r="BE51" s="959"/>
      <c r="BF51" s="959"/>
      <c r="BG51" s="959"/>
    </row>
    <row r="52" spans="1:67" ht="18.75" customHeight="1" x14ac:dyDescent="0.25">
      <c r="A52" s="193" t="s">
        <v>2465</v>
      </c>
      <c r="B52" s="992" t="s">
        <v>15173</v>
      </c>
      <c r="C52" s="992"/>
      <c r="D52" s="992"/>
      <c r="E52" s="992"/>
      <c r="F52" s="992"/>
      <c r="G52" s="983" t="s">
        <v>2464</v>
      </c>
      <c r="H52" s="984"/>
      <c r="I52" s="985"/>
      <c r="J52" s="993" t="s">
        <v>15175</v>
      </c>
      <c r="K52" s="993"/>
      <c r="M52" s="193" t="s">
        <v>2465</v>
      </c>
      <c r="N52" s="992" t="s">
        <v>15174</v>
      </c>
      <c r="O52" s="992"/>
      <c r="P52" s="992"/>
      <c r="Q52" s="992"/>
      <c r="R52" s="992"/>
      <c r="S52" s="983" t="s">
        <v>2464</v>
      </c>
      <c r="T52" s="984"/>
      <c r="U52" s="985"/>
      <c r="V52" s="993" t="s">
        <v>15175</v>
      </c>
      <c r="W52" s="993"/>
      <c r="Y52" s="189"/>
      <c r="Z52" s="189"/>
      <c r="AA52" s="189"/>
      <c r="AB52" s="189"/>
      <c r="AC52" s="189"/>
      <c r="AD52" s="189"/>
      <c r="AE52" s="189"/>
      <c r="AF52" s="189"/>
      <c r="AG52" s="189"/>
      <c r="AH52" s="189"/>
      <c r="AI52" s="189"/>
      <c r="AJ52" s="189"/>
      <c r="AK52" s="189"/>
      <c r="AL52" s="189"/>
      <c r="AM52" s="189"/>
      <c r="AN52" s="189"/>
      <c r="AO52" s="189"/>
      <c r="AP52" s="189"/>
      <c r="AQ52" s="189"/>
      <c r="AR52" s="189"/>
      <c r="AS52" s="189"/>
      <c r="AT52" s="189"/>
      <c r="AU52" s="189"/>
      <c r="AV52" s="189"/>
      <c r="AW52" s="189"/>
      <c r="AX52" s="189"/>
      <c r="AY52" s="189"/>
      <c r="AZ52" s="189"/>
      <c r="BA52" s="189"/>
      <c r="BB52" s="189"/>
      <c r="BC52" s="189"/>
      <c r="BD52" s="189"/>
      <c r="BE52" s="189"/>
      <c r="BF52" s="189"/>
      <c r="BG52" s="189"/>
    </row>
    <row r="53" spans="1:67" ht="18.75" customHeight="1" x14ac:dyDescent="0.25">
      <c r="A53" s="194" t="s">
        <v>2466</v>
      </c>
      <c r="B53" s="982" t="s">
        <v>15257</v>
      </c>
      <c r="C53" s="982"/>
      <c r="D53" s="982"/>
      <c r="E53" s="982"/>
      <c r="F53" s="982"/>
      <c r="G53" s="983" t="s">
        <v>2464</v>
      </c>
      <c r="H53" s="984"/>
      <c r="I53" s="985"/>
      <c r="J53" s="986" t="s">
        <v>15175</v>
      </c>
      <c r="K53" s="986"/>
      <c r="M53" s="194" t="s">
        <v>2466</v>
      </c>
      <c r="N53" s="982" t="s">
        <v>15207</v>
      </c>
      <c r="O53" s="982"/>
      <c r="P53" s="982"/>
      <c r="Q53" s="982"/>
      <c r="R53" s="982"/>
      <c r="S53" s="983" t="s">
        <v>2464</v>
      </c>
      <c r="T53" s="984"/>
      <c r="U53" s="985"/>
      <c r="V53" s="986" t="s">
        <v>15175</v>
      </c>
      <c r="W53" s="986"/>
      <c r="Y53" s="189"/>
      <c r="Z53" s="189"/>
      <c r="AA53" s="189"/>
      <c r="AB53" s="189"/>
      <c r="AC53" s="189"/>
      <c r="AD53" s="189"/>
      <c r="AE53" s="189"/>
      <c r="AF53" s="189"/>
      <c r="AG53" s="189"/>
      <c r="AH53" s="189"/>
      <c r="AI53" s="189"/>
    </row>
    <row r="54" spans="1:67" x14ac:dyDescent="0.25">
      <c r="A54" s="195" t="s">
        <v>609</v>
      </c>
      <c r="B54" s="205" t="str">
        <f>IF(ISERROR(VLOOKUP(G54,審判員!$A:$C,2,FALSE))=TRUE,"",VLOOKUP(G54,審判員!$A:$C,2,FALSE))</f>
        <v>柳本　剛</v>
      </c>
      <c r="C54" s="211">
        <f>IF(ISERROR(VLOOKUP(G54,審判員!$A:$C,3,FALSE))=TRUE,"",VLOOKUP(G54,審判員!$A:$C,3,FALSE))</f>
        <v>3</v>
      </c>
      <c r="D54" s="218" t="s">
        <v>612</v>
      </c>
      <c r="E54" s="955" t="s">
        <v>201</v>
      </c>
      <c r="F54" s="955"/>
      <c r="G54" s="955" t="s">
        <v>15209</v>
      </c>
      <c r="H54" s="955"/>
      <c r="I54" s="955"/>
      <c r="J54" s="987" t="s">
        <v>788</v>
      </c>
      <c r="K54" s="988"/>
      <c r="L54" s="190"/>
      <c r="M54" s="195" t="s">
        <v>609</v>
      </c>
      <c r="N54" s="205" t="str">
        <f>IF(ISERROR(VLOOKUP(S54,審判員!$A:$C,2,FALSE))=TRUE,"",VLOOKUP(S54,審判員!$A:$C,2,FALSE))</f>
        <v>礒辺　宏基</v>
      </c>
      <c r="O54" s="211">
        <f>IF(ISERROR(VLOOKUP(S54,審判員!$A:$C,3,FALSE))=TRUE,"",VLOOKUP(S54,審判員!$A:$C,3,FALSE))</f>
        <v>3</v>
      </c>
      <c r="P54" s="218" t="s">
        <v>612</v>
      </c>
      <c r="Q54" s="955" t="s">
        <v>201</v>
      </c>
      <c r="R54" s="955"/>
      <c r="S54" s="955" t="s">
        <v>15250</v>
      </c>
      <c r="T54" s="955"/>
      <c r="U54" s="955"/>
      <c r="V54" s="987" t="s">
        <v>788</v>
      </c>
      <c r="W54" s="988"/>
      <c r="Y54" s="590" t="s">
        <v>487</v>
      </c>
      <c r="Z54" s="590"/>
      <c r="AA54" s="590"/>
      <c r="AB54" s="960" t="str">
        <f>$N$4</f>
        <v>宇佐高田</v>
      </c>
      <c r="AC54" s="960"/>
      <c r="AD54" s="960"/>
      <c r="AE54" s="960"/>
      <c r="AF54" s="960"/>
      <c r="AG54" s="960"/>
      <c r="AH54" s="590" t="s">
        <v>659</v>
      </c>
      <c r="AI54" s="961" t="str">
        <f>$P$4</f>
        <v>宇佐市平成令和の森スポーツ公園</v>
      </c>
      <c r="AJ54" s="961"/>
      <c r="AK54" s="961"/>
      <c r="AL54" s="961"/>
      <c r="AM54" s="961"/>
      <c r="AN54" s="961"/>
      <c r="AO54" s="961"/>
      <c r="AP54" s="961"/>
      <c r="AQ54" s="961"/>
      <c r="AR54" s="961"/>
      <c r="AS54" s="961"/>
      <c r="AT54" s="961"/>
      <c r="AU54" s="961"/>
      <c r="AV54" s="961"/>
      <c r="AW54" s="961"/>
    </row>
    <row r="55" spans="1:67" x14ac:dyDescent="0.25">
      <c r="A55" s="196" t="s">
        <v>704</v>
      </c>
      <c r="B55" s="206" t="str">
        <f>IF(ISERROR(VLOOKUP(G55,審判員!$A:$C,2,FALSE))=TRUE,"",VLOOKUP(G55,審判員!$A:$C,2,FALSE))</f>
        <v>清家　大介</v>
      </c>
      <c r="C55" s="212">
        <f>IF(ISERROR(VLOOKUP(G55,審判員!$A:$C,3,FALSE))=TRUE,"",VLOOKUP(G55,審判員!$A:$C,3,FALSE))</f>
        <v>3</v>
      </c>
      <c r="D55" s="219" t="s">
        <v>612</v>
      </c>
      <c r="E55" s="906" t="s">
        <v>1286</v>
      </c>
      <c r="F55" s="906"/>
      <c r="G55" s="906" t="s">
        <v>15238</v>
      </c>
      <c r="H55" s="906"/>
      <c r="I55" s="906"/>
      <c r="J55" s="891" t="str">
        <f>N48</f>
        <v>佐伯リベロフットボールクラブ</v>
      </c>
      <c r="K55" s="981"/>
      <c r="L55" s="190"/>
      <c r="M55" s="196" t="s">
        <v>704</v>
      </c>
      <c r="N55" s="206" t="str">
        <f>IF(ISERROR(VLOOKUP(S55,審判員!$A:$C,2,FALSE))=TRUE,"",VLOOKUP(S55,審判員!$A:$C,2,FALSE))</f>
        <v>柾木　洋平</v>
      </c>
      <c r="O55" s="212">
        <f>IF(ISERROR(VLOOKUP(S55,審判員!$A:$C,3,FALSE))=TRUE,"",VLOOKUP(S55,審判員!$A:$C,3,FALSE))</f>
        <v>3</v>
      </c>
      <c r="P55" s="219" t="s">
        <v>612</v>
      </c>
      <c r="Q55" s="906" t="s">
        <v>1286</v>
      </c>
      <c r="R55" s="906"/>
      <c r="S55" s="906" t="s">
        <v>15251</v>
      </c>
      <c r="T55" s="906"/>
      <c r="U55" s="906"/>
      <c r="V55" s="891" t="str">
        <f>B48</f>
        <v>ＦＣ　ＪＵＮＩＯＲＳ</v>
      </c>
      <c r="W55" s="981"/>
      <c r="Y55" s="590"/>
      <c r="Z55" s="590"/>
      <c r="AA55" s="590"/>
      <c r="AB55" s="960"/>
      <c r="AC55" s="960"/>
      <c r="AD55" s="960"/>
      <c r="AE55" s="960"/>
      <c r="AF55" s="960"/>
      <c r="AG55" s="960"/>
      <c r="AH55" s="590"/>
      <c r="AI55" s="961"/>
      <c r="AJ55" s="961"/>
      <c r="AK55" s="961"/>
      <c r="AL55" s="961"/>
      <c r="AM55" s="961"/>
      <c r="AN55" s="961"/>
      <c r="AO55" s="961"/>
      <c r="AP55" s="961"/>
      <c r="AQ55" s="961"/>
      <c r="AR55" s="961"/>
      <c r="AS55" s="961"/>
      <c r="AT55" s="961"/>
      <c r="AU55" s="961"/>
      <c r="AV55" s="961"/>
      <c r="AW55" s="961"/>
    </row>
    <row r="56" spans="1:67" x14ac:dyDescent="0.25">
      <c r="A56" s="196" t="s">
        <v>2007</v>
      </c>
      <c r="B56" s="206" t="str">
        <f>IF(ISERROR(VLOOKUP(G56,審判員!$A:$C,2,FALSE))=TRUE,"",VLOOKUP(G56,審判員!$A:$C,2,FALSE))</f>
        <v>中園　健太郎</v>
      </c>
      <c r="C56" s="212">
        <f>IF(ISERROR(VLOOKUP(G56,審判員!$A:$C,3,FALSE))=TRUE,"",VLOOKUP(G56,審判員!$A:$C,3,FALSE))</f>
        <v>2</v>
      </c>
      <c r="D56" s="219" t="s">
        <v>612</v>
      </c>
      <c r="E56" s="906" t="s">
        <v>1286</v>
      </c>
      <c r="F56" s="906"/>
      <c r="G56" s="906" t="s">
        <v>15177</v>
      </c>
      <c r="H56" s="906"/>
      <c r="I56" s="906"/>
      <c r="J56" s="891" t="str">
        <f>V48</f>
        <v>四日市南ＳＳＣ</v>
      </c>
      <c r="K56" s="981"/>
      <c r="L56" s="190"/>
      <c r="M56" s="196" t="s">
        <v>2007</v>
      </c>
      <c r="N56" s="206" t="str">
        <f>IF(ISERROR(VLOOKUP(S56,審判員!$A:$C,2,FALSE))=TRUE,"",VLOOKUP(S56,審判員!$A:$C,2,FALSE))</f>
        <v>荒牧　聡</v>
      </c>
      <c r="O56" s="212">
        <f>IF(ISERROR(VLOOKUP(S56,審判員!$A:$C,3,FALSE))=TRUE,"",VLOOKUP(S56,審判員!$A:$C,3,FALSE))</f>
        <v>3</v>
      </c>
      <c r="P56" s="219" t="s">
        <v>612</v>
      </c>
      <c r="Q56" s="906" t="s">
        <v>1286</v>
      </c>
      <c r="R56" s="906"/>
      <c r="S56" s="906" t="s">
        <v>15210</v>
      </c>
      <c r="T56" s="906"/>
      <c r="U56" s="906"/>
      <c r="V56" s="891" t="str">
        <f>J48</f>
        <v>ＦＣ　ＷＡＹＳ</v>
      </c>
      <c r="W56" s="981"/>
      <c r="Y56" s="58"/>
      <c r="Z56" s="58"/>
      <c r="AA56" s="58"/>
      <c r="AB56" s="58"/>
      <c r="AC56" s="58"/>
      <c r="AD56" s="58"/>
      <c r="AE56" s="58"/>
      <c r="AF56" s="58"/>
      <c r="AG56" s="58"/>
      <c r="AH56" s="58"/>
      <c r="AI56" s="216"/>
      <c r="AJ56" s="216"/>
      <c r="AK56" s="216"/>
      <c r="AL56" s="216"/>
      <c r="AM56" s="216"/>
      <c r="AN56" s="216"/>
      <c r="AO56" s="216"/>
      <c r="AP56" s="216"/>
      <c r="AQ56" s="216"/>
      <c r="AR56" s="216"/>
      <c r="AS56" s="216"/>
      <c r="AT56" s="216"/>
      <c r="AU56" s="216"/>
      <c r="AV56" s="216"/>
      <c r="AW56" s="216"/>
    </row>
    <row r="57" spans="1:67" x14ac:dyDescent="0.25">
      <c r="A57" s="197" t="s">
        <v>2008</v>
      </c>
      <c r="B57" s="207" t="str">
        <f>IF(ISERROR(VLOOKUP(G57,審判員!$A:$C,2,FALSE))=TRUE,"",VLOOKUP(G57,審判員!$A:$C,2,FALSE))</f>
        <v>奥田　和彦</v>
      </c>
      <c r="C57" s="213">
        <f>IF(ISERROR(VLOOKUP(G57,審判員!$A:$C,3,FALSE))=TRUE,"",VLOOKUP(G57,審判員!$A:$C,3,FALSE))</f>
        <v>3</v>
      </c>
      <c r="D57" s="220" t="s">
        <v>612</v>
      </c>
      <c r="E57" s="977" t="s">
        <v>1286</v>
      </c>
      <c r="F57" s="977"/>
      <c r="G57" s="977" t="s">
        <v>15176</v>
      </c>
      <c r="H57" s="977"/>
      <c r="I57" s="977"/>
      <c r="J57" s="978" t="s">
        <v>788</v>
      </c>
      <c r="K57" s="979"/>
      <c r="L57" s="190"/>
      <c r="M57" s="197" t="s">
        <v>2008</v>
      </c>
      <c r="N57" s="207" t="str">
        <f>IF(ISERROR(VLOOKUP(S57,審判員!$A:$C,2,FALSE))=TRUE,"",VLOOKUP(S57,審判員!$A:$C,2,FALSE))</f>
        <v>中原　笙</v>
      </c>
      <c r="O57" s="213">
        <f>IF(ISERROR(VLOOKUP(S57,審判員!$A:$C,3,FALSE))=TRUE,"",VLOOKUP(S57,審判員!$A:$C,3,FALSE))</f>
        <v>3</v>
      </c>
      <c r="P57" s="220" t="s">
        <v>612</v>
      </c>
      <c r="Q57" s="977" t="s">
        <v>1286</v>
      </c>
      <c r="R57" s="977"/>
      <c r="S57" s="977" t="s">
        <v>15212</v>
      </c>
      <c r="T57" s="977"/>
      <c r="U57" s="977"/>
      <c r="V57" s="978" t="s">
        <v>788</v>
      </c>
      <c r="W57" s="979"/>
      <c r="Y57" s="190"/>
      <c r="Z57" s="190"/>
      <c r="AA57" s="190"/>
    </row>
    <row r="58" spans="1:67" x14ac:dyDescent="0.25">
      <c r="A58" s="198" t="s">
        <v>469</v>
      </c>
      <c r="B58" s="208" t="s">
        <v>606</v>
      </c>
      <c r="C58" s="208" t="s">
        <v>234</v>
      </c>
      <c r="D58" s="208" t="s">
        <v>272</v>
      </c>
      <c r="E58" s="208" t="s">
        <v>750</v>
      </c>
      <c r="F58" s="223"/>
      <c r="G58" s="208" t="s">
        <v>750</v>
      </c>
      <c r="H58" s="208" t="s">
        <v>272</v>
      </c>
      <c r="I58" s="208" t="s">
        <v>234</v>
      </c>
      <c r="J58" s="208" t="s">
        <v>606</v>
      </c>
      <c r="K58" s="225" t="s">
        <v>469</v>
      </c>
      <c r="L58" s="190"/>
      <c r="M58" s="198" t="s">
        <v>469</v>
      </c>
      <c r="N58" s="208" t="s">
        <v>606</v>
      </c>
      <c r="O58" s="208" t="s">
        <v>234</v>
      </c>
      <c r="P58" s="208" t="s">
        <v>272</v>
      </c>
      <c r="Q58" s="208" t="s">
        <v>750</v>
      </c>
      <c r="R58" s="223"/>
      <c r="S58" s="208" t="s">
        <v>750</v>
      </c>
      <c r="T58" s="208" t="s">
        <v>272</v>
      </c>
      <c r="U58" s="208" t="s">
        <v>234</v>
      </c>
      <c r="V58" s="208" t="s">
        <v>606</v>
      </c>
      <c r="W58" s="225" t="s">
        <v>469</v>
      </c>
      <c r="Y58" s="590" t="s">
        <v>430</v>
      </c>
      <c r="Z58" s="590"/>
      <c r="AA58" s="590"/>
      <c r="AB58" s="960" t="str">
        <f>$N$6</f>
        <v>L</v>
      </c>
      <c r="AC58" s="960"/>
      <c r="AD58" s="960"/>
      <c r="AE58" s="960"/>
      <c r="AF58" s="960"/>
      <c r="AG58" s="960"/>
    </row>
    <row r="59" spans="1:67" x14ac:dyDescent="0.25">
      <c r="A59" s="199"/>
      <c r="B59" s="209" t="str">
        <f>IF(ISERROR(VLOOKUP(CONCATENATE($B$48,"_",C59),選手名簿!$A:$E,5,FALSE))=TRUE,"",VLOOKUP(CONCATENATE($B$48,"_",C59),選手名簿!$A:$E,5,FALSE))</f>
        <v/>
      </c>
      <c r="C59" s="214"/>
      <c r="D59" s="214"/>
      <c r="E59" s="221"/>
      <c r="F59" s="223"/>
      <c r="G59" s="221"/>
      <c r="H59" s="214"/>
      <c r="I59" s="214"/>
      <c r="J59" s="209" t="str">
        <f>IF(ISERROR(VLOOKUP(CONCATENATE($J$48,"_",I59),選手名簿!$A:$E,5,FALSE))=TRUE,"",VLOOKUP(CONCATENATE($J$48,"_",I59),選手名簿!$A:$E,5,FALSE))</f>
        <v/>
      </c>
      <c r="K59" s="226"/>
      <c r="L59" s="190"/>
      <c r="M59" s="199"/>
      <c r="N59" s="209" t="str">
        <f>IF(ISERROR(VLOOKUP(CONCATENATE($N$48,"_",O59),選手名簿!$A:$E,5,FALSE))=TRUE,"",VLOOKUP(CONCATENATE($N$48,"_",O59),選手名簿!$A:$E,5,FALSE))</f>
        <v/>
      </c>
      <c r="O59" s="214"/>
      <c r="P59" s="214"/>
      <c r="Q59" s="221"/>
      <c r="R59" s="223"/>
      <c r="S59" s="221"/>
      <c r="T59" s="214"/>
      <c r="U59" s="214"/>
      <c r="V59" s="206" t="str">
        <f>IF(ISERROR(VLOOKUP(CONCATENATE($V$48,"_",U59),選手名簿!$A:$E,5,FALSE))=TRUE,"",VLOOKUP(CONCATENATE($V$48,"_",U59),選手名簿!$A:$E,5,FALSE))</f>
        <v/>
      </c>
      <c r="W59" s="226"/>
      <c r="Y59" s="590"/>
      <c r="Z59" s="590"/>
      <c r="AA59" s="590"/>
      <c r="AB59" s="962"/>
      <c r="AC59" s="962"/>
      <c r="AD59" s="962"/>
      <c r="AE59" s="962"/>
      <c r="AF59" s="962"/>
      <c r="AG59" s="962"/>
    </row>
    <row r="60" spans="1:67" x14ac:dyDescent="0.25">
      <c r="A60" s="199"/>
      <c r="B60" s="209" t="str">
        <f>IF(ISERROR(VLOOKUP(CONCATENATE($B$48,"_",C60),選手名簿!$A:$E,5,FALSE))=TRUE,"",VLOOKUP(CONCATENATE($B$48,"_",C60),選手名簿!$A:$E,5,FALSE))</f>
        <v/>
      </c>
      <c r="C60" s="214"/>
      <c r="D60" s="214"/>
      <c r="E60" s="221"/>
      <c r="F60" s="223"/>
      <c r="G60" s="221"/>
      <c r="H60" s="214"/>
      <c r="I60" s="214"/>
      <c r="J60" s="209" t="str">
        <f>IF(ISERROR(VLOOKUP(CONCATENATE($J$48,"_",I60),選手名簿!$A:$E,5,FALSE))=TRUE,"",VLOOKUP(CONCATENATE($J$48,"_",I60),選手名簿!$A:$E,5,FALSE))</f>
        <v/>
      </c>
      <c r="K60" s="226"/>
      <c r="L60" s="190"/>
      <c r="M60" s="199"/>
      <c r="N60" s="209" t="str">
        <f>IF(ISERROR(VLOOKUP(CONCATENATE($N$48,"_",O60),選手名簿!$A:$E,5,FALSE))=TRUE,"",VLOOKUP(CONCATENATE($N$48,"_",O60),選手名簿!$A:$E,5,FALSE))</f>
        <v/>
      </c>
      <c r="O60" s="214"/>
      <c r="P60" s="214"/>
      <c r="Q60" s="221"/>
      <c r="R60" s="223"/>
      <c r="S60" s="221"/>
      <c r="T60" s="214"/>
      <c r="U60" s="214"/>
      <c r="V60" s="209" t="str">
        <f>IF(ISERROR(VLOOKUP(CONCATENATE($V$48,"_",U60),選手名簿!$A:$E,5,FALSE))=TRUE,"",VLOOKUP(CONCATENATE($V$48,"_",U60),選手名簿!$A:$E,5,FALSE))</f>
        <v/>
      </c>
      <c r="W60" s="226"/>
      <c r="Y60" s="58"/>
      <c r="Z60" s="713" t="str">
        <f>$N$7</f>
        <v>L1</v>
      </c>
      <c r="AA60" s="713"/>
      <c r="AB60" s="713"/>
      <c r="AC60" s="713" t="str">
        <f>$O$7</f>
        <v>四日市南ＳＳＣ</v>
      </c>
      <c r="AD60" s="713"/>
      <c r="AE60" s="713"/>
      <c r="AF60" s="713"/>
      <c r="AG60" s="713"/>
      <c r="AH60" s="713"/>
      <c r="AI60" s="713"/>
      <c r="AJ60" s="713"/>
      <c r="AK60" s="713"/>
      <c r="AL60" s="713"/>
      <c r="AM60" s="713"/>
      <c r="AN60" s="713"/>
      <c r="AO60" s="713"/>
      <c r="AP60" s="713" t="str">
        <f>$V$7</f>
        <v>宇佐高田</v>
      </c>
      <c r="AQ60" s="713"/>
      <c r="AR60" s="713"/>
      <c r="AS60" s="713"/>
    </row>
    <row r="61" spans="1:67" x14ac:dyDescent="0.25">
      <c r="A61" s="199"/>
      <c r="B61" s="209" t="str">
        <f>IF(ISERROR(VLOOKUP(CONCATENATE($B$48,"_",C61),選手名簿!$A:$E,5,FALSE))=TRUE,"",VLOOKUP(CONCATENATE($B$48,"_",C61),選手名簿!$A:$E,5,FALSE))</f>
        <v/>
      </c>
      <c r="C61" s="214"/>
      <c r="D61" s="214"/>
      <c r="E61" s="221"/>
      <c r="F61" s="223"/>
      <c r="G61" s="221"/>
      <c r="H61" s="214"/>
      <c r="I61" s="214"/>
      <c r="J61" s="209" t="str">
        <f>IF(ISERROR(VLOOKUP(CONCATENATE($J$48,"_",I61),選手名簿!$A:$E,5,FALSE))=TRUE,"",VLOOKUP(CONCATENATE($J$48,"_",I61),選手名簿!$A:$E,5,FALSE))</f>
        <v/>
      </c>
      <c r="K61" s="226"/>
      <c r="L61" s="190"/>
      <c r="M61" s="199"/>
      <c r="N61" s="209" t="str">
        <f>IF(ISERROR(VLOOKUP(CONCATENATE($N$48,"_",O61),選手名簿!$A:$E,5,FALSE))=TRUE,"",VLOOKUP(CONCATENATE($N$48,"_",O61),選手名簿!$A:$E,5,FALSE))</f>
        <v/>
      </c>
      <c r="O61" s="214"/>
      <c r="P61" s="214"/>
      <c r="Q61" s="221"/>
      <c r="R61" s="223"/>
      <c r="S61" s="221"/>
      <c r="T61" s="214"/>
      <c r="U61" s="214"/>
      <c r="V61" s="209" t="str">
        <f>IF(ISERROR(VLOOKUP(CONCATENATE($V$48,"_",U61),選手名簿!$A:$E,5,FALSE))=TRUE,"",VLOOKUP(CONCATENATE($V$48,"_",U61),選手名簿!$A:$E,5,FALSE))</f>
        <v/>
      </c>
      <c r="W61" s="226"/>
      <c r="Y61" s="58"/>
      <c r="Z61" s="713"/>
      <c r="AA61" s="713"/>
      <c r="AB61" s="713"/>
      <c r="AC61" s="713"/>
      <c r="AD61" s="713"/>
      <c r="AE61" s="713"/>
      <c r="AF61" s="713"/>
      <c r="AG61" s="713"/>
      <c r="AH61" s="713"/>
      <c r="AI61" s="713"/>
      <c r="AJ61" s="713"/>
      <c r="AK61" s="713"/>
      <c r="AL61" s="713"/>
      <c r="AM61" s="713"/>
      <c r="AN61" s="713"/>
      <c r="AO61" s="713"/>
      <c r="AP61" s="713"/>
      <c r="AQ61" s="713"/>
      <c r="AR61" s="713"/>
      <c r="AS61" s="713"/>
    </row>
    <row r="62" spans="1:67" x14ac:dyDescent="0.25">
      <c r="A62" s="199"/>
      <c r="B62" s="209" t="str">
        <f>IF(ISERROR(VLOOKUP(CONCATENATE($B$48,"_",C62),選手名簿!$A:$E,5,FALSE))=TRUE,"",VLOOKUP(CONCATENATE($B$48,"_",C62),選手名簿!$A:$E,5,FALSE))</f>
        <v/>
      </c>
      <c r="C62" s="214"/>
      <c r="D62" s="214"/>
      <c r="E62" s="221"/>
      <c r="F62" s="223"/>
      <c r="G62" s="221"/>
      <c r="H62" s="214"/>
      <c r="I62" s="214"/>
      <c r="J62" s="209" t="str">
        <f>IF(ISERROR(VLOOKUP(CONCATENATE($J$48,"_",I62),選手名簿!$A:$E,5,FALSE))=TRUE,"",VLOOKUP(CONCATENATE($J$48,"_",I62),選手名簿!$A:$E,5,FALSE))</f>
        <v/>
      </c>
      <c r="K62" s="226"/>
      <c r="L62" s="190"/>
      <c r="M62" s="199"/>
      <c r="N62" s="209" t="str">
        <f>IF(ISERROR(VLOOKUP(CONCATENATE($N$48,"_",O62),選手名簿!$A:$E,5,FALSE))=TRUE,"",VLOOKUP(CONCATENATE($N$48,"_",O62),選手名簿!$A:$E,5,FALSE))</f>
        <v/>
      </c>
      <c r="O62" s="214"/>
      <c r="P62" s="214"/>
      <c r="Q62" s="221"/>
      <c r="R62" s="223"/>
      <c r="S62" s="221"/>
      <c r="T62" s="214"/>
      <c r="U62" s="214"/>
      <c r="V62" s="209" t="str">
        <f>IF(ISERROR(VLOOKUP(CONCATENATE($V$48,"_",U62),選手名簿!$A:$E,5,FALSE))=TRUE,"",VLOOKUP(CONCATENATE($V$48,"_",U62),選手名簿!$A:$E,5,FALSE))</f>
        <v/>
      </c>
      <c r="W62" s="226"/>
      <c r="Y62" s="58"/>
      <c r="Z62" s="713" t="str">
        <f>$N$8</f>
        <v>L2</v>
      </c>
      <c r="AA62" s="713"/>
      <c r="AB62" s="713"/>
      <c r="AC62" s="713" t="str">
        <f>$O$8</f>
        <v>明野東サッカースポーツ少年団</v>
      </c>
      <c r="AD62" s="713"/>
      <c r="AE62" s="713"/>
      <c r="AF62" s="713"/>
      <c r="AG62" s="713"/>
      <c r="AH62" s="713"/>
      <c r="AI62" s="713"/>
      <c r="AJ62" s="713"/>
      <c r="AK62" s="713"/>
      <c r="AL62" s="713"/>
      <c r="AM62" s="713"/>
      <c r="AN62" s="713"/>
      <c r="AO62" s="713"/>
      <c r="AP62" s="713" t="str">
        <f>$V$8</f>
        <v>大分</v>
      </c>
      <c r="AQ62" s="713"/>
      <c r="AR62" s="713"/>
      <c r="AS62" s="713"/>
    </row>
    <row r="63" spans="1:67" x14ac:dyDescent="0.25">
      <c r="A63" s="200"/>
      <c r="B63" s="210" t="str">
        <f>IF(ISERROR(VLOOKUP(CONCATENATE($B$48,"_",C63),選手名簿!$A:$E,5,FALSE))=TRUE,"",VLOOKUP(CONCATENATE($B$48,"_",C63),選手名簿!$A:$E,5,FALSE))</f>
        <v/>
      </c>
      <c r="C63" s="215"/>
      <c r="D63" s="215"/>
      <c r="E63" s="222"/>
      <c r="F63" s="224"/>
      <c r="G63" s="222"/>
      <c r="H63" s="215"/>
      <c r="I63" s="215"/>
      <c r="J63" s="210" t="str">
        <f>IF(ISERROR(VLOOKUP(CONCATENATE($J$48,"_",I63),選手名簿!$A:$E,5,FALSE))=TRUE,"",VLOOKUP(CONCATENATE($J$48,"_",I63),選手名簿!$A:$E,5,FALSE))</f>
        <v/>
      </c>
      <c r="K63" s="227"/>
      <c r="L63" s="190"/>
      <c r="M63" s="200"/>
      <c r="N63" s="210" t="str">
        <f>IF(ISERROR(VLOOKUP(CONCATENATE($N$48,"_",O63),選手名簿!$A:$E,5,FALSE))=TRUE,"",VLOOKUP(CONCATENATE($N$48,"_",O63),選手名簿!$A:$E,5,FALSE))</f>
        <v/>
      </c>
      <c r="O63" s="215"/>
      <c r="P63" s="215"/>
      <c r="Q63" s="222"/>
      <c r="R63" s="224"/>
      <c r="S63" s="222"/>
      <c r="T63" s="215"/>
      <c r="U63" s="215"/>
      <c r="V63" s="210" t="str">
        <f>IF(ISERROR(VLOOKUP(CONCATENATE($V$48,"_",U63),選手名簿!$A:$E,5,FALSE))=TRUE,"",VLOOKUP(CONCATENATE($V$48,"_",U63),選手名簿!$A:$E,5,FALSE))</f>
        <v/>
      </c>
      <c r="W63" s="227"/>
      <c r="Y63" s="58"/>
      <c r="Z63" s="713"/>
      <c r="AA63" s="713"/>
      <c r="AB63" s="713"/>
      <c r="AC63" s="713"/>
      <c r="AD63" s="713"/>
      <c r="AE63" s="713"/>
      <c r="AF63" s="713"/>
      <c r="AG63" s="713"/>
      <c r="AH63" s="713"/>
      <c r="AI63" s="713"/>
      <c r="AJ63" s="713"/>
      <c r="AK63" s="713"/>
      <c r="AL63" s="713"/>
      <c r="AM63" s="713"/>
      <c r="AN63" s="713"/>
      <c r="AO63" s="713"/>
      <c r="AP63" s="713"/>
      <c r="AQ63" s="713"/>
      <c r="AR63" s="713"/>
      <c r="AS63" s="713"/>
    </row>
    <row r="64" spans="1:67" ht="18.75" customHeight="1" x14ac:dyDescent="0.25">
      <c r="A64" s="190"/>
      <c r="B64" s="190"/>
      <c r="C64" s="190"/>
      <c r="D64" s="190"/>
      <c r="E64" s="190"/>
      <c r="F64" s="190"/>
      <c r="G64" s="190"/>
      <c r="H64" s="190"/>
      <c r="I64" s="190"/>
      <c r="J64" s="190"/>
      <c r="K64" s="190"/>
      <c r="L64" s="190"/>
      <c r="M64" s="190"/>
      <c r="N64" s="190"/>
      <c r="O64" s="190"/>
      <c r="P64" s="190"/>
      <c r="Q64" s="190"/>
      <c r="R64" s="190"/>
      <c r="S64" s="190"/>
      <c r="T64" s="190"/>
      <c r="U64" s="190"/>
      <c r="V64" s="190"/>
      <c r="Y64" s="190"/>
      <c r="Z64" s="713" t="str">
        <f>$N$9</f>
        <v>L3</v>
      </c>
      <c r="AA64" s="713"/>
      <c r="AB64" s="713"/>
      <c r="AC64" s="713" t="str">
        <f>$O$9</f>
        <v>佐伯リベロフットボールクラブ</v>
      </c>
      <c r="AD64" s="713"/>
      <c r="AE64" s="713"/>
      <c r="AF64" s="713"/>
      <c r="AG64" s="713"/>
      <c r="AH64" s="713"/>
      <c r="AI64" s="713"/>
      <c r="AJ64" s="713"/>
      <c r="AK64" s="713"/>
      <c r="AL64" s="713"/>
      <c r="AM64" s="713"/>
      <c r="AN64" s="713"/>
      <c r="AO64" s="713"/>
      <c r="AP64" s="713" t="str">
        <f>$V$9</f>
        <v>佐伯</v>
      </c>
      <c r="AQ64" s="713"/>
      <c r="AR64" s="713"/>
      <c r="AS64" s="713"/>
    </row>
    <row r="65" spans="25:67" x14ac:dyDescent="0.25">
      <c r="Z65" s="713"/>
      <c r="AA65" s="713"/>
      <c r="AB65" s="713"/>
      <c r="AC65" s="713"/>
      <c r="AD65" s="713"/>
      <c r="AE65" s="713"/>
      <c r="AF65" s="713"/>
      <c r="AG65" s="713"/>
      <c r="AH65" s="713"/>
      <c r="AI65" s="713"/>
      <c r="AJ65" s="713"/>
      <c r="AK65" s="713"/>
      <c r="AL65" s="713"/>
      <c r="AM65" s="713"/>
      <c r="AN65" s="713"/>
      <c r="AO65" s="713"/>
      <c r="AP65" s="713"/>
      <c r="AQ65" s="713"/>
      <c r="AR65" s="713"/>
      <c r="AS65" s="713"/>
    </row>
    <row r="70" spans="25:67" ht="18.75" customHeight="1" x14ac:dyDescent="0.25"/>
    <row r="71" spans="25:67" ht="18.75" customHeight="1" x14ac:dyDescent="0.25"/>
    <row r="72" spans="25:67" ht="18.75" customHeight="1" x14ac:dyDescent="0.25">
      <c r="Y72" s="954" t="str">
        <f>$Y$6</f>
        <v>パート</v>
      </c>
      <c r="Z72" s="955"/>
      <c r="AA72" s="955"/>
      <c r="AB72" s="955"/>
      <c r="AC72" s="955" t="str">
        <f>$AB$58</f>
        <v>L</v>
      </c>
      <c r="AD72" s="955"/>
      <c r="AE72" s="956"/>
      <c r="AF72" s="945" t="str">
        <f>$Y$78</f>
        <v>四日市南ＳＳＣ</v>
      </c>
      <c r="AG72" s="945"/>
      <c r="AH72" s="945"/>
      <c r="AI72" s="945"/>
      <c r="AJ72" s="945"/>
      <c r="AK72" s="945" t="str">
        <f>$Y$84</f>
        <v>明野東サッカースポーツ少年団</v>
      </c>
      <c r="AL72" s="945"/>
      <c r="AM72" s="945"/>
      <c r="AN72" s="945"/>
      <c r="AO72" s="945"/>
      <c r="AP72" s="945" t="str">
        <f>$Y$90</f>
        <v>佐伯リベロフットボールクラブ</v>
      </c>
      <c r="AQ72" s="945"/>
      <c r="AR72" s="945"/>
      <c r="AS72" s="945"/>
      <c r="AT72" s="945"/>
      <c r="AU72" s="945" t="s">
        <v>1535</v>
      </c>
      <c r="AV72" s="945"/>
      <c r="AW72" s="944" t="s">
        <v>2060</v>
      </c>
      <c r="AX72" s="945"/>
      <c r="AY72" s="944" t="s">
        <v>1208</v>
      </c>
      <c r="AZ72" s="945"/>
      <c r="BA72" s="945" t="s">
        <v>1727</v>
      </c>
      <c r="BB72" s="945"/>
      <c r="BC72" s="945" t="s">
        <v>2005</v>
      </c>
      <c r="BD72" s="945"/>
      <c r="BE72" s="945" t="s">
        <v>2006</v>
      </c>
      <c r="BF72" s="945"/>
      <c r="BG72" s="945" t="s">
        <v>1768</v>
      </c>
      <c r="BH72" s="945"/>
      <c r="BI72" s="944" t="s">
        <v>698</v>
      </c>
      <c r="BJ72" s="945"/>
      <c r="BK72" s="944" t="s">
        <v>1100</v>
      </c>
      <c r="BL72" s="945"/>
      <c r="BM72" s="944" t="s">
        <v>502</v>
      </c>
      <c r="BN72" s="945"/>
      <c r="BO72" s="947" t="s">
        <v>2127</v>
      </c>
    </row>
    <row r="73" spans="25:67" ht="18.75" customHeight="1" x14ac:dyDescent="0.25">
      <c r="Y73" s="905"/>
      <c r="Z73" s="906"/>
      <c r="AA73" s="906"/>
      <c r="AB73" s="906"/>
      <c r="AC73" s="906"/>
      <c r="AD73" s="906"/>
      <c r="AE73" s="957"/>
      <c r="AF73" s="946"/>
      <c r="AG73" s="946"/>
      <c r="AH73" s="946"/>
      <c r="AI73" s="946"/>
      <c r="AJ73" s="946"/>
      <c r="AK73" s="946"/>
      <c r="AL73" s="946"/>
      <c r="AM73" s="946"/>
      <c r="AN73" s="946"/>
      <c r="AO73" s="946"/>
      <c r="AP73" s="946"/>
      <c r="AQ73" s="946"/>
      <c r="AR73" s="946"/>
      <c r="AS73" s="946"/>
      <c r="AT73" s="946"/>
      <c r="AU73" s="946"/>
      <c r="AV73" s="946"/>
      <c r="AW73" s="946"/>
      <c r="AX73" s="946"/>
      <c r="AY73" s="946"/>
      <c r="AZ73" s="946"/>
      <c r="BA73" s="946"/>
      <c r="BB73" s="946"/>
      <c r="BC73" s="946"/>
      <c r="BD73" s="946"/>
      <c r="BE73" s="946"/>
      <c r="BF73" s="946"/>
      <c r="BG73" s="946"/>
      <c r="BH73" s="946"/>
      <c r="BI73" s="946"/>
      <c r="BJ73" s="946"/>
      <c r="BK73" s="946"/>
      <c r="BL73" s="946"/>
      <c r="BM73" s="946"/>
      <c r="BN73" s="946"/>
      <c r="BO73" s="948"/>
    </row>
    <row r="74" spans="25:67" ht="18.75" customHeight="1" x14ac:dyDescent="0.25">
      <c r="Y74" s="905"/>
      <c r="Z74" s="906"/>
      <c r="AA74" s="906"/>
      <c r="AB74" s="906"/>
      <c r="AC74" s="906"/>
      <c r="AD74" s="906"/>
      <c r="AE74" s="957"/>
      <c r="AF74" s="946"/>
      <c r="AG74" s="946"/>
      <c r="AH74" s="946"/>
      <c r="AI74" s="946"/>
      <c r="AJ74" s="946"/>
      <c r="AK74" s="946"/>
      <c r="AL74" s="946"/>
      <c r="AM74" s="946"/>
      <c r="AN74" s="946"/>
      <c r="AO74" s="946"/>
      <c r="AP74" s="946"/>
      <c r="AQ74" s="946"/>
      <c r="AR74" s="946"/>
      <c r="AS74" s="946"/>
      <c r="AT74" s="946"/>
      <c r="AU74" s="946"/>
      <c r="AV74" s="946"/>
      <c r="AW74" s="946"/>
      <c r="AX74" s="946"/>
      <c r="AY74" s="946"/>
      <c r="AZ74" s="946"/>
      <c r="BA74" s="946"/>
      <c r="BB74" s="946"/>
      <c r="BC74" s="946"/>
      <c r="BD74" s="946"/>
      <c r="BE74" s="946"/>
      <c r="BF74" s="946"/>
      <c r="BG74" s="946"/>
      <c r="BH74" s="946"/>
      <c r="BI74" s="946"/>
      <c r="BJ74" s="946"/>
      <c r="BK74" s="946"/>
      <c r="BL74" s="946"/>
      <c r="BM74" s="946"/>
      <c r="BN74" s="946"/>
      <c r="BO74" s="948"/>
    </row>
    <row r="75" spans="25:67" ht="19.5" customHeight="1" x14ac:dyDescent="0.25">
      <c r="Y75" s="905"/>
      <c r="Z75" s="906"/>
      <c r="AA75" s="906"/>
      <c r="AB75" s="906"/>
      <c r="AC75" s="906"/>
      <c r="AD75" s="906"/>
      <c r="AE75" s="957"/>
      <c r="AF75" s="946"/>
      <c r="AG75" s="946"/>
      <c r="AH75" s="946"/>
      <c r="AI75" s="946"/>
      <c r="AJ75" s="946"/>
      <c r="AK75" s="946"/>
      <c r="AL75" s="946"/>
      <c r="AM75" s="946"/>
      <c r="AN75" s="946"/>
      <c r="AO75" s="946"/>
      <c r="AP75" s="946"/>
      <c r="AQ75" s="946"/>
      <c r="AR75" s="946"/>
      <c r="AS75" s="946"/>
      <c r="AT75" s="946"/>
      <c r="AU75" s="946"/>
      <c r="AV75" s="946"/>
      <c r="AW75" s="946"/>
      <c r="AX75" s="946"/>
      <c r="AY75" s="946"/>
      <c r="AZ75" s="946"/>
      <c r="BA75" s="946"/>
      <c r="BB75" s="946"/>
      <c r="BC75" s="946"/>
      <c r="BD75" s="946"/>
      <c r="BE75" s="946"/>
      <c r="BF75" s="946"/>
      <c r="BG75" s="946"/>
      <c r="BH75" s="946"/>
      <c r="BI75" s="946"/>
      <c r="BJ75" s="946"/>
      <c r="BK75" s="946"/>
      <c r="BL75" s="946"/>
      <c r="BM75" s="946"/>
      <c r="BN75" s="946"/>
      <c r="BO75" s="948"/>
    </row>
    <row r="76" spans="25:67" ht="19.5" customHeight="1" x14ac:dyDescent="0.25">
      <c r="Y76" s="905"/>
      <c r="Z76" s="906"/>
      <c r="AA76" s="906"/>
      <c r="AB76" s="906"/>
      <c r="AC76" s="906"/>
      <c r="AD76" s="906"/>
      <c r="AE76" s="957"/>
      <c r="AF76" s="946"/>
      <c r="AG76" s="946"/>
      <c r="AH76" s="946"/>
      <c r="AI76" s="946"/>
      <c r="AJ76" s="946"/>
      <c r="AK76" s="946"/>
      <c r="AL76" s="946"/>
      <c r="AM76" s="946"/>
      <c r="AN76" s="946"/>
      <c r="AO76" s="946"/>
      <c r="AP76" s="946"/>
      <c r="AQ76" s="946"/>
      <c r="AR76" s="946"/>
      <c r="AS76" s="946"/>
      <c r="AT76" s="946"/>
      <c r="AU76" s="946"/>
      <c r="AV76" s="946"/>
      <c r="AW76" s="946"/>
      <c r="AX76" s="946"/>
      <c r="AY76" s="946"/>
      <c r="AZ76" s="946"/>
      <c r="BA76" s="946"/>
      <c r="BB76" s="946"/>
      <c r="BC76" s="946"/>
      <c r="BD76" s="946"/>
      <c r="BE76" s="946"/>
      <c r="BF76" s="946"/>
      <c r="BG76" s="946"/>
      <c r="BH76" s="946"/>
      <c r="BI76" s="946"/>
      <c r="BJ76" s="946"/>
      <c r="BK76" s="946"/>
      <c r="BL76" s="946"/>
      <c r="BM76" s="946"/>
      <c r="BN76" s="946"/>
      <c r="BO76" s="948"/>
    </row>
    <row r="77" spans="25:67" ht="18.75" customHeight="1" x14ac:dyDescent="0.25">
      <c r="Y77" s="941"/>
      <c r="Z77" s="936"/>
      <c r="AA77" s="936"/>
      <c r="AB77" s="936"/>
      <c r="AC77" s="936"/>
      <c r="AD77" s="936"/>
      <c r="AE77" s="958"/>
      <c r="AF77" s="946"/>
      <c r="AG77" s="946"/>
      <c r="AH77" s="946"/>
      <c r="AI77" s="946"/>
      <c r="AJ77" s="946"/>
      <c r="AK77" s="946"/>
      <c r="AL77" s="946"/>
      <c r="AM77" s="946"/>
      <c r="AN77" s="946"/>
      <c r="AO77" s="946"/>
      <c r="AP77" s="946"/>
      <c r="AQ77" s="946"/>
      <c r="AR77" s="946"/>
      <c r="AS77" s="946"/>
      <c r="AT77" s="946"/>
      <c r="AU77" s="946"/>
      <c r="AV77" s="946"/>
      <c r="AW77" s="946"/>
      <c r="AX77" s="946"/>
      <c r="AY77" s="946"/>
      <c r="AZ77" s="946"/>
      <c r="BA77" s="946"/>
      <c r="BB77" s="946"/>
      <c r="BC77" s="946"/>
      <c r="BD77" s="946"/>
      <c r="BE77" s="946"/>
      <c r="BF77" s="946"/>
      <c r="BG77" s="946"/>
      <c r="BH77" s="946"/>
      <c r="BI77" s="946"/>
      <c r="BJ77" s="946"/>
      <c r="BK77" s="946"/>
      <c r="BL77" s="946"/>
      <c r="BM77" s="946"/>
      <c r="BN77" s="946"/>
      <c r="BO77" s="949"/>
    </row>
    <row r="78" spans="25:67" ht="18.75" customHeight="1" x14ac:dyDescent="0.25">
      <c r="Y78" s="939" t="str">
        <f>$AC$60</f>
        <v>四日市南ＳＳＣ</v>
      </c>
      <c r="Z78" s="940"/>
      <c r="AA78" s="940"/>
      <c r="AB78" s="940"/>
      <c r="AC78" s="940"/>
      <c r="AD78" s="940" t="s">
        <v>242</v>
      </c>
      <c r="AE78" s="940"/>
      <c r="AF78" s="950"/>
      <c r="AG78" s="942"/>
      <c r="AH78" s="942"/>
      <c r="AI78" s="942"/>
      <c r="AJ78" s="951"/>
      <c r="AK78" s="923" t="b">
        <f>IF(AK82="","",IF(AK82&gt;AN82,"○",IF(AK82&lt;AN82,"●",IF(AK80&gt;AN80,"△",IF(AK80&lt;AN80,"▲")))))</f>
        <v>0</v>
      </c>
      <c r="AL78" s="924"/>
      <c r="AM78" s="924"/>
      <c r="AN78" s="924"/>
      <c r="AO78" s="925"/>
      <c r="AP78" s="923" t="str">
        <f>IF(AP82="","",IF(AP82&gt;AS82,"○",IF(AP82&lt;AS82,"●",IF(AP80&gt;AS80,"△",IF(AP80&lt;AS80,"▲")))))</f>
        <v>○</v>
      </c>
      <c r="AQ78" s="924"/>
      <c r="AR78" s="924"/>
      <c r="AS78" s="924"/>
      <c r="AT78" s="925"/>
      <c r="AU78" s="903">
        <f>COUNTIF($AF$78:$AT$79,"○")</f>
        <v>1</v>
      </c>
      <c r="AV78" s="903"/>
      <c r="AW78" s="903">
        <f>COUNTIF($AF$78:$AT$79,"△")</f>
        <v>0</v>
      </c>
      <c r="AX78" s="903"/>
      <c r="AY78" s="903">
        <f>COUNTIF($AF$78:$AT$79,"▲")</f>
        <v>0</v>
      </c>
      <c r="AZ78" s="903"/>
      <c r="BA78" s="903">
        <f>COUNTIF($AF$78:$AT$79,"●")</f>
        <v>0</v>
      </c>
      <c r="BB78" s="903"/>
      <c r="BC78" s="903">
        <f>SUM($AK$82,$AP$82)</f>
        <v>3</v>
      </c>
      <c r="BD78" s="903"/>
      <c r="BE78" s="903">
        <f>SUM($AN$82,$AS$82)</f>
        <v>2</v>
      </c>
      <c r="BF78" s="903"/>
      <c r="BG78" s="903">
        <f>($AU$78*3)+($AW$78*2)+($AY$78*1)</f>
        <v>3</v>
      </c>
      <c r="BH78" s="903"/>
      <c r="BI78" s="910">
        <f>RANK($BG$78,$BG$78:$BH$95)</f>
        <v>1</v>
      </c>
      <c r="BJ78" s="910"/>
      <c r="BK78" s="903">
        <f>$BC$78-$BE$78</f>
        <v>1</v>
      </c>
      <c r="BL78" s="903"/>
      <c r="BM78" s="910">
        <f>RANK($BK$78,$BK$78:$BL$95)</f>
        <v>1</v>
      </c>
      <c r="BN78" s="910"/>
      <c r="BO78" s="912"/>
    </row>
    <row r="79" spans="25:67" ht="18.75" customHeight="1" x14ac:dyDescent="0.25">
      <c r="Y79" s="905"/>
      <c r="Z79" s="906"/>
      <c r="AA79" s="906"/>
      <c r="AB79" s="906"/>
      <c r="AC79" s="906"/>
      <c r="AD79" s="906"/>
      <c r="AE79" s="906"/>
      <c r="AF79" s="929"/>
      <c r="AG79" s="930"/>
      <c r="AH79" s="930"/>
      <c r="AI79" s="930"/>
      <c r="AJ79" s="931"/>
      <c r="AK79" s="917"/>
      <c r="AL79" s="918"/>
      <c r="AM79" s="918"/>
      <c r="AN79" s="918"/>
      <c r="AO79" s="920"/>
      <c r="AP79" s="917"/>
      <c r="AQ79" s="918"/>
      <c r="AR79" s="918"/>
      <c r="AS79" s="918"/>
      <c r="AT79" s="920"/>
      <c r="AU79" s="903"/>
      <c r="AV79" s="903"/>
      <c r="AW79" s="903"/>
      <c r="AX79" s="903"/>
      <c r="AY79" s="903"/>
      <c r="AZ79" s="903"/>
      <c r="BA79" s="903"/>
      <c r="BB79" s="903"/>
      <c r="BC79" s="903"/>
      <c r="BD79" s="903"/>
      <c r="BE79" s="903"/>
      <c r="BF79" s="903"/>
      <c r="BG79" s="903"/>
      <c r="BH79" s="903"/>
      <c r="BI79" s="910"/>
      <c r="BJ79" s="910"/>
      <c r="BK79" s="903"/>
      <c r="BL79" s="903"/>
      <c r="BM79" s="910"/>
      <c r="BN79" s="910"/>
      <c r="BO79" s="913"/>
    </row>
    <row r="80" spans="25:67" ht="18.75" customHeight="1" x14ac:dyDescent="0.25">
      <c r="Y80" s="905"/>
      <c r="Z80" s="906"/>
      <c r="AA80" s="906"/>
      <c r="AB80" s="906"/>
      <c r="AC80" s="906"/>
      <c r="AD80" s="906"/>
      <c r="AE80" s="906"/>
      <c r="AF80" s="929"/>
      <c r="AG80" s="930"/>
      <c r="AH80" s="930"/>
      <c r="AI80" s="930"/>
      <c r="AJ80" s="931"/>
      <c r="AK80" s="915" t="str">
        <f>IF($Q$14="","",$Q$14)</f>
        <v/>
      </c>
      <c r="AL80" s="916"/>
      <c r="AM80" s="916" t="s">
        <v>2011</v>
      </c>
      <c r="AN80" s="916" t="str">
        <f>IF($S$14="","",$S$14)</f>
        <v/>
      </c>
      <c r="AO80" s="919"/>
      <c r="AP80" s="915" t="str">
        <f>IF($S$50="","",$S$50)</f>
        <v/>
      </c>
      <c r="AQ80" s="916"/>
      <c r="AR80" s="916" t="s">
        <v>2011</v>
      </c>
      <c r="AS80" s="916" t="str">
        <f>IF($Q$50="","",$Q$50)</f>
        <v/>
      </c>
      <c r="AT80" s="919"/>
      <c r="AU80" s="903"/>
      <c r="AV80" s="903"/>
      <c r="AW80" s="903"/>
      <c r="AX80" s="903"/>
      <c r="AY80" s="903"/>
      <c r="AZ80" s="903"/>
      <c r="BA80" s="903"/>
      <c r="BB80" s="903"/>
      <c r="BC80" s="903"/>
      <c r="BD80" s="903"/>
      <c r="BE80" s="903"/>
      <c r="BF80" s="903"/>
      <c r="BG80" s="903"/>
      <c r="BH80" s="903"/>
      <c r="BI80" s="910"/>
      <c r="BJ80" s="910"/>
      <c r="BK80" s="903"/>
      <c r="BL80" s="903"/>
      <c r="BM80" s="910"/>
      <c r="BN80" s="910"/>
      <c r="BO80" s="913"/>
    </row>
    <row r="81" spans="25:67" ht="19.5" customHeight="1" x14ac:dyDescent="0.25">
      <c r="Y81" s="905"/>
      <c r="Z81" s="906"/>
      <c r="AA81" s="906"/>
      <c r="AB81" s="906"/>
      <c r="AC81" s="906"/>
      <c r="AD81" s="906" t="s">
        <v>2010</v>
      </c>
      <c r="AE81" s="906"/>
      <c r="AF81" s="929"/>
      <c r="AG81" s="930"/>
      <c r="AH81" s="930"/>
      <c r="AI81" s="930"/>
      <c r="AJ81" s="931"/>
      <c r="AK81" s="917"/>
      <c r="AL81" s="918"/>
      <c r="AM81" s="918"/>
      <c r="AN81" s="918"/>
      <c r="AO81" s="920"/>
      <c r="AP81" s="917"/>
      <c r="AQ81" s="918"/>
      <c r="AR81" s="918"/>
      <c r="AS81" s="918"/>
      <c r="AT81" s="920"/>
      <c r="AU81" s="903"/>
      <c r="AV81" s="903"/>
      <c r="AW81" s="903"/>
      <c r="AX81" s="903"/>
      <c r="AY81" s="903"/>
      <c r="AZ81" s="903"/>
      <c r="BA81" s="903"/>
      <c r="BB81" s="903"/>
      <c r="BC81" s="903"/>
      <c r="BD81" s="903"/>
      <c r="BE81" s="903"/>
      <c r="BF81" s="903"/>
      <c r="BG81" s="903"/>
      <c r="BH81" s="903"/>
      <c r="BI81" s="910"/>
      <c r="BJ81" s="910"/>
      <c r="BK81" s="903"/>
      <c r="BL81" s="903"/>
      <c r="BM81" s="910"/>
      <c r="BN81" s="910"/>
      <c r="BO81" s="913"/>
    </row>
    <row r="82" spans="25:67" ht="18.75" customHeight="1" x14ac:dyDescent="0.25">
      <c r="Y82" s="905"/>
      <c r="Z82" s="906"/>
      <c r="AA82" s="906"/>
      <c r="AB82" s="906"/>
      <c r="AC82" s="906"/>
      <c r="AD82" s="906"/>
      <c r="AE82" s="906"/>
      <c r="AF82" s="929"/>
      <c r="AG82" s="930"/>
      <c r="AH82" s="930"/>
      <c r="AI82" s="930"/>
      <c r="AJ82" s="931"/>
      <c r="AK82" s="915">
        <f>$O$12</f>
        <v>1</v>
      </c>
      <c r="AL82" s="916"/>
      <c r="AM82" s="916" t="s">
        <v>2011</v>
      </c>
      <c r="AN82" s="916">
        <f>$U$12</f>
        <v>1</v>
      </c>
      <c r="AO82" s="919"/>
      <c r="AP82" s="915">
        <f>$U$48</f>
        <v>2</v>
      </c>
      <c r="AQ82" s="916"/>
      <c r="AR82" s="916" t="s">
        <v>2011</v>
      </c>
      <c r="AS82" s="916">
        <f>$O$48</f>
        <v>1</v>
      </c>
      <c r="AT82" s="919"/>
      <c r="AU82" s="903"/>
      <c r="AV82" s="903"/>
      <c r="AW82" s="903"/>
      <c r="AX82" s="903"/>
      <c r="AY82" s="903"/>
      <c r="AZ82" s="903"/>
      <c r="BA82" s="903"/>
      <c r="BB82" s="903"/>
      <c r="BC82" s="903"/>
      <c r="BD82" s="903"/>
      <c r="BE82" s="903"/>
      <c r="BF82" s="903"/>
      <c r="BG82" s="903"/>
      <c r="BH82" s="903"/>
      <c r="BI82" s="910"/>
      <c r="BJ82" s="910"/>
      <c r="BK82" s="903"/>
      <c r="BL82" s="903"/>
      <c r="BM82" s="910"/>
      <c r="BN82" s="910"/>
      <c r="BO82" s="913"/>
    </row>
    <row r="83" spans="25:67" ht="18.75" customHeight="1" x14ac:dyDescent="0.25">
      <c r="Y83" s="941"/>
      <c r="Z83" s="936"/>
      <c r="AA83" s="936"/>
      <c r="AB83" s="936"/>
      <c r="AC83" s="936"/>
      <c r="AD83" s="936"/>
      <c r="AE83" s="936"/>
      <c r="AF83" s="952"/>
      <c r="AG83" s="943"/>
      <c r="AH83" s="943"/>
      <c r="AI83" s="943"/>
      <c r="AJ83" s="953"/>
      <c r="AK83" s="937"/>
      <c r="AL83" s="560"/>
      <c r="AM83" s="560"/>
      <c r="AN83" s="560"/>
      <c r="AO83" s="938"/>
      <c r="AP83" s="937"/>
      <c r="AQ83" s="560"/>
      <c r="AR83" s="560"/>
      <c r="AS83" s="560"/>
      <c r="AT83" s="938"/>
      <c r="AU83" s="903"/>
      <c r="AV83" s="903"/>
      <c r="AW83" s="903"/>
      <c r="AX83" s="903"/>
      <c r="AY83" s="903"/>
      <c r="AZ83" s="903"/>
      <c r="BA83" s="903"/>
      <c r="BB83" s="903"/>
      <c r="BC83" s="903"/>
      <c r="BD83" s="903"/>
      <c r="BE83" s="903"/>
      <c r="BF83" s="903"/>
      <c r="BG83" s="903"/>
      <c r="BH83" s="903"/>
      <c r="BI83" s="910"/>
      <c r="BJ83" s="910"/>
      <c r="BK83" s="903"/>
      <c r="BL83" s="903"/>
      <c r="BM83" s="910"/>
      <c r="BN83" s="910"/>
      <c r="BO83" s="935"/>
    </row>
    <row r="84" spans="25:67" ht="18.75" customHeight="1" x14ac:dyDescent="0.25">
      <c r="Y84" s="939" t="str">
        <f>$AC$62</f>
        <v>明野東サッカースポーツ少年団</v>
      </c>
      <c r="Z84" s="940"/>
      <c r="AA84" s="940"/>
      <c r="AB84" s="940"/>
      <c r="AC84" s="940"/>
      <c r="AD84" s="940" t="s">
        <v>242</v>
      </c>
      <c r="AE84" s="940"/>
      <c r="AF84" s="923" t="b">
        <f>IF(AF88="","",IF(AF88&gt;AI88,"○",IF(AF88&lt;AI88,"●",IF(AF86&gt;AI86,"△",IF(AF86&lt;AI86,"▲")))))</f>
        <v>0</v>
      </c>
      <c r="AG84" s="924"/>
      <c r="AH84" s="924"/>
      <c r="AI84" s="924"/>
      <c r="AJ84" s="925"/>
      <c r="AK84" s="942"/>
      <c r="AL84" s="942"/>
      <c r="AM84" s="942"/>
      <c r="AN84" s="942"/>
      <c r="AO84" s="942"/>
      <c r="AP84" s="923" t="str">
        <f>IF(AP88="","",IF(AP88&gt;AS88,"○",IF(AP88&lt;AS88,"●",IF(AP86&gt;AS86,"△",IF(AP86&lt;AS86,"▲")))))</f>
        <v>●</v>
      </c>
      <c r="AQ84" s="924"/>
      <c r="AR84" s="924"/>
      <c r="AS84" s="924"/>
      <c r="AT84" s="925"/>
      <c r="AU84" s="903">
        <f>COUNTIF($AF$84:$AT$85,"○")</f>
        <v>0</v>
      </c>
      <c r="AV84" s="903"/>
      <c r="AW84" s="903">
        <f>COUNTIF($AF$84:$AT$85,"△")</f>
        <v>0</v>
      </c>
      <c r="AX84" s="903"/>
      <c r="AY84" s="903">
        <f>COUNTIF($AF$84:$AT$85,"▲")</f>
        <v>0</v>
      </c>
      <c r="AZ84" s="903"/>
      <c r="BA84" s="903">
        <f>COUNTIF($AF$84:$AT$85,"●")</f>
        <v>1</v>
      </c>
      <c r="BB84" s="903"/>
      <c r="BC84" s="903">
        <f>SUM($AF$88,$AP$88)</f>
        <v>1</v>
      </c>
      <c r="BD84" s="903"/>
      <c r="BE84" s="903">
        <f>SUM($AI$88,$AS$88)</f>
        <v>2</v>
      </c>
      <c r="BF84" s="903"/>
      <c r="BG84" s="903">
        <f>($AU$84*3)+($AW$84*2)+($AY$84*1)</f>
        <v>0</v>
      </c>
      <c r="BH84" s="903"/>
      <c r="BI84" s="910">
        <f>RANK($BG$84,$BG$78:$BH$95)</f>
        <v>3</v>
      </c>
      <c r="BJ84" s="910"/>
      <c r="BK84" s="903">
        <f>$BC$84-$BE$84</f>
        <v>-1</v>
      </c>
      <c r="BL84" s="903"/>
      <c r="BM84" s="910">
        <f>RANK($BK$84,$BK$78:$BL$95)</f>
        <v>3</v>
      </c>
      <c r="BN84" s="910"/>
      <c r="BO84" s="912"/>
    </row>
    <row r="85" spans="25:67" ht="18.75" customHeight="1" x14ac:dyDescent="0.25">
      <c r="Y85" s="905"/>
      <c r="Z85" s="906"/>
      <c r="AA85" s="906"/>
      <c r="AB85" s="906"/>
      <c r="AC85" s="906"/>
      <c r="AD85" s="906"/>
      <c r="AE85" s="906"/>
      <c r="AF85" s="917"/>
      <c r="AG85" s="918"/>
      <c r="AH85" s="918"/>
      <c r="AI85" s="918"/>
      <c r="AJ85" s="920"/>
      <c r="AK85" s="930"/>
      <c r="AL85" s="930"/>
      <c r="AM85" s="930"/>
      <c r="AN85" s="930"/>
      <c r="AO85" s="930"/>
      <c r="AP85" s="917"/>
      <c r="AQ85" s="918"/>
      <c r="AR85" s="918"/>
      <c r="AS85" s="918"/>
      <c r="AT85" s="920"/>
      <c r="AU85" s="903"/>
      <c r="AV85" s="903"/>
      <c r="AW85" s="903"/>
      <c r="AX85" s="903"/>
      <c r="AY85" s="903"/>
      <c r="AZ85" s="903"/>
      <c r="BA85" s="903"/>
      <c r="BB85" s="903"/>
      <c r="BC85" s="903"/>
      <c r="BD85" s="903"/>
      <c r="BE85" s="903"/>
      <c r="BF85" s="903"/>
      <c r="BG85" s="903"/>
      <c r="BH85" s="903"/>
      <c r="BI85" s="910"/>
      <c r="BJ85" s="910"/>
      <c r="BK85" s="903"/>
      <c r="BL85" s="903"/>
      <c r="BM85" s="910"/>
      <c r="BN85" s="910"/>
      <c r="BO85" s="913"/>
    </row>
    <row r="86" spans="25:67" ht="19.5" customHeight="1" x14ac:dyDescent="0.25">
      <c r="Y86" s="905"/>
      <c r="Z86" s="906"/>
      <c r="AA86" s="906"/>
      <c r="AB86" s="906"/>
      <c r="AC86" s="906"/>
      <c r="AD86" s="906"/>
      <c r="AE86" s="906"/>
      <c r="AF86" s="915" t="str">
        <f>AN80</f>
        <v/>
      </c>
      <c r="AG86" s="916"/>
      <c r="AH86" s="916" t="s">
        <v>2011</v>
      </c>
      <c r="AI86" s="916" t="str">
        <f>AK80</f>
        <v/>
      </c>
      <c r="AJ86" s="919"/>
      <c r="AK86" s="930"/>
      <c r="AL86" s="930"/>
      <c r="AM86" s="930"/>
      <c r="AN86" s="930"/>
      <c r="AO86" s="930"/>
      <c r="AP86" s="915" t="str">
        <f>IF($Q$32="","",$Q$32)</f>
        <v/>
      </c>
      <c r="AQ86" s="916"/>
      <c r="AR86" s="916" t="s">
        <v>2011</v>
      </c>
      <c r="AS86" s="916" t="str">
        <f>IF($S$32="","",$S$32)</f>
        <v/>
      </c>
      <c r="AT86" s="919"/>
      <c r="AU86" s="903"/>
      <c r="AV86" s="903"/>
      <c r="AW86" s="903"/>
      <c r="AX86" s="903"/>
      <c r="AY86" s="903"/>
      <c r="AZ86" s="903"/>
      <c r="BA86" s="903"/>
      <c r="BB86" s="903"/>
      <c r="BC86" s="903"/>
      <c r="BD86" s="903"/>
      <c r="BE86" s="903"/>
      <c r="BF86" s="903"/>
      <c r="BG86" s="903"/>
      <c r="BH86" s="903"/>
      <c r="BI86" s="910"/>
      <c r="BJ86" s="910"/>
      <c r="BK86" s="903"/>
      <c r="BL86" s="903"/>
      <c r="BM86" s="910"/>
      <c r="BN86" s="910"/>
      <c r="BO86" s="913"/>
    </row>
    <row r="87" spans="25:67" ht="19.5" customHeight="1" x14ac:dyDescent="0.25">
      <c r="Y87" s="905"/>
      <c r="Z87" s="906"/>
      <c r="AA87" s="906"/>
      <c r="AB87" s="906"/>
      <c r="AC87" s="906"/>
      <c r="AD87" s="906" t="s">
        <v>2010</v>
      </c>
      <c r="AE87" s="906"/>
      <c r="AF87" s="917"/>
      <c r="AG87" s="918"/>
      <c r="AH87" s="918"/>
      <c r="AI87" s="918"/>
      <c r="AJ87" s="920"/>
      <c r="AK87" s="930"/>
      <c r="AL87" s="930"/>
      <c r="AM87" s="930"/>
      <c r="AN87" s="930"/>
      <c r="AO87" s="930"/>
      <c r="AP87" s="917"/>
      <c r="AQ87" s="918"/>
      <c r="AR87" s="918"/>
      <c r="AS87" s="918"/>
      <c r="AT87" s="920"/>
      <c r="AU87" s="903"/>
      <c r="AV87" s="903"/>
      <c r="AW87" s="903"/>
      <c r="AX87" s="903"/>
      <c r="AY87" s="903"/>
      <c r="AZ87" s="903"/>
      <c r="BA87" s="903"/>
      <c r="BB87" s="903"/>
      <c r="BC87" s="903"/>
      <c r="BD87" s="903"/>
      <c r="BE87" s="903"/>
      <c r="BF87" s="903"/>
      <c r="BG87" s="903"/>
      <c r="BH87" s="903"/>
      <c r="BI87" s="910"/>
      <c r="BJ87" s="910"/>
      <c r="BK87" s="903"/>
      <c r="BL87" s="903"/>
      <c r="BM87" s="910"/>
      <c r="BN87" s="910"/>
      <c r="BO87" s="913"/>
    </row>
    <row r="88" spans="25:67" ht="18.75" customHeight="1" x14ac:dyDescent="0.25">
      <c r="Y88" s="905"/>
      <c r="Z88" s="906"/>
      <c r="AA88" s="906"/>
      <c r="AB88" s="906"/>
      <c r="AC88" s="906"/>
      <c r="AD88" s="906"/>
      <c r="AE88" s="906"/>
      <c r="AF88" s="915">
        <f>AN82</f>
        <v>1</v>
      </c>
      <c r="AG88" s="916"/>
      <c r="AH88" s="916" t="s">
        <v>2011</v>
      </c>
      <c r="AI88" s="916">
        <f>AK82</f>
        <v>1</v>
      </c>
      <c r="AJ88" s="919"/>
      <c r="AK88" s="930"/>
      <c r="AL88" s="930"/>
      <c r="AM88" s="930"/>
      <c r="AN88" s="930"/>
      <c r="AO88" s="930"/>
      <c r="AP88" s="915">
        <f>$O$30</f>
        <v>0</v>
      </c>
      <c r="AQ88" s="916"/>
      <c r="AR88" s="916" t="s">
        <v>2011</v>
      </c>
      <c r="AS88" s="916">
        <f>$U$30</f>
        <v>1</v>
      </c>
      <c r="AT88" s="919"/>
      <c r="AU88" s="903"/>
      <c r="AV88" s="903"/>
      <c r="AW88" s="903"/>
      <c r="AX88" s="903"/>
      <c r="AY88" s="903"/>
      <c r="AZ88" s="903"/>
      <c r="BA88" s="903"/>
      <c r="BB88" s="903"/>
      <c r="BC88" s="903"/>
      <c r="BD88" s="903"/>
      <c r="BE88" s="903"/>
      <c r="BF88" s="903"/>
      <c r="BG88" s="903"/>
      <c r="BH88" s="903"/>
      <c r="BI88" s="910"/>
      <c r="BJ88" s="910"/>
      <c r="BK88" s="903"/>
      <c r="BL88" s="903"/>
      <c r="BM88" s="910"/>
      <c r="BN88" s="910"/>
      <c r="BO88" s="913"/>
    </row>
    <row r="89" spans="25:67" ht="18.75" customHeight="1" x14ac:dyDescent="0.25">
      <c r="Y89" s="941"/>
      <c r="Z89" s="936"/>
      <c r="AA89" s="936"/>
      <c r="AB89" s="936"/>
      <c r="AC89" s="936"/>
      <c r="AD89" s="936"/>
      <c r="AE89" s="936"/>
      <c r="AF89" s="937"/>
      <c r="AG89" s="560"/>
      <c r="AH89" s="560"/>
      <c r="AI89" s="560"/>
      <c r="AJ89" s="938"/>
      <c r="AK89" s="943"/>
      <c r="AL89" s="943"/>
      <c r="AM89" s="943"/>
      <c r="AN89" s="943"/>
      <c r="AO89" s="943"/>
      <c r="AP89" s="937"/>
      <c r="AQ89" s="560"/>
      <c r="AR89" s="560"/>
      <c r="AS89" s="560"/>
      <c r="AT89" s="938"/>
      <c r="AU89" s="903"/>
      <c r="AV89" s="903"/>
      <c r="AW89" s="903"/>
      <c r="AX89" s="903"/>
      <c r="AY89" s="903"/>
      <c r="AZ89" s="903"/>
      <c r="BA89" s="903"/>
      <c r="BB89" s="903"/>
      <c r="BC89" s="903"/>
      <c r="BD89" s="903"/>
      <c r="BE89" s="903"/>
      <c r="BF89" s="903"/>
      <c r="BG89" s="903"/>
      <c r="BH89" s="903"/>
      <c r="BI89" s="910"/>
      <c r="BJ89" s="910"/>
      <c r="BK89" s="903"/>
      <c r="BL89" s="903"/>
      <c r="BM89" s="910"/>
      <c r="BN89" s="910"/>
      <c r="BO89" s="935"/>
    </row>
    <row r="90" spans="25:67" ht="19.5" customHeight="1" x14ac:dyDescent="0.25">
      <c r="Y90" s="905" t="str">
        <f>$AC$64</f>
        <v>佐伯リベロフットボールクラブ</v>
      </c>
      <c r="Z90" s="906"/>
      <c r="AA90" s="906"/>
      <c r="AB90" s="906"/>
      <c r="AC90" s="906"/>
      <c r="AD90" s="906" t="s">
        <v>242</v>
      </c>
      <c r="AE90" s="906"/>
      <c r="AF90" s="923" t="str">
        <f>IF(AF94="","",IF(AF94&gt;AI94,"○",IF(AF94&lt;AI94,"●",IF(AF92&gt;AI92,"△",IF(AF92&lt;AI92,"▲")))))</f>
        <v>●</v>
      </c>
      <c r="AG90" s="924"/>
      <c r="AH90" s="924"/>
      <c r="AI90" s="924"/>
      <c r="AJ90" s="925"/>
      <c r="AK90" s="923" t="str">
        <f>IF(AK94="","",IF(AK94&gt;AN94,"○",IF(AK94&lt;AN94,"●",IF(AK92&gt;AN92,"△",IF(AK92&lt;AN92,"▲")))))</f>
        <v>○</v>
      </c>
      <c r="AL90" s="924"/>
      <c r="AM90" s="924"/>
      <c r="AN90" s="924"/>
      <c r="AO90" s="925"/>
      <c r="AP90" s="926"/>
      <c r="AQ90" s="927"/>
      <c r="AR90" s="927"/>
      <c r="AS90" s="927"/>
      <c r="AT90" s="928"/>
      <c r="AU90" s="903">
        <f>COUNTIF($AF$90:$AT$91,"○")</f>
        <v>1</v>
      </c>
      <c r="AV90" s="903"/>
      <c r="AW90" s="902">
        <f>COUNTIF($AF$90:$AT$91,"△")</f>
        <v>0</v>
      </c>
      <c r="AX90" s="902"/>
      <c r="AY90" s="902">
        <f>COUNTIF($AF$90:$AT$91,"▲")</f>
        <v>0</v>
      </c>
      <c r="AZ90" s="902"/>
      <c r="BA90" s="902">
        <f>COUNTIF($AF$90:$AT$91,"●")</f>
        <v>1</v>
      </c>
      <c r="BB90" s="902"/>
      <c r="BC90" s="902">
        <f>SUM($AF$94,$AK$94)</f>
        <v>2</v>
      </c>
      <c r="BD90" s="902"/>
      <c r="BE90" s="902">
        <f>SUM($AI$94,$AN$94)</f>
        <v>2</v>
      </c>
      <c r="BF90" s="902"/>
      <c r="BG90" s="902">
        <f>($AU$90*3)+($AW$90*2)+($AY$90*1)</f>
        <v>3</v>
      </c>
      <c r="BH90" s="902"/>
      <c r="BI90" s="909">
        <f>RANK($BG$90,$BG$78:$BH$95)</f>
        <v>1</v>
      </c>
      <c r="BJ90" s="909"/>
      <c r="BK90" s="902">
        <f>$BC$90-$BE$90</f>
        <v>0</v>
      </c>
      <c r="BL90" s="902"/>
      <c r="BM90" s="909">
        <f>RANK($BK$90,$BK$78:$BL$95)</f>
        <v>2</v>
      </c>
      <c r="BN90" s="909"/>
      <c r="BO90" s="912"/>
    </row>
    <row r="91" spans="25:67" ht="19.5" customHeight="1" x14ac:dyDescent="0.25">
      <c r="Y91" s="905"/>
      <c r="Z91" s="906"/>
      <c r="AA91" s="906"/>
      <c r="AB91" s="906"/>
      <c r="AC91" s="906"/>
      <c r="AD91" s="906"/>
      <c r="AE91" s="906"/>
      <c r="AF91" s="917"/>
      <c r="AG91" s="918"/>
      <c r="AH91" s="918"/>
      <c r="AI91" s="918"/>
      <c r="AJ91" s="920"/>
      <c r="AK91" s="917"/>
      <c r="AL91" s="918"/>
      <c r="AM91" s="918"/>
      <c r="AN91" s="918"/>
      <c r="AO91" s="920"/>
      <c r="AP91" s="929"/>
      <c r="AQ91" s="930"/>
      <c r="AR91" s="930"/>
      <c r="AS91" s="930"/>
      <c r="AT91" s="931"/>
      <c r="AU91" s="903"/>
      <c r="AV91" s="903"/>
      <c r="AW91" s="903"/>
      <c r="AX91" s="903"/>
      <c r="AY91" s="903"/>
      <c r="AZ91" s="903"/>
      <c r="BA91" s="903"/>
      <c r="BB91" s="903"/>
      <c r="BC91" s="903"/>
      <c r="BD91" s="903"/>
      <c r="BE91" s="903"/>
      <c r="BF91" s="903"/>
      <c r="BG91" s="903"/>
      <c r="BH91" s="903"/>
      <c r="BI91" s="910"/>
      <c r="BJ91" s="910"/>
      <c r="BK91" s="903"/>
      <c r="BL91" s="903"/>
      <c r="BM91" s="910"/>
      <c r="BN91" s="910"/>
      <c r="BO91" s="913"/>
    </row>
    <row r="92" spans="25:67" ht="18.75" customHeight="1" x14ac:dyDescent="0.25">
      <c r="Y92" s="905"/>
      <c r="Z92" s="906"/>
      <c r="AA92" s="906"/>
      <c r="AB92" s="906"/>
      <c r="AC92" s="906"/>
      <c r="AD92" s="906"/>
      <c r="AE92" s="906"/>
      <c r="AF92" s="915" t="str">
        <f>AS80</f>
        <v/>
      </c>
      <c r="AG92" s="916"/>
      <c r="AH92" s="916" t="s">
        <v>2011</v>
      </c>
      <c r="AI92" s="916" t="str">
        <f>AP80</f>
        <v/>
      </c>
      <c r="AJ92" s="919"/>
      <c r="AK92" s="915" t="str">
        <f>AS86</f>
        <v/>
      </c>
      <c r="AL92" s="916"/>
      <c r="AM92" s="916" t="s">
        <v>2011</v>
      </c>
      <c r="AN92" s="916" t="str">
        <f>AP86</f>
        <v/>
      </c>
      <c r="AO92" s="919"/>
      <c r="AP92" s="929"/>
      <c r="AQ92" s="930"/>
      <c r="AR92" s="930"/>
      <c r="AS92" s="930"/>
      <c r="AT92" s="931"/>
      <c r="AU92" s="903"/>
      <c r="AV92" s="903"/>
      <c r="AW92" s="903"/>
      <c r="AX92" s="903"/>
      <c r="AY92" s="903"/>
      <c r="AZ92" s="903"/>
      <c r="BA92" s="903"/>
      <c r="BB92" s="903"/>
      <c r="BC92" s="903"/>
      <c r="BD92" s="903"/>
      <c r="BE92" s="903"/>
      <c r="BF92" s="903"/>
      <c r="BG92" s="903"/>
      <c r="BH92" s="903"/>
      <c r="BI92" s="910"/>
      <c r="BJ92" s="910"/>
      <c r="BK92" s="903"/>
      <c r="BL92" s="903"/>
      <c r="BM92" s="910"/>
      <c r="BN92" s="910"/>
      <c r="BO92" s="913"/>
    </row>
    <row r="93" spans="25:67" ht="18.75" customHeight="1" x14ac:dyDescent="0.25">
      <c r="Y93" s="905"/>
      <c r="Z93" s="906"/>
      <c r="AA93" s="906"/>
      <c r="AB93" s="906"/>
      <c r="AC93" s="906"/>
      <c r="AD93" s="906" t="s">
        <v>2010</v>
      </c>
      <c r="AE93" s="906"/>
      <c r="AF93" s="917"/>
      <c r="AG93" s="918"/>
      <c r="AH93" s="918"/>
      <c r="AI93" s="918"/>
      <c r="AJ93" s="920"/>
      <c r="AK93" s="917"/>
      <c r="AL93" s="918"/>
      <c r="AM93" s="918"/>
      <c r="AN93" s="918"/>
      <c r="AO93" s="920"/>
      <c r="AP93" s="929"/>
      <c r="AQ93" s="930"/>
      <c r="AR93" s="930"/>
      <c r="AS93" s="930"/>
      <c r="AT93" s="931"/>
      <c r="AU93" s="903"/>
      <c r="AV93" s="903"/>
      <c r="AW93" s="903"/>
      <c r="AX93" s="903"/>
      <c r="AY93" s="903"/>
      <c r="AZ93" s="903"/>
      <c r="BA93" s="903"/>
      <c r="BB93" s="903"/>
      <c r="BC93" s="903"/>
      <c r="BD93" s="903"/>
      <c r="BE93" s="903"/>
      <c r="BF93" s="903"/>
      <c r="BG93" s="903"/>
      <c r="BH93" s="903"/>
      <c r="BI93" s="910"/>
      <c r="BJ93" s="910"/>
      <c r="BK93" s="903"/>
      <c r="BL93" s="903"/>
      <c r="BM93" s="910"/>
      <c r="BN93" s="910"/>
      <c r="BO93" s="913"/>
    </row>
    <row r="94" spans="25:67" ht="18.75" customHeight="1" x14ac:dyDescent="0.25">
      <c r="Y94" s="905"/>
      <c r="Z94" s="906"/>
      <c r="AA94" s="906"/>
      <c r="AB94" s="906"/>
      <c r="AC94" s="906"/>
      <c r="AD94" s="906"/>
      <c r="AE94" s="906"/>
      <c r="AF94" s="915">
        <f>AS82</f>
        <v>1</v>
      </c>
      <c r="AG94" s="916"/>
      <c r="AH94" s="916" t="s">
        <v>2011</v>
      </c>
      <c r="AI94" s="916">
        <f>AP82</f>
        <v>2</v>
      </c>
      <c r="AJ94" s="919"/>
      <c r="AK94" s="915">
        <f>AS88</f>
        <v>1</v>
      </c>
      <c r="AL94" s="916"/>
      <c r="AM94" s="916" t="s">
        <v>2011</v>
      </c>
      <c r="AN94" s="916">
        <f>AP88</f>
        <v>0</v>
      </c>
      <c r="AO94" s="919"/>
      <c r="AP94" s="929"/>
      <c r="AQ94" s="930"/>
      <c r="AR94" s="930"/>
      <c r="AS94" s="930"/>
      <c r="AT94" s="931"/>
      <c r="AU94" s="903"/>
      <c r="AV94" s="903"/>
      <c r="AW94" s="903"/>
      <c r="AX94" s="903"/>
      <c r="AY94" s="903"/>
      <c r="AZ94" s="903"/>
      <c r="BA94" s="903"/>
      <c r="BB94" s="903"/>
      <c r="BC94" s="903"/>
      <c r="BD94" s="903"/>
      <c r="BE94" s="903"/>
      <c r="BF94" s="903"/>
      <c r="BG94" s="903"/>
      <c r="BH94" s="903"/>
      <c r="BI94" s="910"/>
      <c r="BJ94" s="910"/>
      <c r="BK94" s="903"/>
      <c r="BL94" s="903"/>
      <c r="BM94" s="910"/>
      <c r="BN94" s="910"/>
      <c r="BO94" s="913"/>
    </row>
    <row r="95" spans="25:67" ht="19.5" customHeight="1" x14ac:dyDescent="0.25">
      <c r="Y95" s="907"/>
      <c r="Z95" s="908"/>
      <c r="AA95" s="908"/>
      <c r="AB95" s="908"/>
      <c r="AC95" s="908"/>
      <c r="AD95" s="908"/>
      <c r="AE95" s="908"/>
      <c r="AF95" s="921"/>
      <c r="AG95" s="565"/>
      <c r="AH95" s="565"/>
      <c r="AI95" s="565"/>
      <c r="AJ95" s="922"/>
      <c r="AK95" s="921"/>
      <c r="AL95" s="565"/>
      <c r="AM95" s="565"/>
      <c r="AN95" s="565"/>
      <c r="AO95" s="922"/>
      <c r="AP95" s="932"/>
      <c r="AQ95" s="933"/>
      <c r="AR95" s="933"/>
      <c r="AS95" s="933"/>
      <c r="AT95" s="934"/>
      <c r="AU95" s="904"/>
      <c r="AV95" s="904"/>
      <c r="AW95" s="904"/>
      <c r="AX95" s="904"/>
      <c r="AY95" s="904"/>
      <c r="AZ95" s="904"/>
      <c r="BA95" s="904"/>
      <c r="BB95" s="904"/>
      <c r="BC95" s="904"/>
      <c r="BD95" s="904"/>
      <c r="BE95" s="904"/>
      <c r="BF95" s="904"/>
      <c r="BG95" s="904"/>
      <c r="BH95" s="904"/>
      <c r="BI95" s="911"/>
      <c r="BJ95" s="911"/>
      <c r="BK95" s="904"/>
      <c r="BL95" s="904"/>
      <c r="BM95" s="911"/>
      <c r="BN95" s="911"/>
      <c r="BO95" s="914"/>
    </row>
    <row r="97" spans="25:58" x14ac:dyDescent="0.25">
      <c r="Y97" s="891" t="s">
        <v>2125</v>
      </c>
      <c r="Z97" s="891"/>
      <c r="AA97" s="891"/>
      <c r="AB97" s="891"/>
      <c r="AC97" s="891"/>
      <c r="AD97" s="891"/>
      <c r="AE97" s="891"/>
      <c r="AF97" s="891"/>
      <c r="AG97" s="891"/>
      <c r="AH97" s="891"/>
      <c r="AI97" s="891"/>
      <c r="AJ97" s="891"/>
      <c r="AK97" s="891"/>
      <c r="AL97" s="891"/>
      <c r="AM97" s="891"/>
      <c r="AN97" s="891"/>
      <c r="AO97" s="891"/>
      <c r="AP97" s="891"/>
      <c r="AQ97" s="891"/>
      <c r="AR97" s="891"/>
      <c r="AS97" s="891"/>
      <c r="AT97" s="891"/>
      <c r="AU97" s="891"/>
      <c r="AV97" s="891"/>
      <c r="AW97" s="891"/>
      <c r="AX97" s="891"/>
      <c r="AY97" s="891"/>
      <c r="AZ97" s="891"/>
      <c r="BA97" s="891"/>
      <c r="BB97" s="891"/>
      <c r="BC97" s="891"/>
      <c r="BD97" s="891"/>
      <c r="BE97" s="891"/>
      <c r="BF97" s="891"/>
    </row>
    <row r="98" spans="25:58" x14ac:dyDescent="0.25">
      <c r="Y98" s="891"/>
      <c r="Z98" s="891"/>
      <c r="AA98" s="891"/>
      <c r="AB98" s="891"/>
      <c r="AC98" s="891"/>
      <c r="AD98" s="891"/>
      <c r="AE98" s="891"/>
      <c r="AF98" s="891"/>
      <c r="AG98" s="891"/>
      <c r="AH98" s="891"/>
      <c r="AI98" s="891"/>
      <c r="AJ98" s="891"/>
      <c r="AK98" s="891"/>
      <c r="AL98" s="891"/>
      <c r="AM98" s="891"/>
      <c r="AN98" s="891"/>
      <c r="AO98" s="891"/>
      <c r="AP98" s="891"/>
      <c r="AQ98" s="891"/>
      <c r="AR98" s="891"/>
      <c r="AS98" s="891"/>
      <c r="AT98" s="891"/>
      <c r="AU98" s="891"/>
      <c r="AV98" s="891"/>
      <c r="AW98" s="891"/>
      <c r="AX98" s="891"/>
      <c r="AY98" s="891"/>
      <c r="AZ98" s="891"/>
      <c r="BA98" s="891"/>
      <c r="BB98" s="891"/>
      <c r="BC98" s="891"/>
      <c r="BD98" s="891"/>
      <c r="BE98" s="891"/>
      <c r="BF98" s="891"/>
    </row>
    <row r="99" spans="25:58" x14ac:dyDescent="0.25">
      <c r="Y99" s="892" t="s">
        <v>2013</v>
      </c>
      <c r="Z99" s="893"/>
      <c r="AA99" s="896" t="s">
        <v>159</v>
      </c>
      <c r="AB99" s="232" t="s">
        <v>408</v>
      </c>
      <c r="AC99" s="231"/>
      <c r="AD99" s="898" t="s">
        <v>2060</v>
      </c>
      <c r="AE99" s="232" t="s">
        <v>2015</v>
      </c>
      <c r="AF99" s="231"/>
      <c r="AG99" s="898" t="s">
        <v>1208</v>
      </c>
      <c r="AH99" s="232" t="s">
        <v>2126</v>
      </c>
      <c r="AI99" s="231"/>
      <c r="AJ99" s="900" t="s">
        <v>1727</v>
      </c>
      <c r="AK99" s="234" t="s">
        <v>2016</v>
      </c>
    </row>
    <row r="100" spans="25:58" x14ac:dyDescent="0.25">
      <c r="Y100" s="894"/>
      <c r="Z100" s="895"/>
      <c r="AA100" s="897"/>
      <c r="AB100" s="233">
        <v>3</v>
      </c>
      <c r="AC100" s="230"/>
      <c r="AD100" s="899"/>
      <c r="AE100" s="233">
        <v>2</v>
      </c>
      <c r="AF100" s="230"/>
      <c r="AG100" s="899"/>
      <c r="AH100" s="233">
        <v>1</v>
      </c>
      <c r="AI100" s="230"/>
      <c r="AJ100" s="901"/>
      <c r="AK100" s="235">
        <v>0</v>
      </c>
    </row>
  </sheetData>
  <mergeCells count="441">
    <mergeCell ref="A1:I1"/>
    <mergeCell ref="J1:K1"/>
    <mergeCell ref="M1:U1"/>
    <mergeCell ref="V1:W1"/>
    <mergeCell ref="Y1:BG1"/>
    <mergeCell ref="BI1:BO1"/>
    <mergeCell ref="A2:K2"/>
    <mergeCell ref="M2:W2"/>
    <mergeCell ref="Y2:BG2"/>
    <mergeCell ref="D4:K4"/>
    <mergeCell ref="P4:W4"/>
    <mergeCell ref="Y4:AA4"/>
    <mergeCell ref="AB4:AG4"/>
    <mergeCell ref="AI4:AW4"/>
    <mergeCell ref="Y6:AA6"/>
    <mergeCell ref="AB6:AG6"/>
    <mergeCell ref="C7:I7"/>
    <mergeCell ref="J7:K7"/>
    <mergeCell ref="O7:U7"/>
    <mergeCell ref="V7:W7"/>
    <mergeCell ref="Z7:AB7"/>
    <mergeCell ref="AC7:AO7"/>
    <mergeCell ref="AP7:AS7"/>
    <mergeCell ref="C8:I8"/>
    <mergeCell ref="J8:K8"/>
    <mergeCell ref="O8:U8"/>
    <mergeCell ref="V8:W8"/>
    <mergeCell ref="Z8:AB8"/>
    <mergeCell ref="AC8:AO8"/>
    <mergeCell ref="AP8:AS8"/>
    <mergeCell ref="C9:I9"/>
    <mergeCell ref="J9:K9"/>
    <mergeCell ref="O9:U9"/>
    <mergeCell ref="V9:W9"/>
    <mergeCell ref="Z9:AB9"/>
    <mergeCell ref="AC9:AO9"/>
    <mergeCell ref="AP9:AS9"/>
    <mergeCell ref="B15:F15"/>
    <mergeCell ref="G15:I15"/>
    <mergeCell ref="J15:K15"/>
    <mergeCell ref="N15:R15"/>
    <mergeCell ref="S15:U15"/>
    <mergeCell ref="V15:W15"/>
    <mergeCell ref="B16:F16"/>
    <mergeCell ref="G16:I16"/>
    <mergeCell ref="J16:K16"/>
    <mergeCell ref="N16:R16"/>
    <mergeCell ref="S16:U16"/>
    <mergeCell ref="V16:W16"/>
    <mergeCell ref="B17:F17"/>
    <mergeCell ref="G17:I17"/>
    <mergeCell ref="J17:K17"/>
    <mergeCell ref="N17:R17"/>
    <mergeCell ref="S17:U17"/>
    <mergeCell ref="V17:W17"/>
    <mergeCell ref="E18:F18"/>
    <mergeCell ref="G18:I18"/>
    <mergeCell ref="J18:K18"/>
    <mergeCell ref="Q18:R18"/>
    <mergeCell ref="S18:U18"/>
    <mergeCell ref="V18:W18"/>
    <mergeCell ref="E19:F19"/>
    <mergeCell ref="G19:I19"/>
    <mergeCell ref="J19:K19"/>
    <mergeCell ref="Q19:R19"/>
    <mergeCell ref="S19:U19"/>
    <mergeCell ref="V19:W19"/>
    <mergeCell ref="E20:F20"/>
    <mergeCell ref="G20:I20"/>
    <mergeCell ref="J20:K20"/>
    <mergeCell ref="Q20:R20"/>
    <mergeCell ref="S20:U20"/>
    <mergeCell ref="V20:W20"/>
    <mergeCell ref="E21:F21"/>
    <mergeCell ref="G21:I21"/>
    <mergeCell ref="J21:K21"/>
    <mergeCell ref="Q21:R21"/>
    <mergeCell ref="S21:U21"/>
    <mergeCell ref="V21:W21"/>
    <mergeCell ref="B33:F33"/>
    <mergeCell ref="G33:I33"/>
    <mergeCell ref="J33:K33"/>
    <mergeCell ref="N33:R33"/>
    <mergeCell ref="S33:U33"/>
    <mergeCell ref="V33:W33"/>
    <mergeCell ref="H30:H32"/>
    <mergeCell ref="I30:I32"/>
    <mergeCell ref="J30:J32"/>
    <mergeCell ref="M30:M32"/>
    <mergeCell ref="N30:N32"/>
    <mergeCell ref="O30:O32"/>
    <mergeCell ref="P30:P32"/>
    <mergeCell ref="T30:T32"/>
    <mergeCell ref="U30:U32"/>
    <mergeCell ref="V30:V32"/>
    <mergeCell ref="B34:F34"/>
    <mergeCell ref="G34:I34"/>
    <mergeCell ref="J34:K34"/>
    <mergeCell ref="N34:R34"/>
    <mergeCell ref="S34:U34"/>
    <mergeCell ref="V34:W34"/>
    <mergeCell ref="B35:F35"/>
    <mergeCell ref="G35:I35"/>
    <mergeCell ref="J35:K35"/>
    <mergeCell ref="N35:R35"/>
    <mergeCell ref="S35:U35"/>
    <mergeCell ref="V35:W35"/>
    <mergeCell ref="E36:F36"/>
    <mergeCell ref="G36:I36"/>
    <mergeCell ref="J36:K36"/>
    <mergeCell ref="Q36:R36"/>
    <mergeCell ref="S36:U36"/>
    <mergeCell ref="V36:W36"/>
    <mergeCell ref="E37:F37"/>
    <mergeCell ref="G37:I37"/>
    <mergeCell ref="J37:K37"/>
    <mergeCell ref="Q37:R37"/>
    <mergeCell ref="S37:U37"/>
    <mergeCell ref="V37:W37"/>
    <mergeCell ref="E38:F38"/>
    <mergeCell ref="G38:I38"/>
    <mergeCell ref="J38:K38"/>
    <mergeCell ref="Q38:R38"/>
    <mergeCell ref="S38:U38"/>
    <mergeCell ref="V38:W38"/>
    <mergeCell ref="E39:F39"/>
    <mergeCell ref="G39:I39"/>
    <mergeCell ref="J39:K39"/>
    <mergeCell ref="Q39:R39"/>
    <mergeCell ref="S39:U39"/>
    <mergeCell ref="V39:W39"/>
    <mergeCell ref="B51:F51"/>
    <mergeCell ref="G51:I51"/>
    <mergeCell ref="J51:K51"/>
    <mergeCell ref="N51:R51"/>
    <mergeCell ref="S51:U51"/>
    <mergeCell ref="V51:W51"/>
    <mergeCell ref="B52:F52"/>
    <mergeCell ref="G52:I52"/>
    <mergeCell ref="J52:K52"/>
    <mergeCell ref="N52:R52"/>
    <mergeCell ref="S52:U52"/>
    <mergeCell ref="V52:W52"/>
    <mergeCell ref="B53:F53"/>
    <mergeCell ref="G53:I53"/>
    <mergeCell ref="J53:K53"/>
    <mergeCell ref="N53:R53"/>
    <mergeCell ref="S53:U53"/>
    <mergeCell ref="V53:W53"/>
    <mergeCell ref="E54:F54"/>
    <mergeCell ref="G54:I54"/>
    <mergeCell ref="J54:K54"/>
    <mergeCell ref="Q54:R54"/>
    <mergeCell ref="S54:U54"/>
    <mergeCell ref="V54:W54"/>
    <mergeCell ref="E55:F55"/>
    <mergeCell ref="G55:I55"/>
    <mergeCell ref="J55:K55"/>
    <mergeCell ref="Q55:R55"/>
    <mergeCell ref="S55:U55"/>
    <mergeCell ref="V55:W55"/>
    <mergeCell ref="E56:F56"/>
    <mergeCell ref="G56:I56"/>
    <mergeCell ref="J56:K56"/>
    <mergeCell ref="Q56:R56"/>
    <mergeCell ref="S56:U56"/>
    <mergeCell ref="V56:W56"/>
    <mergeCell ref="E57:F57"/>
    <mergeCell ref="G57:I57"/>
    <mergeCell ref="J57:K57"/>
    <mergeCell ref="Q57:R57"/>
    <mergeCell ref="S57:U57"/>
    <mergeCell ref="V57:W57"/>
    <mergeCell ref="A12:A14"/>
    <mergeCell ref="B12:B14"/>
    <mergeCell ref="C12:C14"/>
    <mergeCell ref="D12:D14"/>
    <mergeCell ref="H12:H14"/>
    <mergeCell ref="I12:I14"/>
    <mergeCell ref="J12:J14"/>
    <mergeCell ref="M12:M14"/>
    <mergeCell ref="N12:N14"/>
    <mergeCell ref="O12:O14"/>
    <mergeCell ref="P12:P14"/>
    <mergeCell ref="T12:T14"/>
    <mergeCell ref="U12:U14"/>
    <mergeCell ref="V12:V14"/>
    <mergeCell ref="A30:A32"/>
    <mergeCell ref="B30:B32"/>
    <mergeCell ref="C30:C32"/>
    <mergeCell ref="D30:D32"/>
    <mergeCell ref="Y15:AB20"/>
    <mergeCell ref="AC15:AE20"/>
    <mergeCell ref="AF15:AJ20"/>
    <mergeCell ref="AK15:AO20"/>
    <mergeCell ref="AP15:AT20"/>
    <mergeCell ref="AU15:AV20"/>
    <mergeCell ref="AW15:AX20"/>
    <mergeCell ref="AY15:AZ20"/>
    <mergeCell ref="BA15:BB20"/>
    <mergeCell ref="BC15:BD20"/>
    <mergeCell ref="BE15:BF20"/>
    <mergeCell ref="BG15:BH20"/>
    <mergeCell ref="BI15:BJ20"/>
    <mergeCell ref="BK15:BL20"/>
    <mergeCell ref="BM15:BN20"/>
    <mergeCell ref="BO15:BO20"/>
    <mergeCell ref="Y21:AC26"/>
    <mergeCell ref="AD21:AE23"/>
    <mergeCell ref="AF21:AJ26"/>
    <mergeCell ref="AK21:AO22"/>
    <mergeCell ref="AP21:AT22"/>
    <mergeCell ref="AU21:AV26"/>
    <mergeCell ref="AW21:AX26"/>
    <mergeCell ref="AY21:AZ26"/>
    <mergeCell ref="BA21:BB26"/>
    <mergeCell ref="BC21:BD26"/>
    <mergeCell ref="BE21:BF26"/>
    <mergeCell ref="BG21:BH26"/>
    <mergeCell ref="BI21:BJ26"/>
    <mergeCell ref="BK21:BL26"/>
    <mergeCell ref="BM21:BN26"/>
    <mergeCell ref="BO21:BO26"/>
    <mergeCell ref="AK23:AL24"/>
    <mergeCell ref="AM23:AM24"/>
    <mergeCell ref="AN23:AO24"/>
    <mergeCell ref="AP23:AQ24"/>
    <mergeCell ref="AR23:AR24"/>
    <mergeCell ref="AS23:AT24"/>
    <mergeCell ref="AD24:AE26"/>
    <mergeCell ref="AK25:AL26"/>
    <mergeCell ref="AM25:AM26"/>
    <mergeCell ref="AN25:AO26"/>
    <mergeCell ref="AP25:AQ26"/>
    <mergeCell ref="AR25:AR26"/>
    <mergeCell ref="AS25:AT26"/>
    <mergeCell ref="Y27:AC32"/>
    <mergeCell ref="AD27:AE29"/>
    <mergeCell ref="AF27:AJ28"/>
    <mergeCell ref="AK27:AO32"/>
    <mergeCell ref="AP27:AT28"/>
    <mergeCell ref="AU27:AV32"/>
    <mergeCell ref="AW27:AX32"/>
    <mergeCell ref="AY27:AZ32"/>
    <mergeCell ref="BA27:BB32"/>
    <mergeCell ref="AD30:AE32"/>
    <mergeCell ref="BC27:BD32"/>
    <mergeCell ref="BE27:BF32"/>
    <mergeCell ref="BG27:BH32"/>
    <mergeCell ref="BI27:BJ32"/>
    <mergeCell ref="BK27:BL32"/>
    <mergeCell ref="BM27:BN32"/>
    <mergeCell ref="BO27:BO32"/>
    <mergeCell ref="AF29:AG30"/>
    <mergeCell ref="AH29:AH30"/>
    <mergeCell ref="AI29:AJ30"/>
    <mergeCell ref="AP29:AQ30"/>
    <mergeCell ref="AR29:AR30"/>
    <mergeCell ref="AS29:AT30"/>
    <mergeCell ref="AF31:AG32"/>
    <mergeCell ref="AH31:AH32"/>
    <mergeCell ref="AI31:AJ32"/>
    <mergeCell ref="AP31:AQ32"/>
    <mergeCell ref="AR31:AR32"/>
    <mergeCell ref="AS31:AT32"/>
    <mergeCell ref="Y33:AC38"/>
    <mergeCell ref="AD33:AE35"/>
    <mergeCell ref="AF33:AJ34"/>
    <mergeCell ref="AK33:AO34"/>
    <mergeCell ref="AP33:AT38"/>
    <mergeCell ref="AU33:AV38"/>
    <mergeCell ref="AW33:AX38"/>
    <mergeCell ref="AY33:AZ38"/>
    <mergeCell ref="BA33:BB38"/>
    <mergeCell ref="AD36:AE38"/>
    <mergeCell ref="BC33:BD38"/>
    <mergeCell ref="BE33:BF38"/>
    <mergeCell ref="BG33:BH38"/>
    <mergeCell ref="BI33:BJ38"/>
    <mergeCell ref="BK33:BL38"/>
    <mergeCell ref="BM33:BN38"/>
    <mergeCell ref="BO33:BO38"/>
    <mergeCell ref="AF35:AG36"/>
    <mergeCell ref="AH35:AH36"/>
    <mergeCell ref="AI35:AJ36"/>
    <mergeCell ref="AK35:AL36"/>
    <mergeCell ref="AM35:AM36"/>
    <mergeCell ref="AN35:AO36"/>
    <mergeCell ref="AF37:AG38"/>
    <mergeCell ref="AH37:AH38"/>
    <mergeCell ref="AI37:AJ38"/>
    <mergeCell ref="AK37:AL38"/>
    <mergeCell ref="AM37:AM38"/>
    <mergeCell ref="AN37:AO38"/>
    <mergeCell ref="Y40:BF41"/>
    <mergeCell ref="Y42:Z43"/>
    <mergeCell ref="AA42:AA43"/>
    <mergeCell ref="AD42:AD43"/>
    <mergeCell ref="AG42:AG43"/>
    <mergeCell ref="AJ42:AJ43"/>
    <mergeCell ref="A48:A50"/>
    <mergeCell ref="B48:B50"/>
    <mergeCell ref="C48:C50"/>
    <mergeCell ref="D48:D50"/>
    <mergeCell ref="H48:H50"/>
    <mergeCell ref="I48:I50"/>
    <mergeCell ref="J48:J50"/>
    <mergeCell ref="M48:M50"/>
    <mergeCell ref="N48:N50"/>
    <mergeCell ref="O48:O50"/>
    <mergeCell ref="P48:P50"/>
    <mergeCell ref="T48:T50"/>
    <mergeCell ref="U48:U50"/>
    <mergeCell ref="V48:V50"/>
    <mergeCell ref="Y48:BG49"/>
    <mergeCell ref="BI48:BO49"/>
    <mergeCell ref="Y50:BG51"/>
    <mergeCell ref="Y54:AA55"/>
    <mergeCell ref="AB54:AG55"/>
    <mergeCell ref="AH54:AH55"/>
    <mergeCell ref="AI54:AW55"/>
    <mergeCell ref="Y58:AA59"/>
    <mergeCell ref="AB58:AG59"/>
    <mergeCell ref="Z60:AB61"/>
    <mergeCell ref="AC60:AO61"/>
    <mergeCell ref="AP60:AS61"/>
    <mergeCell ref="Z62:AB63"/>
    <mergeCell ref="AC62:AO63"/>
    <mergeCell ref="AP62:AS63"/>
    <mergeCell ref="Z64:AB65"/>
    <mergeCell ref="AC64:AO65"/>
    <mergeCell ref="AP64:AS65"/>
    <mergeCell ref="Y72:AB77"/>
    <mergeCell ref="AC72:AE77"/>
    <mergeCell ref="AF72:AJ77"/>
    <mergeCell ref="AK72:AO77"/>
    <mergeCell ref="AP72:AT77"/>
    <mergeCell ref="AU72:AV77"/>
    <mergeCell ref="AW72:AX77"/>
    <mergeCell ref="AY72:AZ77"/>
    <mergeCell ref="BA72:BB77"/>
    <mergeCell ref="BC72:BD77"/>
    <mergeCell ref="BE72:BF77"/>
    <mergeCell ref="BG72:BH77"/>
    <mergeCell ref="BI72:BJ77"/>
    <mergeCell ref="BK72:BL77"/>
    <mergeCell ref="BM72:BN77"/>
    <mergeCell ref="BO72:BO77"/>
    <mergeCell ref="Y78:AC83"/>
    <mergeCell ref="AD78:AE80"/>
    <mergeCell ref="AF78:AJ83"/>
    <mergeCell ref="AK78:AO79"/>
    <mergeCell ref="AP78:AT79"/>
    <mergeCell ref="AU78:AV83"/>
    <mergeCell ref="AW78:AX83"/>
    <mergeCell ref="AY78:AZ83"/>
    <mergeCell ref="BA78:BB83"/>
    <mergeCell ref="BC78:BD83"/>
    <mergeCell ref="BE78:BF83"/>
    <mergeCell ref="BG78:BH83"/>
    <mergeCell ref="BI78:BJ83"/>
    <mergeCell ref="BK78:BL83"/>
    <mergeCell ref="BM78:BN83"/>
    <mergeCell ref="BO78:BO83"/>
    <mergeCell ref="AK80:AL81"/>
    <mergeCell ref="AM80:AM81"/>
    <mergeCell ref="AN80:AO81"/>
    <mergeCell ref="AP80:AQ81"/>
    <mergeCell ref="AR80:AR81"/>
    <mergeCell ref="AS80:AT81"/>
    <mergeCell ref="AD81:AE83"/>
    <mergeCell ref="AK82:AL83"/>
    <mergeCell ref="AM82:AM83"/>
    <mergeCell ref="AN82:AO83"/>
    <mergeCell ref="AP82:AQ83"/>
    <mergeCell ref="AR82:AR83"/>
    <mergeCell ref="AS82:AT83"/>
    <mergeCell ref="Y84:AC89"/>
    <mergeCell ref="AD84:AE86"/>
    <mergeCell ref="AF84:AJ85"/>
    <mergeCell ref="AK84:AO89"/>
    <mergeCell ref="AP84:AT85"/>
    <mergeCell ref="BM84:BN89"/>
    <mergeCell ref="BO84:BO89"/>
    <mergeCell ref="AF86:AG87"/>
    <mergeCell ref="AH86:AH87"/>
    <mergeCell ref="AI86:AJ87"/>
    <mergeCell ref="AP86:AQ87"/>
    <mergeCell ref="AR86:AR87"/>
    <mergeCell ref="AS86:AT87"/>
    <mergeCell ref="AD87:AE89"/>
    <mergeCell ref="AF88:AG89"/>
    <mergeCell ref="AH88:AH89"/>
    <mergeCell ref="AI88:AJ89"/>
    <mergeCell ref="AP88:AQ89"/>
    <mergeCell ref="AR88:AR89"/>
    <mergeCell ref="AS88:AT89"/>
    <mergeCell ref="AU84:AV89"/>
    <mergeCell ref="AW84:AX89"/>
    <mergeCell ref="AY84:AZ89"/>
    <mergeCell ref="BA84:BB89"/>
    <mergeCell ref="BC84:BD89"/>
    <mergeCell ref="BE84:BF89"/>
    <mergeCell ref="BG84:BH89"/>
    <mergeCell ref="BI84:BJ89"/>
    <mergeCell ref="BK84:BL89"/>
    <mergeCell ref="BI90:BJ95"/>
    <mergeCell ref="BK90:BL95"/>
    <mergeCell ref="BM90:BN95"/>
    <mergeCell ref="BO90:BO95"/>
    <mergeCell ref="AF92:AG93"/>
    <mergeCell ref="AH92:AH93"/>
    <mergeCell ref="AI92:AJ93"/>
    <mergeCell ref="AK92:AL93"/>
    <mergeCell ref="AM92:AM93"/>
    <mergeCell ref="AN92:AO93"/>
    <mergeCell ref="AF94:AG95"/>
    <mergeCell ref="AH94:AH95"/>
    <mergeCell ref="AI94:AJ95"/>
    <mergeCell ref="AK94:AL95"/>
    <mergeCell ref="AM94:AM95"/>
    <mergeCell ref="AN94:AO95"/>
    <mergeCell ref="AF90:AJ91"/>
    <mergeCell ref="AK90:AO91"/>
    <mergeCell ref="AP90:AT95"/>
    <mergeCell ref="AU90:AV95"/>
    <mergeCell ref="AW90:AX95"/>
    <mergeCell ref="AY90:AZ95"/>
    <mergeCell ref="BA90:BB95"/>
    <mergeCell ref="Y97:BF98"/>
    <mergeCell ref="Y99:Z100"/>
    <mergeCell ref="AA99:AA100"/>
    <mergeCell ref="AD99:AD100"/>
    <mergeCell ref="AG99:AG100"/>
    <mergeCell ref="AJ99:AJ100"/>
    <mergeCell ref="BC90:BD95"/>
    <mergeCell ref="BE90:BF95"/>
    <mergeCell ref="BG90:BH95"/>
    <mergeCell ref="Y90:AC95"/>
    <mergeCell ref="AD90:AE92"/>
    <mergeCell ref="AD93:AE95"/>
  </mergeCells>
  <phoneticPr fontId="29"/>
  <printOptions horizontalCentered="1" verticalCentered="1"/>
  <pageMargins left="0" right="0" top="0" bottom="0" header="0.51181102362204722" footer="0.51181102362204722"/>
  <pageSetup paperSize="9" scale="42" orientation="landscape" r:id="rId1"/>
  <headerFooter alignWithMargins="0"/>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00000000-0002-0000-1400-000000000000}">
          <x14:formula1>
            <xm:f>審判員!$I$1:$I$17</xm:f>
          </x14:formula1>
          <xm:sqref>E23:E27 E41:E45 E59:E63 G23:G27 G41:G45 G59:G63 Q23:Q27 Q41:Q45 Q59:Q63 S23:S27 S41:S45 S59:S63</xm:sqref>
        </x14:dataValidation>
        <x14:dataValidation type="list" allowBlank="1" showInputMessage="1" showErrorMessage="1" xr:uid="{00000000-0002-0000-1400-000001000000}">
          <x14:formula1>
            <xm:f>審判員!$G$1:$G$3</xm:f>
          </x14:formula1>
          <xm:sqref>A23:A27 K23:K27 A41:A45 K41:K45 A59:A63 K59:K63 M23:M27 W41:W45 W59:W63 M59:M63 W23:W27 M41:M45</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FF99"/>
    <pageSetUpPr fitToPage="1"/>
  </sheetPr>
  <dimension ref="A1:BO100"/>
  <sheetViews>
    <sheetView view="pageBreakPreview" zoomScale="50" zoomScaleNormal="55" zoomScaleSheetLayoutView="50" workbookViewId="0">
      <selection activeCell="A3" sqref="A3"/>
    </sheetView>
  </sheetViews>
  <sheetFormatPr defaultColWidth="9" defaultRowHeight="18.75" x14ac:dyDescent="0.25"/>
  <cols>
    <col min="1" max="1" width="19.46484375" style="66" customWidth="1"/>
    <col min="2" max="2" width="39.86328125" style="66" customWidth="1"/>
    <col min="3" max="3" width="10.73046875" style="66" customWidth="1"/>
    <col min="4" max="4" width="4.46484375" style="66" customWidth="1"/>
    <col min="5" max="5" width="10.3984375" style="66" customWidth="1"/>
    <col min="6" max="6" width="5.73046875" style="66" bestFit="1" customWidth="1"/>
    <col min="7" max="7" width="10.3984375" style="66" customWidth="1"/>
    <col min="8" max="8" width="4.46484375" style="66" customWidth="1"/>
    <col min="9" max="9" width="10.73046875" style="66" bestFit="1" customWidth="1"/>
    <col min="10" max="10" width="39.86328125" style="66" customWidth="1"/>
    <col min="11" max="11" width="15.73046875" style="66" customWidth="1"/>
    <col min="12" max="12" width="3.46484375" style="66" customWidth="1"/>
    <col min="13" max="13" width="19.46484375" style="66" customWidth="1"/>
    <col min="14" max="14" width="39.86328125" style="66" customWidth="1"/>
    <col min="15" max="15" width="10.73046875" style="66" customWidth="1"/>
    <col min="16" max="16" width="4.46484375" style="66" customWidth="1"/>
    <col min="17" max="17" width="10.3984375" style="66" customWidth="1"/>
    <col min="18" max="18" width="5.73046875" style="66" bestFit="1" customWidth="1"/>
    <col min="19" max="19" width="10.3984375" style="66" customWidth="1"/>
    <col min="20" max="20" width="4.46484375" style="66" customWidth="1"/>
    <col min="21" max="21" width="10.73046875" style="66" customWidth="1"/>
    <col min="22" max="22" width="39.86328125" style="66" customWidth="1"/>
    <col min="23" max="23" width="15.73046875" style="66" customWidth="1"/>
    <col min="24" max="24" width="9" style="66"/>
    <col min="25" max="59" width="5.86328125" style="66" customWidth="1"/>
    <col min="60" max="16384" width="9" style="66"/>
  </cols>
  <sheetData>
    <row r="1" spans="1:67" ht="27.75" x14ac:dyDescent="0.25">
      <c r="A1" s="959" t="str">
        <f>抽選会資料!A1</f>
        <v>OFA 第 57 回大分県U-12サッカー大会　兼　KYFA 九州U-12サッカー大会大分県大会</v>
      </c>
      <c r="B1" s="959"/>
      <c r="C1" s="959"/>
      <c r="D1" s="959"/>
      <c r="E1" s="959"/>
      <c r="F1" s="959"/>
      <c r="G1" s="959"/>
      <c r="H1" s="959"/>
      <c r="I1" s="959"/>
      <c r="J1" s="959" t="s">
        <v>279</v>
      </c>
      <c r="K1" s="959"/>
      <c r="L1" s="228"/>
      <c r="M1" s="959" t="str">
        <f>抽選会資料!A1</f>
        <v>OFA 第 57 回大分県U-12サッカー大会　兼　KYFA 九州U-12サッカー大会大分県大会</v>
      </c>
      <c r="N1" s="959"/>
      <c r="O1" s="959"/>
      <c r="P1" s="959"/>
      <c r="Q1" s="959"/>
      <c r="R1" s="959"/>
      <c r="S1" s="959"/>
      <c r="T1" s="959"/>
      <c r="U1" s="959"/>
      <c r="V1" s="959" t="s">
        <v>279</v>
      </c>
      <c r="W1" s="959"/>
      <c r="Y1" s="959" t="str">
        <f>$A$1</f>
        <v>OFA 第 57 回大分県U-12サッカー大会　兼　KYFA 九州U-12サッカー大会大分県大会</v>
      </c>
      <c r="Z1" s="959"/>
      <c r="AA1" s="959"/>
      <c r="AB1" s="959"/>
      <c r="AC1" s="959"/>
      <c r="AD1" s="959"/>
      <c r="AE1" s="959"/>
      <c r="AF1" s="959"/>
      <c r="AG1" s="959"/>
      <c r="AH1" s="959"/>
      <c r="AI1" s="959"/>
      <c r="AJ1" s="959"/>
      <c r="AK1" s="959"/>
      <c r="AL1" s="959"/>
      <c r="AM1" s="959"/>
      <c r="AN1" s="959"/>
      <c r="AO1" s="959"/>
      <c r="AP1" s="959"/>
      <c r="AQ1" s="959"/>
      <c r="AR1" s="959"/>
      <c r="AS1" s="959"/>
      <c r="AT1" s="959"/>
      <c r="AU1" s="959"/>
      <c r="AV1" s="959"/>
      <c r="AW1" s="959"/>
      <c r="AX1" s="959"/>
      <c r="AY1" s="959"/>
      <c r="AZ1" s="959"/>
      <c r="BA1" s="959"/>
      <c r="BB1" s="959"/>
      <c r="BC1" s="959"/>
      <c r="BD1" s="959"/>
      <c r="BE1" s="959"/>
      <c r="BF1" s="959"/>
      <c r="BG1" s="959"/>
      <c r="BI1" s="959" t="str">
        <f>$J$1</f>
        <v>１次リーグ結果　報告用紙</v>
      </c>
      <c r="BJ1" s="959"/>
      <c r="BK1" s="959"/>
      <c r="BL1" s="959"/>
      <c r="BM1" s="959"/>
      <c r="BN1" s="959"/>
      <c r="BO1" s="959"/>
    </row>
    <row r="2" spans="1:67" ht="37.5" customHeight="1" x14ac:dyDescent="0.25">
      <c r="A2" s="959" t="s">
        <v>1962</v>
      </c>
      <c r="B2" s="959"/>
      <c r="C2" s="959"/>
      <c r="D2" s="959"/>
      <c r="E2" s="959"/>
      <c r="F2" s="959"/>
      <c r="G2" s="959"/>
      <c r="H2" s="959"/>
      <c r="I2" s="959"/>
      <c r="J2" s="959"/>
      <c r="K2" s="959"/>
      <c r="L2" s="189"/>
      <c r="M2" s="959" t="s">
        <v>1962</v>
      </c>
      <c r="N2" s="959"/>
      <c r="O2" s="959"/>
      <c r="P2" s="959"/>
      <c r="Q2" s="959"/>
      <c r="R2" s="959"/>
      <c r="S2" s="959"/>
      <c r="T2" s="959"/>
      <c r="U2" s="959"/>
      <c r="V2" s="959"/>
      <c r="W2" s="959"/>
      <c r="Y2" s="959" t="s">
        <v>1962</v>
      </c>
      <c r="Z2" s="959"/>
      <c r="AA2" s="959"/>
      <c r="AB2" s="959"/>
      <c r="AC2" s="959"/>
      <c r="AD2" s="959"/>
      <c r="AE2" s="959"/>
      <c r="AF2" s="959"/>
      <c r="AG2" s="959"/>
      <c r="AH2" s="959"/>
      <c r="AI2" s="959"/>
      <c r="AJ2" s="959"/>
      <c r="AK2" s="959"/>
      <c r="AL2" s="959"/>
      <c r="AM2" s="959"/>
      <c r="AN2" s="959"/>
      <c r="AO2" s="959"/>
      <c r="AP2" s="959"/>
      <c r="AQ2" s="959"/>
      <c r="AR2" s="959"/>
      <c r="AS2" s="959"/>
      <c r="AT2" s="959"/>
      <c r="AU2" s="959"/>
      <c r="AV2" s="959"/>
      <c r="AW2" s="959"/>
      <c r="AX2" s="959"/>
      <c r="AY2" s="959"/>
      <c r="AZ2" s="959"/>
      <c r="BA2" s="959"/>
      <c r="BB2" s="959"/>
      <c r="BC2" s="959"/>
      <c r="BD2" s="959"/>
      <c r="BE2" s="959"/>
      <c r="BF2" s="959"/>
      <c r="BG2" s="959"/>
    </row>
    <row r="3" spans="1:67" ht="37.5" customHeight="1" x14ac:dyDescent="0.25">
      <c r="A3" s="189"/>
      <c r="B3" s="189"/>
      <c r="C3" s="189"/>
      <c r="D3" s="189"/>
      <c r="E3" s="189"/>
      <c r="F3" s="189"/>
      <c r="G3" s="189"/>
      <c r="H3" s="189"/>
      <c r="I3" s="189"/>
      <c r="J3" s="189"/>
      <c r="K3" s="189"/>
      <c r="L3" s="189"/>
      <c r="M3" s="189"/>
      <c r="N3" s="189"/>
      <c r="O3" s="189"/>
      <c r="P3" s="189"/>
      <c r="Q3" s="189"/>
      <c r="R3" s="189"/>
      <c r="S3" s="189"/>
      <c r="T3" s="189"/>
      <c r="U3" s="189"/>
      <c r="V3" s="189"/>
      <c r="W3" s="189"/>
      <c r="Y3" s="189"/>
      <c r="Z3" s="189"/>
      <c r="AA3" s="189"/>
      <c r="AB3" s="189"/>
      <c r="AC3" s="189"/>
      <c r="AD3" s="189"/>
      <c r="AE3" s="189"/>
      <c r="AF3" s="189"/>
      <c r="AG3" s="189"/>
      <c r="AH3" s="189"/>
      <c r="AI3" s="189"/>
    </row>
    <row r="4" spans="1:67" ht="37.5" customHeight="1" x14ac:dyDescent="0.25">
      <c r="A4" s="58" t="s">
        <v>487</v>
      </c>
      <c r="B4" s="201" t="str">
        <f>組み合わせ!DH8</f>
        <v>臼杵・津久見</v>
      </c>
      <c r="C4" s="58" t="s">
        <v>659</v>
      </c>
      <c r="D4" s="961" t="str">
        <f>VLOOKUP(B4,抽選会資料!$B$55:$F$63,2,FALSE)</f>
        <v>吉四六ランドレックス多目的広場
(吉四六ランド陸上競技場)</v>
      </c>
      <c r="E4" s="961"/>
      <c r="F4" s="961"/>
      <c r="G4" s="961"/>
      <c r="H4" s="961"/>
      <c r="I4" s="961"/>
      <c r="J4" s="961"/>
      <c r="K4" s="961"/>
      <c r="L4" s="68"/>
      <c r="M4" s="58" t="s">
        <v>487</v>
      </c>
      <c r="N4" s="201" t="str">
        <f>組み合わせ!DH8</f>
        <v>臼杵・津久見</v>
      </c>
      <c r="O4" s="58" t="s">
        <v>659</v>
      </c>
      <c r="P4" s="961" t="str">
        <f>VLOOKUP(N4,抽選会資料!$B$55:$F$63,2,FALSE)</f>
        <v>吉四六ランドレックス多目的広場
(吉四六ランド陸上競技場)</v>
      </c>
      <c r="Q4" s="961"/>
      <c r="R4" s="961"/>
      <c r="S4" s="961"/>
      <c r="T4" s="961"/>
      <c r="U4" s="961"/>
      <c r="V4" s="961"/>
      <c r="W4" s="961"/>
      <c r="X4" s="39"/>
      <c r="Y4" s="590" t="s">
        <v>487</v>
      </c>
      <c r="Z4" s="590"/>
      <c r="AA4" s="590"/>
      <c r="AB4" s="960" t="str">
        <f>$B$4</f>
        <v>臼杵・津久見</v>
      </c>
      <c r="AC4" s="960"/>
      <c r="AD4" s="960"/>
      <c r="AE4" s="960"/>
      <c r="AF4" s="960"/>
      <c r="AG4" s="960"/>
      <c r="AH4" s="58" t="s">
        <v>659</v>
      </c>
      <c r="AI4" s="961" t="str">
        <f>$D$4</f>
        <v>吉四六ランドレックス多目的広場
(吉四六ランド陸上競技場)</v>
      </c>
      <c r="AJ4" s="961"/>
      <c r="AK4" s="961"/>
      <c r="AL4" s="961"/>
      <c r="AM4" s="961"/>
      <c r="AN4" s="961"/>
      <c r="AO4" s="961"/>
      <c r="AP4" s="961"/>
      <c r="AQ4" s="961"/>
      <c r="AR4" s="961"/>
      <c r="AS4" s="961"/>
      <c r="AT4" s="961"/>
      <c r="AU4" s="961"/>
      <c r="AV4" s="961"/>
      <c r="AW4" s="961"/>
    </row>
    <row r="5" spans="1:67" ht="37.5" customHeight="1" x14ac:dyDescent="0.25">
      <c r="A5" s="190"/>
      <c r="B5" s="190"/>
      <c r="C5" s="190"/>
      <c r="D5" s="190"/>
      <c r="E5" s="190"/>
      <c r="F5" s="190"/>
      <c r="G5" s="190"/>
      <c r="H5" s="190"/>
      <c r="I5" s="190"/>
      <c r="J5" s="190"/>
      <c r="K5" s="190"/>
      <c r="L5" s="190"/>
      <c r="M5" s="190"/>
      <c r="N5" s="190"/>
      <c r="O5" s="190"/>
      <c r="P5" s="190"/>
      <c r="Q5" s="190"/>
      <c r="R5" s="190"/>
      <c r="S5" s="190"/>
      <c r="T5" s="190"/>
      <c r="U5" s="190"/>
      <c r="V5" s="190"/>
      <c r="W5" s="190"/>
      <c r="Y5" s="190"/>
      <c r="Z5" s="190"/>
      <c r="AA5" s="190"/>
    </row>
    <row r="6" spans="1:67" ht="37.5" customHeight="1" x14ac:dyDescent="0.25">
      <c r="A6" s="58" t="s">
        <v>430</v>
      </c>
      <c r="B6" s="236" t="str">
        <f>VLOOKUP(B4,組み合わせ!$AL$95:$BU$112,13,FALSE)</f>
        <v>B</v>
      </c>
      <c r="C6" s="58"/>
      <c r="D6" s="58"/>
      <c r="M6" s="58" t="s">
        <v>430</v>
      </c>
      <c r="N6" s="236" t="str">
        <f>VLOOKUP(N4,組み合わせ!$AL$95:$BU$112,25,FALSE)</f>
        <v>I</v>
      </c>
      <c r="O6" s="229"/>
      <c r="P6" s="229"/>
      <c r="Y6" s="590" t="s">
        <v>430</v>
      </c>
      <c r="Z6" s="590"/>
      <c r="AA6" s="590"/>
      <c r="AB6" s="962" t="str">
        <f>$B$6</f>
        <v>B</v>
      </c>
      <c r="AC6" s="962"/>
      <c r="AD6" s="962"/>
      <c r="AE6" s="962"/>
      <c r="AF6" s="962"/>
      <c r="AG6" s="962"/>
    </row>
    <row r="7" spans="1:67" ht="37.5" customHeight="1" x14ac:dyDescent="0.25">
      <c r="A7" s="58"/>
      <c r="B7" s="202" t="str">
        <f>CONCATENATE($B$6,1)</f>
        <v>B1</v>
      </c>
      <c r="C7" s="998" t="str">
        <f>HLOOKUP(B7,組み合わせ!$B$48:$EO$86,2,FALSE)</f>
        <v>臼杵ＳＳＳ</v>
      </c>
      <c r="D7" s="998"/>
      <c r="E7" s="998"/>
      <c r="F7" s="998"/>
      <c r="G7" s="998"/>
      <c r="H7" s="998"/>
      <c r="I7" s="998"/>
      <c r="J7" s="998" t="str">
        <f>HLOOKUP(B7,組み合わせ!$B$48:$EO$86,32,FALSE)</f>
        <v>臼杵・津久見</v>
      </c>
      <c r="K7" s="999"/>
      <c r="M7" s="229"/>
      <c r="N7" s="202" t="str">
        <f>CONCATENATE($N$6,1)</f>
        <v>I1</v>
      </c>
      <c r="O7" s="998" t="str">
        <f>HLOOKUP(N7,組み合わせ!$B$48:$EO$86,2,FALSE)</f>
        <v>ＭＦＣ三花少年サッカー教室</v>
      </c>
      <c r="P7" s="998"/>
      <c r="Q7" s="998"/>
      <c r="R7" s="998"/>
      <c r="S7" s="998"/>
      <c r="T7" s="998"/>
      <c r="U7" s="998"/>
      <c r="V7" s="998" t="str">
        <f>HLOOKUP(N7,組み合わせ!$B$48:$EO$86,32,FALSE)</f>
        <v>日田・玖珠</v>
      </c>
      <c r="W7" s="999"/>
      <c r="Y7" s="58"/>
      <c r="Z7" s="713" t="str">
        <f>+B7</f>
        <v>B1</v>
      </c>
      <c r="AA7" s="713"/>
      <c r="AB7" s="713"/>
      <c r="AC7" s="713" t="str">
        <f>$C$7</f>
        <v>臼杵ＳＳＳ</v>
      </c>
      <c r="AD7" s="713"/>
      <c r="AE7" s="713"/>
      <c r="AF7" s="713"/>
      <c r="AG7" s="713"/>
      <c r="AH7" s="713"/>
      <c r="AI7" s="713"/>
      <c r="AJ7" s="713"/>
      <c r="AK7" s="713"/>
      <c r="AL7" s="713"/>
      <c r="AM7" s="713"/>
      <c r="AN7" s="713"/>
      <c r="AO7" s="713"/>
      <c r="AP7" s="713" t="str">
        <f>$J$7</f>
        <v>臼杵・津久見</v>
      </c>
      <c r="AQ7" s="713"/>
      <c r="AR7" s="713"/>
      <c r="AS7" s="713"/>
    </row>
    <row r="8" spans="1:67" ht="37.5" customHeight="1" x14ac:dyDescent="0.25">
      <c r="A8" s="58"/>
      <c r="B8" s="203" t="str">
        <f>CONCATENATE($B$6,2)</f>
        <v>B2</v>
      </c>
      <c r="C8" s="549" t="str">
        <f>HLOOKUP(B8,組み合わせ!$B$48:$EO$86,2,FALSE)</f>
        <v>ＦＣ　ＲＥＧＡＴＥ</v>
      </c>
      <c r="D8" s="549"/>
      <c r="E8" s="549"/>
      <c r="F8" s="549"/>
      <c r="G8" s="549"/>
      <c r="H8" s="549"/>
      <c r="I8" s="549"/>
      <c r="J8" s="549" t="str">
        <f>HLOOKUP(B8,組み合わせ!$B$48:$EO$86,32,FALSE)</f>
        <v>大分</v>
      </c>
      <c r="K8" s="995"/>
      <c r="M8" s="229"/>
      <c r="N8" s="203" t="str">
        <f>CONCATENATE($N$6,2)</f>
        <v>I2</v>
      </c>
      <c r="O8" s="549" t="str">
        <f>HLOOKUP(N8,組み合わせ!$B$48:$EO$86,2,FALSE)</f>
        <v>リノスフットボールクラブ　Ｕ－１２</v>
      </c>
      <c r="P8" s="549"/>
      <c r="Q8" s="549"/>
      <c r="R8" s="549"/>
      <c r="S8" s="549"/>
      <c r="T8" s="549"/>
      <c r="U8" s="549"/>
      <c r="V8" s="549" t="str">
        <f>HLOOKUP(N8,組み合わせ!$B$48:$EO$86,32,FALSE)</f>
        <v>大分</v>
      </c>
      <c r="W8" s="995"/>
      <c r="Y8" s="58"/>
      <c r="Z8" s="713" t="str">
        <f>+B8</f>
        <v>B2</v>
      </c>
      <c r="AA8" s="713"/>
      <c r="AB8" s="713"/>
      <c r="AC8" s="713" t="str">
        <f>$C$8</f>
        <v>ＦＣ　ＲＥＧＡＴＥ</v>
      </c>
      <c r="AD8" s="713"/>
      <c r="AE8" s="713"/>
      <c r="AF8" s="713"/>
      <c r="AG8" s="713"/>
      <c r="AH8" s="713"/>
      <c r="AI8" s="713"/>
      <c r="AJ8" s="713"/>
      <c r="AK8" s="713"/>
      <c r="AL8" s="713"/>
      <c r="AM8" s="713"/>
      <c r="AN8" s="713"/>
      <c r="AO8" s="713"/>
      <c r="AP8" s="713" t="str">
        <f>$J$8</f>
        <v>大分</v>
      </c>
      <c r="AQ8" s="713"/>
      <c r="AR8" s="713"/>
      <c r="AS8" s="713"/>
    </row>
    <row r="9" spans="1:67" ht="37.5" customHeight="1" x14ac:dyDescent="0.25">
      <c r="A9" s="190"/>
      <c r="B9" s="204" t="str">
        <f>CONCATENATE($B$6,3)</f>
        <v>B3</v>
      </c>
      <c r="C9" s="996" t="str">
        <f>HLOOKUP(B9,組み合わせ!$B$48:$EO$86,2,FALSE)</f>
        <v>竹田直入ＦＣ</v>
      </c>
      <c r="D9" s="996"/>
      <c r="E9" s="996"/>
      <c r="F9" s="996"/>
      <c r="G9" s="996"/>
      <c r="H9" s="996"/>
      <c r="I9" s="996"/>
      <c r="J9" s="996" t="str">
        <f>HLOOKUP(B9,組み合わせ!$B$48:$EO$86,32,FALSE)</f>
        <v>豊肥</v>
      </c>
      <c r="K9" s="997"/>
      <c r="L9" s="190"/>
      <c r="M9" s="190"/>
      <c r="N9" s="204" t="str">
        <f>CONCATENATE($N$6,3)</f>
        <v>I3</v>
      </c>
      <c r="O9" s="996" t="str">
        <f>HLOOKUP(N9,組み合わせ!$B$48:$EO$86,2,FALSE)</f>
        <v>ＮＦＣ・ＯＩＴＡ　Ｕ１２</v>
      </c>
      <c r="P9" s="996"/>
      <c r="Q9" s="996"/>
      <c r="R9" s="996"/>
      <c r="S9" s="996"/>
      <c r="T9" s="996"/>
      <c r="U9" s="996"/>
      <c r="V9" s="996" t="str">
        <f>HLOOKUP(N9,組み合わせ!$B$48:$EO$86,32,FALSE)</f>
        <v>大分</v>
      </c>
      <c r="W9" s="997"/>
      <c r="Y9" s="190"/>
      <c r="Z9" s="713" t="str">
        <f>+B9</f>
        <v>B3</v>
      </c>
      <c r="AA9" s="713"/>
      <c r="AB9" s="713"/>
      <c r="AC9" s="713" t="str">
        <f>$C$9</f>
        <v>竹田直入ＦＣ</v>
      </c>
      <c r="AD9" s="713"/>
      <c r="AE9" s="713"/>
      <c r="AF9" s="713"/>
      <c r="AG9" s="713"/>
      <c r="AH9" s="713"/>
      <c r="AI9" s="713"/>
      <c r="AJ9" s="713"/>
      <c r="AK9" s="713"/>
      <c r="AL9" s="713"/>
      <c r="AM9" s="713"/>
      <c r="AN9" s="713"/>
      <c r="AO9" s="713"/>
      <c r="AP9" s="713" t="str">
        <f>$J$9</f>
        <v>豊肥</v>
      </c>
      <c r="AQ9" s="713"/>
      <c r="AR9" s="713"/>
      <c r="AS9" s="713"/>
    </row>
    <row r="10" spans="1:67" ht="37.5" customHeight="1" x14ac:dyDescent="0.25">
      <c r="A10" s="237" t="s">
        <v>497</v>
      </c>
      <c r="B10" s="189"/>
      <c r="C10" s="189"/>
      <c r="D10" s="189"/>
      <c r="E10" s="189"/>
      <c r="F10" s="189"/>
      <c r="G10" s="189"/>
      <c r="H10" s="189"/>
      <c r="I10" s="189"/>
      <c r="J10" s="189"/>
      <c r="K10" s="189"/>
      <c r="L10" s="189"/>
      <c r="M10" s="237" t="s">
        <v>637</v>
      </c>
      <c r="N10" s="189"/>
      <c r="O10" s="189"/>
      <c r="P10" s="189"/>
      <c r="Q10" s="189"/>
      <c r="R10" s="189"/>
      <c r="S10" s="189"/>
      <c r="T10" s="189"/>
      <c r="U10" s="189"/>
      <c r="V10" s="189"/>
      <c r="W10" s="189"/>
    </row>
    <row r="12" spans="1:67" ht="18.75" customHeight="1" x14ac:dyDescent="0.25">
      <c r="A12" s="963" t="s">
        <v>789</v>
      </c>
      <c r="B12" s="964" t="str">
        <f>C7</f>
        <v>臼杵ＳＳＳ</v>
      </c>
      <c r="C12" s="966">
        <f>IF(E12="","",SUM(E12:E13))</f>
        <v>4</v>
      </c>
      <c r="D12" s="940" t="s">
        <v>336</v>
      </c>
      <c r="E12" s="217">
        <v>2</v>
      </c>
      <c r="F12" s="217" t="s">
        <v>61</v>
      </c>
      <c r="G12" s="217">
        <v>0</v>
      </c>
      <c r="H12" s="940" t="s">
        <v>339</v>
      </c>
      <c r="I12" s="966">
        <f>IF(G12="","",SUM(G12:G13))</f>
        <v>0</v>
      </c>
      <c r="J12" s="968" t="str">
        <f>C8</f>
        <v>ＦＣ　ＲＥＧＡＴＥ</v>
      </c>
      <c r="K12" s="190"/>
      <c r="L12" s="190"/>
      <c r="M12" s="969" t="s">
        <v>791</v>
      </c>
      <c r="N12" s="972" t="str">
        <f>O7</f>
        <v>ＭＦＣ三花少年サッカー教室</v>
      </c>
      <c r="O12" s="966">
        <f>IF(Q12="","",SUM(Q12:Q13))</f>
        <v>0</v>
      </c>
      <c r="P12" s="940" t="s">
        <v>336</v>
      </c>
      <c r="Q12" s="217">
        <v>0</v>
      </c>
      <c r="R12" s="217" t="s">
        <v>61</v>
      </c>
      <c r="S12" s="217">
        <v>0</v>
      </c>
      <c r="T12" s="940" t="s">
        <v>339</v>
      </c>
      <c r="U12" s="966">
        <f>IF(S12="","",SUM(S12:S13))</f>
        <v>0</v>
      </c>
      <c r="V12" s="968" t="str">
        <f>O8</f>
        <v>リノスフットボールクラブ　Ｕ－１２</v>
      </c>
    </row>
    <row r="13" spans="1:67" ht="18.75" customHeight="1" x14ac:dyDescent="0.25">
      <c r="A13" s="946"/>
      <c r="B13" s="965"/>
      <c r="C13" s="967"/>
      <c r="D13" s="906"/>
      <c r="E13" s="190">
        <v>2</v>
      </c>
      <c r="F13" s="190" t="s">
        <v>126</v>
      </c>
      <c r="G13" s="190">
        <v>0</v>
      </c>
      <c r="H13" s="906"/>
      <c r="I13" s="967"/>
      <c r="J13" s="957"/>
      <c r="K13" s="190"/>
      <c r="L13" s="190"/>
      <c r="M13" s="970"/>
      <c r="N13" s="973"/>
      <c r="O13" s="967"/>
      <c r="P13" s="906"/>
      <c r="Q13" s="190">
        <v>0</v>
      </c>
      <c r="R13" s="190" t="s">
        <v>126</v>
      </c>
      <c r="S13" s="190">
        <v>0</v>
      </c>
      <c r="T13" s="906"/>
      <c r="U13" s="967"/>
      <c r="V13" s="957"/>
    </row>
    <row r="14" spans="1:67" ht="19.5" customHeight="1" x14ac:dyDescent="0.25">
      <c r="A14" s="946"/>
      <c r="B14" s="980"/>
      <c r="C14" s="967"/>
      <c r="D14" s="906"/>
      <c r="E14" s="190"/>
      <c r="F14" s="190" t="s">
        <v>407</v>
      </c>
      <c r="G14" s="190"/>
      <c r="H14" s="906"/>
      <c r="I14" s="967"/>
      <c r="J14" s="958"/>
      <c r="K14" s="190"/>
      <c r="L14" s="190"/>
      <c r="M14" s="971"/>
      <c r="N14" s="974"/>
      <c r="O14" s="975"/>
      <c r="P14" s="908"/>
      <c r="Q14" s="190">
        <v>3</v>
      </c>
      <c r="R14" s="190" t="s">
        <v>407</v>
      </c>
      <c r="S14" s="190">
        <v>4</v>
      </c>
      <c r="T14" s="908"/>
      <c r="U14" s="975"/>
      <c r="V14" s="976"/>
    </row>
    <row r="15" spans="1:67" ht="18.75" customHeight="1" x14ac:dyDescent="0.25">
      <c r="A15" s="192" t="s">
        <v>2463</v>
      </c>
      <c r="B15" s="989" t="s">
        <v>15158</v>
      </c>
      <c r="C15" s="989"/>
      <c r="D15" s="989"/>
      <c r="E15" s="989"/>
      <c r="F15" s="989"/>
      <c r="G15" s="990" t="s">
        <v>2464</v>
      </c>
      <c r="H15" s="990"/>
      <c r="I15" s="990"/>
      <c r="J15" s="991" t="s">
        <v>15160</v>
      </c>
      <c r="K15" s="991"/>
      <c r="L15" s="190"/>
      <c r="M15" s="192" t="s">
        <v>2463</v>
      </c>
      <c r="N15" s="989" t="s">
        <v>15193</v>
      </c>
      <c r="O15" s="989"/>
      <c r="P15" s="989"/>
      <c r="Q15" s="989"/>
      <c r="R15" s="989"/>
      <c r="S15" s="990" t="s">
        <v>2464</v>
      </c>
      <c r="T15" s="990"/>
      <c r="U15" s="990"/>
      <c r="V15" s="991" t="s">
        <v>15161</v>
      </c>
      <c r="W15" s="991"/>
      <c r="Y15" s="954" t="str">
        <f>$Y$6</f>
        <v>パート</v>
      </c>
      <c r="Z15" s="955"/>
      <c r="AA15" s="955"/>
      <c r="AB15" s="955"/>
      <c r="AC15" s="955" t="str">
        <f>$AB$6</f>
        <v>B</v>
      </c>
      <c r="AD15" s="955"/>
      <c r="AE15" s="956"/>
      <c r="AF15" s="945" t="str">
        <f>$Y$21</f>
        <v>臼杵ＳＳＳ</v>
      </c>
      <c r="AG15" s="945"/>
      <c r="AH15" s="945"/>
      <c r="AI15" s="945"/>
      <c r="AJ15" s="945"/>
      <c r="AK15" s="945" t="str">
        <f>$Y$27</f>
        <v>ＦＣ　ＲＥＧＡＴＥ</v>
      </c>
      <c r="AL15" s="945"/>
      <c r="AM15" s="945"/>
      <c r="AN15" s="945"/>
      <c r="AO15" s="945"/>
      <c r="AP15" s="945" t="str">
        <f>$Y$33</f>
        <v>竹田直入ＦＣ</v>
      </c>
      <c r="AQ15" s="945"/>
      <c r="AR15" s="945"/>
      <c r="AS15" s="945"/>
      <c r="AT15" s="945"/>
      <c r="AU15" s="945" t="s">
        <v>1535</v>
      </c>
      <c r="AV15" s="945"/>
      <c r="AW15" s="944" t="s">
        <v>2060</v>
      </c>
      <c r="AX15" s="945"/>
      <c r="AY15" s="944" t="s">
        <v>1208</v>
      </c>
      <c r="AZ15" s="945"/>
      <c r="BA15" s="945" t="s">
        <v>1727</v>
      </c>
      <c r="BB15" s="945"/>
      <c r="BC15" s="945" t="s">
        <v>2005</v>
      </c>
      <c r="BD15" s="945"/>
      <c r="BE15" s="945" t="s">
        <v>2006</v>
      </c>
      <c r="BF15" s="945"/>
      <c r="BG15" s="945" t="s">
        <v>1768</v>
      </c>
      <c r="BH15" s="945"/>
      <c r="BI15" s="944" t="s">
        <v>698</v>
      </c>
      <c r="BJ15" s="945"/>
      <c r="BK15" s="944" t="s">
        <v>1100</v>
      </c>
      <c r="BL15" s="945"/>
      <c r="BM15" s="944" t="s">
        <v>502</v>
      </c>
      <c r="BN15" s="945"/>
      <c r="BO15" s="947" t="s">
        <v>2127</v>
      </c>
    </row>
    <row r="16" spans="1:67" x14ac:dyDescent="0.25">
      <c r="A16" s="193" t="s">
        <v>2465</v>
      </c>
      <c r="B16" s="992" t="s">
        <v>15158</v>
      </c>
      <c r="C16" s="992"/>
      <c r="D16" s="992"/>
      <c r="E16" s="992"/>
      <c r="F16" s="992"/>
      <c r="G16" s="983" t="s">
        <v>2464</v>
      </c>
      <c r="H16" s="984"/>
      <c r="I16" s="985"/>
      <c r="J16" s="993" t="s">
        <v>15160</v>
      </c>
      <c r="K16" s="993"/>
      <c r="L16" s="190"/>
      <c r="M16" s="193" t="s">
        <v>2465</v>
      </c>
      <c r="N16" s="992" t="s">
        <v>15193</v>
      </c>
      <c r="O16" s="992"/>
      <c r="P16" s="992"/>
      <c r="Q16" s="992"/>
      <c r="R16" s="992"/>
      <c r="S16" s="983" t="s">
        <v>2464</v>
      </c>
      <c r="T16" s="984"/>
      <c r="U16" s="985"/>
      <c r="V16" s="993" t="s">
        <v>15161</v>
      </c>
      <c r="W16" s="993"/>
      <c r="Y16" s="905"/>
      <c r="Z16" s="906"/>
      <c r="AA16" s="906"/>
      <c r="AB16" s="906"/>
      <c r="AC16" s="906"/>
      <c r="AD16" s="906"/>
      <c r="AE16" s="957"/>
      <c r="AF16" s="946"/>
      <c r="AG16" s="946"/>
      <c r="AH16" s="946"/>
      <c r="AI16" s="946"/>
      <c r="AJ16" s="946"/>
      <c r="AK16" s="946"/>
      <c r="AL16" s="946"/>
      <c r="AM16" s="946"/>
      <c r="AN16" s="946"/>
      <c r="AO16" s="946"/>
      <c r="AP16" s="946"/>
      <c r="AQ16" s="946"/>
      <c r="AR16" s="946"/>
      <c r="AS16" s="946"/>
      <c r="AT16" s="946"/>
      <c r="AU16" s="946"/>
      <c r="AV16" s="946"/>
      <c r="AW16" s="946"/>
      <c r="AX16" s="946"/>
      <c r="AY16" s="946"/>
      <c r="AZ16" s="946"/>
      <c r="BA16" s="946"/>
      <c r="BB16" s="946"/>
      <c r="BC16" s="946"/>
      <c r="BD16" s="946"/>
      <c r="BE16" s="946"/>
      <c r="BF16" s="946"/>
      <c r="BG16" s="946"/>
      <c r="BH16" s="946"/>
      <c r="BI16" s="946"/>
      <c r="BJ16" s="946"/>
      <c r="BK16" s="946"/>
      <c r="BL16" s="946"/>
      <c r="BM16" s="946"/>
      <c r="BN16" s="946"/>
      <c r="BO16" s="948"/>
    </row>
    <row r="17" spans="1:67" x14ac:dyDescent="0.25">
      <c r="A17" s="194" t="s">
        <v>2466</v>
      </c>
      <c r="B17" s="982" t="s">
        <v>15159</v>
      </c>
      <c r="C17" s="982"/>
      <c r="D17" s="982"/>
      <c r="E17" s="982"/>
      <c r="F17" s="982"/>
      <c r="G17" s="983" t="s">
        <v>2464</v>
      </c>
      <c r="H17" s="984"/>
      <c r="I17" s="985"/>
      <c r="J17" s="986" t="s">
        <v>15161</v>
      </c>
      <c r="K17" s="986"/>
      <c r="L17" s="190"/>
      <c r="M17" s="194" t="s">
        <v>2466</v>
      </c>
      <c r="N17" s="982" t="s">
        <v>15194</v>
      </c>
      <c r="O17" s="982"/>
      <c r="P17" s="982"/>
      <c r="Q17" s="982"/>
      <c r="R17" s="982"/>
      <c r="S17" s="983" t="s">
        <v>2464</v>
      </c>
      <c r="T17" s="984"/>
      <c r="U17" s="985"/>
      <c r="V17" s="986" t="s">
        <v>15161</v>
      </c>
      <c r="W17" s="986"/>
      <c r="Y17" s="905"/>
      <c r="Z17" s="906"/>
      <c r="AA17" s="906"/>
      <c r="AB17" s="906"/>
      <c r="AC17" s="906"/>
      <c r="AD17" s="906"/>
      <c r="AE17" s="957"/>
      <c r="AF17" s="946"/>
      <c r="AG17" s="946"/>
      <c r="AH17" s="946"/>
      <c r="AI17" s="946"/>
      <c r="AJ17" s="946"/>
      <c r="AK17" s="946"/>
      <c r="AL17" s="946"/>
      <c r="AM17" s="946"/>
      <c r="AN17" s="946"/>
      <c r="AO17" s="946"/>
      <c r="AP17" s="946"/>
      <c r="AQ17" s="946"/>
      <c r="AR17" s="946"/>
      <c r="AS17" s="946"/>
      <c r="AT17" s="946"/>
      <c r="AU17" s="946"/>
      <c r="AV17" s="946"/>
      <c r="AW17" s="946"/>
      <c r="AX17" s="946"/>
      <c r="AY17" s="946"/>
      <c r="AZ17" s="946"/>
      <c r="BA17" s="946"/>
      <c r="BB17" s="946"/>
      <c r="BC17" s="946"/>
      <c r="BD17" s="946"/>
      <c r="BE17" s="946"/>
      <c r="BF17" s="946"/>
      <c r="BG17" s="946"/>
      <c r="BH17" s="946"/>
      <c r="BI17" s="946"/>
      <c r="BJ17" s="946"/>
      <c r="BK17" s="946"/>
      <c r="BL17" s="946"/>
      <c r="BM17" s="946"/>
      <c r="BN17" s="946"/>
      <c r="BO17" s="948"/>
    </row>
    <row r="18" spans="1:67" x14ac:dyDescent="0.25">
      <c r="A18" s="195" t="s">
        <v>609</v>
      </c>
      <c r="B18" s="205" t="str">
        <f>IF(ISERROR(VLOOKUP(G18,審判員!$A:$C,2,FALSE))=TRUE,"",VLOOKUP(G18,審判員!$A:$C,2,FALSE))</f>
        <v>岩崎　浩也</v>
      </c>
      <c r="C18" s="211">
        <f>IF(ISERROR(VLOOKUP(G18,審判員!$A:$C,3,FALSE))=TRUE,"",VLOOKUP(G18,審判員!$A:$C,3,FALSE))</f>
        <v>2</v>
      </c>
      <c r="D18" s="218" t="s">
        <v>612</v>
      </c>
      <c r="E18" s="955" t="s">
        <v>201</v>
      </c>
      <c r="F18" s="955"/>
      <c r="G18" s="955" t="s">
        <v>15162</v>
      </c>
      <c r="H18" s="955"/>
      <c r="I18" s="955"/>
      <c r="J18" s="987" t="s">
        <v>788</v>
      </c>
      <c r="K18" s="988"/>
      <c r="L18" s="190"/>
      <c r="M18" s="195" t="s">
        <v>609</v>
      </c>
      <c r="N18" s="205" t="str">
        <f>IF(ISERROR(VLOOKUP(S18,審判員!$A:$C,2,FALSE))=TRUE,"",VLOOKUP(S18,審判員!$A:$C,2,FALSE))</f>
        <v>和田　敬生</v>
      </c>
      <c r="O18" s="211">
        <f>IF(ISERROR(VLOOKUP(S18,審判員!$A:$C,3,FALSE))=TRUE,"",VLOOKUP(S18,審判員!$A:$C,3,FALSE))</f>
        <v>2</v>
      </c>
      <c r="P18" s="218" t="s">
        <v>612</v>
      </c>
      <c r="Q18" s="955" t="s">
        <v>201</v>
      </c>
      <c r="R18" s="955"/>
      <c r="S18" s="955" t="s">
        <v>15195</v>
      </c>
      <c r="T18" s="955"/>
      <c r="U18" s="955"/>
      <c r="V18" s="987" t="s">
        <v>788</v>
      </c>
      <c r="W18" s="988"/>
      <c r="Y18" s="905"/>
      <c r="Z18" s="906"/>
      <c r="AA18" s="906"/>
      <c r="AB18" s="906"/>
      <c r="AC18" s="906"/>
      <c r="AD18" s="906"/>
      <c r="AE18" s="957"/>
      <c r="AF18" s="946"/>
      <c r="AG18" s="946"/>
      <c r="AH18" s="946"/>
      <c r="AI18" s="946"/>
      <c r="AJ18" s="946"/>
      <c r="AK18" s="946"/>
      <c r="AL18" s="946"/>
      <c r="AM18" s="946"/>
      <c r="AN18" s="946"/>
      <c r="AO18" s="946"/>
      <c r="AP18" s="946"/>
      <c r="AQ18" s="946"/>
      <c r="AR18" s="946"/>
      <c r="AS18" s="946"/>
      <c r="AT18" s="946"/>
      <c r="AU18" s="946"/>
      <c r="AV18" s="946"/>
      <c r="AW18" s="946"/>
      <c r="AX18" s="946"/>
      <c r="AY18" s="946"/>
      <c r="AZ18" s="946"/>
      <c r="BA18" s="946"/>
      <c r="BB18" s="946"/>
      <c r="BC18" s="946"/>
      <c r="BD18" s="946"/>
      <c r="BE18" s="946"/>
      <c r="BF18" s="946"/>
      <c r="BG18" s="946"/>
      <c r="BH18" s="946"/>
      <c r="BI18" s="946"/>
      <c r="BJ18" s="946"/>
      <c r="BK18" s="946"/>
      <c r="BL18" s="946"/>
      <c r="BM18" s="946"/>
      <c r="BN18" s="946"/>
      <c r="BO18" s="948"/>
    </row>
    <row r="19" spans="1:67" x14ac:dyDescent="0.25">
      <c r="A19" s="196" t="s">
        <v>704</v>
      </c>
      <c r="B19" s="206" t="str">
        <f>IF(ISERROR(VLOOKUP(G19,審判員!$A:$C,2,FALSE))=TRUE,"",VLOOKUP(G19,審判員!$A:$C,2,FALSE))</f>
        <v>仲　恭平</v>
      </c>
      <c r="C19" s="212">
        <f>IF(ISERROR(VLOOKUP(G19,審判員!$A:$C,3,FALSE))=TRUE,"",VLOOKUP(G19,審判員!$A:$C,3,FALSE))</f>
        <v>3</v>
      </c>
      <c r="D19" s="219" t="s">
        <v>612</v>
      </c>
      <c r="E19" s="906" t="s">
        <v>1286</v>
      </c>
      <c r="F19" s="906"/>
      <c r="G19" s="906" t="s">
        <v>15163</v>
      </c>
      <c r="H19" s="906"/>
      <c r="I19" s="906"/>
      <c r="J19" s="891" t="str">
        <f>N12</f>
        <v>ＭＦＣ三花少年サッカー教室</v>
      </c>
      <c r="K19" s="981"/>
      <c r="L19" s="190"/>
      <c r="M19" s="196" t="s">
        <v>704</v>
      </c>
      <c r="N19" s="206" t="str">
        <f>IF(ISERROR(VLOOKUP(S19,審判員!$A:$C,2,FALSE))=TRUE,"",VLOOKUP(S19,審判員!$A:$C,2,FALSE))</f>
        <v>足立　卓也</v>
      </c>
      <c r="O19" s="212">
        <f>IF(ISERROR(VLOOKUP(S19,審判員!$A:$C,3,FALSE))=TRUE,"",VLOOKUP(S19,審判員!$A:$C,3,FALSE))</f>
        <v>3</v>
      </c>
      <c r="P19" s="219" t="s">
        <v>612</v>
      </c>
      <c r="Q19" s="906" t="s">
        <v>1286</v>
      </c>
      <c r="R19" s="906"/>
      <c r="S19" s="906" t="s">
        <v>15196</v>
      </c>
      <c r="T19" s="906"/>
      <c r="U19" s="906"/>
      <c r="V19" s="891" t="str">
        <f>B12</f>
        <v>臼杵ＳＳＳ</v>
      </c>
      <c r="W19" s="981"/>
      <c r="Y19" s="905"/>
      <c r="Z19" s="906"/>
      <c r="AA19" s="906"/>
      <c r="AB19" s="906"/>
      <c r="AC19" s="906"/>
      <c r="AD19" s="906"/>
      <c r="AE19" s="957"/>
      <c r="AF19" s="946"/>
      <c r="AG19" s="946"/>
      <c r="AH19" s="946"/>
      <c r="AI19" s="946"/>
      <c r="AJ19" s="946"/>
      <c r="AK19" s="946"/>
      <c r="AL19" s="946"/>
      <c r="AM19" s="946"/>
      <c r="AN19" s="946"/>
      <c r="AO19" s="946"/>
      <c r="AP19" s="946"/>
      <c r="AQ19" s="946"/>
      <c r="AR19" s="946"/>
      <c r="AS19" s="946"/>
      <c r="AT19" s="946"/>
      <c r="AU19" s="946"/>
      <c r="AV19" s="946"/>
      <c r="AW19" s="946"/>
      <c r="AX19" s="946"/>
      <c r="AY19" s="946"/>
      <c r="AZ19" s="946"/>
      <c r="BA19" s="946"/>
      <c r="BB19" s="946"/>
      <c r="BC19" s="946"/>
      <c r="BD19" s="946"/>
      <c r="BE19" s="946"/>
      <c r="BF19" s="946"/>
      <c r="BG19" s="946"/>
      <c r="BH19" s="946"/>
      <c r="BI19" s="946"/>
      <c r="BJ19" s="946"/>
      <c r="BK19" s="946"/>
      <c r="BL19" s="946"/>
      <c r="BM19" s="946"/>
      <c r="BN19" s="946"/>
      <c r="BO19" s="948"/>
    </row>
    <row r="20" spans="1:67" x14ac:dyDescent="0.25">
      <c r="A20" s="196" t="s">
        <v>2007</v>
      </c>
      <c r="B20" s="206" t="str">
        <f>IF(ISERROR(VLOOKUP(G20,審判員!$A:$C,2,FALSE))=TRUE,"",VLOOKUP(G20,審判員!$A:$C,2,FALSE))</f>
        <v>森　凛人</v>
      </c>
      <c r="C20" s="212">
        <f>IF(ISERROR(VLOOKUP(G20,審判員!$A:$C,3,FALSE))=TRUE,"",VLOOKUP(G20,審判員!$A:$C,3,FALSE))</f>
        <v>3</v>
      </c>
      <c r="D20" s="219" t="s">
        <v>612</v>
      </c>
      <c r="E20" s="906" t="s">
        <v>1286</v>
      </c>
      <c r="F20" s="906"/>
      <c r="G20" s="906" t="s">
        <v>15164</v>
      </c>
      <c r="H20" s="906"/>
      <c r="I20" s="906"/>
      <c r="J20" s="891" t="str">
        <f>V12</f>
        <v>リノスフットボールクラブ　Ｕ－１２</v>
      </c>
      <c r="K20" s="981"/>
      <c r="L20" s="190"/>
      <c r="M20" s="196" t="s">
        <v>2007</v>
      </c>
      <c r="N20" s="206" t="str">
        <f>IF(ISERROR(VLOOKUP(S20,審判員!$A:$C,2,FALSE))=TRUE,"",VLOOKUP(S20,審判員!$A:$C,2,FALSE))</f>
        <v>安藤　暢</v>
      </c>
      <c r="O20" s="212">
        <f>IF(ISERROR(VLOOKUP(S20,審判員!$A:$C,3,FALSE))=TRUE,"",VLOOKUP(S20,審判員!$A:$C,3,FALSE))</f>
        <v>3</v>
      </c>
      <c r="P20" s="219" t="s">
        <v>612</v>
      </c>
      <c r="Q20" s="906" t="s">
        <v>1286</v>
      </c>
      <c r="R20" s="906"/>
      <c r="S20" s="906" t="s">
        <v>15197</v>
      </c>
      <c r="T20" s="906"/>
      <c r="U20" s="906"/>
      <c r="V20" s="891" t="str">
        <f>J12</f>
        <v>ＦＣ　ＲＥＧＡＴＥ</v>
      </c>
      <c r="W20" s="981"/>
      <c r="Y20" s="941"/>
      <c r="Z20" s="936"/>
      <c r="AA20" s="936"/>
      <c r="AB20" s="936"/>
      <c r="AC20" s="936"/>
      <c r="AD20" s="936"/>
      <c r="AE20" s="958"/>
      <c r="AF20" s="946"/>
      <c r="AG20" s="946"/>
      <c r="AH20" s="946"/>
      <c r="AI20" s="946"/>
      <c r="AJ20" s="946"/>
      <c r="AK20" s="946"/>
      <c r="AL20" s="946"/>
      <c r="AM20" s="946"/>
      <c r="AN20" s="946"/>
      <c r="AO20" s="946"/>
      <c r="AP20" s="946"/>
      <c r="AQ20" s="946"/>
      <c r="AR20" s="946"/>
      <c r="AS20" s="946"/>
      <c r="AT20" s="946"/>
      <c r="AU20" s="946"/>
      <c r="AV20" s="946"/>
      <c r="AW20" s="946"/>
      <c r="AX20" s="946"/>
      <c r="AY20" s="946"/>
      <c r="AZ20" s="946"/>
      <c r="BA20" s="946"/>
      <c r="BB20" s="946"/>
      <c r="BC20" s="946"/>
      <c r="BD20" s="946"/>
      <c r="BE20" s="946"/>
      <c r="BF20" s="946"/>
      <c r="BG20" s="946"/>
      <c r="BH20" s="946"/>
      <c r="BI20" s="946"/>
      <c r="BJ20" s="946"/>
      <c r="BK20" s="946"/>
      <c r="BL20" s="946"/>
      <c r="BM20" s="946"/>
      <c r="BN20" s="946"/>
      <c r="BO20" s="949"/>
    </row>
    <row r="21" spans="1:67" ht="18.75" customHeight="1" x14ac:dyDescent="0.25">
      <c r="A21" s="197" t="s">
        <v>2008</v>
      </c>
      <c r="B21" s="207" t="str">
        <f>IF(ISERROR(VLOOKUP(G21,審判員!$A:$C,2,FALSE))=TRUE,"",VLOOKUP(G21,審判員!$A:$C,2,FALSE))</f>
        <v>岡部　正典</v>
      </c>
      <c r="C21" s="213">
        <f>IF(ISERROR(VLOOKUP(G21,審判員!$A:$C,3,FALSE))=TRUE,"",VLOOKUP(G21,審判員!$A:$C,3,FALSE))</f>
        <v>3</v>
      </c>
      <c r="D21" s="220" t="s">
        <v>612</v>
      </c>
      <c r="E21" s="977" t="s">
        <v>1286</v>
      </c>
      <c r="F21" s="977"/>
      <c r="G21" s="977" t="s">
        <v>15165</v>
      </c>
      <c r="H21" s="977"/>
      <c r="I21" s="977"/>
      <c r="J21" s="978" t="s">
        <v>788</v>
      </c>
      <c r="K21" s="979"/>
      <c r="L21" s="190"/>
      <c r="M21" s="197" t="s">
        <v>2008</v>
      </c>
      <c r="N21" s="207" t="str">
        <f>IF(ISERROR(VLOOKUP(S21,審判員!$A:$C,2,FALSE))=TRUE,"",VLOOKUP(S21,審判員!$A:$C,2,FALSE))</f>
        <v>金田　智朗</v>
      </c>
      <c r="O21" s="213">
        <f>IF(ISERROR(VLOOKUP(S21,審判員!$A:$C,3,FALSE))=TRUE,"",VLOOKUP(S21,審判員!$A:$C,3,FALSE))</f>
        <v>3</v>
      </c>
      <c r="P21" s="220" t="s">
        <v>612</v>
      </c>
      <c r="Q21" s="977" t="s">
        <v>1286</v>
      </c>
      <c r="R21" s="977"/>
      <c r="S21" s="977" t="s">
        <v>15198</v>
      </c>
      <c r="T21" s="977"/>
      <c r="U21" s="977"/>
      <c r="V21" s="978" t="s">
        <v>788</v>
      </c>
      <c r="W21" s="979"/>
      <c r="Y21" s="939" t="str">
        <f>$AC$7</f>
        <v>臼杵ＳＳＳ</v>
      </c>
      <c r="Z21" s="940"/>
      <c r="AA21" s="940"/>
      <c r="AB21" s="940"/>
      <c r="AC21" s="940"/>
      <c r="AD21" s="940" t="s">
        <v>242</v>
      </c>
      <c r="AE21" s="940"/>
      <c r="AF21" s="950"/>
      <c r="AG21" s="942"/>
      <c r="AH21" s="942"/>
      <c r="AI21" s="942"/>
      <c r="AJ21" s="951"/>
      <c r="AK21" s="923" t="str">
        <f>IF(AK25="","",IF(AK25&gt;AN25,"○",IF(AK25&lt;AN25,"●",IF(AK23&gt;AN23,"△",IF(AK23&lt;AN23,"▲")))))</f>
        <v>○</v>
      </c>
      <c r="AL21" s="924"/>
      <c r="AM21" s="924"/>
      <c r="AN21" s="924"/>
      <c r="AO21" s="925"/>
      <c r="AP21" s="923" t="str">
        <f>IF(AP25="","",IF(AP25&gt;AS25,"○",IF(AP25&lt;AS25,"●",IF(AP23&gt;AS23,"△",IF(AP23&lt;AS23,"▲")))))</f>
        <v>○</v>
      </c>
      <c r="AQ21" s="924"/>
      <c r="AR21" s="924"/>
      <c r="AS21" s="924"/>
      <c r="AT21" s="925"/>
      <c r="AU21" s="903">
        <f>COUNTIF($AF$21:$AT$22,"○")</f>
        <v>2</v>
      </c>
      <c r="AV21" s="903"/>
      <c r="AW21" s="903">
        <f>COUNTIF($AF$21:$AT$22,"△")</f>
        <v>0</v>
      </c>
      <c r="AX21" s="903"/>
      <c r="AY21" s="903">
        <f>COUNTIF($AF$21:$AT$22,"▲")</f>
        <v>0</v>
      </c>
      <c r="AZ21" s="903"/>
      <c r="BA21" s="903">
        <f>COUNTIF($AF$21:$AT$22,"●")</f>
        <v>0</v>
      </c>
      <c r="BB21" s="903"/>
      <c r="BC21" s="903">
        <f>SUM($AK$25,$AP$25)</f>
        <v>7</v>
      </c>
      <c r="BD21" s="903"/>
      <c r="BE21" s="903">
        <f>SUM($AN$25,$AS$25)</f>
        <v>0</v>
      </c>
      <c r="BF21" s="903"/>
      <c r="BG21" s="903">
        <f>($AU$21*3)+($AW$21*2)+($AY$21*1)</f>
        <v>6</v>
      </c>
      <c r="BH21" s="903"/>
      <c r="BI21" s="910">
        <f>RANK($BG$21,$BG$21:$BH$38)</f>
        <v>1</v>
      </c>
      <c r="BJ21" s="910"/>
      <c r="BK21" s="903">
        <f>$BC$21-$BE$21</f>
        <v>7</v>
      </c>
      <c r="BL21" s="903"/>
      <c r="BM21" s="910">
        <f>RANK($BK$21,$BK$21:$BL$38)</f>
        <v>1</v>
      </c>
      <c r="BN21" s="910"/>
      <c r="BO21" s="912"/>
    </row>
    <row r="22" spans="1:67" ht="18.75" customHeight="1" x14ac:dyDescent="0.25">
      <c r="A22" s="198" t="s">
        <v>469</v>
      </c>
      <c r="B22" s="208" t="s">
        <v>606</v>
      </c>
      <c r="C22" s="208" t="s">
        <v>234</v>
      </c>
      <c r="D22" s="208" t="s">
        <v>272</v>
      </c>
      <c r="E22" s="208" t="s">
        <v>750</v>
      </c>
      <c r="F22" s="223"/>
      <c r="G22" s="208" t="s">
        <v>750</v>
      </c>
      <c r="H22" s="208" t="s">
        <v>272</v>
      </c>
      <c r="I22" s="208" t="s">
        <v>234</v>
      </c>
      <c r="J22" s="208" t="s">
        <v>606</v>
      </c>
      <c r="K22" s="225" t="s">
        <v>469</v>
      </c>
      <c r="L22" s="190"/>
      <c r="M22" s="198" t="s">
        <v>469</v>
      </c>
      <c r="N22" s="208" t="s">
        <v>606</v>
      </c>
      <c r="O22" s="208" t="s">
        <v>234</v>
      </c>
      <c r="P22" s="208" t="s">
        <v>272</v>
      </c>
      <c r="Q22" s="208" t="s">
        <v>750</v>
      </c>
      <c r="R22" s="223"/>
      <c r="S22" s="208" t="s">
        <v>750</v>
      </c>
      <c r="T22" s="208" t="s">
        <v>272</v>
      </c>
      <c r="U22" s="208" t="s">
        <v>234</v>
      </c>
      <c r="V22" s="208" t="s">
        <v>606</v>
      </c>
      <c r="W22" s="225" t="s">
        <v>469</v>
      </c>
      <c r="Y22" s="905"/>
      <c r="Z22" s="906"/>
      <c r="AA22" s="906"/>
      <c r="AB22" s="906"/>
      <c r="AC22" s="906"/>
      <c r="AD22" s="906"/>
      <c r="AE22" s="906"/>
      <c r="AF22" s="929"/>
      <c r="AG22" s="930"/>
      <c r="AH22" s="930"/>
      <c r="AI22" s="930"/>
      <c r="AJ22" s="931"/>
      <c r="AK22" s="917"/>
      <c r="AL22" s="918"/>
      <c r="AM22" s="918"/>
      <c r="AN22" s="918"/>
      <c r="AO22" s="920"/>
      <c r="AP22" s="917"/>
      <c r="AQ22" s="918"/>
      <c r="AR22" s="918"/>
      <c r="AS22" s="918"/>
      <c r="AT22" s="920"/>
      <c r="AU22" s="903"/>
      <c r="AV22" s="903"/>
      <c r="AW22" s="903"/>
      <c r="AX22" s="903"/>
      <c r="AY22" s="903"/>
      <c r="AZ22" s="903"/>
      <c r="BA22" s="903"/>
      <c r="BB22" s="903"/>
      <c r="BC22" s="903"/>
      <c r="BD22" s="903"/>
      <c r="BE22" s="903"/>
      <c r="BF22" s="903"/>
      <c r="BG22" s="903"/>
      <c r="BH22" s="903"/>
      <c r="BI22" s="910"/>
      <c r="BJ22" s="910"/>
      <c r="BK22" s="903"/>
      <c r="BL22" s="903"/>
      <c r="BM22" s="910"/>
      <c r="BN22" s="910"/>
      <c r="BO22" s="913"/>
    </row>
    <row r="23" spans="1:67" ht="18.75" customHeight="1" x14ac:dyDescent="0.25">
      <c r="A23" s="199"/>
      <c r="B23" s="209" t="str">
        <f>IF(ISERROR(VLOOKUP(CONCATENATE($B$12,"_",C23),選手名簿!$A:$E,5,FALSE))=TRUE,"",VLOOKUP(CONCATENATE($B$12,"_",C23),選手名簿!$A:$E,5,FALSE))</f>
        <v/>
      </c>
      <c r="C23" s="214"/>
      <c r="D23" s="214"/>
      <c r="E23" s="221"/>
      <c r="F23" s="223"/>
      <c r="G23" s="221"/>
      <c r="H23" s="214"/>
      <c r="I23" s="214"/>
      <c r="J23" s="206" t="str">
        <f>IF(ISERROR(VLOOKUP(CONCATENATE($J$12,"_",I23),選手名簿!$A:$E,5,FALSE))=TRUE,"",VLOOKUP(CONCATENATE($J$12,"_",I23),選手名簿!$A:$E,5,FALSE))</f>
        <v/>
      </c>
      <c r="K23" s="226"/>
      <c r="L23" s="190"/>
      <c r="M23" s="199"/>
      <c r="N23" s="209" t="str">
        <f>IF(ISERROR(VLOOKUP(CONCATENATE($N$12,"_",O23),選手名簿!$A:$E,5,FALSE))=TRUE,"",VLOOKUP(CONCATENATE($N$12,"_",O23),選手名簿!$A:$E,5,FALSE))</f>
        <v/>
      </c>
      <c r="O23" s="214"/>
      <c r="P23" s="214"/>
      <c r="Q23" s="221"/>
      <c r="R23" s="223"/>
      <c r="S23" s="221"/>
      <c r="T23" s="214"/>
      <c r="U23" s="214"/>
      <c r="V23" s="206" t="str">
        <f>IF(ISERROR(VLOOKUP(CONCATENATE($V$12,"_",U23),選手名簿!$A:$E,5,FALSE))=TRUE,"",VLOOKUP(CONCATENATE($V$12,"_",U23),選手名簿!$A:$E,5,FALSE))</f>
        <v/>
      </c>
      <c r="W23" s="226"/>
      <c r="Y23" s="905"/>
      <c r="Z23" s="906"/>
      <c r="AA23" s="906"/>
      <c r="AB23" s="906"/>
      <c r="AC23" s="906"/>
      <c r="AD23" s="906"/>
      <c r="AE23" s="906"/>
      <c r="AF23" s="929"/>
      <c r="AG23" s="930"/>
      <c r="AH23" s="930"/>
      <c r="AI23" s="930"/>
      <c r="AJ23" s="931"/>
      <c r="AK23" s="915" t="str">
        <f>IF($E$14="","",$E$14)</f>
        <v/>
      </c>
      <c r="AL23" s="916"/>
      <c r="AM23" s="916" t="s">
        <v>2011</v>
      </c>
      <c r="AN23" s="916" t="str">
        <f>IF($G$14="","",$G$14)</f>
        <v/>
      </c>
      <c r="AO23" s="919"/>
      <c r="AP23" s="915" t="str">
        <f>IF($G$50="","",$G$50)</f>
        <v/>
      </c>
      <c r="AQ23" s="916"/>
      <c r="AR23" s="916" t="s">
        <v>2011</v>
      </c>
      <c r="AS23" s="916" t="str">
        <f>IF($E$50="","",$E$50)</f>
        <v/>
      </c>
      <c r="AT23" s="919"/>
      <c r="AU23" s="903"/>
      <c r="AV23" s="903"/>
      <c r="AW23" s="903"/>
      <c r="AX23" s="903"/>
      <c r="AY23" s="903"/>
      <c r="AZ23" s="903"/>
      <c r="BA23" s="903"/>
      <c r="BB23" s="903"/>
      <c r="BC23" s="903"/>
      <c r="BD23" s="903"/>
      <c r="BE23" s="903"/>
      <c r="BF23" s="903"/>
      <c r="BG23" s="903"/>
      <c r="BH23" s="903"/>
      <c r="BI23" s="910"/>
      <c r="BJ23" s="910"/>
      <c r="BK23" s="903"/>
      <c r="BL23" s="903"/>
      <c r="BM23" s="910"/>
      <c r="BN23" s="910"/>
      <c r="BO23" s="913"/>
    </row>
    <row r="24" spans="1:67" ht="18.75" customHeight="1" x14ac:dyDescent="0.25">
      <c r="A24" s="199"/>
      <c r="B24" s="209" t="str">
        <f>IF(ISERROR(VLOOKUP(CONCATENATE($B$12,"_",C24),選手名簿!$A:$E,5,FALSE))=TRUE,"",VLOOKUP(CONCATENATE($B$12,"_",C24),選手名簿!$A:$E,5,FALSE))</f>
        <v/>
      </c>
      <c r="C24" s="214"/>
      <c r="D24" s="214"/>
      <c r="E24" s="221"/>
      <c r="F24" s="223"/>
      <c r="G24" s="221"/>
      <c r="H24" s="214"/>
      <c r="I24" s="214"/>
      <c r="J24" s="209" t="str">
        <f>IF(ISERROR(VLOOKUP(CONCATENATE($J$12,"_",I24),選手名簿!$A:$E,5,FALSE))=TRUE,"",VLOOKUP(CONCATENATE($J$12,"_",I24),選手名簿!$A:$E,5,FALSE))</f>
        <v/>
      </c>
      <c r="K24" s="226"/>
      <c r="L24" s="190"/>
      <c r="M24" s="199"/>
      <c r="N24" s="209" t="str">
        <f>IF(ISERROR(VLOOKUP(CONCATENATE($N$12,"_",O24),選手名簿!$A:$E,5,FALSE))=TRUE,"",VLOOKUP(CONCATENATE($N$12,"_",O24),選手名簿!$A:$E,5,FALSE))</f>
        <v/>
      </c>
      <c r="O24" s="214"/>
      <c r="P24" s="214"/>
      <c r="Q24" s="221"/>
      <c r="R24" s="223"/>
      <c r="S24" s="221"/>
      <c r="T24" s="214"/>
      <c r="U24" s="214"/>
      <c r="V24" s="209" t="str">
        <f>IF(ISERROR(VLOOKUP(CONCATENATE($V$12,"_",U24),選手名簿!$A:$E,5,FALSE))=TRUE,"",VLOOKUP(CONCATENATE($V$12,"_",U24),選手名簿!$A:$E,5,FALSE))</f>
        <v/>
      </c>
      <c r="W24" s="226"/>
      <c r="Y24" s="905"/>
      <c r="Z24" s="906"/>
      <c r="AA24" s="906"/>
      <c r="AB24" s="906"/>
      <c r="AC24" s="906"/>
      <c r="AD24" s="906" t="s">
        <v>2010</v>
      </c>
      <c r="AE24" s="906"/>
      <c r="AF24" s="929"/>
      <c r="AG24" s="930"/>
      <c r="AH24" s="930"/>
      <c r="AI24" s="930"/>
      <c r="AJ24" s="931"/>
      <c r="AK24" s="917"/>
      <c r="AL24" s="918"/>
      <c r="AM24" s="918"/>
      <c r="AN24" s="918"/>
      <c r="AO24" s="920"/>
      <c r="AP24" s="917"/>
      <c r="AQ24" s="918"/>
      <c r="AR24" s="918"/>
      <c r="AS24" s="918"/>
      <c r="AT24" s="920"/>
      <c r="AU24" s="903"/>
      <c r="AV24" s="903"/>
      <c r="AW24" s="903"/>
      <c r="AX24" s="903"/>
      <c r="AY24" s="903"/>
      <c r="AZ24" s="903"/>
      <c r="BA24" s="903"/>
      <c r="BB24" s="903"/>
      <c r="BC24" s="903"/>
      <c r="BD24" s="903"/>
      <c r="BE24" s="903"/>
      <c r="BF24" s="903"/>
      <c r="BG24" s="903"/>
      <c r="BH24" s="903"/>
      <c r="BI24" s="910"/>
      <c r="BJ24" s="910"/>
      <c r="BK24" s="903"/>
      <c r="BL24" s="903"/>
      <c r="BM24" s="910"/>
      <c r="BN24" s="910"/>
      <c r="BO24" s="913"/>
    </row>
    <row r="25" spans="1:67" ht="18.75" customHeight="1" x14ac:dyDescent="0.25">
      <c r="A25" s="199"/>
      <c r="B25" s="209" t="str">
        <f>IF(ISERROR(VLOOKUP(CONCATENATE($B$12,"_",C25),選手名簿!$A:$E,5,FALSE))=TRUE,"",VLOOKUP(CONCATENATE($B$12,"_",C25),選手名簿!$A:$E,5,FALSE))</f>
        <v/>
      </c>
      <c r="C25" s="214"/>
      <c r="D25" s="214"/>
      <c r="E25" s="221"/>
      <c r="F25" s="223"/>
      <c r="G25" s="221"/>
      <c r="H25" s="214"/>
      <c r="I25" s="214"/>
      <c r="J25" s="209" t="str">
        <f>IF(ISERROR(VLOOKUP(CONCATENATE($J$12,"_",I25),選手名簿!$A:$E,5,FALSE))=TRUE,"",VLOOKUP(CONCATENATE($J$12,"_",I25),選手名簿!$A:$E,5,FALSE))</f>
        <v/>
      </c>
      <c r="K25" s="226"/>
      <c r="L25" s="190"/>
      <c r="M25" s="199"/>
      <c r="N25" s="209" t="str">
        <f>IF(ISERROR(VLOOKUP(CONCATENATE($N$12,"_",O25),選手名簿!$A:$E,5,FALSE))=TRUE,"",VLOOKUP(CONCATENATE($N$12,"_",O25),選手名簿!$A:$E,5,FALSE))</f>
        <v/>
      </c>
      <c r="O25" s="214"/>
      <c r="P25" s="214"/>
      <c r="Q25" s="221"/>
      <c r="R25" s="223"/>
      <c r="S25" s="221"/>
      <c r="T25" s="214"/>
      <c r="U25" s="214"/>
      <c r="V25" s="209" t="str">
        <f>IF(ISERROR(VLOOKUP(CONCATENATE($V$12,"_",U25),選手名簿!$A:$E,5,FALSE))=TRUE,"",VLOOKUP(CONCATENATE($V$12,"_",U25),選手名簿!$A:$E,5,FALSE))</f>
        <v/>
      </c>
      <c r="W25" s="226"/>
      <c r="Y25" s="905"/>
      <c r="Z25" s="906"/>
      <c r="AA25" s="906"/>
      <c r="AB25" s="906"/>
      <c r="AC25" s="906"/>
      <c r="AD25" s="906"/>
      <c r="AE25" s="906"/>
      <c r="AF25" s="929"/>
      <c r="AG25" s="930"/>
      <c r="AH25" s="930"/>
      <c r="AI25" s="930"/>
      <c r="AJ25" s="931"/>
      <c r="AK25" s="915">
        <f>$C$12</f>
        <v>4</v>
      </c>
      <c r="AL25" s="916"/>
      <c r="AM25" s="916" t="s">
        <v>2011</v>
      </c>
      <c r="AN25" s="916">
        <f>$I$12</f>
        <v>0</v>
      </c>
      <c r="AO25" s="919"/>
      <c r="AP25" s="915">
        <f>$I$48</f>
        <v>3</v>
      </c>
      <c r="AQ25" s="916"/>
      <c r="AR25" s="916" t="s">
        <v>2011</v>
      </c>
      <c r="AS25" s="916">
        <f>$C$48</f>
        <v>0</v>
      </c>
      <c r="AT25" s="919"/>
      <c r="AU25" s="903"/>
      <c r="AV25" s="903"/>
      <c r="AW25" s="903"/>
      <c r="AX25" s="903"/>
      <c r="AY25" s="903"/>
      <c r="AZ25" s="903"/>
      <c r="BA25" s="903"/>
      <c r="BB25" s="903"/>
      <c r="BC25" s="903"/>
      <c r="BD25" s="903"/>
      <c r="BE25" s="903"/>
      <c r="BF25" s="903"/>
      <c r="BG25" s="903"/>
      <c r="BH25" s="903"/>
      <c r="BI25" s="910"/>
      <c r="BJ25" s="910"/>
      <c r="BK25" s="903"/>
      <c r="BL25" s="903"/>
      <c r="BM25" s="910"/>
      <c r="BN25" s="910"/>
      <c r="BO25" s="913"/>
    </row>
    <row r="26" spans="1:67" ht="18.75" customHeight="1" x14ac:dyDescent="0.25">
      <c r="A26" s="199"/>
      <c r="B26" s="209" t="str">
        <f>IF(ISERROR(VLOOKUP(CONCATENATE($B$12,"_",C26),選手名簿!$A:$E,5,FALSE))=TRUE,"",VLOOKUP(CONCATENATE($B$12,"_",C26),選手名簿!$A:$E,5,FALSE))</f>
        <v/>
      </c>
      <c r="C26" s="214"/>
      <c r="D26" s="214"/>
      <c r="E26" s="221"/>
      <c r="F26" s="223"/>
      <c r="G26" s="221"/>
      <c r="H26" s="214"/>
      <c r="I26" s="214"/>
      <c r="J26" s="209" t="str">
        <f>IF(ISERROR(VLOOKUP(CONCATENATE($J$12,"_",I26),選手名簿!$A:$E,5,FALSE))=TRUE,"",VLOOKUP(CONCATENATE($J$12,"_",I26),選手名簿!$A:$E,5,FALSE))</f>
        <v/>
      </c>
      <c r="K26" s="226"/>
      <c r="L26" s="190"/>
      <c r="M26" s="199"/>
      <c r="N26" s="209" t="str">
        <f>IF(ISERROR(VLOOKUP(CONCATENATE($N$12,"_",O26),選手名簿!$A:$E,5,FALSE))=TRUE,"",VLOOKUP(CONCATENATE($N$12,"_",O26),選手名簿!$A:$E,5,FALSE))</f>
        <v/>
      </c>
      <c r="O26" s="214"/>
      <c r="P26" s="214"/>
      <c r="Q26" s="221"/>
      <c r="R26" s="223"/>
      <c r="S26" s="221"/>
      <c r="T26" s="214"/>
      <c r="U26" s="214"/>
      <c r="V26" s="209" t="str">
        <f>IF(ISERROR(VLOOKUP(CONCATENATE($V$12,"_",U26),選手名簿!$A:$E,5,FALSE))=TRUE,"",VLOOKUP(CONCATENATE($V$12,"_",U26),選手名簿!$A:$E,5,FALSE))</f>
        <v/>
      </c>
      <c r="W26" s="226"/>
      <c r="Y26" s="941"/>
      <c r="Z26" s="936"/>
      <c r="AA26" s="936"/>
      <c r="AB26" s="936"/>
      <c r="AC26" s="936"/>
      <c r="AD26" s="936"/>
      <c r="AE26" s="936"/>
      <c r="AF26" s="952"/>
      <c r="AG26" s="943"/>
      <c r="AH26" s="943"/>
      <c r="AI26" s="943"/>
      <c r="AJ26" s="953"/>
      <c r="AK26" s="937"/>
      <c r="AL26" s="560"/>
      <c r="AM26" s="560"/>
      <c r="AN26" s="560"/>
      <c r="AO26" s="938"/>
      <c r="AP26" s="937"/>
      <c r="AQ26" s="560"/>
      <c r="AR26" s="560"/>
      <c r="AS26" s="560"/>
      <c r="AT26" s="938"/>
      <c r="AU26" s="903"/>
      <c r="AV26" s="903"/>
      <c r="AW26" s="903"/>
      <c r="AX26" s="903"/>
      <c r="AY26" s="903"/>
      <c r="AZ26" s="903"/>
      <c r="BA26" s="903"/>
      <c r="BB26" s="903"/>
      <c r="BC26" s="903"/>
      <c r="BD26" s="903"/>
      <c r="BE26" s="903"/>
      <c r="BF26" s="903"/>
      <c r="BG26" s="903"/>
      <c r="BH26" s="903"/>
      <c r="BI26" s="910"/>
      <c r="BJ26" s="910"/>
      <c r="BK26" s="903"/>
      <c r="BL26" s="903"/>
      <c r="BM26" s="910"/>
      <c r="BN26" s="910"/>
      <c r="BO26" s="935"/>
    </row>
    <row r="27" spans="1:67" ht="18.75" customHeight="1" x14ac:dyDescent="0.25">
      <c r="A27" s="200"/>
      <c r="B27" s="210" t="str">
        <f>IF(ISERROR(VLOOKUP(CONCATENATE($B$12,"_",C27),選手名簿!$A:$E,5,FALSE))=TRUE,"",VLOOKUP(CONCATENATE($B$12,"_",C27),選手名簿!$A:$E,5,FALSE))</f>
        <v/>
      </c>
      <c r="C27" s="215"/>
      <c r="D27" s="215"/>
      <c r="E27" s="222"/>
      <c r="F27" s="224"/>
      <c r="G27" s="222"/>
      <c r="H27" s="215"/>
      <c r="I27" s="215"/>
      <c r="J27" s="210" t="str">
        <f>IF(ISERROR(VLOOKUP(CONCATENATE($J$12,"_",I27),選手名簿!$A:$E,5,FALSE))=TRUE,"",VLOOKUP(CONCATENATE($J$12,"_",I27),選手名簿!$A:$E,5,FALSE))</f>
        <v/>
      </c>
      <c r="K27" s="227"/>
      <c r="L27" s="190"/>
      <c r="M27" s="200"/>
      <c r="N27" s="210" t="str">
        <f>IF(ISERROR(VLOOKUP(CONCATENATE($N$12,"_",O27),選手名簿!$A:$E,5,FALSE))=TRUE,"",VLOOKUP(CONCATENATE($N$12,"_",O27),選手名簿!$A:$E,5,FALSE))</f>
        <v/>
      </c>
      <c r="O27" s="215"/>
      <c r="P27" s="215"/>
      <c r="Q27" s="222"/>
      <c r="R27" s="224"/>
      <c r="S27" s="222"/>
      <c r="T27" s="215"/>
      <c r="U27" s="215"/>
      <c r="V27" s="210" t="str">
        <f>IF(ISERROR(VLOOKUP(CONCATENATE($V$12,"_",U27),選手名簿!$A:$E,5,FALSE))=TRUE,"",VLOOKUP(CONCATENATE($V$12,"_",U27),選手名簿!$A:$E,5,FALSE))</f>
        <v/>
      </c>
      <c r="W27" s="227"/>
      <c r="Y27" s="939" t="str">
        <f>$AC$8</f>
        <v>ＦＣ　ＲＥＧＡＴＥ</v>
      </c>
      <c r="Z27" s="940"/>
      <c r="AA27" s="940"/>
      <c r="AB27" s="940"/>
      <c r="AC27" s="940"/>
      <c r="AD27" s="940" t="s">
        <v>242</v>
      </c>
      <c r="AE27" s="940"/>
      <c r="AF27" s="923" t="str">
        <f>IF(AF31="","",IF(AF31&gt;AI31,"○",IF(AF31&lt;AI31,"●",IF(AF29&gt;AI29,"△",IF(AF29&lt;AI29,"▲")))))</f>
        <v>●</v>
      </c>
      <c r="AG27" s="924"/>
      <c r="AH27" s="924"/>
      <c r="AI27" s="924"/>
      <c r="AJ27" s="925"/>
      <c r="AK27" s="942"/>
      <c r="AL27" s="942"/>
      <c r="AM27" s="942"/>
      <c r="AN27" s="942"/>
      <c r="AO27" s="942"/>
      <c r="AP27" s="923" t="str">
        <f>IF(AP31="","",IF(AP31&gt;AS31,"○",IF(AP31&lt;AS31,"●",IF(AP29&gt;AS29,"△",IF(AP29&lt;AS29,"▲")))))</f>
        <v>●</v>
      </c>
      <c r="AQ27" s="924"/>
      <c r="AR27" s="924"/>
      <c r="AS27" s="924"/>
      <c r="AT27" s="925"/>
      <c r="AU27" s="903">
        <f>COUNTIF($AF$27:$AT$28,"○")</f>
        <v>0</v>
      </c>
      <c r="AV27" s="903"/>
      <c r="AW27" s="903">
        <f>COUNTIF($AF$27:$AT$28,"△")</f>
        <v>0</v>
      </c>
      <c r="AX27" s="903"/>
      <c r="AY27" s="903">
        <f>COUNTIF($AF$27:$AT$28,"▲")</f>
        <v>0</v>
      </c>
      <c r="AZ27" s="903"/>
      <c r="BA27" s="903">
        <f>COUNTIF($AF$27:$AT$28,"●")</f>
        <v>2</v>
      </c>
      <c r="BB27" s="903"/>
      <c r="BC27" s="903">
        <f>SUM($AF$31,$AP$31)</f>
        <v>0</v>
      </c>
      <c r="BD27" s="903"/>
      <c r="BE27" s="903">
        <f>SUM($AI$31,$AS$31)</f>
        <v>6</v>
      </c>
      <c r="BF27" s="903"/>
      <c r="BG27" s="903">
        <f>($AU$27*3)+($AW$27*2)+($AY$27*1)</f>
        <v>0</v>
      </c>
      <c r="BH27" s="903"/>
      <c r="BI27" s="910">
        <f>RANK($BG$27,$BG$21:$BH$38)</f>
        <v>3</v>
      </c>
      <c r="BJ27" s="910"/>
      <c r="BK27" s="903">
        <f>$BC$27-$BE$27</f>
        <v>-6</v>
      </c>
      <c r="BL27" s="903"/>
      <c r="BM27" s="910">
        <f>RANK($BK$27,$BK$21:$BL$38)</f>
        <v>3</v>
      </c>
      <c r="BN27" s="910"/>
      <c r="BO27" s="912"/>
    </row>
    <row r="28" spans="1:67" ht="18.75" customHeight="1" x14ac:dyDescent="0.25">
      <c r="A28" s="190"/>
      <c r="B28" s="190"/>
      <c r="C28" s="190"/>
      <c r="D28" s="190"/>
      <c r="E28" s="190"/>
      <c r="F28" s="190"/>
      <c r="G28" s="190"/>
      <c r="H28" s="190"/>
      <c r="I28" s="190"/>
      <c r="J28" s="190"/>
      <c r="K28" s="190"/>
      <c r="L28" s="190"/>
      <c r="M28" s="190"/>
      <c r="N28" s="190"/>
      <c r="O28" s="190"/>
      <c r="P28" s="190"/>
      <c r="Q28" s="190"/>
      <c r="R28" s="190"/>
      <c r="S28" s="190"/>
      <c r="T28" s="190"/>
      <c r="U28" s="190"/>
      <c r="V28" s="190"/>
      <c r="Y28" s="905"/>
      <c r="Z28" s="906"/>
      <c r="AA28" s="906"/>
      <c r="AB28" s="906"/>
      <c r="AC28" s="906"/>
      <c r="AD28" s="906"/>
      <c r="AE28" s="906"/>
      <c r="AF28" s="917"/>
      <c r="AG28" s="918"/>
      <c r="AH28" s="918"/>
      <c r="AI28" s="918"/>
      <c r="AJ28" s="920"/>
      <c r="AK28" s="930"/>
      <c r="AL28" s="930"/>
      <c r="AM28" s="930"/>
      <c r="AN28" s="930"/>
      <c r="AO28" s="930"/>
      <c r="AP28" s="917"/>
      <c r="AQ28" s="918"/>
      <c r="AR28" s="918"/>
      <c r="AS28" s="918"/>
      <c r="AT28" s="920"/>
      <c r="AU28" s="903"/>
      <c r="AV28" s="903"/>
      <c r="AW28" s="903"/>
      <c r="AX28" s="903"/>
      <c r="AY28" s="903"/>
      <c r="AZ28" s="903"/>
      <c r="BA28" s="903"/>
      <c r="BB28" s="903"/>
      <c r="BC28" s="903"/>
      <c r="BD28" s="903"/>
      <c r="BE28" s="903"/>
      <c r="BF28" s="903"/>
      <c r="BG28" s="903"/>
      <c r="BH28" s="903"/>
      <c r="BI28" s="910"/>
      <c r="BJ28" s="910"/>
      <c r="BK28" s="903"/>
      <c r="BL28" s="903"/>
      <c r="BM28" s="910"/>
      <c r="BN28" s="910"/>
      <c r="BO28" s="913"/>
    </row>
    <row r="29" spans="1:67" ht="18.75" customHeight="1" x14ac:dyDescent="0.25">
      <c r="A29" s="190"/>
      <c r="B29" s="190"/>
      <c r="C29" s="190"/>
      <c r="D29" s="190"/>
      <c r="E29" s="190"/>
      <c r="F29" s="190"/>
      <c r="G29" s="190"/>
      <c r="H29" s="190"/>
      <c r="I29" s="190"/>
      <c r="J29" s="190"/>
      <c r="K29" s="190"/>
      <c r="L29" s="190"/>
      <c r="M29" s="190"/>
      <c r="N29" s="190"/>
      <c r="O29" s="190"/>
      <c r="P29" s="190"/>
      <c r="Q29" s="190"/>
      <c r="R29" s="190"/>
      <c r="S29" s="190"/>
      <c r="T29" s="190"/>
      <c r="U29" s="190"/>
      <c r="V29" s="190"/>
      <c r="Y29" s="905"/>
      <c r="Z29" s="906"/>
      <c r="AA29" s="906"/>
      <c r="AB29" s="906"/>
      <c r="AC29" s="906"/>
      <c r="AD29" s="906"/>
      <c r="AE29" s="906"/>
      <c r="AF29" s="915" t="str">
        <f>AN23</f>
        <v/>
      </c>
      <c r="AG29" s="916"/>
      <c r="AH29" s="916" t="s">
        <v>2011</v>
      </c>
      <c r="AI29" s="916" t="str">
        <f>AK23</f>
        <v/>
      </c>
      <c r="AJ29" s="919"/>
      <c r="AK29" s="930"/>
      <c r="AL29" s="930"/>
      <c r="AM29" s="930"/>
      <c r="AN29" s="930"/>
      <c r="AO29" s="930"/>
      <c r="AP29" s="915" t="str">
        <f>IF($E$32="","",$E$32)</f>
        <v/>
      </c>
      <c r="AQ29" s="916"/>
      <c r="AR29" s="916" t="s">
        <v>2011</v>
      </c>
      <c r="AS29" s="916" t="str">
        <f>IF($G$32="","",$G$32)</f>
        <v/>
      </c>
      <c r="AT29" s="919"/>
      <c r="AU29" s="903"/>
      <c r="AV29" s="903"/>
      <c r="AW29" s="903"/>
      <c r="AX29" s="903"/>
      <c r="AY29" s="903"/>
      <c r="AZ29" s="903"/>
      <c r="BA29" s="903"/>
      <c r="BB29" s="903"/>
      <c r="BC29" s="903"/>
      <c r="BD29" s="903"/>
      <c r="BE29" s="903"/>
      <c r="BF29" s="903"/>
      <c r="BG29" s="903"/>
      <c r="BH29" s="903"/>
      <c r="BI29" s="910"/>
      <c r="BJ29" s="910"/>
      <c r="BK29" s="903"/>
      <c r="BL29" s="903"/>
      <c r="BM29" s="910"/>
      <c r="BN29" s="910"/>
      <c r="BO29" s="913"/>
    </row>
    <row r="30" spans="1:67" ht="18.75" customHeight="1" x14ac:dyDescent="0.25">
      <c r="A30" s="963" t="s">
        <v>1217</v>
      </c>
      <c r="B30" s="964" t="str">
        <f>C8</f>
        <v>ＦＣ　ＲＥＧＡＴＥ</v>
      </c>
      <c r="C30" s="966">
        <f>IF(E30="","",SUM(E30:E31))</f>
        <v>0</v>
      </c>
      <c r="D30" s="940" t="s">
        <v>336</v>
      </c>
      <c r="E30" s="217">
        <v>0</v>
      </c>
      <c r="F30" s="217" t="s">
        <v>61</v>
      </c>
      <c r="G30" s="217">
        <v>1</v>
      </c>
      <c r="H30" s="940" t="s">
        <v>339</v>
      </c>
      <c r="I30" s="966">
        <f>IF(G30="","",SUM(G30:G31))</f>
        <v>2</v>
      </c>
      <c r="J30" s="968" t="str">
        <f>C9</f>
        <v>竹田直入ＦＣ</v>
      </c>
      <c r="K30" s="190"/>
      <c r="L30" s="190"/>
      <c r="M30" s="969" t="s">
        <v>2018</v>
      </c>
      <c r="N30" s="964" t="str">
        <f>O8</f>
        <v>リノスフットボールクラブ　Ｕ－１２</v>
      </c>
      <c r="O30" s="966">
        <f>IF(Q30="","",SUM(Q30:Q31))</f>
        <v>0</v>
      </c>
      <c r="P30" s="940" t="s">
        <v>336</v>
      </c>
      <c r="Q30" s="217">
        <v>0</v>
      </c>
      <c r="R30" s="217" t="s">
        <v>61</v>
      </c>
      <c r="S30" s="217">
        <v>1</v>
      </c>
      <c r="T30" s="940" t="s">
        <v>339</v>
      </c>
      <c r="U30" s="966">
        <f>IF(S30="","",SUM(S30:S31))</f>
        <v>2</v>
      </c>
      <c r="V30" s="968" t="str">
        <f>O9</f>
        <v>ＮＦＣ・ＯＩＴＡ　Ｕ１２</v>
      </c>
      <c r="Y30" s="905"/>
      <c r="Z30" s="906"/>
      <c r="AA30" s="906"/>
      <c r="AB30" s="906"/>
      <c r="AC30" s="906"/>
      <c r="AD30" s="906" t="s">
        <v>2010</v>
      </c>
      <c r="AE30" s="906"/>
      <c r="AF30" s="917"/>
      <c r="AG30" s="918"/>
      <c r="AH30" s="918"/>
      <c r="AI30" s="918"/>
      <c r="AJ30" s="920"/>
      <c r="AK30" s="930"/>
      <c r="AL30" s="930"/>
      <c r="AM30" s="930"/>
      <c r="AN30" s="930"/>
      <c r="AO30" s="930"/>
      <c r="AP30" s="917"/>
      <c r="AQ30" s="918"/>
      <c r="AR30" s="918"/>
      <c r="AS30" s="918"/>
      <c r="AT30" s="920"/>
      <c r="AU30" s="903"/>
      <c r="AV30" s="903"/>
      <c r="AW30" s="903"/>
      <c r="AX30" s="903"/>
      <c r="AY30" s="903"/>
      <c r="AZ30" s="903"/>
      <c r="BA30" s="903"/>
      <c r="BB30" s="903"/>
      <c r="BC30" s="903"/>
      <c r="BD30" s="903"/>
      <c r="BE30" s="903"/>
      <c r="BF30" s="903"/>
      <c r="BG30" s="903"/>
      <c r="BH30" s="903"/>
      <c r="BI30" s="910"/>
      <c r="BJ30" s="910"/>
      <c r="BK30" s="903"/>
      <c r="BL30" s="903"/>
      <c r="BM30" s="910"/>
      <c r="BN30" s="910"/>
      <c r="BO30" s="913"/>
    </row>
    <row r="31" spans="1:67" ht="18.75" customHeight="1" x14ac:dyDescent="0.25">
      <c r="A31" s="946"/>
      <c r="B31" s="965"/>
      <c r="C31" s="967"/>
      <c r="D31" s="906"/>
      <c r="E31" s="190">
        <v>0</v>
      </c>
      <c r="F31" s="190" t="s">
        <v>126</v>
      </c>
      <c r="G31" s="190">
        <v>1</v>
      </c>
      <c r="H31" s="906"/>
      <c r="I31" s="967"/>
      <c r="J31" s="957"/>
      <c r="K31" s="190"/>
      <c r="L31" s="190"/>
      <c r="M31" s="970"/>
      <c r="N31" s="965"/>
      <c r="O31" s="967"/>
      <c r="P31" s="906"/>
      <c r="Q31" s="190">
        <v>0</v>
      </c>
      <c r="R31" s="190" t="s">
        <v>126</v>
      </c>
      <c r="S31" s="190">
        <v>1</v>
      </c>
      <c r="T31" s="906"/>
      <c r="U31" s="967"/>
      <c r="V31" s="957"/>
      <c r="Y31" s="905"/>
      <c r="Z31" s="906"/>
      <c r="AA31" s="906"/>
      <c r="AB31" s="906"/>
      <c r="AC31" s="906"/>
      <c r="AD31" s="906"/>
      <c r="AE31" s="906"/>
      <c r="AF31" s="915">
        <f>AN25</f>
        <v>0</v>
      </c>
      <c r="AG31" s="916"/>
      <c r="AH31" s="916" t="s">
        <v>2011</v>
      </c>
      <c r="AI31" s="916">
        <f>AK25</f>
        <v>4</v>
      </c>
      <c r="AJ31" s="919"/>
      <c r="AK31" s="930"/>
      <c r="AL31" s="930"/>
      <c r="AM31" s="930"/>
      <c r="AN31" s="930"/>
      <c r="AO31" s="930"/>
      <c r="AP31" s="915">
        <f>$C$30</f>
        <v>0</v>
      </c>
      <c r="AQ31" s="916"/>
      <c r="AR31" s="916" t="s">
        <v>2011</v>
      </c>
      <c r="AS31" s="916">
        <f>$I$30</f>
        <v>2</v>
      </c>
      <c r="AT31" s="919"/>
      <c r="AU31" s="903"/>
      <c r="AV31" s="903"/>
      <c r="AW31" s="903"/>
      <c r="AX31" s="903"/>
      <c r="AY31" s="903"/>
      <c r="AZ31" s="903"/>
      <c r="BA31" s="903"/>
      <c r="BB31" s="903"/>
      <c r="BC31" s="903"/>
      <c r="BD31" s="903"/>
      <c r="BE31" s="903"/>
      <c r="BF31" s="903"/>
      <c r="BG31" s="903"/>
      <c r="BH31" s="903"/>
      <c r="BI31" s="910"/>
      <c r="BJ31" s="910"/>
      <c r="BK31" s="903"/>
      <c r="BL31" s="903"/>
      <c r="BM31" s="910"/>
      <c r="BN31" s="910"/>
      <c r="BO31" s="913"/>
    </row>
    <row r="32" spans="1:67" ht="18.75" customHeight="1" x14ac:dyDescent="0.25">
      <c r="A32" s="946"/>
      <c r="B32" s="965"/>
      <c r="C32" s="967"/>
      <c r="D32" s="906"/>
      <c r="E32" s="190"/>
      <c r="F32" s="190" t="s">
        <v>407</v>
      </c>
      <c r="G32" s="190"/>
      <c r="H32" s="906"/>
      <c r="I32" s="967"/>
      <c r="J32" s="957"/>
      <c r="K32" s="190"/>
      <c r="L32" s="190"/>
      <c r="M32" s="971"/>
      <c r="N32" s="994"/>
      <c r="O32" s="975"/>
      <c r="P32" s="908"/>
      <c r="Q32" s="190"/>
      <c r="R32" s="190" t="s">
        <v>407</v>
      </c>
      <c r="S32" s="190"/>
      <c r="T32" s="908"/>
      <c r="U32" s="975"/>
      <c r="V32" s="976"/>
      <c r="Y32" s="941"/>
      <c r="Z32" s="936"/>
      <c r="AA32" s="936"/>
      <c r="AB32" s="936"/>
      <c r="AC32" s="936"/>
      <c r="AD32" s="936"/>
      <c r="AE32" s="936"/>
      <c r="AF32" s="937"/>
      <c r="AG32" s="560"/>
      <c r="AH32" s="560"/>
      <c r="AI32" s="560"/>
      <c r="AJ32" s="938"/>
      <c r="AK32" s="943"/>
      <c r="AL32" s="943"/>
      <c r="AM32" s="943"/>
      <c r="AN32" s="943"/>
      <c r="AO32" s="943"/>
      <c r="AP32" s="937"/>
      <c r="AQ32" s="560"/>
      <c r="AR32" s="560"/>
      <c r="AS32" s="560"/>
      <c r="AT32" s="938"/>
      <c r="AU32" s="903"/>
      <c r="AV32" s="903"/>
      <c r="AW32" s="903"/>
      <c r="AX32" s="903"/>
      <c r="AY32" s="903"/>
      <c r="AZ32" s="903"/>
      <c r="BA32" s="903"/>
      <c r="BB32" s="903"/>
      <c r="BC32" s="903"/>
      <c r="BD32" s="903"/>
      <c r="BE32" s="903"/>
      <c r="BF32" s="903"/>
      <c r="BG32" s="903"/>
      <c r="BH32" s="903"/>
      <c r="BI32" s="910"/>
      <c r="BJ32" s="910"/>
      <c r="BK32" s="903"/>
      <c r="BL32" s="903"/>
      <c r="BM32" s="910"/>
      <c r="BN32" s="910"/>
      <c r="BO32" s="935"/>
    </row>
    <row r="33" spans="1:67" ht="18.75" customHeight="1" x14ac:dyDescent="0.25">
      <c r="A33" s="192" t="s">
        <v>2463</v>
      </c>
      <c r="B33" s="989" t="s">
        <v>15223</v>
      </c>
      <c r="C33" s="989"/>
      <c r="D33" s="989"/>
      <c r="E33" s="989"/>
      <c r="F33" s="989"/>
      <c r="G33" s="990" t="s">
        <v>2464</v>
      </c>
      <c r="H33" s="990"/>
      <c r="I33" s="990"/>
      <c r="J33" s="991" t="s">
        <v>15160</v>
      </c>
      <c r="K33" s="991"/>
      <c r="L33" s="190"/>
      <c r="M33" s="192" t="s">
        <v>2463</v>
      </c>
      <c r="N33" s="989" t="s">
        <v>15158</v>
      </c>
      <c r="O33" s="989"/>
      <c r="P33" s="989"/>
      <c r="Q33" s="989"/>
      <c r="R33" s="989"/>
      <c r="S33" s="990" t="s">
        <v>2464</v>
      </c>
      <c r="T33" s="990"/>
      <c r="U33" s="990"/>
      <c r="V33" s="991" t="s">
        <v>15160</v>
      </c>
      <c r="W33" s="991"/>
      <c r="Y33" s="905" t="str">
        <f>$AC$9</f>
        <v>竹田直入ＦＣ</v>
      </c>
      <c r="Z33" s="906"/>
      <c r="AA33" s="906"/>
      <c r="AB33" s="906"/>
      <c r="AC33" s="906"/>
      <c r="AD33" s="906" t="s">
        <v>242</v>
      </c>
      <c r="AE33" s="906"/>
      <c r="AF33" s="923" t="str">
        <f>IF(AF37="","",IF(AF37&gt;AI37,"○",IF(AF37&lt;AI37,"●",IF(AF35&gt;AI35,"△",IF(AF35&lt;AI35,"▲")))))</f>
        <v>●</v>
      </c>
      <c r="AG33" s="924"/>
      <c r="AH33" s="924"/>
      <c r="AI33" s="924"/>
      <c r="AJ33" s="925"/>
      <c r="AK33" s="923" t="str">
        <f>IF(AK37="","",IF(AK37&gt;AN37,"○",IF(AK37&lt;AN37,"●",IF(AK35&gt;AN35,"△",IF(AK35&lt;AN35,"▲")))))</f>
        <v>○</v>
      </c>
      <c r="AL33" s="924"/>
      <c r="AM33" s="924"/>
      <c r="AN33" s="924"/>
      <c r="AO33" s="925"/>
      <c r="AP33" s="926"/>
      <c r="AQ33" s="927"/>
      <c r="AR33" s="927"/>
      <c r="AS33" s="927"/>
      <c r="AT33" s="928"/>
      <c r="AU33" s="903">
        <f>COUNTIF($AF$33:$AT$34,"○")</f>
        <v>1</v>
      </c>
      <c r="AV33" s="903"/>
      <c r="AW33" s="902">
        <f>COUNTIF($AF$33:$AT$34,"△")</f>
        <v>0</v>
      </c>
      <c r="AX33" s="902"/>
      <c r="AY33" s="902">
        <f>COUNTIF($AF$33:$AT$34,"▲")</f>
        <v>0</v>
      </c>
      <c r="AZ33" s="902"/>
      <c r="BA33" s="902">
        <f>COUNTIF($AF$33:$AT$34,"●")</f>
        <v>1</v>
      </c>
      <c r="BB33" s="902"/>
      <c r="BC33" s="902">
        <f>SUM($AF$37,$AK$37)</f>
        <v>2</v>
      </c>
      <c r="BD33" s="902"/>
      <c r="BE33" s="902">
        <f>SUM($AI$37,$AN$37)</f>
        <v>3</v>
      </c>
      <c r="BF33" s="902"/>
      <c r="BG33" s="902">
        <f>($AU$33*3)+($AW$33*2)+($AY$33*1)</f>
        <v>3</v>
      </c>
      <c r="BH33" s="902"/>
      <c r="BI33" s="909">
        <f>RANK($BG$33,$BG$21:$BH$38)</f>
        <v>2</v>
      </c>
      <c r="BJ33" s="909"/>
      <c r="BK33" s="902">
        <f>$BC$33-$BE$33</f>
        <v>-1</v>
      </c>
      <c r="BL33" s="902"/>
      <c r="BM33" s="909">
        <f>RANK($BK$33,$BK$21:$BL$38)</f>
        <v>2</v>
      </c>
      <c r="BN33" s="909"/>
      <c r="BO33" s="912"/>
    </row>
    <row r="34" spans="1:67" ht="18.75" customHeight="1" x14ac:dyDescent="0.25">
      <c r="A34" s="193" t="s">
        <v>2465</v>
      </c>
      <c r="B34" s="992" t="s">
        <v>15223</v>
      </c>
      <c r="C34" s="992"/>
      <c r="D34" s="992"/>
      <c r="E34" s="992"/>
      <c r="F34" s="992"/>
      <c r="G34" s="983" t="s">
        <v>2464</v>
      </c>
      <c r="H34" s="984"/>
      <c r="I34" s="985"/>
      <c r="J34" s="993" t="s">
        <v>15160</v>
      </c>
      <c r="K34" s="993"/>
      <c r="L34" s="190"/>
      <c r="M34" s="193" t="s">
        <v>2465</v>
      </c>
      <c r="N34" s="992" t="s">
        <v>15158</v>
      </c>
      <c r="O34" s="992"/>
      <c r="P34" s="992"/>
      <c r="Q34" s="992"/>
      <c r="R34" s="992"/>
      <c r="S34" s="983" t="s">
        <v>2464</v>
      </c>
      <c r="T34" s="984"/>
      <c r="U34" s="985"/>
      <c r="V34" s="993" t="s">
        <v>15160</v>
      </c>
      <c r="W34" s="993"/>
      <c r="Y34" s="905"/>
      <c r="Z34" s="906"/>
      <c r="AA34" s="906"/>
      <c r="AB34" s="906"/>
      <c r="AC34" s="906"/>
      <c r="AD34" s="906"/>
      <c r="AE34" s="906"/>
      <c r="AF34" s="917"/>
      <c r="AG34" s="918"/>
      <c r="AH34" s="918"/>
      <c r="AI34" s="918"/>
      <c r="AJ34" s="920"/>
      <c r="AK34" s="917"/>
      <c r="AL34" s="918"/>
      <c r="AM34" s="918"/>
      <c r="AN34" s="918"/>
      <c r="AO34" s="920"/>
      <c r="AP34" s="929"/>
      <c r="AQ34" s="930"/>
      <c r="AR34" s="930"/>
      <c r="AS34" s="930"/>
      <c r="AT34" s="931"/>
      <c r="AU34" s="903"/>
      <c r="AV34" s="903"/>
      <c r="AW34" s="903"/>
      <c r="AX34" s="903"/>
      <c r="AY34" s="903"/>
      <c r="AZ34" s="903"/>
      <c r="BA34" s="903"/>
      <c r="BB34" s="903"/>
      <c r="BC34" s="903"/>
      <c r="BD34" s="903"/>
      <c r="BE34" s="903"/>
      <c r="BF34" s="903"/>
      <c r="BG34" s="903"/>
      <c r="BH34" s="903"/>
      <c r="BI34" s="910"/>
      <c r="BJ34" s="910"/>
      <c r="BK34" s="903"/>
      <c r="BL34" s="903"/>
      <c r="BM34" s="910"/>
      <c r="BN34" s="910"/>
      <c r="BO34" s="913"/>
    </row>
    <row r="35" spans="1:67" ht="18.75" customHeight="1" x14ac:dyDescent="0.25">
      <c r="A35" s="194" t="s">
        <v>2466</v>
      </c>
      <c r="B35" s="982" t="s">
        <v>15224</v>
      </c>
      <c r="C35" s="982"/>
      <c r="D35" s="982"/>
      <c r="E35" s="982"/>
      <c r="F35" s="982"/>
      <c r="G35" s="983" t="s">
        <v>2464</v>
      </c>
      <c r="H35" s="984"/>
      <c r="I35" s="985"/>
      <c r="J35" s="986" t="s">
        <v>15160</v>
      </c>
      <c r="K35" s="986"/>
      <c r="L35" s="190"/>
      <c r="M35" s="194" t="s">
        <v>2466</v>
      </c>
      <c r="N35" s="982" t="s">
        <v>15159</v>
      </c>
      <c r="O35" s="982"/>
      <c r="P35" s="982"/>
      <c r="Q35" s="982"/>
      <c r="R35" s="982"/>
      <c r="S35" s="983" t="s">
        <v>2464</v>
      </c>
      <c r="T35" s="984"/>
      <c r="U35" s="985"/>
      <c r="V35" s="986" t="s">
        <v>15161</v>
      </c>
      <c r="W35" s="986"/>
      <c r="Y35" s="905"/>
      <c r="Z35" s="906"/>
      <c r="AA35" s="906"/>
      <c r="AB35" s="906"/>
      <c r="AC35" s="906"/>
      <c r="AD35" s="906"/>
      <c r="AE35" s="906"/>
      <c r="AF35" s="915" t="str">
        <f>AS23</f>
        <v/>
      </c>
      <c r="AG35" s="916"/>
      <c r="AH35" s="916" t="s">
        <v>2011</v>
      </c>
      <c r="AI35" s="916" t="str">
        <f>AP23</f>
        <v/>
      </c>
      <c r="AJ35" s="919"/>
      <c r="AK35" s="915" t="str">
        <f>AS29</f>
        <v/>
      </c>
      <c r="AL35" s="916"/>
      <c r="AM35" s="916" t="s">
        <v>2011</v>
      </c>
      <c r="AN35" s="916" t="str">
        <f>AP29</f>
        <v/>
      </c>
      <c r="AO35" s="919"/>
      <c r="AP35" s="929"/>
      <c r="AQ35" s="930"/>
      <c r="AR35" s="930"/>
      <c r="AS35" s="930"/>
      <c r="AT35" s="931"/>
      <c r="AU35" s="903"/>
      <c r="AV35" s="903"/>
      <c r="AW35" s="903"/>
      <c r="AX35" s="903"/>
      <c r="AY35" s="903"/>
      <c r="AZ35" s="903"/>
      <c r="BA35" s="903"/>
      <c r="BB35" s="903"/>
      <c r="BC35" s="903"/>
      <c r="BD35" s="903"/>
      <c r="BE35" s="903"/>
      <c r="BF35" s="903"/>
      <c r="BG35" s="903"/>
      <c r="BH35" s="903"/>
      <c r="BI35" s="910"/>
      <c r="BJ35" s="910"/>
      <c r="BK35" s="903"/>
      <c r="BL35" s="903"/>
      <c r="BM35" s="910"/>
      <c r="BN35" s="910"/>
      <c r="BO35" s="913"/>
    </row>
    <row r="36" spans="1:67" ht="18.75" customHeight="1" x14ac:dyDescent="0.25">
      <c r="A36" s="195" t="s">
        <v>609</v>
      </c>
      <c r="B36" s="205" t="str">
        <f>IF(ISERROR(VLOOKUP(G36,審判員!$A:$C,2,FALSE))=TRUE,"",VLOOKUP(G36,審判員!$A:$C,2,FALSE))</f>
        <v>佐藤　慎二</v>
      </c>
      <c r="C36" s="211">
        <f>IF(ISERROR(VLOOKUP(G36,審判員!$A:$C,3,FALSE))=TRUE,"",VLOOKUP(G36,審判員!$A:$C,3,FALSE))</f>
        <v>3</v>
      </c>
      <c r="D36" s="218" t="s">
        <v>612</v>
      </c>
      <c r="E36" s="955" t="s">
        <v>201</v>
      </c>
      <c r="F36" s="955"/>
      <c r="G36" s="955" t="s">
        <v>15225</v>
      </c>
      <c r="H36" s="955"/>
      <c r="I36" s="955"/>
      <c r="J36" s="987" t="s">
        <v>788</v>
      </c>
      <c r="K36" s="988"/>
      <c r="L36" s="190"/>
      <c r="M36" s="195" t="s">
        <v>609</v>
      </c>
      <c r="N36" s="205" t="str">
        <f>IF(ISERROR(VLOOKUP(S36,審判員!$A:$C,2,FALSE))=TRUE,"",VLOOKUP(S36,審判員!$A:$C,2,FALSE))</f>
        <v>和田　敬生</v>
      </c>
      <c r="O36" s="211">
        <f>IF(ISERROR(VLOOKUP(S36,審判員!$A:$C,3,FALSE))=TRUE,"",VLOOKUP(S36,審判員!$A:$C,3,FALSE))</f>
        <v>2</v>
      </c>
      <c r="P36" s="218" t="s">
        <v>612</v>
      </c>
      <c r="Q36" s="955" t="s">
        <v>201</v>
      </c>
      <c r="R36" s="955"/>
      <c r="S36" s="955" t="s">
        <v>15195</v>
      </c>
      <c r="T36" s="955"/>
      <c r="U36" s="955"/>
      <c r="V36" s="987" t="s">
        <v>788</v>
      </c>
      <c r="W36" s="988"/>
      <c r="Y36" s="905"/>
      <c r="Z36" s="906"/>
      <c r="AA36" s="906"/>
      <c r="AB36" s="906"/>
      <c r="AC36" s="906"/>
      <c r="AD36" s="906" t="s">
        <v>2010</v>
      </c>
      <c r="AE36" s="906"/>
      <c r="AF36" s="917"/>
      <c r="AG36" s="918"/>
      <c r="AH36" s="918"/>
      <c r="AI36" s="918"/>
      <c r="AJ36" s="920"/>
      <c r="AK36" s="917"/>
      <c r="AL36" s="918"/>
      <c r="AM36" s="918"/>
      <c r="AN36" s="918"/>
      <c r="AO36" s="920"/>
      <c r="AP36" s="929"/>
      <c r="AQ36" s="930"/>
      <c r="AR36" s="930"/>
      <c r="AS36" s="930"/>
      <c r="AT36" s="931"/>
      <c r="AU36" s="903"/>
      <c r="AV36" s="903"/>
      <c r="AW36" s="903"/>
      <c r="AX36" s="903"/>
      <c r="AY36" s="903"/>
      <c r="AZ36" s="903"/>
      <c r="BA36" s="903"/>
      <c r="BB36" s="903"/>
      <c r="BC36" s="903"/>
      <c r="BD36" s="903"/>
      <c r="BE36" s="903"/>
      <c r="BF36" s="903"/>
      <c r="BG36" s="903"/>
      <c r="BH36" s="903"/>
      <c r="BI36" s="910"/>
      <c r="BJ36" s="910"/>
      <c r="BK36" s="903"/>
      <c r="BL36" s="903"/>
      <c r="BM36" s="910"/>
      <c r="BN36" s="910"/>
      <c r="BO36" s="913"/>
    </row>
    <row r="37" spans="1:67" ht="18.75" customHeight="1" x14ac:dyDescent="0.25">
      <c r="A37" s="196" t="s">
        <v>704</v>
      </c>
      <c r="B37" s="206" t="str">
        <f>IF(ISERROR(VLOOKUP(G37,審判員!$A:$C,2,FALSE))=TRUE,"",VLOOKUP(G37,審判員!$A:$C,2,FALSE))</f>
        <v>森　凛人</v>
      </c>
      <c r="C37" s="212">
        <f>IF(ISERROR(VLOOKUP(G37,審判員!$A:$C,3,FALSE))=TRUE,"",VLOOKUP(G37,審判員!$A:$C,3,FALSE))</f>
        <v>3</v>
      </c>
      <c r="D37" s="219" t="s">
        <v>612</v>
      </c>
      <c r="E37" s="906" t="s">
        <v>1286</v>
      </c>
      <c r="F37" s="906"/>
      <c r="G37" s="906" t="s">
        <v>15164</v>
      </c>
      <c r="H37" s="906"/>
      <c r="I37" s="906"/>
      <c r="J37" s="891" t="str">
        <f>N30</f>
        <v>リノスフットボールクラブ　Ｕ－１２</v>
      </c>
      <c r="K37" s="981"/>
      <c r="L37" s="190"/>
      <c r="M37" s="196" t="s">
        <v>704</v>
      </c>
      <c r="N37" s="206" t="str">
        <f>IF(ISERROR(VLOOKUP(S37,審判員!$A:$C,2,FALSE))=TRUE,"",VLOOKUP(S37,審判員!$A:$C,2,FALSE))</f>
        <v>安藤　暢</v>
      </c>
      <c r="O37" s="212">
        <f>IF(ISERROR(VLOOKUP(S37,審判員!$A:$C,3,FALSE))=TRUE,"",VLOOKUP(S37,審判員!$A:$C,3,FALSE))</f>
        <v>3</v>
      </c>
      <c r="P37" s="219" t="s">
        <v>612</v>
      </c>
      <c r="Q37" s="906" t="s">
        <v>1286</v>
      </c>
      <c r="R37" s="906"/>
      <c r="S37" s="906" t="s">
        <v>15197</v>
      </c>
      <c r="T37" s="906"/>
      <c r="U37" s="906"/>
      <c r="V37" s="891" t="str">
        <f>B30</f>
        <v>ＦＣ　ＲＥＧＡＴＥ</v>
      </c>
      <c r="W37" s="981"/>
      <c r="Y37" s="905"/>
      <c r="Z37" s="906"/>
      <c r="AA37" s="906"/>
      <c r="AB37" s="906"/>
      <c r="AC37" s="906"/>
      <c r="AD37" s="906"/>
      <c r="AE37" s="906"/>
      <c r="AF37" s="915">
        <f>AS25</f>
        <v>0</v>
      </c>
      <c r="AG37" s="916"/>
      <c r="AH37" s="916" t="s">
        <v>2011</v>
      </c>
      <c r="AI37" s="916">
        <f>AP25</f>
        <v>3</v>
      </c>
      <c r="AJ37" s="919"/>
      <c r="AK37" s="915">
        <f>AS31</f>
        <v>2</v>
      </c>
      <c r="AL37" s="916"/>
      <c r="AM37" s="916" t="s">
        <v>2011</v>
      </c>
      <c r="AN37" s="916">
        <f>AP31</f>
        <v>0</v>
      </c>
      <c r="AO37" s="919"/>
      <c r="AP37" s="929"/>
      <c r="AQ37" s="930"/>
      <c r="AR37" s="930"/>
      <c r="AS37" s="930"/>
      <c r="AT37" s="931"/>
      <c r="AU37" s="903"/>
      <c r="AV37" s="903"/>
      <c r="AW37" s="903"/>
      <c r="AX37" s="903"/>
      <c r="AY37" s="903"/>
      <c r="AZ37" s="903"/>
      <c r="BA37" s="903"/>
      <c r="BB37" s="903"/>
      <c r="BC37" s="903"/>
      <c r="BD37" s="903"/>
      <c r="BE37" s="903"/>
      <c r="BF37" s="903"/>
      <c r="BG37" s="903"/>
      <c r="BH37" s="903"/>
      <c r="BI37" s="910"/>
      <c r="BJ37" s="910"/>
      <c r="BK37" s="903"/>
      <c r="BL37" s="903"/>
      <c r="BM37" s="910"/>
      <c r="BN37" s="910"/>
      <c r="BO37" s="913"/>
    </row>
    <row r="38" spans="1:67" ht="19.5" customHeight="1" x14ac:dyDescent="0.25">
      <c r="A38" s="196" t="s">
        <v>2007</v>
      </c>
      <c r="B38" s="206" t="str">
        <f>IF(ISERROR(VLOOKUP(G38,審判員!$A:$C,2,FALSE))=TRUE,"",VLOOKUP(G38,審判員!$A:$C,2,FALSE))</f>
        <v>岩﨑　正進</v>
      </c>
      <c r="C38" s="212">
        <f>IF(ISERROR(VLOOKUP(G38,審判員!$A:$C,3,FALSE))=TRUE,"",VLOOKUP(G38,審判員!$A:$C,3,FALSE))</f>
        <v>3</v>
      </c>
      <c r="D38" s="219" t="s">
        <v>612</v>
      </c>
      <c r="E38" s="906" t="s">
        <v>1286</v>
      </c>
      <c r="F38" s="906"/>
      <c r="G38" s="906" t="s">
        <v>15226</v>
      </c>
      <c r="H38" s="906"/>
      <c r="I38" s="906"/>
      <c r="J38" s="891" t="str">
        <f>V30</f>
        <v>ＮＦＣ・ＯＩＴＡ　Ｕ１２</v>
      </c>
      <c r="K38" s="981"/>
      <c r="L38" s="190"/>
      <c r="M38" s="196" t="s">
        <v>2007</v>
      </c>
      <c r="N38" s="206" t="str">
        <f>IF(ISERROR(VLOOKUP(S38,審判員!$A:$C,2,FALSE))=TRUE,"",VLOOKUP(S38,審判員!$A:$C,2,FALSE))</f>
        <v>羽田野　亘</v>
      </c>
      <c r="O38" s="212">
        <f>IF(ISERROR(VLOOKUP(S38,審判員!$A:$C,3,FALSE))=TRUE,"",VLOOKUP(S38,審判員!$A:$C,3,FALSE))</f>
        <v>3</v>
      </c>
      <c r="P38" s="219" t="s">
        <v>612</v>
      </c>
      <c r="Q38" s="906" t="s">
        <v>1286</v>
      </c>
      <c r="R38" s="906"/>
      <c r="S38" s="906" t="s">
        <v>15255</v>
      </c>
      <c r="T38" s="906"/>
      <c r="U38" s="906"/>
      <c r="V38" s="891" t="str">
        <f>J30</f>
        <v>竹田直入ＦＣ</v>
      </c>
      <c r="W38" s="981"/>
      <c r="Y38" s="907"/>
      <c r="Z38" s="908"/>
      <c r="AA38" s="908"/>
      <c r="AB38" s="908"/>
      <c r="AC38" s="908"/>
      <c r="AD38" s="908"/>
      <c r="AE38" s="908"/>
      <c r="AF38" s="921"/>
      <c r="AG38" s="565"/>
      <c r="AH38" s="565"/>
      <c r="AI38" s="565"/>
      <c r="AJ38" s="922"/>
      <c r="AK38" s="921"/>
      <c r="AL38" s="565"/>
      <c r="AM38" s="565"/>
      <c r="AN38" s="565"/>
      <c r="AO38" s="922"/>
      <c r="AP38" s="932"/>
      <c r="AQ38" s="933"/>
      <c r="AR38" s="933"/>
      <c r="AS38" s="933"/>
      <c r="AT38" s="934"/>
      <c r="AU38" s="904"/>
      <c r="AV38" s="904"/>
      <c r="AW38" s="904"/>
      <c r="AX38" s="904"/>
      <c r="AY38" s="904"/>
      <c r="AZ38" s="904"/>
      <c r="BA38" s="904"/>
      <c r="BB38" s="904"/>
      <c r="BC38" s="904"/>
      <c r="BD38" s="904"/>
      <c r="BE38" s="904"/>
      <c r="BF38" s="904"/>
      <c r="BG38" s="904"/>
      <c r="BH38" s="904"/>
      <c r="BI38" s="911"/>
      <c r="BJ38" s="911"/>
      <c r="BK38" s="904"/>
      <c r="BL38" s="904"/>
      <c r="BM38" s="911"/>
      <c r="BN38" s="911"/>
      <c r="BO38" s="914"/>
    </row>
    <row r="39" spans="1:67" x14ac:dyDescent="0.25">
      <c r="A39" s="197" t="s">
        <v>2008</v>
      </c>
      <c r="B39" s="207" t="str">
        <f>IF(ISERROR(VLOOKUP(G39,審判員!$A:$C,2,FALSE))=TRUE,"",VLOOKUP(G39,審判員!$A:$C,2,FALSE))</f>
        <v>板井　龍法</v>
      </c>
      <c r="C39" s="213">
        <f>IF(ISERROR(VLOOKUP(G39,審判員!$A:$C,3,FALSE))=TRUE,"",VLOOKUP(G39,審判員!$A:$C,3,FALSE))</f>
        <v>3</v>
      </c>
      <c r="D39" s="220" t="s">
        <v>612</v>
      </c>
      <c r="E39" s="977" t="s">
        <v>1286</v>
      </c>
      <c r="F39" s="977"/>
      <c r="G39" s="977" t="s">
        <v>15227</v>
      </c>
      <c r="H39" s="977"/>
      <c r="I39" s="977"/>
      <c r="J39" s="978" t="s">
        <v>788</v>
      </c>
      <c r="K39" s="979"/>
      <c r="L39" s="190"/>
      <c r="M39" s="197" t="s">
        <v>2008</v>
      </c>
      <c r="N39" s="207" t="str">
        <f>IF(ISERROR(VLOOKUP(S39,審判員!$A:$C,2,FALSE))=TRUE,"",VLOOKUP(S39,審判員!$A:$C,2,FALSE))</f>
        <v>金田　智朗</v>
      </c>
      <c r="O39" s="213">
        <f>IF(ISERROR(VLOOKUP(S39,審判員!$A:$C,3,FALSE))=TRUE,"",VLOOKUP(S39,審判員!$A:$C,3,FALSE))</f>
        <v>3</v>
      </c>
      <c r="P39" s="220" t="s">
        <v>612</v>
      </c>
      <c r="Q39" s="977" t="s">
        <v>1286</v>
      </c>
      <c r="R39" s="977"/>
      <c r="S39" s="977" t="s">
        <v>15198</v>
      </c>
      <c r="T39" s="977"/>
      <c r="U39" s="977"/>
      <c r="V39" s="978" t="s">
        <v>788</v>
      </c>
      <c r="W39" s="979"/>
    </row>
    <row r="40" spans="1:67" x14ac:dyDescent="0.25">
      <c r="A40" s="198" t="s">
        <v>469</v>
      </c>
      <c r="B40" s="208" t="s">
        <v>606</v>
      </c>
      <c r="C40" s="208" t="s">
        <v>234</v>
      </c>
      <c r="D40" s="208" t="s">
        <v>272</v>
      </c>
      <c r="E40" s="208" t="s">
        <v>750</v>
      </c>
      <c r="F40" s="223"/>
      <c r="G40" s="208" t="s">
        <v>750</v>
      </c>
      <c r="H40" s="208" t="s">
        <v>272</v>
      </c>
      <c r="I40" s="208" t="s">
        <v>234</v>
      </c>
      <c r="J40" s="208" t="s">
        <v>606</v>
      </c>
      <c r="K40" s="225" t="s">
        <v>469</v>
      </c>
      <c r="L40" s="190"/>
      <c r="M40" s="198" t="s">
        <v>469</v>
      </c>
      <c r="N40" s="208" t="s">
        <v>606</v>
      </c>
      <c r="O40" s="208" t="s">
        <v>234</v>
      </c>
      <c r="P40" s="208" t="s">
        <v>272</v>
      </c>
      <c r="Q40" s="208" t="s">
        <v>750</v>
      </c>
      <c r="R40" s="223"/>
      <c r="S40" s="208" t="s">
        <v>750</v>
      </c>
      <c r="T40" s="208" t="s">
        <v>272</v>
      </c>
      <c r="U40" s="208" t="s">
        <v>234</v>
      </c>
      <c r="V40" s="208" t="s">
        <v>606</v>
      </c>
      <c r="W40" s="225" t="s">
        <v>469</v>
      </c>
      <c r="Y40" s="891" t="s">
        <v>2125</v>
      </c>
      <c r="Z40" s="891"/>
      <c r="AA40" s="891"/>
      <c r="AB40" s="891"/>
      <c r="AC40" s="891"/>
      <c r="AD40" s="891"/>
      <c r="AE40" s="891"/>
      <c r="AF40" s="891"/>
      <c r="AG40" s="891"/>
      <c r="AH40" s="891"/>
      <c r="AI40" s="891"/>
      <c r="AJ40" s="891"/>
      <c r="AK40" s="891"/>
      <c r="AL40" s="891"/>
      <c r="AM40" s="891"/>
      <c r="AN40" s="891"/>
      <c r="AO40" s="891"/>
      <c r="AP40" s="891"/>
      <c r="AQ40" s="891"/>
      <c r="AR40" s="891"/>
      <c r="AS40" s="891"/>
      <c r="AT40" s="891"/>
      <c r="AU40" s="891"/>
      <c r="AV40" s="891"/>
      <c r="AW40" s="891"/>
      <c r="AX40" s="891"/>
      <c r="AY40" s="891"/>
      <c r="AZ40" s="891"/>
      <c r="BA40" s="891"/>
      <c r="BB40" s="891"/>
      <c r="BC40" s="891"/>
      <c r="BD40" s="891"/>
      <c r="BE40" s="891"/>
      <c r="BF40" s="891"/>
    </row>
    <row r="41" spans="1:67" x14ac:dyDescent="0.25">
      <c r="A41" s="199"/>
      <c r="B41" s="209" t="str">
        <f>IF(ISERROR(VLOOKUP(CONCATENATE($B$30,"_",C41),選手名簿!$A:$E,5,FALSE))=TRUE,"",VLOOKUP(CONCATENATE($B$30,"_",C41),選手名簿!$A:$E,5,FALSE))</f>
        <v/>
      </c>
      <c r="C41" s="214"/>
      <c r="D41" s="214"/>
      <c r="E41" s="221"/>
      <c r="F41" s="223"/>
      <c r="G41" s="221"/>
      <c r="H41" s="214"/>
      <c r="I41" s="214"/>
      <c r="J41" s="209" t="str">
        <f>IF(ISERROR(VLOOKUP(CONCATENATE($J$30,"_",I41),選手名簿!$A:$E,5,FALSE))=TRUE,"",VLOOKUP(CONCATENATE($J$30,"_",I41),選手名簿!$A:$E,5,FALSE))</f>
        <v/>
      </c>
      <c r="K41" s="226"/>
      <c r="L41" s="190"/>
      <c r="M41" s="199"/>
      <c r="N41" s="209" t="str">
        <f>IF(ISERROR(VLOOKUP(CONCATENATE($N$30,"_",O41),選手名簿!$A:$E,5,FALSE))=TRUE,"",VLOOKUP(CONCATENATE($N$30,"_",O41),選手名簿!$A:$E,5,FALSE))</f>
        <v/>
      </c>
      <c r="O41" s="214"/>
      <c r="P41" s="214"/>
      <c r="Q41" s="221"/>
      <c r="R41" s="223"/>
      <c r="S41" s="221"/>
      <c r="T41" s="214"/>
      <c r="U41" s="214"/>
      <c r="V41" s="206" t="str">
        <f>IF(ISERROR(VLOOKUP(CONCATENATE($V$30,"_",U41),選手名簿!$A:$E,5,FALSE))=TRUE,"",VLOOKUP(CONCATENATE($V$30,"_",U41),選手名簿!$A:$E,5,FALSE))</f>
        <v/>
      </c>
      <c r="W41" s="226"/>
      <c r="Y41" s="891"/>
      <c r="Z41" s="891"/>
      <c r="AA41" s="891"/>
      <c r="AB41" s="891"/>
      <c r="AC41" s="891"/>
      <c r="AD41" s="891"/>
      <c r="AE41" s="891"/>
      <c r="AF41" s="891"/>
      <c r="AG41" s="891"/>
      <c r="AH41" s="891"/>
      <c r="AI41" s="891"/>
      <c r="AJ41" s="891"/>
      <c r="AK41" s="891"/>
      <c r="AL41" s="891"/>
      <c r="AM41" s="891"/>
      <c r="AN41" s="891"/>
      <c r="AO41" s="891"/>
      <c r="AP41" s="891"/>
      <c r="AQ41" s="891"/>
      <c r="AR41" s="891"/>
      <c r="AS41" s="891"/>
      <c r="AT41" s="891"/>
      <c r="AU41" s="891"/>
      <c r="AV41" s="891"/>
      <c r="AW41" s="891"/>
      <c r="AX41" s="891"/>
      <c r="AY41" s="891"/>
      <c r="AZ41" s="891"/>
      <c r="BA41" s="891"/>
      <c r="BB41" s="891"/>
      <c r="BC41" s="891"/>
      <c r="BD41" s="891"/>
      <c r="BE41" s="891"/>
      <c r="BF41" s="891"/>
    </row>
    <row r="42" spans="1:67" x14ac:dyDescent="0.25">
      <c r="A42" s="199"/>
      <c r="B42" s="209" t="str">
        <f>IF(ISERROR(VLOOKUP(CONCATENATE($B$30,"_",C42),選手名簿!$A:$E,5,FALSE))=TRUE,"",VLOOKUP(CONCATENATE($B$30,"_",C42),選手名簿!$A:$E,5,FALSE))</f>
        <v/>
      </c>
      <c r="C42" s="214"/>
      <c r="D42" s="214"/>
      <c r="E42" s="221"/>
      <c r="F42" s="223"/>
      <c r="G42" s="221"/>
      <c r="H42" s="214"/>
      <c r="I42" s="214"/>
      <c r="J42" s="209" t="str">
        <f>IF(ISERROR(VLOOKUP(CONCATENATE($J$30,"_",I42),選手名簿!$A:$E,5,FALSE))=TRUE,"",VLOOKUP(CONCATENATE($J$30,"_",I42),選手名簿!$A:$E,5,FALSE))</f>
        <v/>
      </c>
      <c r="K42" s="226"/>
      <c r="L42" s="190"/>
      <c r="M42" s="199"/>
      <c r="N42" s="209" t="str">
        <f>IF(ISERROR(VLOOKUP(CONCATENATE($N$30,"_",O42),選手名簿!$A:$E,5,FALSE))=TRUE,"",VLOOKUP(CONCATENATE($N$30,"_",O42),選手名簿!$A:$E,5,FALSE))</f>
        <v/>
      </c>
      <c r="O42" s="214"/>
      <c r="P42" s="214"/>
      <c r="Q42" s="221"/>
      <c r="R42" s="223"/>
      <c r="S42" s="221"/>
      <c r="T42" s="214"/>
      <c r="U42" s="214"/>
      <c r="V42" s="209" t="str">
        <f>IF(ISERROR(VLOOKUP(CONCATENATE($V$30,"_",U42),選手名簿!$A:$E,5,FALSE))=TRUE,"",VLOOKUP(CONCATENATE($V$30,"_",U42),選手名簿!$A:$E,5,FALSE))</f>
        <v/>
      </c>
      <c r="W42" s="226"/>
      <c r="Y42" s="892" t="s">
        <v>2013</v>
      </c>
      <c r="Z42" s="893"/>
      <c r="AA42" s="896" t="s">
        <v>159</v>
      </c>
      <c r="AB42" s="232" t="s">
        <v>408</v>
      </c>
      <c r="AC42" s="231"/>
      <c r="AD42" s="898" t="s">
        <v>2060</v>
      </c>
      <c r="AE42" s="232" t="s">
        <v>2015</v>
      </c>
      <c r="AF42" s="231"/>
      <c r="AG42" s="898" t="s">
        <v>1208</v>
      </c>
      <c r="AH42" s="232" t="s">
        <v>2126</v>
      </c>
      <c r="AI42" s="231"/>
      <c r="AJ42" s="900" t="s">
        <v>1727</v>
      </c>
      <c r="AK42" s="234" t="s">
        <v>2016</v>
      </c>
    </row>
    <row r="43" spans="1:67" x14ac:dyDescent="0.25">
      <c r="A43" s="199"/>
      <c r="B43" s="209" t="str">
        <f>IF(ISERROR(VLOOKUP(CONCATENATE($B$30,"_",C43),選手名簿!$A:$E,5,FALSE))=TRUE,"",VLOOKUP(CONCATENATE($B$30,"_",C43),選手名簿!$A:$E,5,FALSE))</f>
        <v/>
      </c>
      <c r="C43" s="214"/>
      <c r="D43" s="214"/>
      <c r="E43" s="221"/>
      <c r="F43" s="223"/>
      <c r="G43" s="221"/>
      <c r="H43" s="214"/>
      <c r="I43" s="214"/>
      <c r="J43" s="209" t="str">
        <f>IF(ISERROR(VLOOKUP(CONCATENATE($J$30,"_",I43),選手名簿!$A:$E,5,FALSE))=TRUE,"",VLOOKUP(CONCATENATE($J$30,"_",I43),選手名簿!$A:$E,5,FALSE))</f>
        <v/>
      </c>
      <c r="K43" s="226"/>
      <c r="L43" s="190"/>
      <c r="M43" s="199"/>
      <c r="N43" s="209" t="str">
        <f>IF(ISERROR(VLOOKUP(CONCATENATE($N$30,"_",O43),選手名簿!$A:$E,5,FALSE))=TRUE,"",VLOOKUP(CONCATENATE($N$30,"_",O43),選手名簿!$A:$E,5,FALSE))</f>
        <v/>
      </c>
      <c r="O43" s="214"/>
      <c r="P43" s="214"/>
      <c r="Q43" s="221"/>
      <c r="R43" s="223"/>
      <c r="S43" s="221"/>
      <c r="T43" s="214"/>
      <c r="U43" s="214"/>
      <c r="V43" s="209" t="str">
        <f>IF(ISERROR(VLOOKUP(CONCATENATE($V$30,"_",U43),選手名簿!$A:$E,5,FALSE))=TRUE,"",VLOOKUP(CONCATENATE($V$30,"_",U43),選手名簿!$A:$E,5,FALSE))</f>
        <v/>
      </c>
      <c r="W43" s="226"/>
      <c r="Y43" s="894"/>
      <c r="Z43" s="895"/>
      <c r="AA43" s="897"/>
      <c r="AB43" s="233">
        <v>3</v>
      </c>
      <c r="AC43" s="230"/>
      <c r="AD43" s="899"/>
      <c r="AE43" s="233">
        <v>2</v>
      </c>
      <c r="AF43" s="230"/>
      <c r="AG43" s="899"/>
      <c r="AH43" s="233">
        <v>1</v>
      </c>
      <c r="AI43" s="230"/>
      <c r="AJ43" s="901"/>
      <c r="AK43" s="235">
        <v>0</v>
      </c>
    </row>
    <row r="44" spans="1:67" x14ac:dyDescent="0.25">
      <c r="A44" s="199"/>
      <c r="B44" s="209" t="str">
        <f>IF(ISERROR(VLOOKUP(CONCATENATE($B$30,"_",C44),選手名簿!$A:$E,5,FALSE))=TRUE,"",VLOOKUP(CONCATENATE($B$30,"_",C44),選手名簿!$A:$E,5,FALSE))</f>
        <v/>
      </c>
      <c r="C44" s="214"/>
      <c r="D44" s="214"/>
      <c r="E44" s="221"/>
      <c r="F44" s="223"/>
      <c r="G44" s="221"/>
      <c r="H44" s="214"/>
      <c r="I44" s="214"/>
      <c r="J44" s="209" t="str">
        <f>IF(ISERROR(VLOOKUP(CONCATENATE($J$30,"_",I44),選手名簿!$A:$E,5,FALSE))=TRUE,"",VLOOKUP(CONCATENATE($J$30,"_",I44),選手名簿!$A:$E,5,FALSE))</f>
        <v/>
      </c>
      <c r="K44" s="226"/>
      <c r="L44" s="190"/>
      <c r="M44" s="199"/>
      <c r="N44" s="209" t="str">
        <f>IF(ISERROR(VLOOKUP(CONCATENATE($N$30,"_",O44),選手名簿!$A:$E,5,FALSE))=TRUE,"",VLOOKUP(CONCATENATE($N$30,"_",O44),選手名簿!$A:$E,5,FALSE))</f>
        <v/>
      </c>
      <c r="O44" s="214"/>
      <c r="P44" s="214"/>
      <c r="Q44" s="221"/>
      <c r="R44" s="223"/>
      <c r="S44" s="221"/>
      <c r="T44" s="214"/>
      <c r="U44" s="214"/>
      <c r="V44" s="209" t="str">
        <f>IF(ISERROR(VLOOKUP(CONCATENATE($V$30,"_",U44),選手名簿!$A:$E,5,FALSE))=TRUE,"",VLOOKUP(CONCATENATE($V$30,"_",U44),選手名簿!$A:$E,5,FALSE))</f>
        <v/>
      </c>
      <c r="W44" s="226"/>
    </row>
    <row r="45" spans="1:67" x14ac:dyDescent="0.25">
      <c r="A45" s="200"/>
      <c r="B45" s="210" t="str">
        <f>IF(ISERROR(VLOOKUP(CONCATENATE($B$30,"_",C45),選手名簿!$A:$E,5,FALSE))=TRUE,"",VLOOKUP(CONCATENATE($B$30,"_",C45),選手名簿!$A:$E,5,FALSE))</f>
        <v/>
      </c>
      <c r="C45" s="215"/>
      <c r="D45" s="215"/>
      <c r="E45" s="222"/>
      <c r="F45" s="224"/>
      <c r="G45" s="222"/>
      <c r="H45" s="215"/>
      <c r="I45" s="215"/>
      <c r="J45" s="210" t="str">
        <f>IF(ISERROR(VLOOKUP(CONCATENATE($J$30,"_",I45),選手名簿!$A:$E,5,FALSE))=TRUE,"",VLOOKUP(CONCATENATE($J$30,"_",I45),選手名簿!$A:$E,5,FALSE))</f>
        <v/>
      </c>
      <c r="K45" s="227"/>
      <c r="L45" s="190"/>
      <c r="M45" s="200"/>
      <c r="N45" s="210" t="str">
        <f>IF(ISERROR(VLOOKUP(CONCATENATE($N$30,"_",O45),選手名簿!$A:$E,5,FALSE))=TRUE,"",VLOOKUP(CONCATENATE($N$30,"_",O45),選手名簿!$A:$E,5,FALSE))</f>
        <v/>
      </c>
      <c r="O45" s="215"/>
      <c r="P45" s="215"/>
      <c r="Q45" s="222"/>
      <c r="R45" s="224"/>
      <c r="S45" s="222"/>
      <c r="T45" s="215"/>
      <c r="U45" s="215"/>
      <c r="V45" s="210" t="str">
        <f>IF(ISERROR(VLOOKUP(CONCATENATE($V$30,"_",U45),選手名簿!$A:$E,5,FALSE))=TRUE,"",VLOOKUP(CONCATENATE($V$30,"_",U45),選手名簿!$A:$E,5,FALSE))</f>
        <v/>
      </c>
      <c r="W45" s="227"/>
    </row>
    <row r="46" spans="1:67" x14ac:dyDescent="0.25">
      <c r="A46" s="190"/>
      <c r="B46" s="190"/>
      <c r="C46" s="190"/>
      <c r="D46" s="190"/>
      <c r="E46" s="190"/>
      <c r="F46" s="190"/>
      <c r="G46" s="190"/>
      <c r="H46" s="190"/>
      <c r="I46" s="190"/>
      <c r="J46" s="190"/>
      <c r="K46" s="190"/>
      <c r="L46" s="190"/>
      <c r="M46" s="190"/>
      <c r="N46" s="190"/>
      <c r="O46" s="190"/>
      <c r="P46" s="190"/>
      <c r="Q46" s="190"/>
      <c r="R46" s="190"/>
      <c r="S46" s="190"/>
      <c r="T46" s="190"/>
      <c r="U46" s="190"/>
      <c r="V46" s="190"/>
    </row>
    <row r="47" spans="1:67" x14ac:dyDescent="0.25">
      <c r="A47" s="190"/>
      <c r="B47" s="190"/>
      <c r="C47" s="190"/>
      <c r="D47" s="190"/>
      <c r="E47" s="190"/>
      <c r="F47" s="190"/>
      <c r="G47" s="190"/>
      <c r="H47" s="190"/>
      <c r="I47" s="190"/>
      <c r="J47" s="190"/>
      <c r="K47" s="190"/>
      <c r="L47" s="190"/>
      <c r="M47" s="190"/>
      <c r="N47" s="190"/>
      <c r="O47" s="190"/>
      <c r="P47" s="190"/>
      <c r="Q47" s="190"/>
      <c r="R47" s="190"/>
      <c r="S47" s="190"/>
      <c r="T47" s="190"/>
      <c r="U47" s="190"/>
      <c r="V47" s="190"/>
    </row>
    <row r="48" spans="1:67" ht="18.75" customHeight="1" x14ac:dyDescent="0.25">
      <c r="A48" s="963" t="s">
        <v>1703</v>
      </c>
      <c r="B48" s="964" t="str">
        <f>C9</f>
        <v>竹田直入ＦＣ</v>
      </c>
      <c r="C48" s="966">
        <f>IF(E48="","",SUM(E48:E49))</f>
        <v>0</v>
      </c>
      <c r="D48" s="940" t="s">
        <v>336</v>
      </c>
      <c r="E48" s="217">
        <v>0</v>
      </c>
      <c r="F48" s="217" t="s">
        <v>61</v>
      </c>
      <c r="G48" s="217">
        <v>1</v>
      </c>
      <c r="H48" s="940" t="s">
        <v>339</v>
      </c>
      <c r="I48" s="966">
        <f>IF(G48="","",SUM(G48:G49))</f>
        <v>3</v>
      </c>
      <c r="J48" s="968" t="str">
        <f>C7</f>
        <v>臼杵ＳＳＳ</v>
      </c>
      <c r="K48" s="190"/>
      <c r="M48" s="969" t="s">
        <v>1596</v>
      </c>
      <c r="N48" s="972" t="str">
        <f>O9</f>
        <v>ＮＦＣ・ＯＩＴＡ　Ｕ１２</v>
      </c>
      <c r="O48" s="966">
        <f>IF(Q48="","",SUM(Q48:Q49))</f>
        <v>8</v>
      </c>
      <c r="P48" s="940" t="s">
        <v>336</v>
      </c>
      <c r="Q48" s="217">
        <v>6</v>
      </c>
      <c r="R48" s="217" t="s">
        <v>61</v>
      </c>
      <c r="S48" s="217">
        <v>0</v>
      </c>
      <c r="T48" s="940" t="s">
        <v>339</v>
      </c>
      <c r="U48" s="966">
        <f>IF(S48="","",SUM(S48:S49))</f>
        <v>0</v>
      </c>
      <c r="V48" s="968" t="str">
        <f>O7</f>
        <v>ＭＦＣ三花少年サッカー教室</v>
      </c>
      <c r="Y48" s="959" t="str">
        <f>$Y$1</f>
        <v>OFA 第 57 回大分県U-12サッカー大会　兼　KYFA 九州U-12サッカー大会大分県大会</v>
      </c>
      <c r="Z48" s="959"/>
      <c r="AA48" s="959"/>
      <c r="AB48" s="959"/>
      <c r="AC48" s="959"/>
      <c r="AD48" s="959"/>
      <c r="AE48" s="959"/>
      <c r="AF48" s="959"/>
      <c r="AG48" s="959"/>
      <c r="AH48" s="959"/>
      <c r="AI48" s="959"/>
      <c r="AJ48" s="959"/>
      <c r="AK48" s="959"/>
      <c r="AL48" s="959"/>
      <c r="AM48" s="959"/>
      <c r="AN48" s="959"/>
      <c r="AO48" s="959"/>
      <c r="AP48" s="959"/>
      <c r="AQ48" s="959"/>
      <c r="AR48" s="959"/>
      <c r="AS48" s="959"/>
      <c r="AT48" s="959"/>
      <c r="AU48" s="959"/>
      <c r="AV48" s="959"/>
      <c r="AW48" s="959"/>
      <c r="AX48" s="959"/>
      <c r="AY48" s="959"/>
      <c r="AZ48" s="959"/>
      <c r="BA48" s="959"/>
      <c r="BB48" s="959"/>
      <c r="BC48" s="959"/>
      <c r="BD48" s="959"/>
      <c r="BE48" s="959"/>
      <c r="BF48" s="959"/>
      <c r="BG48" s="959"/>
      <c r="BI48" s="959" t="str">
        <f>$BI$1</f>
        <v>１次リーグ結果　報告用紙</v>
      </c>
      <c r="BJ48" s="959"/>
      <c r="BK48" s="959"/>
      <c r="BL48" s="959"/>
      <c r="BM48" s="959"/>
      <c r="BN48" s="959"/>
      <c r="BO48" s="959"/>
    </row>
    <row r="49" spans="1:67" ht="18.75" customHeight="1" x14ac:dyDescent="0.25">
      <c r="A49" s="946"/>
      <c r="B49" s="965"/>
      <c r="C49" s="967"/>
      <c r="D49" s="906"/>
      <c r="E49" s="190">
        <v>0</v>
      </c>
      <c r="F49" s="190" t="s">
        <v>126</v>
      </c>
      <c r="G49" s="190">
        <v>2</v>
      </c>
      <c r="H49" s="906"/>
      <c r="I49" s="967"/>
      <c r="J49" s="957"/>
      <c r="K49" s="190"/>
      <c r="M49" s="970"/>
      <c r="N49" s="973"/>
      <c r="O49" s="967"/>
      <c r="P49" s="906"/>
      <c r="Q49" s="190">
        <v>2</v>
      </c>
      <c r="R49" s="190" t="s">
        <v>126</v>
      </c>
      <c r="S49" s="190">
        <v>0</v>
      </c>
      <c r="T49" s="906"/>
      <c r="U49" s="967"/>
      <c r="V49" s="957"/>
      <c r="Y49" s="959"/>
      <c r="Z49" s="959"/>
      <c r="AA49" s="959"/>
      <c r="AB49" s="959"/>
      <c r="AC49" s="959"/>
      <c r="AD49" s="959"/>
      <c r="AE49" s="959"/>
      <c r="AF49" s="959"/>
      <c r="AG49" s="959"/>
      <c r="AH49" s="959"/>
      <c r="AI49" s="959"/>
      <c r="AJ49" s="959"/>
      <c r="AK49" s="959"/>
      <c r="AL49" s="959"/>
      <c r="AM49" s="959"/>
      <c r="AN49" s="959"/>
      <c r="AO49" s="959"/>
      <c r="AP49" s="959"/>
      <c r="AQ49" s="959"/>
      <c r="AR49" s="959"/>
      <c r="AS49" s="959"/>
      <c r="AT49" s="959"/>
      <c r="AU49" s="959"/>
      <c r="AV49" s="959"/>
      <c r="AW49" s="959"/>
      <c r="AX49" s="959"/>
      <c r="AY49" s="959"/>
      <c r="AZ49" s="959"/>
      <c r="BA49" s="959"/>
      <c r="BB49" s="959"/>
      <c r="BC49" s="959"/>
      <c r="BD49" s="959"/>
      <c r="BE49" s="959"/>
      <c r="BF49" s="959"/>
      <c r="BG49" s="959"/>
      <c r="BI49" s="959"/>
      <c r="BJ49" s="959"/>
      <c r="BK49" s="959"/>
      <c r="BL49" s="959"/>
      <c r="BM49" s="959"/>
      <c r="BN49" s="959"/>
      <c r="BO49" s="959"/>
    </row>
    <row r="50" spans="1:67" ht="19.5" customHeight="1" x14ac:dyDescent="0.25">
      <c r="A50" s="946"/>
      <c r="B50" s="965"/>
      <c r="C50" s="967"/>
      <c r="D50" s="906"/>
      <c r="E50" s="190"/>
      <c r="F50" s="190" t="s">
        <v>407</v>
      </c>
      <c r="G50" s="190"/>
      <c r="H50" s="906"/>
      <c r="I50" s="967"/>
      <c r="J50" s="957"/>
      <c r="K50" s="190"/>
      <c r="M50" s="971"/>
      <c r="N50" s="974"/>
      <c r="O50" s="975"/>
      <c r="P50" s="908"/>
      <c r="Q50" s="190"/>
      <c r="R50" s="190" t="s">
        <v>407</v>
      </c>
      <c r="S50" s="190"/>
      <c r="T50" s="908"/>
      <c r="U50" s="975"/>
      <c r="V50" s="976"/>
      <c r="Y50" s="959" t="s">
        <v>1962</v>
      </c>
      <c r="Z50" s="959"/>
      <c r="AA50" s="959"/>
      <c r="AB50" s="959"/>
      <c r="AC50" s="959"/>
      <c r="AD50" s="959"/>
      <c r="AE50" s="959"/>
      <c r="AF50" s="959"/>
      <c r="AG50" s="959"/>
      <c r="AH50" s="959"/>
      <c r="AI50" s="959"/>
      <c r="AJ50" s="959"/>
      <c r="AK50" s="959"/>
      <c r="AL50" s="959"/>
      <c r="AM50" s="959"/>
      <c r="AN50" s="959"/>
      <c r="AO50" s="959"/>
      <c r="AP50" s="959"/>
      <c r="AQ50" s="959"/>
      <c r="AR50" s="959"/>
      <c r="AS50" s="959"/>
      <c r="AT50" s="959"/>
      <c r="AU50" s="959"/>
      <c r="AV50" s="959"/>
      <c r="AW50" s="959"/>
      <c r="AX50" s="959"/>
      <c r="AY50" s="959"/>
      <c r="AZ50" s="959"/>
      <c r="BA50" s="959"/>
      <c r="BB50" s="959"/>
      <c r="BC50" s="959"/>
      <c r="BD50" s="959"/>
      <c r="BE50" s="959"/>
      <c r="BF50" s="959"/>
      <c r="BG50" s="959"/>
    </row>
    <row r="51" spans="1:67" ht="18.75" customHeight="1" x14ac:dyDescent="0.25">
      <c r="A51" s="192" t="s">
        <v>2463</v>
      </c>
      <c r="B51" s="989" t="s">
        <v>15223</v>
      </c>
      <c r="C51" s="989"/>
      <c r="D51" s="989"/>
      <c r="E51" s="989"/>
      <c r="F51" s="989"/>
      <c r="G51" s="990" t="s">
        <v>2464</v>
      </c>
      <c r="H51" s="990"/>
      <c r="I51" s="990"/>
      <c r="J51" s="991" t="s">
        <v>15160</v>
      </c>
      <c r="K51" s="991"/>
      <c r="M51" s="192" t="s">
        <v>2463</v>
      </c>
      <c r="N51" s="989" t="s">
        <v>15158</v>
      </c>
      <c r="O51" s="989"/>
      <c r="P51" s="989"/>
      <c r="Q51" s="989"/>
      <c r="R51" s="989"/>
      <c r="S51" s="990" t="s">
        <v>2464</v>
      </c>
      <c r="T51" s="990"/>
      <c r="U51" s="990"/>
      <c r="V51" s="991" t="s">
        <v>15160</v>
      </c>
      <c r="W51" s="991"/>
      <c r="Y51" s="959"/>
      <c r="Z51" s="959"/>
      <c r="AA51" s="959"/>
      <c r="AB51" s="959"/>
      <c r="AC51" s="959"/>
      <c r="AD51" s="959"/>
      <c r="AE51" s="959"/>
      <c r="AF51" s="959"/>
      <c r="AG51" s="959"/>
      <c r="AH51" s="959"/>
      <c r="AI51" s="959"/>
      <c r="AJ51" s="959"/>
      <c r="AK51" s="959"/>
      <c r="AL51" s="959"/>
      <c r="AM51" s="959"/>
      <c r="AN51" s="959"/>
      <c r="AO51" s="959"/>
      <c r="AP51" s="959"/>
      <c r="AQ51" s="959"/>
      <c r="AR51" s="959"/>
      <c r="AS51" s="959"/>
      <c r="AT51" s="959"/>
      <c r="AU51" s="959"/>
      <c r="AV51" s="959"/>
      <c r="AW51" s="959"/>
      <c r="AX51" s="959"/>
      <c r="AY51" s="959"/>
      <c r="AZ51" s="959"/>
      <c r="BA51" s="959"/>
      <c r="BB51" s="959"/>
      <c r="BC51" s="959"/>
      <c r="BD51" s="959"/>
      <c r="BE51" s="959"/>
      <c r="BF51" s="959"/>
      <c r="BG51" s="959"/>
    </row>
    <row r="52" spans="1:67" ht="18.75" customHeight="1" x14ac:dyDescent="0.25">
      <c r="A52" s="193" t="s">
        <v>2465</v>
      </c>
      <c r="B52" s="992" t="s">
        <v>15223</v>
      </c>
      <c r="C52" s="992"/>
      <c r="D52" s="992"/>
      <c r="E52" s="992"/>
      <c r="F52" s="992"/>
      <c r="G52" s="983" t="s">
        <v>2464</v>
      </c>
      <c r="H52" s="984"/>
      <c r="I52" s="985"/>
      <c r="J52" s="993" t="s">
        <v>15160</v>
      </c>
      <c r="K52" s="993"/>
      <c r="M52" s="193" t="s">
        <v>2465</v>
      </c>
      <c r="N52" s="992" t="s">
        <v>15158</v>
      </c>
      <c r="O52" s="992"/>
      <c r="P52" s="992"/>
      <c r="Q52" s="992"/>
      <c r="R52" s="992"/>
      <c r="S52" s="983" t="s">
        <v>2464</v>
      </c>
      <c r="T52" s="984"/>
      <c r="U52" s="985"/>
      <c r="V52" s="993" t="s">
        <v>15160</v>
      </c>
      <c r="W52" s="993"/>
      <c r="Y52" s="189"/>
      <c r="Z52" s="189"/>
      <c r="AA52" s="189"/>
      <c r="AB52" s="189"/>
      <c r="AC52" s="189"/>
      <c r="AD52" s="189"/>
      <c r="AE52" s="189"/>
      <c r="AF52" s="189"/>
      <c r="AG52" s="189"/>
      <c r="AH52" s="189"/>
      <c r="AI52" s="189"/>
      <c r="AJ52" s="189"/>
      <c r="AK52" s="189"/>
      <c r="AL52" s="189"/>
      <c r="AM52" s="189"/>
      <c r="AN52" s="189"/>
      <c r="AO52" s="189"/>
      <c r="AP52" s="189"/>
      <c r="AQ52" s="189"/>
      <c r="AR52" s="189"/>
      <c r="AS52" s="189"/>
      <c r="AT52" s="189"/>
      <c r="AU52" s="189"/>
      <c r="AV52" s="189"/>
      <c r="AW52" s="189"/>
      <c r="AX52" s="189"/>
      <c r="AY52" s="189"/>
      <c r="AZ52" s="189"/>
      <c r="BA52" s="189"/>
      <c r="BB52" s="189"/>
      <c r="BC52" s="189"/>
      <c r="BD52" s="189"/>
      <c r="BE52" s="189"/>
      <c r="BF52" s="189"/>
      <c r="BG52" s="189"/>
    </row>
    <row r="53" spans="1:67" ht="18.75" customHeight="1" x14ac:dyDescent="0.25">
      <c r="A53" s="194" t="s">
        <v>2466</v>
      </c>
      <c r="B53" s="982" t="s">
        <v>15194</v>
      </c>
      <c r="C53" s="982"/>
      <c r="D53" s="982"/>
      <c r="E53" s="982"/>
      <c r="F53" s="982"/>
      <c r="G53" s="983" t="s">
        <v>2464</v>
      </c>
      <c r="H53" s="984"/>
      <c r="I53" s="985"/>
      <c r="J53" s="986" t="s">
        <v>15161</v>
      </c>
      <c r="K53" s="986"/>
      <c r="M53" s="194" t="s">
        <v>2466</v>
      </c>
      <c r="N53" s="982" t="s">
        <v>15224</v>
      </c>
      <c r="O53" s="982"/>
      <c r="P53" s="982"/>
      <c r="Q53" s="982"/>
      <c r="R53" s="982"/>
      <c r="S53" s="983" t="s">
        <v>2464</v>
      </c>
      <c r="T53" s="984"/>
      <c r="U53" s="985"/>
      <c r="V53" s="986" t="s">
        <v>15160</v>
      </c>
      <c r="W53" s="986"/>
      <c r="Y53" s="189"/>
      <c r="Z53" s="189"/>
      <c r="AA53" s="189"/>
      <c r="AB53" s="189"/>
      <c r="AC53" s="189"/>
      <c r="AD53" s="189"/>
      <c r="AE53" s="189"/>
      <c r="AF53" s="189"/>
      <c r="AG53" s="189"/>
      <c r="AH53" s="189"/>
      <c r="AI53" s="189"/>
    </row>
    <row r="54" spans="1:67" x14ac:dyDescent="0.25">
      <c r="A54" s="195" t="s">
        <v>609</v>
      </c>
      <c r="B54" s="205" t="str">
        <f>IF(ISERROR(VLOOKUP(G54,審判員!$A:$C,2,FALSE))=TRUE,"",VLOOKUP(G54,審判員!$A:$C,2,FALSE))</f>
        <v>金田　智朗</v>
      </c>
      <c r="C54" s="211">
        <f>IF(ISERROR(VLOOKUP(G54,審判員!$A:$C,3,FALSE))=TRUE,"",VLOOKUP(G54,審判員!$A:$C,3,FALSE))</f>
        <v>3</v>
      </c>
      <c r="D54" s="218" t="s">
        <v>612</v>
      </c>
      <c r="E54" s="955" t="s">
        <v>201</v>
      </c>
      <c r="F54" s="955"/>
      <c r="G54" s="955" t="s">
        <v>15198</v>
      </c>
      <c r="H54" s="955"/>
      <c r="I54" s="955"/>
      <c r="J54" s="987" t="s">
        <v>788</v>
      </c>
      <c r="K54" s="988"/>
      <c r="L54" s="190"/>
      <c r="M54" s="195" t="s">
        <v>609</v>
      </c>
      <c r="N54" s="205" t="str">
        <f>IF(ISERROR(VLOOKUP(S54,審判員!$A:$C,2,FALSE))=TRUE,"",VLOOKUP(S54,審判員!$A:$C,2,FALSE))</f>
        <v>岡部　正典</v>
      </c>
      <c r="O54" s="211">
        <f>IF(ISERROR(VLOOKUP(S54,審判員!$A:$C,3,FALSE))=TRUE,"",VLOOKUP(S54,審判員!$A:$C,3,FALSE))</f>
        <v>3</v>
      </c>
      <c r="P54" s="218" t="s">
        <v>612</v>
      </c>
      <c r="Q54" s="955" t="s">
        <v>201</v>
      </c>
      <c r="R54" s="955"/>
      <c r="S54" s="955" t="s">
        <v>15165</v>
      </c>
      <c r="T54" s="955"/>
      <c r="U54" s="955"/>
      <c r="V54" s="987" t="s">
        <v>788</v>
      </c>
      <c r="W54" s="988"/>
      <c r="Y54" s="590" t="s">
        <v>487</v>
      </c>
      <c r="Z54" s="590"/>
      <c r="AA54" s="590"/>
      <c r="AB54" s="960" t="str">
        <f>$N$4</f>
        <v>臼杵・津久見</v>
      </c>
      <c r="AC54" s="960"/>
      <c r="AD54" s="960"/>
      <c r="AE54" s="960"/>
      <c r="AF54" s="960"/>
      <c r="AG54" s="960"/>
      <c r="AH54" s="590" t="s">
        <v>659</v>
      </c>
      <c r="AI54" s="961" t="str">
        <f>$P$4</f>
        <v>吉四六ランドレックス多目的広場
(吉四六ランド陸上競技場)</v>
      </c>
      <c r="AJ54" s="961"/>
      <c r="AK54" s="961"/>
      <c r="AL54" s="961"/>
      <c r="AM54" s="961"/>
      <c r="AN54" s="961"/>
      <c r="AO54" s="961"/>
      <c r="AP54" s="961"/>
      <c r="AQ54" s="961"/>
      <c r="AR54" s="961"/>
      <c r="AS54" s="961"/>
      <c r="AT54" s="961"/>
      <c r="AU54" s="961"/>
      <c r="AV54" s="961"/>
      <c r="AW54" s="961"/>
    </row>
    <row r="55" spans="1:67" x14ac:dyDescent="0.25">
      <c r="A55" s="196" t="s">
        <v>704</v>
      </c>
      <c r="B55" s="206" t="str">
        <f>IF(ISERROR(VLOOKUP(G55,審判員!$A:$C,2,FALSE))=TRUE,"",VLOOKUP(G55,審判員!$A:$C,2,FALSE))</f>
        <v>岩﨑　正進</v>
      </c>
      <c r="C55" s="212">
        <f>IF(ISERROR(VLOOKUP(G55,審判員!$A:$C,3,FALSE))=TRUE,"",VLOOKUP(G55,審判員!$A:$C,3,FALSE))</f>
        <v>3</v>
      </c>
      <c r="D55" s="219" t="s">
        <v>612</v>
      </c>
      <c r="E55" s="906" t="s">
        <v>1286</v>
      </c>
      <c r="F55" s="906"/>
      <c r="G55" s="906" t="s">
        <v>15226</v>
      </c>
      <c r="H55" s="906"/>
      <c r="I55" s="906"/>
      <c r="J55" s="891" t="str">
        <f>N48</f>
        <v>ＮＦＣ・ＯＩＴＡ　Ｕ１２</v>
      </c>
      <c r="K55" s="981"/>
      <c r="L55" s="190"/>
      <c r="M55" s="196" t="s">
        <v>704</v>
      </c>
      <c r="N55" s="206" t="str">
        <f>IF(ISERROR(VLOOKUP(S55,審判員!$A:$C,2,FALSE))=TRUE,"",VLOOKUP(S55,審判員!$A:$C,2,FALSE))</f>
        <v>羽田野　亘</v>
      </c>
      <c r="O55" s="212">
        <f>IF(ISERROR(VLOOKUP(S55,審判員!$A:$C,3,FALSE))=TRUE,"",VLOOKUP(S55,審判員!$A:$C,3,FALSE))</f>
        <v>3</v>
      </c>
      <c r="P55" s="219" t="s">
        <v>612</v>
      </c>
      <c r="Q55" s="906" t="s">
        <v>1286</v>
      </c>
      <c r="R55" s="906"/>
      <c r="S55" s="906" t="s">
        <v>15255</v>
      </c>
      <c r="T55" s="906"/>
      <c r="U55" s="906"/>
      <c r="V55" s="891" t="str">
        <f>B48</f>
        <v>竹田直入ＦＣ</v>
      </c>
      <c r="W55" s="981"/>
      <c r="Y55" s="590"/>
      <c r="Z55" s="590"/>
      <c r="AA55" s="590"/>
      <c r="AB55" s="960"/>
      <c r="AC55" s="960"/>
      <c r="AD55" s="960"/>
      <c r="AE55" s="960"/>
      <c r="AF55" s="960"/>
      <c r="AG55" s="960"/>
      <c r="AH55" s="590"/>
      <c r="AI55" s="961"/>
      <c r="AJ55" s="961"/>
      <c r="AK55" s="961"/>
      <c r="AL55" s="961"/>
      <c r="AM55" s="961"/>
      <c r="AN55" s="961"/>
      <c r="AO55" s="961"/>
      <c r="AP55" s="961"/>
      <c r="AQ55" s="961"/>
      <c r="AR55" s="961"/>
      <c r="AS55" s="961"/>
      <c r="AT55" s="961"/>
      <c r="AU55" s="961"/>
      <c r="AV55" s="961"/>
      <c r="AW55" s="961"/>
    </row>
    <row r="56" spans="1:67" x14ac:dyDescent="0.25">
      <c r="A56" s="196" t="s">
        <v>2007</v>
      </c>
      <c r="B56" s="206" t="str">
        <f>IF(ISERROR(VLOOKUP(G56,審判員!$A:$C,2,FALSE))=TRUE,"",VLOOKUP(G56,審判員!$A:$C,2,FALSE))</f>
        <v>仲　恭平</v>
      </c>
      <c r="C56" s="212">
        <f>IF(ISERROR(VLOOKUP(G56,審判員!$A:$C,3,FALSE))=TRUE,"",VLOOKUP(G56,審判員!$A:$C,3,FALSE))</f>
        <v>3</v>
      </c>
      <c r="D56" s="219" t="s">
        <v>612</v>
      </c>
      <c r="E56" s="906" t="s">
        <v>1286</v>
      </c>
      <c r="F56" s="906"/>
      <c r="G56" s="906" t="s">
        <v>15163</v>
      </c>
      <c r="H56" s="906"/>
      <c r="I56" s="906"/>
      <c r="J56" s="891" t="str">
        <f>V48</f>
        <v>ＭＦＣ三花少年サッカー教室</v>
      </c>
      <c r="K56" s="981"/>
      <c r="L56" s="190"/>
      <c r="M56" s="196" t="s">
        <v>2007</v>
      </c>
      <c r="N56" s="206" t="str">
        <f>IF(ISERROR(VLOOKUP(S56,審判員!$A:$C,2,FALSE))=TRUE,"",VLOOKUP(S56,審判員!$A:$C,2,FALSE))</f>
        <v>足立　卓也</v>
      </c>
      <c r="O56" s="212">
        <f>IF(ISERROR(VLOOKUP(S56,審判員!$A:$C,3,FALSE))=TRUE,"",VLOOKUP(S56,審判員!$A:$C,3,FALSE))</f>
        <v>3</v>
      </c>
      <c r="P56" s="219" t="s">
        <v>612</v>
      </c>
      <c r="Q56" s="906" t="s">
        <v>1286</v>
      </c>
      <c r="R56" s="906"/>
      <c r="S56" s="906" t="s">
        <v>15196</v>
      </c>
      <c r="T56" s="906"/>
      <c r="U56" s="906"/>
      <c r="V56" s="891" t="str">
        <f>J48</f>
        <v>臼杵ＳＳＳ</v>
      </c>
      <c r="W56" s="981"/>
      <c r="Y56" s="58"/>
      <c r="Z56" s="58"/>
      <c r="AA56" s="58"/>
      <c r="AB56" s="58"/>
      <c r="AC56" s="58"/>
      <c r="AD56" s="58"/>
      <c r="AE56" s="58"/>
      <c r="AF56" s="58"/>
      <c r="AG56" s="58"/>
      <c r="AH56" s="58"/>
      <c r="AI56" s="216"/>
      <c r="AJ56" s="216"/>
      <c r="AK56" s="216"/>
      <c r="AL56" s="216"/>
      <c r="AM56" s="216"/>
      <c r="AN56" s="216"/>
      <c r="AO56" s="216"/>
      <c r="AP56" s="216"/>
      <c r="AQ56" s="216"/>
      <c r="AR56" s="216"/>
      <c r="AS56" s="216"/>
      <c r="AT56" s="216"/>
      <c r="AU56" s="216"/>
      <c r="AV56" s="216"/>
      <c r="AW56" s="216"/>
    </row>
    <row r="57" spans="1:67" x14ac:dyDescent="0.25">
      <c r="A57" s="197" t="s">
        <v>2008</v>
      </c>
      <c r="B57" s="207" t="str">
        <f>IF(ISERROR(VLOOKUP(G57,審判員!$A:$C,2,FALSE))=TRUE,"",VLOOKUP(G57,審判員!$A:$C,2,FALSE))</f>
        <v>岡部　正典</v>
      </c>
      <c r="C57" s="213">
        <f>IF(ISERROR(VLOOKUP(G57,審判員!$A:$C,3,FALSE))=TRUE,"",VLOOKUP(G57,審判員!$A:$C,3,FALSE))</f>
        <v>3</v>
      </c>
      <c r="D57" s="220" t="s">
        <v>612</v>
      </c>
      <c r="E57" s="977" t="s">
        <v>1286</v>
      </c>
      <c r="F57" s="977"/>
      <c r="G57" s="977" t="s">
        <v>15165</v>
      </c>
      <c r="H57" s="977"/>
      <c r="I57" s="977"/>
      <c r="J57" s="978" t="s">
        <v>788</v>
      </c>
      <c r="K57" s="979"/>
      <c r="L57" s="190"/>
      <c r="M57" s="197" t="s">
        <v>2008</v>
      </c>
      <c r="N57" s="207" t="str">
        <f>IF(ISERROR(VLOOKUP(S57,審判員!$A:$C,2,FALSE))=TRUE,"",VLOOKUP(S57,審判員!$A:$C,2,FALSE))</f>
        <v>板井　龍法</v>
      </c>
      <c r="O57" s="213">
        <f>IF(ISERROR(VLOOKUP(S57,審判員!$A:$C,3,FALSE))=TRUE,"",VLOOKUP(S57,審判員!$A:$C,3,FALSE))</f>
        <v>3</v>
      </c>
      <c r="P57" s="220" t="s">
        <v>612</v>
      </c>
      <c r="Q57" s="977" t="s">
        <v>1286</v>
      </c>
      <c r="R57" s="977"/>
      <c r="S57" s="977" t="s">
        <v>15227</v>
      </c>
      <c r="T57" s="977"/>
      <c r="U57" s="977"/>
      <c r="V57" s="978" t="s">
        <v>788</v>
      </c>
      <c r="W57" s="979"/>
      <c r="Y57" s="190"/>
      <c r="Z57" s="190"/>
      <c r="AA57" s="190"/>
    </row>
    <row r="58" spans="1:67" x14ac:dyDescent="0.25">
      <c r="A58" s="198" t="s">
        <v>469</v>
      </c>
      <c r="B58" s="208" t="s">
        <v>606</v>
      </c>
      <c r="C58" s="208" t="s">
        <v>234</v>
      </c>
      <c r="D58" s="208" t="s">
        <v>272</v>
      </c>
      <c r="E58" s="208" t="s">
        <v>750</v>
      </c>
      <c r="F58" s="223"/>
      <c r="G58" s="208" t="s">
        <v>750</v>
      </c>
      <c r="H58" s="208" t="s">
        <v>272</v>
      </c>
      <c r="I58" s="208" t="s">
        <v>234</v>
      </c>
      <c r="J58" s="208" t="s">
        <v>606</v>
      </c>
      <c r="K58" s="225" t="s">
        <v>469</v>
      </c>
      <c r="L58" s="190"/>
      <c r="M58" s="198" t="s">
        <v>469</v>
      </c>
      <c r="N58" s="208" t="s">
        <v>606</v>
      </c>
      <c r="O58" s="208" t="s">
        <v>234</v>
      </c>
      <c r="P58" s="208" t="s">
        <v>272</v>
      </c>
      <c r="Q58" s="208" t="s">
        <v>750</v>
      </c>
      <c r="R58" s="223"/>
      <c r="S58" s="208" t="s">
        <v>750</v>
      </c>
      <c r="T58" s="208" t="s">
        <v>272</v>
      </c>
      <c r="U58" s="208" t="s">
        <v>234</v>
      </c>
      <c r="V58" s="208" t="s">
        <v>606</v>
      </c>
      <c r="W58" s="225" t="s">
        <v>469</v>
      </c>
      <c r="Y58" s="590" t="s">
        <v>430</v>
      </c>
      <c r="Z58" s="590"/>
      <c r="AA58" s="590"/>
      <c r="AB58" s="960" t="str">
        <f>$N$6</f>
        <v>I</v>
      </c>
      <c r="AC58" s="960"/>
      <c r="AD58" s="960"/>
      <c r="AE58" s="960"/>
      <c r="AF58" s="960"/>
      <c r="AG58" s="960"/>
    </row>
    <row r="59" spans="1:67" x14ac:dyDescent="0.25">
      <c r="A59" s="199"/>
      <c r="B59" s="209" t="str">
        <f>IF(ISERROR(VLOOKUP(CONCATENATE($B$48,"_",C59),選手名簿!$A:$E,5,FALSE))=TRUE,"",VLOOKUP(CONCATENATE($B$48,"_",C59),選手名簿!$A:$E,5,FALSE))</f>
        <v/>
      </c>
      <c r="C59" s="214"/>
      <c r="D59" s="214"/>
      <c r="E59" s="221"/>
      <c r="F59" s="223"/>
      <c r="G59" s="221"/>
      <c r="H59" s="214"/>
      <c r="I59" s="214"/>
      <c r="J59" s="209" t="str">
        <f>IF(ISERROR(VLOOKUP(CONCATENATE($J$48,"_",I59),選手名簿!$A:$E,5,FALSE))=TRUE,"",VLOOKUP(CONCATENATE($J$48,"_",I59),選手名簿!$A:$E,5,FALSE))</f>
        <v/>
      </c>
      <c r="K59" s="226"/>
      <c r="L59" s="190"/>
      <c r="M59" s="199"/>
      <c r="N59" s="209" t="str">
        <f>IF(ISERROR(VLOOKUP(CONCATENATE($N$48,"_",O59),選手名簿!$A:$E,5,FALSE))=TRUE,"",VLOOKUP(CONCATENATE($N$48,"_",O59),選手名簿!$A:$E,5,FALSE))</f>
        <v/>
      </c>
      <c r="O59" s="214"/>
      <c r="P59" s="214"/>
      <c r="Q59" s="221"/>
      <c r="R59" s="223"/>
      <c r="S59" s="221"/>
      <c r="T59" s="214"/>
      <c r="U59" s="214"/>
      <c r="V59" s="206" t="str">
        <f>IF(ISERROR(VLOOKUP(CONCATENATE($V$48,"_",U59),選手名簿!$A:$E,5,FALSE))=TRUE,"",VLOOKUP(CONCATENATE($V$48,"_",U59),選手名簿!$A:$E,5,FALSE))</f>
        <v/>
      </c>
      <c r="W59" s="226"/>
      <c r="Y59" s="590"/>
      <c r="Z59" s="590"/>
      <c r="AA59" s="590"/>
      <c r="AB59" s="962"/>
      <c r="AC59" s="962"/>
      <c r="AD59" s="962"/>
      <c r="AE59" s="962"/>
      <c r="AF59" s="962"/>
      <c r="AG59" s="962"/>
    </row>
    <row r="60" spans="1:67" x14ac:dyDescent="0.25">
      <c r="A60" s="199"/>
      <c r="B60" s="209" t="str">
        <f>IF(ISERROR(VLOOKUP(CONCATENATE($B$48,"_",C60),選手名簿!$A:$E,5,FALSE))=TRUE,"",VLOOKUP(CONCATENATE($B$48,"_",C60),選手名簿!$A:$E,5,FALSE))</f>
        <v/>
      </c>
      <c r="C60" s="214"/>
      <c r="D60" s="214"/>
      <c r="E60" s="221"/>
      <c r="F60" s="223"/>
      <c r="G60" s="221"/>
      <c r="H60" s="214"/>
      <c r="I60" s="214"/>
      <c r="J60" s="209" t="str">
        <f>IF(ISERROR(VLOOKUP(CONCATENATE($J$48,"_",I60),選手名簿!$A:$E,5,FALSE))=TRUE,"",VLOOKUP(CONCATENATE($J$48,"_",I60),選手名簿!$A:$E,5,FALSE))</f>
        <v/>
      </c>
      <c r="K60" s="226"/>
      <c r="L60" s="190"/>
      <c r="M60" s="199"/>
      <c r="N60" s="209" t="str">
        <f>IF(ISERROR(VLOOKUP(CONCATENATE($N$48,"_",O60),選手名簿!$A:$E,5,FALSE))=TRUE,"",VLOOKUP(CONCATENATE($N$48,"_",O60),選手名簿!$A:$E,5,FALSE))</f>
        <v/>
      </c>
      <c r="O60" s="214"/>
      <c r="P60" s="214"/>
      <c r="Q60" s="221"/>
      <c r="R60" s="223"/>
      <c r="S60" s="221"/>
      <c r="T60" s="214"/>
      <c r="U60" s="214"/>
      <c r="V60" s="209" t="str">
        <f>IF(ISERROR(VLOOKUP(CONCATENATE($V$48,"_",U60),選手名簿!$A:$E,5,FALSE))=TRUE,"",VLOOKUP(CONCATENATE($V$48,"_",U60),選手名簿!$A:$E,5,FALSE))</f>
        <v/>
      </c>
      <c r="W60" s="226"/>
      <c r="Y60" s="58"/>
      <c r="Z60" s="713" t="str">
        <f>$N$7</f>
        <v>I1</v>
      </c>
      <c r="AA60" s="713"/>
      <c r="AB60" s="713"/>
      <c r="AC60" s="713" t="str">
        <f>$O$7</f>
        <v>ＭＦＣ三花少年サッカー教室</v>
      </c>
      <c r="AD60" s="713"/>
      <c r="AE60" s="713"/>
      <c r="AF60" s="713"/>
      <c r="AG60" s="713"/>
      <c r="AH60" s="713"/>
      <c r="AI60" s="713"/>
      <c r="AJ60" s="713"/>
      <c r="AK60" s="713"/>
      <c r="AL60" s="713"/>
      <c r="AM60" s="713"/>
      <c r="AN60" s="713"/>
      <c r="AO60" s="713"/>
      <c r="AP60" s="713" t="str">
        <f>$V$7</f>
        <v>日田・玖珠</v>
      </c>
      <c r="AQ60" s="713"/>
      <c r="AR60" s="713"/>
      <c r="AS60" s="713"/>
    </row>
    <row r="61" spans="1:67" x14ac:dyDescent="0.25">
      <c r="A61" s="199"/>
      <c r="B61" s="209" t="str">
        <f>IF(ISERROR(VLOOKUP(CONCATENATE($B$48,"_",C61),選手名簿!$A:$E,5,FALSE))=TRUE,"",VLOOKUP(CONCATENATE($B$48,"_",C61),選手名簿!$A:$E,5,FALSE))</f>
        <v/>
      </c>
      <c r="C61" s="214"/>
      <c r="D61" s="214"/>
      <c r="E61" s="221"/>
      <c r="F61" s="223"/>
      <c r="G61" s="221"/>
      <c r="H61" s="214"/>
      <c r="I61" s="214"/>
      <c r="J61" s="209" t="str">
        <f>IF(ISERROR(VLOOKUP(CONCATENATE($J$48,"_",I61),選手名簿!$A:$E,5,FALSE))=TRUE,"",VLOOKUP(CONCATENATE($J$48,"_",I61),選手名簿!$A:$E,5,FALSE))</f>
        <v/>
      </c>
      <c r="K61" s="226"/>
      <c r="L61" s="190"/>
      <c r="M61" s="199"/>
      <c r="N61" s="209" t="str">
        <f>IF(ISERROR(VLOOKUP(CONCATENATE($N$48,"_",O61),選手名簿!$A:$E,5,FALSE))=TRUE,"",VLOOKUP(CONCATENATE($N$48,"_",O61),選手名簿!$A:$E,5,FALSE))</f>
        <v/>
      </c>
      <c r="O61" s="214"/>
      <c r="P61" s="214"/>
      <c r="Q61" s="221"/>
      <c r="R61" s="223"/>
      <c r="S61" s="221"/>
      <c r="T61" s="214"/>
      <c r="U61" s="214"/>
      <c r="V61" s="209" t="str">
        <f>IF(ISERROR(VLOOKUP(CONCATENATE($V$48,"_",U61),選手名簿!$A:$E,5,FALSE))=TRUE,"",VLOOKUP(CONCATENATE($V$48,"_",U61),選手名簿!$A:$E,5,FALSE))</f>
        <v/>
      </c>
      <c r="W61" s="226"/>
      <c r="Y61" s="58"/>
      <c r="Z61" s="713"/>
      <c r="AA61" s="713"/>
      <c r="AB61" s="713"/>
      <c r="AC61" s="713"/>
      <c r="AD61" s="713"/>
      <c r="AE61" s="713"/>
      <c r="AF61" s="713"/>
      <c r="AG61" s="713"/>
      <c r="AH61" s="713"/>
      <c r="AI61" s="713"/>
      <c r="AJ61" s="713"/>
      <c r="AK61" s="713"/>
      <c r="AL61" s="713"/>
      <c r="AM61" s="713"/>
      <c r="AN61" s="713"/>
      <c r="AO61" s="713"/>
      <c r="AP61" s="713"/>
      <c r="AQ61" s="713"/>
      <c r="AR61" s="713"/>
      <c r="AS61" s="713"/>
    </row>
    <row r="62" spans="1:67" x14ac:dyDescent="0.25">
      <c r="A62" s="199"/>
      <c r="B62" s="209" t="str">
        <f>IF(ISERROR(VLOOKUP(CONCATENATE($B$48,"_",C62),選手名簿!$A:$E,5,FALSE))=TRUE,"",VLOOKUP(CONCATENATE($B$48,"_",C62),選手名簿!$A:$E,5,FALSE))</f>
        <v/>
      </c>
      <c r="C62" s="214"/>
      <c r="D62" s="214"/>
      <c r="E62" s="221"/>
      <c r="F62" s="223"/>
      <c r="G62" s="221"/>
      <c r="H62" s="214"/>
      <c r="I62" s="214"/>
      <c r="J62" s="209" t="str">
        <f>IF(ISERROR(VLOOKUP(CONCATENATE($J$48,"_",I62),選手名簿!$A:$E,5,FALSE))=TRUE,"",VLOOKUP(CONCATENATE($J$48,"_",I62),選手名簿!$A:$E,5,FALSE))</f>
        <v/>
      </c>
      <c r="K62" s="226"/>
      <c r="L62" s="190"/>
      <c r="M62" s="199"/>
      <c r="N62" s="209" t="str">
        <f>IF(ISERROR(VLOOKUP(CONCATENATE($N$48,"_",O62),選手名簿!$A:$E,5,FALSE))=TRUE,"",VLOOKUP(CONCATENATE($N$48,"_",O62),選手名簿!$A:$E,5,FALSE))</f>
        <v/>
      </c>
      <c r="O62" s="214"/>
      <c r="P62" s="214"/>
      <c r="Q62" s="221"/>
      <c r="R62" s="223"/>
      <c r="S62" s="221"/>
      <c r="T62" s="214"/>
      <c r="U62" s="214"/>
      <c r="V62" s="209" t="str">
        <f>IF(ISERROR(VLOOKUP(CONCATENATE($V$48,"_",U62),選手名簿!$A:$E,5,FALSE))=TRUE,"",VLOOKUP(CONCATENATE($V$48,"_",U62),選手名簿!$A:$E,5,FALSE))</f>
        <v/>
      </c>
      <c r="W62" s="226"/>
      <c r="Y62" s="58"/>
      <c r="Z62" s="713" t="str">
        <f>$N$8</f>
        <v>I2</v>
      </c>
      <c r="AA62" s="713"/>
      <c r="AB62" s="713"/>
      <c r="AC62" s="713" t="str">
        <f>$O$8</f>
        <v>リノスフットボールクラブ　Ｕ－１２</v>
      </c>
      <c r="AD62" s="713"/>
      <c r="AE62" s="713"/>
      <c r="AF62" s="713"/>
      <c r="AG62" s="713"/>
      <c r="AH62" s="713"/>
      <c r="AI62" s="713"/>
      <c r="AJ62" s="713"/>
      <c r="AK62" s="713"/>
      <c r="AL62" s="713"/>
      <c r="AM62" s="713"/>
      <c r="AN62" s="713"/>
      <c r="AO62" s="713"/>
      <c r="AP62" s="713" t="str">
        <f>$V$8</f>
        <v>大分</v>
      </c>
      <c r="AQ62" s="713"/>
      <c r="AR62" s="713"/>
      <c r="AS62" s="713"/>
    </row>
    <row r="63" spans="1:67" x14ac:dyDescent="0.25">
      <c r="A63" s="200"/>
      <c r="B63" s="210" t="str">
        <f>IF(ISERROR(VLOOKUP(CONCATENATE($B$48,"_",C63),選手名簿!$A:$E,5,FALSE))=TRUE,"",VLOOKUP(CONCATENATE($B$48,"_",C63),選手名簿!$A:$E,5,FALSE))</f>
        <v/>
      </c>
      <c r="C63" s="215"/>
      <c r="D63" s="215"/>
      <c r="E63" s="222"/>
      <c r="F63" s="224"/>
      <c r="G63" s="222"/>
      <c r="H63" s="215"/>
      <c r="I63" s="215"/>
      <c r="J63" s="210" t="str">
        <f>IF(ISERROR(VLOOKUP(CONCATENATE($J$48,"_",I63),選手名簿!$A:$E,5,FALSE))=TRUE,"",VLOOKUP(CONCATENATE($J$48,"_",I63),選手名簿!$A:$E,5,FALSE))</f>
        <v/>
      </c>
      <c r="K63" s="227"/>
      <c r="L63" s="190"/>
      <c r="M63" s="200"/>
      <c r="N63" s="210" t="str">
        <f>IF(ISERROR(VLOOKUP(CONCATENATE($N$48,"_",O63),選手名簿!$A:$E,5,FALSE))=TRUE,"",VLOOKUP(CONCATENATE($N$48,"_",O63),選手名簿!$A:$E,5,FALSE))</f>
        <v/>
      </c>
      <c r="O63" s="215"/>
      <c r="P63" s="215"/>
      <c r="Q63" s="222"/>
      <c r="R63" s="224"/>
      <c r="S63" s="222"/>
      <c r="T63" s="215"/>
      <c r="U63" s="215"/>
      <c r="V63" s="210" t="str">
        <f>IF(ISERROR(VLOOKUP(CONCATENATE($V$48,"_",U63),選手名簿!$A:$E,5,FALSE))=TRUE,"",VLOOKUP(CONCATENATE($V$48,"_",U63),選手名簿!$A:$E,5,FALSE))</f>
        <v/>
      </c>
      <c r="W63" s="227"/>
      <c r="Y63" s="58"/>
      <c r="Z63" s="713"/>
      <c r="AA63" s="713"/>
      <c r="AB63" s="713"/>
      <c r="AC63" s="713"/>
      <c r="AD63" s="713"/>
      <c r="AE63" s="713"/>
      <c r="AF63" s="713"/>
      <c r="AG63" s="713"/>
      <c r="AH63" s="713"/>
      <c r="AI63" s="713"/>
      <c r="AJ63" s="713"/>
      <c r="AK63" s="713"/>
      <c r="AL63" s="713"/>
      <c r="AM63" s="713"/>
      <c r="AN63" s="713"/>
      <c r="AO63" s="713"/>
      <c r="AP63" s="713"/>
      <c r="AQ63" s="713"/>
      <c r="AR63" s="713"/>
      <c r="AS63" s="713"/>
    </row>
    <row r="64" spans="1:67" ht="18.75" customHeight="1" x14ac:dyDescent="0.25">
      <c r="A64" s="190"/>
      <c r="B64" s="190"/>
      <c r="C64" s="190"/>
      <c r="D64" s="190"/>
      <c r="E64" s="190"/>
      <c r="F64" s="190"/>
      <c r="G64" s="190"/>
      <c r="H64" s="190"/>
      <c r="I64" s="190"/>
      <c r="J64" s="190"/>
      <c r="K64" s="190"/>
      <c r="L64" s="190"/>
      <c r="M64" s="190"/>
      <c r="N64" s="190"/>
      <c r="O64" s="190"/>
      <c r="P64" s="190"/>
      <c r="Q64" s="190"/>
      <c r="R64" s="190"/>
      <c r="S64" s="190"/>
      <c r="T64" s="190"/>
      <c r="U64" s="190"/>
      <c r="V64" s="190"/>
      <c r="Y64" s="190"/>
      <c r="Z64" s="713" t="str">
        <f>$N$9</f>
        <v>I3</v>
      </c>
      <c r="AA64" s="713"/>
      <c r="AB64" s="713"/>
      <c r="AC64" s="713" t="str">
        <f>$O$9</f>
        <v>ＮＦＣ・ＯＩＴＡ　Ｕ１２</v>
      </c>
      <c r="AD64" s="713"/>
      <c r="AE64" s="713"/>
      <c r="AF64" s="713"/>
      <c r="AG64" s="713"/>
      <c r="AH64" s="713"/>
      <c r="AI64" s="713"/>
      <c r="AJ64" s="713"/>
      <c r="AK64" s="713"/>
      <c r="AL64" s="713"/>
      <c r="AM64" s="713"/>
      <c r="AN64" s="713"/>
      <c r="AO64" s="713"/>
      <c r="AP64" s="713" t="str">
        <f>$V$9</f>
        <v>大分</v>
      </c>
      <c r="AQ64" s="713"/>
      <c r="AR64" s="713"/>
      <c r="AS64" s="713"/>
    </row>
    <row r="65" spans="25:67" x14ac:dyDescent="0.25">
      <c r="Z65" s="713"/>
      <c r="AA65" s="713"/>
      <c r="AB65" s="713"/>
      <c r="AC65" s="713"/>
      <c r="AD65" s="713"/>
      <c r="AE65" s="713"/>
      <c r="AF65" s="713"/>
      <c r="AG65" s="713"/>
      <c r="AH65" s="713"/>
      <c r="AI65" s="713"/>
      <c r="AJ65" s="713"/>
      <c r="AK65" s="713"/>
      <c r="AL65" s="713"/>
      <c r="AM65" s="713"/>
      <c r="AN65" s="713"/>
      <c r="AO65" s="713"/>
      <c r="AP65" s="713"/>
      <c r="AQ65" s="713"/>
      <c r="AR65" s="713"/>
      <c r="AS65" s="713"/>
    </row>
    <row r="70" spans="25:67" ht="18.75" customHeight="1" x14ac:dyDescent="0.25"/>
    <row r="71" spans="25:67" ht="18.75" customHeight="1" x14ac:dyDescent="0.25"/>
    <row r="72" spans="25:67" ht="18.75" customHeight="1" x14ac:dyDescent="0.25">
      <c r="Y72" s="954" t="str">
        <f>$Y$6</f>
        <v>パート</v>
      </c>
      <c r="Z72" s="955"/>
      <c r="AA72" s="955"/>
      <c r="AB72" s="955"/>
      <c r="AC72" s="955" t="str">
        <f>$AB$58</f>
        <v>I</v>
      </c>
      <c r="AD72" s="955"/>
      <c r="AE72" s="956"/>
      <c r="AF72" s="945" t="str">
        <f>$Y$78</f>
        <v>ＭＦＣ三花少年サッカー教室</v>
      </c>
      <c r="AG72" s="945"/>
      <c r="AH72" s="945"/>
      <c r="AI72" s="945"/>
      <c r="AJ72" s="945"/>
      <c r="AK72" s="945" t="str">
        <f>$Y$84</f>
        <v>リノスフットボールクラブ　Ｕ－１２</v>
      </c>
      <c r="AL72" s="945"/>
      <c r="AM72" s="945"/>
      <c r="AN72" s="945"/>
      <c r="AO72" s="945"/>
      <c r="AP72" s="945" t="str">
        <f>$Y$90</f>
        <v>ＮＦＣ・ＯＩＴＡ　Ｕ１２</v>
      </c>
      <c r="AQ72" s="945"/>
      <c r="AR72" s="945"/>
      <c r="AS72" s="945"/>
      <c r="AT72" s="945"/>
      <c r="AU72" s="945" t="s">
        <v>1535</v>
      </c>
      <c r="AV72" s="945"/>
      <c r="AW72" s="944" t="s">
        <v>2060</v>
      </c>
      <c r="AX72" s="945"/>
      <c r="AY72" s="944" t="s">
        <v>1208</v>
      </c>
      <c r="AZ72" s="945"/>
      <c r="BA72" s="945" t="s">
        <v>1727</v>
      </c>
      <c r="BB72" s="945"/>
      <c r="BC72" s="945" t="s">
        <v>2005</v>
      </c>
      <c r="BD72" s="945"/>
      <c r="BE72" s="945" t="s">
        <v>2006</v>
      </c>
      <c r="BF72" s="945"/>
      <c r="BG72" s="945" t="s">
        <v>1768</v>
      </c>
      <c r="BH72" s="945"/>
      <c r="BI72" s="944" t="s">
        <v>698</v>
      </c>
      <c r="BJ72" s="945"/>
      <c r="BK72" s="944" t="s">
        <v>1100</v>
      </c>
      <c r="BL72" s="945"/>
      <c r="BM72" s="944" t="s">
        <v>502</v>
      </c>
      <c r="BN72" s="945"/>
      <c r="BO72" s="947" t="s">
        <v>2127</v>
      </c>
    </row>
    <row r="73" spans="25:67" ht="18.75" customHeight="1" x14ac:dyDescent="0.25">
      <c r="Y73" s="905"/>
      <c r="Z73" s="906"/>
      <c r="AA73" s="906"/>
      <c r="AB73" s="906"/>
      <c r="AC73" s="906"/>
      <c r="AD73" s="906"/>
      <c r="AE73" s="957"/>
      <c r="AF73" s="946"/>
      <c r="AG73" s="946"/>
      <c r="AH73" s="946"/>
      <c r="AI73" s="946"/>
      <c r="AJ73" s="946"/>
      <c r="AK73" s="946"/>
      <c r="AL73" s="946"/>
      <c r="AM73" s="946"/>
      <c r="AN73" s="946"/>
      <c r="AO73" s="946"/>
      <c r="AP73" s="946"/>
      <c r="AQ73" s="946"/>
      <c r="AR73" s="946"/>
      <c r="AS73" s="946"/>
      <c r="AT73" s="946"/>
      <c r="AU73" s="946"/>
      <c r="AV73" s="946"/>
      <c r="AW73" s="946"/>
      <c r="AX73" s="946"/>
      <c r="AY73" s="946"/>
      <c r="AZ73" s="946"/>
      <c r="BA73" s="946"/>
      <c r="BB73" s="946"/>
      <c r="BC73" s="946"/>
      <c r="BD73" s="946"/>
      <c r="BE73" s="946"/>
      <c r="BF73" s="946"/>
      <c r="BG73" s="946"/>
      <c r="BH73" s="946"/>
      <c r="BI73" s="946"/>
      <c r="BJ73" s="946"/>
      <c r="BK73" s="946"/>
      <c r="BL73" s="946"/>
      <c r="BM73" s="946"/>
      <c r="BN73" s="946"/>
      <c r="BO73" s="948"/>
    </row>
    <row r="74" spans="25:67" ht="18.75" customHeight="1" x14ac:dyDescent="0.25">
      <c r="Y74" s="905"/>
      <c r="Z74" s="906"/>
      <c r="AA74" s="906"/>
      <c r="AB74" s="906"/>
      <c r="AC74" s="906"/>
      <c r="AD74" s="906"/>
      <c r="AE74" s="957"/>
      <c r="AF74" s="946"/>
      <c r="AG74" s="946"/>
      <c r="AH74" s="946"/>
      <c r="AI74" s="946"/>
      <c r="AJ74" s="946"/>
      <c r="AK74" s="946"/>
      <c r="AL74" s="946"/>
      <c r="AM74" s="946"/>
      <c r="AN74" s="946"/>
      <c r="AO74" s="946"/>
      <c r="AP74" s="946"/>
      <c r="AQ74" s="946"/>
      <c r="AR74" s="946"/>
      <c r="AS74" s="946"/>
      <c r="AT74" s="946"/>
      <c r="AU74" s="946"/>
      <c r="AV74" s="946"/>
      <c r="AW74" s="946"/>
      <c r="AX74" s="946"/>
      <c r="AY74" s="946"/>
      <c r="AZ74" s="946"/>
      <c r="BA74" s="946"/>
      <c r="BB74" s="946"/>
      <c r="BC74" s="946"/>
      <c r="BD74" s="946"/>
      <c r="BE74" s="946"/>
      <c r="BF74" s="946"/>
      <c r="BG74" s="946"/>
      <c r="BH74" s="946"/>
      <c r="BI74" s="946"/>
      <c r="BJ74" s="946"/>
      <c r="BK74" s="946"/>
      <c r="BL74" s="946"/>
      <c r="BM74" s="946"/>
      <c r="BN74" s="946"/>
      <c r="BO74" s="948"/>
    </row>
    <row r="75" spans="25:67" ht="19.5" customHeight="1" x14ac:dyDescent="0.25">
      <c r="Y75" s="905"/>
      <c r="Z75" s="906"/>
      <c r="AA75" s="906"/>
      <c r="AB75" s="906"/>
      <c r="AC75" s="906"/>
      <c r="AD75" s="906"/>
      <c r="AE75" s="957"/>
      <c r="AF75" s="946"/>
      <c r="AG75" s="946"/>
      <c r="AH75" s="946"/>
      <c r="AI75" s="946"/>
      <c r="AJ75" s="946"/>
      <c r="AK75" s="946"/>
      <c r="AL75" s="946"/>
      <c r="AM75" s="946"/>
      <c r="AN75" s="946"/>
      <c r="AO75" s="946"/>
      <c r="AP75" s="946"/>
      <c r="AQ75" s="946"/>
      <c r="AR75" s="946"/>
      <c r="AS75" s="946"/>
      <c r="AT75" s="946"/>
      <c r="AU75" s="946"/>
      <c r="AV75" s="946"/>
      <c r="AW75" s="946"/>
      <c r="AX75" s="946"/>
      <c r="AY75" s="946"/>
      <c r="AZ75" s="946"/>
      <c r="BA75" s="946"/>
      <c r="BB75" s="946"/>
      <c r="BC75" s="946"/>
      <c r="BD75" s="946"/>
      <c r="BE75" s="946"/>
      <c r="BF75" s="946"/>
      <c r="BG75" s="946"/>
      <c r="BH75" s="946"/>
      <c r="BI75" s="946"/>
      <c r="BJ75" s="946"/>
      <c r="BK75" s="946"/>
      <c r="BL75" s="946"/>
      <c r="BM75" s="946"/>
      <c r="BN75" s="946"/>
      <c r="BO75" s="948"/>
    </row>
    <row r="76" spans="25:67" ht="19.5" customHeight="1" x14ac:dyDescent="0.25">
      <c r="Y76" s="905"/>
      <c r="Z76" s="906"/>
      <c r="AA76" s="906"/>
      <c r="AB76" s="906"/>
      <c r="AC76" s="906"/>
      <c r="AD76" s="906"/>
      <c r="AE76" s="957"/>
      <c r="AF76" s="946"/>
      <c r="AG76" s="946"/>
      <c r="AH76" s="946"/>
      <c r="AI76" s="946"/>
      <c r="AJ76" s="946"/>
      <c r="AK76" s="946"/>
      <c r="AL76" s="946"/>
      <c r="AM76" s="946"/>
      <c r="AN76" s="946"/>
      <c r="AO76" s="946"/>
      <c r="AP76" s="946"/>
      <c r="AQ76" s="946"/>
      <c r="AR76" s="946"/>
      <c r="AS76" s="946"/>
      <c r="AT76" s="946"/>
      <c r="AU76" s="946"/>
      <c r="AV76" s="946"/>
      <c r="AW76" s="946"/>
      <c r="AX76" s="946"/>
      <c r="AY76" s="946"/>
      <c r="AZ76" s="946"/>
      <c r="BA76" s="946"/>
      <c r="BB76" s="946"/>
      <c r="BC76" s="946"/>
      <c r="BD76" s="946"/>
      <c r="BE76" s="946"/>
      <c r="BF76" s="946"/>
      <c r="BG76" s="946"/>
      <c r="BH76" s="946"/>
      <c r="BI76" s="946"/>
      <c r="BJ76" s="946"/>
      <c r="BK76" s="946"/>
      <c r="BL76" s="946"/>
      <c r="BM76" s="946"/>
      <c r="BN76" s="946"/>
      <c r="BO76" s="948"/>
    </row>
    <row r="77" spans="25:67" ht="18.75" customHeight="1" x14ac:dyDescent="0.25">
      <c r="Y77" s="941"/>
      <c r="Z77" s="936"/>
      <c r="AA77" s="936"/>
      <c r="AB77" s="936"/>
      <c r="AC77" s="936"/>
      <c r="AD77" s="936"/>
      <c r="AE77" s="958"/>
      <c r="AF77" s="946"/>
      <c r="AG77" s="946"/>
      <c r="AH77" s="946"/>
      <c r="AI77" s="946"/>
      <c r="AJ77" s="946"/>
      <c r="AK77" s="946"/>
      <c r="AL77" s="946"/>
      <c r="AM77" s="946"/>
      <c r="AN77" s="946"/>
      <c r="AO77" s="946"/>
      <c r="AP77" s="946"/>
      <c r="AQ77" s="946"/>
      <c r="AR77" s="946"/>
      <c r="AS77" s="946"/>
      <c r="AT77" s="946"/>
      <c r="AU77" s="946"/>
      <c r="AV77" s="946"/>
      <c r="AW77" s="946"/>
      <c r="AX77" s="946"/>
      <c r="AY77" s="946"/>
      <c r="AZ77" s="946"/>
      <c r="BA77" s="946"/>
      <c r="BB77" s="946"/>
      <c r="BC77" s="946"/>
      <c r="BD77" s="946"/>
      <c r="BE77" s="946"/>
      <c r="BF77" s="946"/>
      <c r="BG77" s="946"/>
      <c r="BH77" s="946"/>
      <c r="BI77" s="946"/>
      <c r="BJ77" s="946"/>
      <c r="BK77" s="946"/>
      <c r="BL77" s="946"/>
      <c r="BM77" s="946"/>
      <c r="BN77" s="946"/>
      <c r="BO77" s="949"/>
    </row>
    <row r="78" spans="25:67" ht="18.75" customHeight="1" x14ac:dyDescent="0.25">
      <c r="Y78" s="939" t="str">
        <f>$AC$60</f>
        <v>ＭＦＣ三花少年サッカー教室</v>
      </c>
      <c r="Z78" s="940"/>
      <c r="AA78" s="940"/>
      <c r="AB78" s="940"/>
      <c r="AC78" s="940"/>
      <c r="AD78" s="940" t="s">
        <v>242</v>
      </c>
      <c r="AE78" s="940"/>
      <c r="AF78" s="950"/>
      <c r="AG78" s="942"/>
      <c r="AH78" s="942"/>
      <c r="AI78" s="942"/>
      <c r="AJ78" s="951"/>
      <c r="AK78" s="923" t="str">
        <f>IF(AK82="","",IF(AK82&gt;AN82,"○",IF(AK82&lt;AN82,"●",IF(AK80&gt;AN80,"△",IF(AK80&lt;AN80,"▲")))))</f>
        <v>▲</v>
      </c>
      <c r="AL78" s="924"/>
      <c r="AM78" s="924"/>
      <c r="AN78" s="924"/>
      <c r="AO78" s="925"/>
      <c r="AP78" s="923" t="str">
        <f>IF(AP82="","",IF(AP82&gt;AS82,"○",IF(AP82&lt;AS82,"●",IF(AP80&gt;AS80,"△",IF(AP80&lt;AS80,"▲")))))</f>
        <v>●</v>
      </c>
      <c r="AQ78" s="924"/>
      <c r="AR78" s="924"/>
      <c r="AS78" s="924"/>
      <c r="AT78" s="925"/>
      <c r="AU78" s="903">
        <f>COUNTIF($AF$78:$AT$79,"○")</f>
        <v>0</v>
      </c>
      <c r="AV78" s="903"/>
      <c r="AW78" s="903">
        <f>COUNTIF($AF$78:$AT$79,"△")</f>
        <v>0</v>
      </c>
      <c r="AX78" s="903"/>
      <c r="AY78" s="903">
        <f>COUNTIF($AF$78:$AT$79,"▲")</f>
        <v>1</v>
      </c>
      <c r="AZ78" s="903"/>
      <c r="BA78" s="903">
        <f>COUNTIF($AF$78:$AT$79,"●")</f>
        <v>1</v>
      </c>
      <c r="BB78" s="903"/>
      <c r="BC78" s="903">
        <f>SUM($AK$82,$AP$82)</f>
        <v>0</v>
      </c>
      <c r="BD78" s="903"/>
      <c r="BE78" s="903">
        <f>SUM($AN$82,$AS$82)</f>
        <v>8</v>
      </c>
      <c r="BF78" s="903"/>
      <c r="BG78" s="903">
        <f>($AU$78*3)+($AW$78*2)+($AY$78*1)</f>
        <v>1</v>
      </c>
      <c r="BH78" s="903"/>
      <c r="BI78" s="910">
        <f>RANK($BG$78,$BG$78:$BH$95)</f>
        <v>3</v>
      </c>
      <c r="BJ78" s="910"/>
      <c r="BK78" s="903">
        <f>$BC$78-$BE$78</f>
        <v>-8</v>
      </c>
      <c r="BL78" s="903"/>
      <c r="BM78" s="910">
        <f>RANK($BK$78,$BK$78:$BL$95)</f>
        <v>3</v>
      </c>
      <c r="BN78" s="910"/>
      <c r="BO78" s="912"/>
    </row>
    <row r="79" spans="25:67" ht="18.75" customHeight="1" x14ac:dyDescent="0.25">
      <c r="Y79" s="905"/>
      <c r="Z79" s="906"/>
      <c r="AA79" s="906"/>
      <c r="AB79" s="906"/>
      <c r="AC79" s="906"/>
      <c r="AD79" s="906"/>
      <c r="AE79" s="906"/>
      <c r="AF79" s="929"/>
      <c r="AG79" s="930"/>
      <c r="AH79" s="930"/>
      <c r="AI79" s="930"/>
      <c r="AJ79" s="931"/>
      <c r="AK79" s="917"/>
      <c r="AL79" s="918"/>
      <c r="AM79" s="918"/>
      <c r="AN79" s="918"/>
      <c r="AO79" s="920"/>
      <c r="AP79" s="917"/>
      <c r="AQ79" s="918"/>
      <c r="AR79" s="918"/>
      <c r="AS79" s="918"/>
      <c r="AT79" s="920"/>
      <c r="AU79" s="903"/>
      <c r="AV79" s="903"/>
      <c r="AW79" s="903"/>
      <c r="AX79" s="903"/>
      <c r="AY79" s="903"/>
      <c r="AZ79" s="903"/>
      <c r="BA79" s="903"/>
      <c r="BB79" s="903"/>
      <c r="BC79" s="903"/>
      <c r="BD79" s="903"/>
      <c r="BE79" s="903"/>
      <c r="BF79" s="903"/>
      <c r="BG79" s="903"/>
      <c r="BH79" s="903"/>
      <c r="BI79" s="910"/>
      <c r="BJ79" s="910"/>
      <c r="BK79" s="903"/>
      <c r="BL79" s="903"/>
      <c r="BM79" s="910"/>
      <c r="BN79" s="910"/>
      <c r="BO79" s="913"/>
    </row>
    <row r="80" spans="25:67" ht="18.75" customHeight="1" x14ac:dyDescent="0.25">
      <c r="Y80" s="905"/>
      <c r="Z80" s="906"/>
      <c r="AA80" s="906"/>
      <c r="AB80" s="906"/>
      <c r="AC80" s="906"/>
      <c r="AD80" s="906"/>
      <c r="AE80" s="906"/>
      <c r="AF80" s="929"/>
      <c r="AG80" s="930"/>
      <c r="AH80" s="930"/>
      <c r="AI80" s="930"/>
      <c r="AJ80" s="931"/>
      <c r="AK80" s="915">
        <f>IF($Q$14="","",$Q$14)</f>
        <v>3</v>
      </c>
      <c r="AL80" s="916"/>
      <c r="AM80" s="916" t="s">
        <v>2011</v>
      </c>
      <c r="AN80" s="916">
        <f>IF($S$14="","",$S$14)</f>
        <v>4</v>
      </c>
      <c r="AO80" s="919"/>
      <c r="AP80" s="915" t="str">
        <f>IF($S$50="","",$S$50)</f>
        <v/>
      </c>
      <c r="AQ80" s="916"/>
      <c r="AR80" s="916" t="s">
        <v>2011</v>
      </c>
      <c r="AS80" s="916" t="str">
        <f>IF($Q$50="","",$Q$50)</f>
        <v/>
      </c>
      <c r="AT80" s="919"/>
      <c r="AU80" s="903"/>
      <c r="AV80" s="903"/>
      <c r="AW80" s="903"/>
      <c r="AX80" s="903"/>
      <c r="AY80" s="903"/>
      <c r="AZ80" s="903"/>
      <c r="BA80" s="903"/>
      <c r="BB80" s="903"/>
      <c r="BC80" s="903"/>
      <c r="BD80" s="903"/>
      <c r="BE80" s="903"/>
      <c r="BF80" s="903"/>
      <c r="BG80" s="903"/>
      <c r="BH80" s="903"/>
      <c r="BI80" s="910"/>
      <c r="BJ80" s="910"/>
      <c r="BK80" s="903"/>
      <c r="BL80" s="903"/>
      <c r="BM80" s="910"/>
      <c r="BN80" s="910"/>
      <c r="BO80" s="913"/>
    </row>
    <row r="81" spans="25:67" ht="19.5" customHeight="1" x14ac:dyDescent="0.25">
      <c r="Y81" s="905"/>
      <c r="Z81" s="906"/>
      <c r="AA81" s="906"/>
      <c r="AB81" s="906"/>
      <c r="AC81" s="906"/>
      <c r="AD81" s="906" t="s">
        <v>2010</v>
      </c>
      <c r="AE81" s="906"/>
      <c r="AF81" s="929"/>
      <c r="AG81" s="930"/>
      <c r="AH81" s="930"/>
      <c r="AI81" s="930"/>
      <c r="AJ81" s="931"/>
      <c r="AK81" s="917"/>
      <c r="AL81" s="918"/>
      <c r="AM81" s="918"/>
      <c r="AN81" s="918"/>
      <c r="AO81" s="920"/>
      <c r="AP81" s="917"/>
      <c r="AQ81" s="918"/>
      <c r="AR81" s="918"/>
      <c r="AS81" s="918"/>
      <c r="AT81" s="920"/>
      <c r="AU81" s="903"/>
      <c r="AV81" s="903"/>
      <c r="AW81" s="903"/>
      <c r="AX81" s="903"/>
      <c r="AY81" s="903"/>
      <c r="AZ81" s="903"/>
      <c r="BA81" s="903"/>
      <c r="BB81" s="903"/>
      <c r="BC81" s="903"/>
      <c r="BD81" s="903"/>
      <c r="BE81" s="903"/>
      <c r="BF81" s="903"/>
      <c r="BG81" s="903"/>
      <c r="BH81" s="903"/>
      <c r="BI81" s="910"/>
      <c r="BJ81" s="910"/>
      <c r="BK81" s="903"/>
      <c r="BL81" s="903"/>
      <c r="BM81" s="910"/>
      <c r="BN81" s="910"/>
      <c r="BO81" s="913"/>
    </row>
    <row r="82" spans="25:67" ht="18.75" customHeight="1" x14ac:dyDescent="0.25">
      <c r="Y82" s="905"/>
      <c r="Z82" s="906"/>
      <c r="AA82" s="906"/>
      <c r="AB82" s="906"/>
      <c r="AC82" s="906"/>
      <c r="AD82" s="906"/>
      <c r="AE82" s="906"/>
      <c r="AF82" s="929"/>
      <c r="AG82" s="930"/>
      <c r="AH82" s="930"/>
      <c r="AI82" s="930"/>
      <c r="AJ82" s="931"/>
      <c r="AK82" s="915">
        <f>$O$12</f>
        <v>0</v>
      </c>
      <c r="AL82" s="916"/>
      <c r="AM82" s="916" t="s">
        <v>2011</v>
      </c>
      <c r="AN82" s="916">
        <f>$U$12</f>
        <v>0</v>
      </c>
      <c r="AO82" s="919"/>
      <c r="AP82" s="915">
        <f>$U$48</f>
        <v>0</v>
      </c>
      <c r="AQ82" s="916"/>
      <c r="AR82" s="916" t="s">
        <v>2011</v>
      </c>
      <c r="AS82" s="916">
        <f>$O$48</f>
        <v>8</v>
      </c>
      <c r="AT82" s="919"/>
      <c r="AU82" s="903"/>
      <c r="AV82" s="903"/>
      <c r="AW82" s="903"/>
      <c r="AX82" s="903"/>
      <c r="AY82" s="903"/>
      <c r="AZ82" s="903"/>
      <c r="BA82" s="903"/>
      <c r="BB82" s="903"/>
      <c r="BC82" s="903"/>
      <c r="BD82" s="903"/>
      <c r="BE82" s="903"/>
      <c r="BF82" s="903"/>
      <c r="BG82" s="903"/>
      <c r="BH82" s="903"/>
      <c r="BI82" s="910"/>
      <c r="BJ82" s="910"/>
      <c r="BK82" s="903"/>
      <c r="BL82" s="903"/>
      <c r="BM82" s="910"/>
      <c r="BN82" s="910"/>
      <c r="BO82" s="913"/>
    </row>
    <row r="83" spans="25:67" ht="18.75" customHeight="1" x14ac:dyDescent="0.25">
      <c r="Y83" s="941"/>
      <c r="Z83" s="936"/>
      <c r="AA83" s="936"/>
      <c r="AB83" s="936"/>
      <c r="AC83" s="936"/>
      <c r="AD83" s="936"/>
      <c r="AE83" s="936"/>
      <c r="AF83" s="952"/>
      <c r="AG83" s="943"/>
      <c r="AH83" s="943"/>
      <c r="AI83" s="943"/>
      <c r="AJ83" s="953"/>
      <c r="AK83" s="937"/>
      <c r="AL83" s="560"/>
      <c r="AM83" s="560"/>
      <c r="AN83" s="560"/>
      <c r="AO83" s="938"/>
      <c r="AP83" s="937"/>
      <c r="AQ83" s="560"/>
      <c r="AR83" s="560"/>
      <c r="AS83" s="560"/>
      <c r="AT83" s="938"/>
      <c r="AU83" s="903"/>
      <c r="AV83" s="903"/>
      <c r="AW83" s="903"/>
      <c r="AX83" s="903"/>
      <c r="AY83" s="903"/>
      <c r="AZ83" s="903"/>
      <c r="BA83" s="903"/>
      <c r="BB83" s="903"/>
      <c r="BC83" s="903"/>
      <c r="BD83" s="903"/>
      <c r="BE83" s="903"/>
      <c r="BF83" s="903"/>
      <c r="BG83" s="903"/>
      <c r="BH83" s="903"/>
      <c r="BI83" s="910"/>
      <c r="BJ83" s="910"/>
      <c r="BK83" s="903"/>
      <c r="BL83" s="903"/>
      <c r="BM83" s="910"/>
      <c r="BN83" s="910"/>
      <c r="BO83" s="935"/>
    </row>
    <row r="84" spans="25:67" ht="18.75" customHeight="1" x14ac:dyDescent="0.25">
      <c r="Y84" s="939" t="str">
        <f>$AC$62</f>
        <v>リノスフットボールクラブ　Ｕ－１２</v>
      </c>
      <c r="Z84" s="940"/>
      <c r="AA84" s="940"/>
      <c r="AB84" s="940"/>
      <c r="AC84" s="940"/>
      <c r="AD84" s="940" t="s">
        <v>242</v>
      </c>
      <c r="AE84" s="940"/>
      <c r="AF84" s="923" t="str">
        <f>IF(AF88="","",IF(AF88&gt;AI88,"○",IF(AF88&lt;AI88,"●",IF(AF86&gt;AI86,"△",IF(AF86&lt;AI86,"▲")))))</f>
        <v>△</v>
      </c>
      <c r="AG84" s="924"/>
      <c r="AH84" s="924"/>
      <c r="AI84" s="924"/>
      <c r="AJ84" s="925"/>
      <c r="AK84" s="942"/>
      <c r="AL84" s="942"/>
      <c r="AM84" s="942"/>
      <c r="AN84" s="942"/>
      <c r="AO84" s="942"/>
      <c r="AP84" s="923" t="str">
        <f>IF(AP88="","",IF(AP88&gt;AS88,"○",IF(AP88&lt;AS88,"●",IF(AP86&gt;AS86,"△",IF(AP86&lt;AS86,"▲")))))</f>
        <v>●</v>
      </c>
      <c r="AQ84" s="924"/>
      <c r="AR84" s="924"/>
      <c r="AS84" s="924"/>
      <c r="AT84" s="925"/>
      <c r="AU84" s="903">
        <f>COUNTIF($AF$84:$AT$85,"○")</f>
        <v>0</v>
      </c>
      <c r="AV84" s="903"/>
      <c r="AW84" s="903">
        <f>COUNTIF($AF$84:$AT$85,"△")</f>
        <v>1</v>
      </c>
      <c r="AX84" s="903"/>
      <c r="AY84" s="903">
        <f>COUNTIF($AF$84:$AT$85,"▲")</f>
        <v>0</v>
      </c>
      <c r="AZ84" s="903"/>
      <c r="BA84" s="903">
        <f>COUNTIF($AF$84:$AT$85,"●")</f>
        <v>1</v>
      </c>
      <c r="BB84" s="903"/>
      <c r="BC84" s="903">
        <f>SUM($AF$88,$AP$88)</f>
        <v>0</v>
      </c>
      <c r="BD84" s="903"/>
      <c r="BE84" s="903">
        <f>SUM($AI$88,$AS$88)</f>
        <v>2</v>
      </c>
      <c r="BF84" s="903"/>
      <c r="BG84" s="903">
        <f>($AU$84*3)+($AW$84*2)+($AY$84*1)</f>
        <v>2</v>
      </c>
      <c r="BH84" s="903"/>
      <c r="BI84" s="910">
        <f>RANK($BG$84,$BG$78:$BH$95)</f>
        <v>2</v>
      </c>
      <c r="BJ84" s="910"/>
      <c r="BK84" s="903">
        <f>$BC$84-$BE$84</f>
        <v>-2</v>
      </c>
      <c r="BL84" s="903"/>
      <c r="BM84" s="910">
        <f>RANK($BK$84,$BK$78:$BL$95)</f>
        <v>2</v>
      </c>
      <c r="BN84" s="910"/>
      <c r="BO84" s="912"/>
    </row>
    <row r="85" spans="25:67" ht="18.75" customHeight="1" x14ac:dyDescent="0.25">
      <c r="Y85" s="905"/>
      <c r="Z85" s="906"/>
      <c r="AA85" s="906"/>
      <c r="AB85" s="906"/>
      <c r="AC85" s="906"/>
      <c r="AD85" s="906"/>
      <c r="AE85" s="906"/>
      <c r="AF85" s="917"/>
      <c r="AG85" s="918"/>
      <c r="AH85" s="918"/>
      <c r="AI85" s="918"/>
      <c r="AJ85" s="920"/>
      <c r="AK85" s="930"/>
      <c r="AL85" s="930"/>
      <c r="AM85" s="930"/>
      <c r="AN85" s="930"/>
      <c r="AO85" s="930"/>
      <c r="AP85" s="917"/>
      <c r="AQ85" s="918"/>
      <c r="AR85" s="918"/>
      <c r="AS85" s="918"/>
      <c r="AT85" s="920"/>
      <c r="AU85" s="903"/>
      <c r="AV85" s="903"/>
      <c r="AW85" s="903"/>
      <c r="AX85" s="903"/>
      <c r="AY85" s="903"/>
      <c r="AZ85" s="903"/>
      <c r="BA85" s="903"/>
      <c r="BB85" s="903"/>
      <c r="BC85" s="903"/>
      <c r="BD85" s="903"/>
      <c r="BE85" s="903"/>
      <c r="BF85" s="903"/>
      <c r="BG85" s="903"/>
      <c r="BH85" s="903"/>
      <c r="BI85" s="910"/>
      <c r="BJ85" s="910"/>
      <c r="BK85" s="903"/>
      <c r="BL85" s="903"/>
      <c r="BM85" s="910"/>
      <c r="BN85" s="910"/>
      <c r="BO85" s="913"/>
    </row>
    <row r="86" spans="25:67" ht="19.5" customHeight="1" x14ac:dyDescent="0.25">
      <c r="Y86" s="905"/>
      <c r="Z86" s="906"/>
      <c r="AA86" s="906"/>
      <c r="AB86" s="906"/>
      <c r="AC86" s="906"/>
      <c r="AD86" s="906"/>
      <c r="AE86" s="906"/>
      <c r="AF86" s="915">
        <f>AN80</f>
        <v>4</v>
      </c>
      <c r="AG86" s="916"/>
      <c r="AH86" s="916" t="s">
        <v>2011</v>
      </c>
      <c r="AI86" s="916">
        <f>AK80</f>
        <v>3</v>
      </c>
      <c r="AJ86" s="919"/>
      <c r="AK86" s="930"/>
      <c r="AL86" s="930"/>
      <c r="AM86" s="930"/>
      <c r="AN86" s="930"/>
      <c r="AO86" s="930"/>
      <c r="AP86" s="915" t="str">
        <f>IF($Q$32="","",$Q$32)</f>
        <v/>
      </c>
      <c r="AQ86" s="916"/>
      <c r="AR86" s="916" t="s">
        <v>2011</v>
      </c>
      <c r="AS86" s="916" t="str">
        <f>IF($S$32="","",$S$32)</f>
        <v/>
      </c>
      <c r="AT86" s="919"/>
      <c r="AU86" s="903"/>
      <c r="AV86" s="903"/>
      <c r="AW86" s="903"/>
      <c r="AX86" s="903"/>
      <c r="AY86" s="903"/>
      <c r="AZ86" s="903"/>
      <c r="BA86" s="903"/>
      <c r="BB86" s="903"/>
      <c r="BC86" s="903"/>
      <c r="BD86" s="903"/>
      <c r="BE86" s="903"/>
      <c r="BF86" s="903"/>
      <c r="BG86" s="903"/>
      <c r="BH86" s="903"/>
      <c r="BI86" s="910"/>
      <c r="BJ86" s="910"/>
      <c r="BK86" s="903"/>
      <c r="BL86" s="903"/>
      <c r="BM86" s="910"/>
      <c r="BN86" s="910"/>
      <c r="BO86" s="913"/>
    </row>
    <row r="87" spans="25:67" ht="19.5" customHeight="1" x14ac:dyDescent="0.25">
      <c r="Y87" s="905"/>
      <c r="Z87" s="906"/>
      <c r="AA87" s="906"/>
      <c r="AB87" s="906"/>
      <c r="AC87" s="906"/>
      <c r="AD87" s="906" t="s">
        <v>2010</v>
      </c>
      <c r="AE87" s="906"/>
      <c r="AF87" s="917"/>
      <c r="AG87" s="918"/>
      <c r="AH87" s="918"/>
      <c r="AI87" s="918"/>
      <c r="AJ87" s="920"/>
      <c r="AK87" s="930"/>
      <c r="AL87" s="930"/>
      <c r="AM87" s="930"/>
      <c r="AN87" s="930"/>
      <c r="AO87" s="930"/>
      <c r="AP87" s="917"/>
      <c r="AQ87" s="918"/>
      <c r="AR87" s="918"/>
      <c r="AS87" s="918"/>
      <c r="AT87" s="920"/>
      <c r="AU87" s="903"/>
      <c r="AV87" s="903"/>
      <c r="AW87" s="903"/>
      <c r="AX87" s="903"/>
      <c r="AY87" s="903"/>
      <c r="AZ87" s="903"/>
      <c r="BA87" s="903"/>
      <c r="BB87" s="903"/>
      <c r="BC87" s="903"/>
      <c r="BD87" s="903"/>
      <c r="BE87" s="903"/>
      <c r="BF87" s="903"/>
      <c r="BG87" s="903"/>
      <c r="BH87" s="903"/>
      <c r="BI87" s="910"/>
      <c r="BJ87" s="910"/>
      <c r="BK87" s="903"/>
      <c r="BL87" s="903"/>
      <c r="BM87" s="910"/>
      <c r="BN87" s="910"/>
      <c r="BO87" s="913"/>
    </row>
    <row r="88" spans="25:67" ht="18.75" customHeight="1" x14ac:dyDescent="0.25">
      <c r="Y88" s="905"/>
      <c r="Z88" s="906"/>
      <c r="AA88" s="906"/>
      <c r="AB88" s="906"/>
      <c r="AC88" s="906"/>
      <c r="AD88" s="906"/>
      <c r="AE88" s="906"/>
      <c r="AF88" s="915">
        <f>AN82</f>
        <v>0</v>
      </c>
      <c r="AG88" s="916"/>
      <c r="AH88" s="916" t="s">
        <v>2011</v>
      </c>
      <c r="AI88" s="916">
        <f>AK82</f>
        <v>0</v>
      </c>
      <c r="AJ88" s="919"/>
      <c r="AK88" s="930"/>
      <c r="AL88" s="930"/>
      <c r="AM88" s="930"/>
      <c r="AN88" s="930"/>
      <c r="AO88" s="930"/>
      <c r="AP88" s="915">
        <f>$O$30</f>
        <v>0</v>
      </c>
      <c r="AQ88" s="916"/>
      <c r="AR88" s="916" t="s">
        <v>2011</v>
      </c>
      <c r="AS88" s="916">
        <f>$U$30</f>
        <v>2</v>
      </c>
      <c r="AT88" s="919"/>
      <c r="AU88" s="903"/>
      <c r="AV88" s="903"/>
      <c r="AW88" s="903"/>
      <c r="AX88" s="903"/>
      <c r="AY88" s="903"/>
      <c r="AZ88" s="903"/>
      <c r="BA88" s="903"/>
      <c r="BB88" s="903"/>
      <c r="BC88" s="903"/>
      <c r="BD88" s="903"/>
      <c r="BE88" s="903"/>
      <c r="BF88" s="903"/>
      <c r="BG88" s="903"/>
      <c r="BH88" s="903"/>
      <c r="BI88" s="910"/>
      <c r="BJ88" s="910"/>
      <c r="BK88" s="903"/>
      <c r="BL88" s="903"/>
      <c r="BM88" s="910"/>
      <c r="BN88" s="910"/>
      <c r="BO88" s="913"/>
    </row>
    <row r="89" spans="25:67" ht="18.75" customHeight="1" x14ac:dyDescent="0.25">
      <c r="Y89" s="941"/>
      <c r="Z89" s="936"/>
      <c r="AA89" s="936"/>
      <c r="AB89" s="936"/>
      <c r="AC89" s="936"/>
      <c r="AD89" s="936"/>
      <c r="AE89" s="936"/>
      <c r="AF89" s="937"/>
      <c r="AG89" s="560"/>
      <c r="AH89" s="560"/>
      <c r="AI89" s="560"/>
      <c r="AJ89" s="938"/>
      <c r="AK89" s="943"/>
      <c r="AL89" s="943"/>
      <c r="AM89" s="943"/>
      <c r="AN89" s="943"/>
      <c r="AO89" s="943"/>
      <c r="AP89" s="937"/>
      <c r="AQ89" s="560"/>
      <c r="AR89" s="560"/>
      <c r="AS89" s="560"/>
      <c r="AT89" s="938"/>
      <c r="AU89" s="903"/>
      <c r="AV89" s="903"/>
      <c r="AW89" s="903"/>
      <c r="AX89" s="903"/>
      <c r="AY89" s="903"/>
      <c r="AZ89" s="903"/>
      <c r="BA89" s="903"/>
      <c r="BB89" s="903"/>
      <c r="BC89" s="903"/>
      <c r="BD89" s="903"/>
      <c r="BE89" s="903"/>
      <c r="BF89" s="903"/>
      <c r="BG89" s="903"/>
      <c r="BH89" s="903"/>
      <c r="BI89" s="910"/>
      <c r="BJ89" s="910"/>
      <c r="BK89" s="903"/>
      <c r="BL89" s="903"/>
      <c r="BM89" s="910"/>
      <c r="BN89" s="910"/>
      <c r="BO89" s="935"/>
    </row>
    <row r="90" spans="25:67" ht="18.75" customHeight="1" x14ac:dyDescent="0.25">
      <c r="Y90" s="905" t="str">
        <f>$AC$64</f>
        <v>ＮＦＣ・ＯＩＴＡ　Ｕ１２</v>
      </c>
      <c r="Z90" s="906"/>
      <c r="AA90" s="906"/>
      <c r="AB90" s="906"/>
      <c r="AC90" s="906"/>
      <c r="AD90" s="906" t="s">
        <v>242</v>
      </c>
      <c r="AE90" s="906"/>
      <c r="AF90" s="923" t="str">
        <f>IF(AF94="","",IF(AF94&gt;AI94,"○",IF(AF94&lt;AI94,"●",IF(AF92&gt;AI92,"△",IF(AF92&lt;AI92,"▲")))))</f>
        <v>○</v>
      </c>
      <c r="AG90" s="924"/>
      <c r="AH90" s="924"/>
      <c r="AI90" s="924"/>
      <c r="AJ90" s="925"/>
      <c r="AK90" s="923" t="str">
        <f>IF(AK94="","",IF(AK94&gt;AN94,"○",IF(AK94&lt;AN94,"●",IF(AK92&gt;AN92,"△",IF(AK92&lt;AN92,"▲")))))</f>
        <v>○</v>
      </c>
      <c r="AL90" s="924"/>
      <c r="AM90" s="924"/>
      <c r="AN90" s="924"/>
      <c r="AO90" s="925"/>
      <c r="AP90" s="926"/>
      <c r="AQ90" s="927"/>
      <c r="AR90" s="927"/>
      <c r="AS90" s="927"/>
      <c r="AT90" s="928"/>
      <c r="AU90" s="903">
        <f>COUNTIF($AF$90:$AT$91,"○")</f>
        <v>2</v>
      </c>
      <c r="AV90" s="903"/>
      <c r="AW90" s="902">
        <f>COUNTIF($AF$90:$AT$91,"△")</f>
        <v>0</v>
      </c>
      <c r="AX90" s="902"/>
      <c r="AY90" s="902">
        <f>COUNTIF($AF$90:$AT$91,"▲")</f>
        <v>0</v>
      </c>
      <c r="AZ90" s="902"/>
      <c r="BA90" s="902">
        <f>COUNTIF($AF$90:$AT$91,"●")</f>
        <v>0</v>
      </c>
      <c r="BB90" s="902"/>
      <c r="BC90" s="902">
        <f>SUM($AF$94,$AK$94)</f>
        <v>10</v>
      </c>
      <c r="BD90" s="902"/>
      <c r="BE90" s="902">
        <f>SUM($AI$94,$AN$94)</f>
        <v>0</v>
      </c>
      <c r="BF90" s="902"/>
      <c r="BG90" s="902">
        <f>($AU$90*3)+($AW$90*2)+($AY$90*1)</f>
        <v>6</v>
      </c>
      <c r="BH90" s="902"/>
      <c r="BI90" s="909">
        <f>RANK($BG$90,$BG$78:$BH$95)</f>
        <v>1</v>
      </c>
      <c r="BJ90" s="909"/>
      <c r="BK90" s="902">
        <f>$BC$90-$BE$90</f>
        <v>10</v>
      </c>
      <c r="BL90" s="902"/>
      <c r="BM90" s="909">
        <f>RANK($BK$90,$BK$78:$BL$95)</f>
        <v>1</v>
      </c>
      <c r="BN90" s="909"/>
      <c r="BO90" s="912"/>
    </row>
    <row r="91" spans="25:67" ht="18.75" customHeight="1" x14ac:dyDescent="0.25">
      <c r="Y91" s="905"/>
      <c r="Z91" s="906"/>
      <c r="AA91" s="906"/>
      <c r="AB91" s="906"/>
      <c r="AC91" s="906"/>
      <c r="AD91" s="906"/>
      <c r="AE91" s="906"/>
      <c r="AF91" s="917"/>
      <c r="AG91" s="918"/>
      <c r="AH91" s="918"/>
      <c r="AI91" s="918"/>
      <c r="AJ91" s="920"/>
      <c r="AK91" s="917"/>
      <c r="AL91" s="918"/>
      <c r="AM91" s="918"/>
      <c r="AN91" s="918"/>
      <c r="AO91" s="920"/>
      <c r="AP91" s="929"/>
      <c r="AQ91" s="930"/>
      <c r="AR91" s="930"/>
      <c r="AS91" s="930"/>
      <c r="AT91" s="931"/>
      <c r="AU91" s="903"/>
      <c r="AV91" s="903"/>
      <c r="AW91" s="903"/>
      <c r="AX91" s="903"/>
      <c r="AY91" s="903"/>
      <c r="AZ91" s="903"/>
      <c r="BA91" s="903"/>
      <c r="BB91" s="903"/>
      <c r="BC91" s="903"/>
      <c r="BD91" s="903"/>
      <c r="BE91" s="903"/>
      <c r="BF91" s="903"/>
      <c r="BG91" s="903"/>
      <c r="BH91" s="903"/>
      <c r="BI91" s="910"/>
      <c r="BJ91" s="910"/>
      <c r="BK91" s="903"/>
      <c r="BL91" s="903"/>
      <c r="BM91" s="910"/>
      <c r="BN91" s="910"/>
      <c r="BO91" s="913"/>
    </row>
    <row r="92" spans="25:67" ht="18.75" customHeight="1" x14ac:dyDescent="0.25">
      <c r="Y92" s="905"/>
      <c r="Z92" s="906"/>
      <c r="AA92" s="906"/>
      <c r="AB92" s="906"/>
      <c r="AC92" s="906"/>
      <c r="AD92" s="906"/>
      <c r="AE92" s="906"/>
      <c r="AF92" s="915" t="str">
        <f>AS80</f>
        <v/>
      </c>
      <c r="AG92" s="916"/>
      <c r="AH92" s="916" t="s">
        <v>2011</v>
      </c>
      <c r="AI92" s="916" t="str">
        <f>AP80</f>
        <v/>
      </c>
      <c r="AJ92" s="919"/>
      <c r="AK92" s="915" t="str">
        <f>AS86</f>
        <v/>
      </c>
      <c r="AL92" s="916"/>
      <c r="AM92" s="916" t="s">
        <v>2011</v>
      </c>
      <c r="AN92" s="916" t="str">
        <f>AP86</f>
        <v/>
      </c>
      <c r="AO92" s="919"/>
      <c r="AP92" s="929"/>
      <c r="AQ92" s="930"/>
      <c r="AR92" s="930"/>
      <c r="AS92" s="930"/>
      <c r="AT92" s="931"/>
      <c r="AU92" s="903"/>
      <c r="AV92" s="903"/>
      <c r="AW92" s="903"/>
      <c r="AX92" s="903"/>
      <c r="AY92" s="903"/>
      <c r="AZ92" s="903"/>
      <c r="BA92" s="903"/>
      <c r="BB92" s="903"/>
      <c r="BC92" s="903"/>
      <c r="BD92" s="903"/>
      <c r="BE92" s="903"/>
      <c r="BF92" s="903"/>
      <c r="BG92" s="903"/>
      <c r="BH92" s="903"/>
      <c r="BI92" s="910"/>
      <c r="BJ92" s="910"/>
      <c r="BK92" s="903"/>
      <c r="BL92" s="903"/>
      <c r="BM92" s="910"/>
      <c r="BN92" s="910"/>
      <c r="BO92" s="913"/>
    </row>
    <row r="93" spans="25:67" ht="18.75" customHeight="1" x14ac:dyDescent="0.25">
      <c r="Y93" s="905"/>
      <c r="Z93" s="906"/>
      <c r="AA93" s="906"/>
      <c r="AB93" s="906"/>
      <c r="AC93" s="906"/>
      <c r="AD93" s="906" t="s">
        <v>2010</v>
      </c>
      <c r="AE93" s="906"/>
      <c r="AF93" s="917"/>
      <c r="AG93" s="918"/>
      <c r="AH93" s="918"/>
      <c r="AI93" s="918"/>
      <c r="AJ93" s="920"/>
      <c r="AK93" s="917"/>
      <c r="AL93" s="918"/>
      <c r="AM93" s="918"/>
      <c r="AN93" s="918"/>
      <c r="AO93" s="920"/>
      <c r="AP93" s="929"/>
      <c r="AQ93" s="930"/>
      <c r="AR93" s="930"/>
      <c r="AS93" s="930"/>
      <c r="AT93" s="931"/>
      <c r="AU93" s="903"/>
      <c r="AV93" s="903"/>
      <c r="AW93" s="903"/>
      <c r="AX93" s="903"/>
      <c r="AY93" s="903"/>
      <c r="AZ93" s="903"/>
      <c r="BA93" s="903"/>
      <c r="BB93" s="903"/>
      <c r="BC93" s="903"/>
      <c r="BD93" s="903"/>
      <c r="BE93" s="903"/>
      <c r="BF93" s="903"/>
      <c r="BG93" s="903"/>
      <c r="BH93" s="903"/>
      <c r="BI93" s="910"/>
      <c r="BJ93" s="910"/>
      <c r="BK93" s="903"/>
      <c r="BL93" s="903"/>
      <c r="BM93" s="910"/>
      <c r="BN93" s="910"/>
      <c r="BO93" s="913"/>
    </row>
    <row r="94" spans="25:67" ht="18.75" customHeight="1" x14ac:dyDescent="0.25">
      <c r="Y94" s="905"/>
      <c r="Z94" s="906"/>
      <c r="AA94" s="906"/>
      <c r="AB94" s="906"/>
      <c r="AC94" s="906"/>
      <c r="AD94" s="906"/>
      <c r="AE94" s="906"/>
      <c r="AF94" s="915">
        <f>AS82</f>
        <v>8</v>
      </c>
      <c r="AG94" s="916"/>
      <c r="AH94" s="916" t="s">
        <v>2011</v>
      </c>
      <c r="AI94" s="916">
        <f>AP82</f>
        <v>0</v>
      </c>
      <c r="AJ94" s="919"/>
      <c r="AK94" s="915">
        <f>AS88</f>
        <v>2</v>
      </c>
      <c r="AL94" s="916"/>
      <c r="AM94" s="916" t="s">
        <v>2011</v>
      </c>
      <c r="AN94" s="916">
        <f>AP88</f>
        <v>0</v>
      </c>
      <c r="AO94" s="919"/>
      <c r="AP94" s="929"/>
      <c r="AQ94" s="930"/>
      <c r="AR94" s="930"/>
      <c r="AS94" s="930"/>
      <c r="AT94" s="931"/>
      <c r="AU94" s="903"/>
      <c r="AV94" s="903"/>
      <c r="AW94" s="903"/>
      <c r="AX94" s="903"/>
      <c r="AY94" s="903"/>
      <c r="AZ94" s="903"/>
      <c r="BA94" s="903"/>
      <c r="BB94" s="903"/>
      <c r="BC94" s="903"/>
      <c r="BD94" s="903"/>
      <c r="BE94" s="903"/>
      <c r="BF94" s="903"/>
      <c r="BG94" s="903"/>
      <c r="BH94" s="903"/>
      <c r="BI94" s="910"/>
      <c r="BJ94" s="910"/>
      <c r="BK94" s="903"/>
      <c r="BL94" s="903"/>
      <c r="BM94" s="910"/>
      <c r="BN94" s="910"/>
      <c r="BO94" s="913"/>
    </row>
    <row r="95" spans="25:67" ht="19.5" customHeight="1" x14ac:dyDescent="0.25">
      <c r="Y95" s="907"/>
      <c r="Z95" s="908"/>
      <c r="AA95" s="908"/>
      <c r="AB95" s="908"/>
      <c r="AC95" s="908"/>
      <c r="AD95" s="908"/>
      <c r="AE95" s="908"/>
      <c r="AF95" s="921"/>
      <c r="AG95" s="565"/>
      <c r="AH95" s="565"/>
      <c r="AI95" s="565"/>
      <c r="AJ95" s="922"/>
      <c r="AK95" s="921"/>
      <c r="AL95" s="565"/>
      <c r="AM95" s="565"/>
      <c r="AN95" s="565"/>
      <c r="AO95" s="922"/>
      <c r="AP95" s="932"/>
      <c r="AQ95" s="933"/>
      <c r="AR95" s="933"/>
      <c r="AS95" s="933"/>
      <c r="AT95" s="934"/>
      <c r="AU95" s="904"/>
      <c r="AV95" s="904"/>
      <c r="AW95" s="904"/>
      <c r="AX95" s="904"/>
      <c r="AY95" s="904"/>
      <c r="AZ95" s="904"/>
      <c r="BA95" s="904"/>
      <c r="BB95" s="904"/>
      <c r="BC95" s="904"/>
      <c r="BD95" s="904"/>
      <c r="BE95" s="904"/>
      <c r="BF95" s="904"/>
      <c r="BG95" s="904"/>
      <c r="BH95" s="904"/>
      <c r="BI95" s="911"/>
      <c r="BJ95" s="911"/>
      <c r="BK95" s="904"/>
      <c r="BL95" s="904"/>
      <c r="BM95" s="911"/>
      <c r="BN95" s="911"/>
      <c r="BO95" s="914"/>
    </row>
    <row r="97" spans="25:58" x14ac:dyDescent="0.25">
      <c r="Y97" s="891" t="s">
        <v>2125</v>
      </c>
      <c r="Z97" s="891"/>
      <c r="AA97" s="891"/>
      <c r="AB97" s="891"/>
      <c r="AC97" s="891"/>
      <c r="AD97" s="891"/>
      <c r="AE97" s="891"/>
      <c r="AF97" s="891"/>
      <c r="AG97" s="891"/>
      <c r="AH97" s="891"/>
      <c r="AI97" s="891"/>
      <c r="AJ97" s="891"/>
      <c r="AK97" s="891"/>
      <c r="AL97" s="891"/>
      <c r="AM97" s="891"/>
      <c r="AN97" s="891"/>
      <c r="AO97" s="891"/>
      <c r="AP97" s="891"/>
      <c r="AQ97" s="891"/>
      <c r="AR97" s="891"/>
      <c r="AS97" s="891"/>
      <c r="AT97" s="891"/>
      <c r="AU97" s="891"/>
      <c r="AV97" s="891"/>
      <c r="AW97" s="891"/>
      <c r="AX97" s="891"/>
      <c r="AY97" s="891"/>
      <c r="AZ97" s="891"/>
      <c r="BA97" s="891"/>
      <c r="BB97" s="891"/>
      <c r="BC97" s="891"/>
      <c r="BD97" s="891"/>
      <c r="BE97" s="891"/>
      <c r="BF97" s="891"/>
    </row>
    <row r="98" spans="25:58" x14ac:dyDescent="0.25">
      <c r="Y98" s="891"/>
      <c r="Z98" s="891"/>
      <c r="AA98" s="891"/>
      <c r="AB98" s="891"/>
      <c r="AC98" s="891"/>
      <c r="AD98" s="891"/>
      <c r="AE98" s="891"/>
      <c r="AF98" s="891"/>
      <c r="AG98" s="891"/>
      <c r="AH98" s="891"/>
      <c r="AI98" s="891"/>
      <c r="AJ98" s="891"/>
      <c r="AK98" s="891"/>
      <c r="AL98" s="891"/>
      <c r="AM98" s="891"/>
      <c r="AN98" s="891"/>
      <c r="AO98" s="891"/>
      <c r="AP98" s="891"/>
      <c r="AQ98" s="891"/>
      <c r="AR98" s="891"/>
      <c r="AS98" s="891"/>
      <c r="AT98" s="891"/>
      <c r="AU98" s="891"/>
      <c r="AV98" s="891"/>
      <c r="AW98" s="891"/>
      <c r="AX98" s="891"/>
      <c r="AY98" s="891"/>
      <c r="AZ98" s="891"/>
      <c r="BA98" s="891"/>
      <c r="BB98" s="891"/>
      <c r="BC98" s="891"/>
      <c r="BD98" s="891"/>
      <c r="BE98" s="891"/>
      <c r="BF98" s="891"/>
    </row>
    <row r="99" spans="25:58" x14ac:dyDescent="0.25">
      <c r="Y99" s="892" t="s">
        <v>2013</v>
      </c>
      <c r="Z99" s="893"/>
      <c r="AA99" s="896" t="s">
        <v>159</v>
      </c>
      <c r="AB99" s="232" t="s">
        <v>408</v>
      </c>
      <c r="AC99" s="231"/>
      <c r="AD99" s="898" t="s">
        <v>2060</v>
      </c>
      <c r="AE99" s="232" t="s">
        <v>2015</v>
      </c>
      <c r="AF99" s="231"/>
      <c r="AG99" s="898" t="s">
        <v>1208</v>
      </c>
      <c r="AH99" s="232" t="s">
        <v>2126</v>
      </c>
      <c r="AI99" s="231"/>
      <c r="AJ99" s="900" t="s">
        <v>1727</v>
      </c>
      <c r="AK99" s="234" t="s">
        <v>2016</v>
      </c>
    </row>
    <row r="100" spans="25:58" x14ac:dyDescent="0.25">
      <c r="Y100" s="894"/>
      <c r="Z100" s="895"/>
      <c r="AA100" s="897"/>
      <c r="AB100" s="233">
        <v>3</v>
      </c>
      <c r="AC100" s="230"/>
      <c r="AD100" s="899"/>
      <c r="AE100" s="233">
        <v>2</v>
      </c>
      <c r="AF100" s="230"/>
      <c r="AG100" s="899"/>
      <c r="AH100" s="233">
        <v>1</v>
      </c>
      <c r="AI100" s="230"/>
      <c r="AJ100" s="901"/>
      <c r="AK100" s="235">
        <v>0</v>
      </c>
    </row>
  </sheetData>
  <mergeCells count="441">
    <mergeCell ref="A1:I1"/>
    <mergeCell ref="J1:K1"/>
    <mergeCell ref="M1:U1"/>
    <mergeCell ref="V1:W1"/>
    <mergeCell ref="Y1:BG1"/>
    <mergeCell ref="BI1:BO1"/>
    <mergeCell ref="A2:K2"/>
    <mergeCell ref="M2:W2"/>
    <mergeCell ref="Y2:BG2"/>
    <mergeCell ref="D4:K4"/>
    <mergeCell ref="P4:W4"/>
    <mergeCell ref="Y4:AA4"/>
    <mergeCell ref="AB4:AG4"/>
    <mergeCell ref="AI4:AW4"/>
    <mergeCell ref="Y6:AA6"/>
    <mergeCell ref="AB6:AG6"/>
    <mergeCell ref="C7:I7"/>
    <mergeCell ref="J7:K7"/>
    <mergeCell ref="O7:U7"/>
    <mergeCell ref="V7:W7"/>
    <mergeCell ref="Z7:AB7"/>
    <mergeCell ref="AC7:AO7"/>
    <mergeCell ref="AP7:AS7"/>
    <mergeCell ref="C8:I8"/>
    <mergeCell ref="J8:K8"/>
    <mergeCell ref="O8:U8"/>
    <mergeCell ref="V8:W8"/>
    <mergeCell ref="Z8:AB8"/>
    <mergeCell ref="AC8:AO8"/>
    <mergeCell ref="AP8:AS8"/>
    <mergeCell ref="C9:I9"/>
    <mergeCell ref="J9:K9"/>
    <mergeCell ref="O9:U9"/>
    <mergeCell ref="V9:W9"/>
    <mergeCell ref="Z9:AB9"/>
    <mergeCell ref="AC9:AO9"/>
    <mergeCell ref="AP9:AS9"/>
    <mergeCell ref="B15:F15"/>
    <mergeCell ref="G15:I15"/>
    <mergeCell ref="J15:K15"/>
    <mergeCell ref="N15:R15"/>
    <mergeCell ref="S15:U15"/>
    <mergeCell ref="V15:W15"/>
    <mergeCell ref="B16:F16"/>
    <mergeCell ref="G16:I16"/>
    <mergeCell ref="J16:K16"/>
    <mergeCell ref="N16:R16"/>
    <mergeCell ref="S16:U16"/>
    <mergeCell ref="V16:W16"/>
    <mergeCell ref="B17:F17"/>
    <mergeCell ref="G17:I17"/>
    <mergeCell ref="J17:K17"/>
    <mergeCell ref="N17:R17"/>
    <mergeCell ref="S17:U17"/>
    <mergeCell ref="V17:W17"/>
    <mergeCell ref="E18:F18"/>
    <mergeCell ref="G18:I18"/>
    <mergeCell ref="J18:K18"/>
    <mergeCell ref="Q18:R18"/>
    <mergeCell ref="S18:U18"/>
    <mergeCell ref="V18:W18"/>
    <mergeCell ref="E19:F19"/>
    <mergeCell ref="G19:I19"/>
    <mergeCell ref="J19:K19"/>
    <mergeCell ref="Q19:R19"/>
    <mergeCell ref="S19:U19"/>
    <mergeCell ref="V19:W19"/>
    <mergeCell ref="E20:F20"/>
    <mergeCell ref="G20:I20"/>
    <mergeCell ref="J20:K20"/>
    <mergeCell ref="Q20:R20"/>
    <mergeCell ref="S20:U20"/>
    <mergeCell ref="V20:W20"/>
    <mergeCell ref="E21:F21"/>
    <mergeCell ref="G21:I21"/>
    <mergeCell ref="J21:K21"/>
    <mergeCell ref="Q21:R21"/>
    <mergeCell ref="S21:U21"/>
    <mergeCell ref="V21:W21"/>
    <mergeCell ref="B33:F33"/>
    <mergeCell ref="G33:I33"/>
    <mergeCell ref="J33:K33"/>
    <mergeCell ref="N33:R33"/>
    <mergeCell ref="S33:U33"/>
    <mergeCell ref="V33:W33"/>
    <mergeCell ref="H30:H32"/>
    <mergeCell ref="I30:I32"/>
    <mergeCell ref="J30:J32"/>
    <mergeCell ref="M30:M32"/>
    <mergeCell ref="N30:N32"/>
    <mergeCell ref="O30:O32"/>
    <mergeCell ref="P30:P32"/>
    <mergeCell ref="T30:T32"/>
    <mergeCell ref="U30:U32"/>
    <mergeCell ref="V30:V32"/>
    <mergeCell ref="B34:F34"/>
    <mergeCell ref="G34:I34"/>
    <mergeCell ref="J34:K34"/>
    <mergeCell ref="N34:R34"/>
    <mergeCell ref="S34:U34"/>
    <mergeCell ref="V34:W34"/>
    <mergeCell ref="B35:F35"/>
    <mergeCell ref="G35:I35"/>
    <mergeCell ref="J35:K35"/>
    <mergeCell ref="N35:R35"/>
    <mergeCell ref="S35:U35"/>
    <mergeCell ref="V35:W35"/>
    <mergeCell ref="E36:F36"/>
    <mergeCell ref="G36:I36"/>
    <mergeCell ref="J36:K36"/>
    <mergeCell ref="Q36:R36"/>
    <mergeCell ref="S36:U36"/>
    <mergeCell ref="V36:W36"/>
    <mergeCell ref="E37:F37"/>
    <mergeCell ref="G37:I37"/>
    <mergeCell ref="J37:K37"/>
    <mergeCell ref="Q37:R37"/>
    <mergeCell ref="S37:U37"/>
    <mergeCell ref="V37:W37"/>
    <mergeCell ref="E38:F38"/>
    <mergeCell ref="G38:I38"/>
    <mergeCell ref="J38:K38"/>
    <mergeCell ref="Q38:R38"/>
    <mergeCell ref="S38:U38"/>
    <mergeCell ref="V38:W38"/>
    <mergeCell ref="E39:F39"/>
    <mergeCell ref="G39:I39"/>
    <mergeCell ref="J39:K39"/>
    <mergeCell ref="Q39:R39"/>
    <mergeCell ref="S39:U39"/>
    <mergeCell ref="V39:W39"/>
    <mergeCell ref="B51:F51"/>
    <mergeCell ref="G51:I51"/>
    <mergeCell ref="J51:K51"/>
    <mergeCell ref="N51:R51"/>
    <mergeCell ref="S51:U51"/>
    <mergeCell ref="V51:W51"/>
    <mergeCell ref="B52:F52"/>
    <mergeCell ref="G52:I52"/>
    <mergeCell ref="J52:K52"/>
    <mergeCell ref="N52:R52"/>
    <mergeCell ref="S52:U52"/>
    <mergeCell ref="V52:W52"/>
    <mergeCell ref="B53:F53"/>
    <mergeCell ref="G53:I53"/>
    <mergeCell ref="J53:K53"/>
    <mergeCell ref="N53:R53"/>
    <mergeCell ref="S53:U53"/>
    <mergeCell ref="V53:W53"/>
    <mergeCell ref="E54:F54"/>
    <mergeCell ref="G54:I54"/>
    <mergeCell ref="J54:K54"/>
    <mergeCell ref="Q54:R54"/>
    <mergeCell ref="S54:U54"/>
    <mergeCell ref="V54:W54"/>
    <mergeCell ref="E55:F55"/>
    <mergeCell ref="G55:I55"/>
    <mergeCell ref="J55:K55"/>
    <mergeCell ref="Q55:R55"/>
    <mergeCell ref="S55:U55"/>
    <mergeCell ref="V55:W55"/>
    <mergeCell ref="E56:F56"/>
    <mergeCell ref="G56:I56"/>
    <mergeCell ref="J56:K56"/>
    <mergeCell ref="Q56:R56"/>
    <mergeCell ref="S56:U56"/>
    <mergeCell ref="V56:W56"/>
    <mergeCell ref="E57:F57"/>
    <mergeCell ref="G57:I57"/>
    <mergeCell ref="J57:K57"/>
    <mergeCell ref="Q57:R57"/>
    <mergeCell ref="S57:U57"/>
    <mergeCell ref="V57:W57"/>
    <mergeCell ref="A12:A14"/>
    <mergeCell ref="B12:B14"/>
    <mergeCell ref="C12:C14"/>
    <mergeCell ref="D12:D14"/>
    <mergeCell ref="H12:H14"/>
    <mergeCell ref="I12:I14"/>
    <mergeCell ref="J12:J14"/>
    <mergeCell ref="M12:M14"/>
    <mergeCell ref="N12:N14"/>
    <mergeCell ref="O12:O14"/>
    <mergeCell ref="P12:P14"/>
    <mergeCell ref="T12:T14"/>
    <mergeCell ref="U12:U14"/>
    <mergeCell ref="V12:V14"/>
    <mergeCell ref="A30:A32"/>
    <mergeCell ref="B30:B32"/>
    <mergeCell ref="C30:C32"/>
    <mergeCell ref="D30:D32"/>
    <mergeCell ref="Y15:AB20"/>
    <mergeCell ref="AC15:AE20"/>
    <mergeCell ref="AF15:AJ20"/>
    <mergeCell ref="AK15:AO20"/>
    <mergeCell ref="AP15:AT20"/>
    <mergeCell ref="AU15:AV20"/>
    <mergeCell ref="AW15:AX20"/>
    <mergeCell ref="AY15:AZ20"/>
    <mergeCell ref="BA15:BB20"/>
    <mergeCell ref="BC15:BD20"/>
    <mergeCell ref="BE15:BF20"/>
    <mergeCell ref="BG15:BH20"/>
    <mergeCell ref="BI15:BJ20"/>
    <mergeCell ref="BK15:BL20"/>
    <mergeCell ref="BM15:BN20"/>
    <mergeCell ref="BO15:BO20"/>
    <mergeCell ref="Y21:AC26"/>
    <mergeCell ref="AD21:AE23"/>
    <mergeCell ref="AF21:AJ26"/>
    <mergeCell ref="AK21:AO22"/>
    <mergeCell ref="AP21:AT22"/>
    <mergeCell ref="AU21:AV26"/>
    <mergeCell ref="AW21:AX26"/>
    <mergeCell ref="AY21:AZ26"/>
    <mergeCell ref="BA21:BB26"/>
    <mergeCell ref="BC21:BD26"/>
    <mergeCell ref="BE21:BF26"/>
    <mergeCell ref="BG21:BH26"/>
    <mergeCell ref="BI21:BJ26"/>
    <mergeCell ref="BK21:BL26"/>
    <mergeCell ref="BM21:BN26"/>
    <mergeCell ref="BO21:BO26"/>
    <mergeCell ref="AK23:AL24"/>
    <mergeCell ref="AM23:AM24"/>
    <mergeCell ref="AN23:AO24"/>
    <mergeCell ref="AP23:AQ24"/>
    <mergeCell ref="AR23:AR24"/>
    <mergeCell ref="AS23:AT24"/>
    <mergeCell ref="AD24:AE26"/>
    <mergeCell ref="AK25:AL26"/>
    <mergeCell ref="AM25:AM26"/>
    <mergeCell ref="AN25:AO26"/>
    <mergeCell ref="AP25:AQ26"/>
    <mergeCell ref="AR25:AR26"/>
    <mergeCell ref="AS25:AT26"/>
    <mergeCell ref="Y27:AC32"/>
    <mergeCell ref="AD27:AE29"/>
    <mergeCell ref="AF27:AJ28"/>
    <mergeCell ref="AK27:AO32"/>
    <mergeCell ref="AP27:AT28"/>
    <mergeCell ref="AU27:AV32"/>
    <mergeCell ref="AW27:AX32"/>
    <mergeCell ref="AY27:AZ32"/>
    <mergeCell ref="BA27:BB32"/>
    <mergeCell ref="AD30:AE32"/>
    <mergeCell ref="BC27:BD32"/>
    <mergeCell ref="BE27:BF32"/>
    <mergeCell ref="BG27:BH32"/>
    <mergeCell ref="BI27:BJ32"/>
    <mergeCell ref="BK27:BL32"/>
    <mergeCell ref="BM27:BN32"/>
    <mergeCell ref="BO27:BO32"/>
    <mergeCell ref="AF29:AG30"/>
    <mergeCell ref="AH29:AH30"/>
    <mergeCell ref="AI29:AJ30"/>
    <mergeCell ref="AP29:AQ30"/>
    <mergeCell ref="AR29:AR30"/>
    <mergeCell ref="AS29:AT30"/>
    <mergeCell ref="AF31:AG32"/>
    <mergeCell ref="AH31:AH32"/>
    <mergeCell ref="AI31:AJ32"/>
    <mergeCell ref="AP31:AQ32"/>
    <mergeCell ref="AR31:AR32"/>
    <mergeCell ref="AS31:AT32"/>
    <mergeCell ref="Y33:AC38"/>
    <mergeCell ref="AD33:AE35"/>
    <mergeCell ref="AF33:AJ34"/>
    <mergeCell ref="AK33:AO34"/>
    <mergeCell ref="AP33:AT38"/>
    <mergeCell ref="AU33:AV38"/>
    <mergeCell ref="AW33:AX38"/>
    <mergeCell ref="AY33:AZ38"/>
    <mergeCell ref="BA33:BB38"/>
    <mergeCell ref="AD36:AE38"/>
    <mergeCell ref="BC33:BD38"/>
    <mergeCell ref="BE33:BF38"/>
    <mergeCell ref="BG33:BH38"/>
    <mergeCell ref="BI33:BJ38"/>
    <mergeCell ref="BK33:BL38"/>
    <mergeCell ref="BM33:BN38"/>
    <mergeCell ref="BO33:BO38"/>
    <mergeCell ref="AF35:AG36"/>
    <mergeCell ref="AH35:AH36"/>
    <mergeCell ref="AI35:AJ36"/>
    <mergeCell ref="AK35:AL36"/>
    <mergeCell ref="AM35:AM36"/>
    <mergeCell ref="AN35:AO36"/>
    <mergeCell ref="AF37:AG38"/>
    <mergeCell ref="AH37:AH38"/>
    <mergeCell ref="AI37:AJ38"/>
    <mergeCell ref="AK37:AL38"/>
    <mergeCell ref="AM37:AM38"/>
    <mergeCell ref="AN37:AO38"/>
    <mergeCell ref="Y40:BF41"/>
    <mergeCell ref="Y42:Z43"/>
    <mergeCell ref="AA42:AA43"/>
    <mergeCell ref="AD42:AD43"/>
    <mergeCell ref="AG42:AG43"/>
    <mergeCell ref="AJ42:AJ43"/>
    <mergeCell ref="A48:A50"/>
    <mergeCell ref="B48:B50"/>
    <mergeCell ref="C48:C50"/>
    <mergeCell ref="D48:D50"/>
    <mergeCell ref="H48:H50"/>
    <mergeCell ref="I48:I50"/>
    <mergeCell ref="J48:J50"/>
    <mergeCell ref="M48:M50"/>
    <mergeCell ref="N48:N50"/>
    <mergeCell ref="O48:O50"/>
    <mergeCell ref="P48:P50"/>
    <mergeCell ref="T48:T50"/>
    <mergeCell ref="U48:U50"/>
    <mergeCell ref="V48:V50"/>
    <mergeCell ref="Y48:BG49"/>
    <mergeCell ref="BI48:BO49"/>
    <mergeCell ref="Y50:BG51"/>
    <mergeCell ref="Y54:AA55"/>
    <mergeCell ref="AB54:AG55"/>
    <mergeCell ref="AH54:AH55"/>
    <mergeCell ref="AI54:AW55"/>
    <mergeCell ref="Y58:AA59"/>
    <mergeCell ref="AB58:AG59"/>
    <mergeCell ref="Z60:AB61"/>
    <mergeCell ref="AC60:AO61"/>
    <mergeCell ref="AP60:AS61"/>
    <mergeCell ref="Z62:AB63"/>
    <mergeCell ref="AC62:AO63"/>
    <mergeCell ref="AP62:AS63"/>
    <mergeCell ref="Z64:AB65"/>
    <mergeCell ref="AC64:AO65"/>
    <mergeCell ref="AP64:AS65"/>
    <mergeCell ref="Y72:AB77"/>
    <mergeCell ref="AC72:AE77"/>
    <mergeCell ref="AF72:AJ77"/>
    <mergeCell ref="AK72:AO77"/>
    <mergeCell ref="AP72:AT77"/>
    <mergeCell ref="AU72:AV77"/>
    <mergeCell ref="AW72:AX77"/>
    <mergeCell ref="AY72:AZ77"/>
    <mergeCell ref="BA72:BB77"/>
    <mergeCell ref="BC72:BD77"/>
    <mergeCell ref="BE72:BF77"/>
    <mergeCell ref="BG72:BH77"/>
    <mergeCell ref="BI72:BJ77"/>
    <mergeCell ref="BK72:BL77"/>
    <mergeCell ref="BM72:BN77"/>
    <mergeCell ref="BO72:BO77"/>
    <mergeCell ref="Y78:AC83"/>
    <mergeCell ref="AD78:AE80"/>
    <mergeCell ref="AF78:AJ83"/>
    <mergeCell ref="AK78:AO79"/>
    <mergeCell ref="AP78:AT79"/>
    <mergeCell ref="AU78:AV83"/>
    <mergeCell ref="AW78:AX83"/>
    <mergeCell ref="AY78:AZ83"/>
    <mergeCell ref="BA78:BB83"/>
    <mergeCell ref="BC78:BD83"/>
    <mergeCell ref="BE78:BF83"/>
    <mergeCell ref="BG78:BH83"/>
    <mergeCell ref="BI78:BJ83"/>
    <mergeCell ref="BK78:BL83"/>
    <mergeCell ref="BM78:BN83"/>
    <mergeCell ref="BO78:BO83"/>
    <mergeCell ref="AK80:AL81"/>
    <mergeCell ref="AM80:AM81"/>
    <mergeCell ref="AN80:AO81"/>
    <mergeCell ref="AP80:AQ81"/>
    <mergeCell ref="AR80:AR81"/>
    <mergeCell ref="AS80:AT81"/>
    <mergeCell ref="AD81:AE83"/>
    <mergeCell ref="AK82:AL83"/>
    <mergeCell ref="AM82:AM83"/>
    <mergeCell ref="AN82:AO83"/>
    <mergeCell ref="AP82:AQ83"/>
    <mergeCell ref="AR82:AR83"/>
    <mergeCell ref="AS82:AT83"/>
    <mergeCell ref="Y84:AC89"/>
    <mergeCell ref="AD84:AE86"/>
    <mergeCell ref="AF84:AJ85"/>
    <mergeCell ref="AK84:AO89"/>
    <mergeCell ref="AP84:AT85"/>
    <mergeCell ref="BM84:BN89"/>
    <mergeCell ref="BO84:BO89"/>
    <mergeCell ref="AF86:AG87"/>
    <mergeCell ref="AH86:AH87"/>
    <mergeCell ref="AI86:AJ87"/>
    <mergeCell ref="AP86:AQ87"/>
    <mergeCell ref="AR86:AR87"/>
    <mergeCell ref="AS86:AT87"/>
    <mergeCell ref="AD87:AE89"/>
    <mergeCell ref="AF88:AG89"/>
    <mergeCell ref="AH88:AH89"/>
    <mergeCell ref="AI88:AJ89"/>
    <mergeCell ref="AP88:AQ89"/>
    <mergeCell ref="AR88:AR89"/>
    <mergeCell ref="AS88:AT89"/>
    <mergeCell ref="AU84:AV89"/>
    <mergeCell ref="AW84:AX89"/>
    <mergeCell ref="AY84:AZ89"/>
    <mergeCell ref="BA84:BB89"/>
    <mergeCell ref="BC84:BD89"/>
    <mergeCell ref="BE84:BF89"/>
    <mergeCell ref="BG84:BH89"/>
    <mergeCell ref="BI84:BJ89"/>
    <mergeCell ref="BK84:BL89"/>
    <mergeCell ref="BI90:BJ95"/>
    <mergeCell ref="BK90:BL95"/>
    <mergeCell ref="BM90:BN95"/>
    <mergeCell ref="BO90:BO95"/>
    <mergeCell ref="AF92:AG93"/>
    <mergeCell ref="AH92:AH93"/>
    <mergeCell ref="AI92:AJ93"/>
    <mergeCell ref="AK92:AL93"/>
    <mergeCell ref="AM92:AM93"/>
    <mergeCell ref="AN92:AO93"/>
    <mergeCell ref="AF94:AG95"/>
    <mergeCell ref="AH94:AH95"/>
    <mergeCell ref="AI94:AJ95"/>
    <mergeCell ref="AK94:AL95"/>
    <mergeCell ref="AM94:AM95"/>
    <mergeCell ref="AN94:AO95"/>
    <mergeCell ref="AF90:AJ91"/>
    <mergeCell ref="AK90:AO91"/>
    <mergeCell ref="AP90:AT95"/>
    <mergeCell ref="AU90:AV95"/>
    <mergeCell ref="AW90:AX95"/>
    <mergeCell ref="AY90:AZ95"/>
    <mergeCell ref="BA90:BB95"/>
    <mergeCell ref="Y97:BF98"/>
    <mergeCell ref="Y99:Z100"/>
    <mergeCell ref="AA99:AA100"/>
    <mergeCell ref="AD99:AD100"/>
    <mergeCell ref="AG99:AG100"/>
    <mergeCell ref="AJ99:AJ100"/>
    <mergeCell ref="BC90:BD95"/>
    <mergeCell ref="BE90:BF95"/>
    <mergeCell ref="BG90:BH95"/>
    <mergeCell ref="Y90:AC95"/>
    <mergeCell ref="AD90:AE92"/>
    <mergeCell ref="AD93:AE95"/>
  </mergeCells>
  <phoneticPr fontId="29"/>
  <printOptions horizontalCentered="1" verticalCentered="1"/>
  <pageMargins left="0" right="0" top="0" bottom="0" header="0.51181102362204722" footer="0.51181102362204722"/>
  <pageSetup paperSize="9" scale="42" orientation="landscape" r:id="rId1"/>
  <headerFooter alignWithMargins="0"/>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00000000-0002-0000-1500-000000000000}">
          <x14:formula1>
            <xm:f>審判員!$G$1:$G$3</xm:f>
          </x14:formula1>
          <xm:sqref>A23:A27 K23:K27 A41:A45 K41:K45 A59:A63 K59:K63 M23:M27 W41:W45 W59:W63 M59:M63 W23:W27 M41:M45</xm:sqref>
        </x14:dataValidation>
        <x14:dataValidation type="list" allowBlank="1" showInputMessage="1" showErrorMessage="1" xr:uid="{00000000-0002-0000-1500-000001000000}">
          <x14:formula1>
            <xm:f>審判員!$I$1:$I$17</xm:f>
          </x14:formula1>
          <xm:sqref>E23:E27 E41:E45 E59:E63 G23:G27 G41:G45 G59:G63 Q23:Q27 Q41:Q45 Q59:Q63 S23:S27 S41:S45 S59:S63</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0000"/>
  </sheetPr>
  <dimension ref="A1:I1652"/>
  <sheetViews>
    <sheetView workbookViewId="0">
      <selection activeCell="I16" sqref="I16"/>
    </sheetView>
  </sheetViews>
  <sheetFormatPr defaultColWidth="25.46484375" defaultRowHeight="10.5" x14ac:dyDescent="0.25"/>
  <cols>
    <col min="1" max="1" width="38.86328125" style="247" customWidth="1"/>
    <col min="2" max="4" width="9" style="238"/>
    <col min="5" max="9" width="9" style="380"/>
    <col min="10" max="16384" width="25.46484375" style="247"/>
  </cols>
  <sheetData>
    <row r="1" spans="1:9" x14ac:dyDescent="0.25">
      <c r="A1" s="239" t="str">
        <f t="shared" ref="A1:A64" si="0">CONCATENATE(B1,"_",C1)</f>
        <v>大会参加チーム名_背番号</v>
      </c>
      <c r="B1" s="238" t="s">
        <v>1475</v>
      </c>
      <c r="C1" s="238" t="s">
        <v>90</v>
      </c>
      <c r="D1" s="238" t="s">
        <v>267</v>
      </c>
      <c r="E1" s="380" t="s">
        <v>1994</v>
      </c>
      <c r="F1" s="380" t="s">
        <v>706</v>
      </c>
      <c r="G1" s="380" t="s">
        <v>138</v>
      </c>
      <c r="H1" s="380" t="s">
        <v>1477</v>
      </c>
      <c r="I1" s="380" t="s">
        <v>2873</v>
      </c>
    </row>
    <row r="2" spans="1:9" x14ac:dyDescent="0.25">
      <c r="A2" s="247" t="str">
        <f t="shared" si="0"/>
        <v>ＭＦＣ三花少年サッカー教室_1</v>
      </c>
      <c r="B2" s="238" t="s">
        <v>2469</v>
      </c>
      <c r="C2" s="238" t="str">
        <f>("1")</f>
        <v>1</v>
      </c>
      <c r="D2" s="238" t="s">
        <v>796</v>
      </c>
      <c r="E2" s="380" t="s">
        <v>7932</v>
      </c>
      <c r="F2" s="380" t="s">
        <v>14401</v>
      </c>
      <c r="G2" s="380">
        <v>5</v>
      </c>
      <c r="H2" s="380" t="s">
        <v>1478</v>
      </c>
    </row>
    <row r="3" spans="1:9" x14ac:dyDescent="0.25">
      <c r="A3" s="247" t="str">
        <f t="shared" si="0"/>
        <v>ＭＦＣ三花少年サッカー教室_2</v>
      </c>
      <c r="B3" s="238" t="s">
        <v>2469</v>
      </c>
      <c r="C3" s="238" t="str">
        <f>("2")</f>
        <v>2</v>
      </c>
      <c r="D3" s="238" t="s">
        <v>796</v>
      </c>
      <c r="E3" s="380" t="s">
        <v>5627</v>
      </c>
      <c r="F3" s="380" t="s">
        <v>6298</v>
      </c>
      <c r="G3" s="380">
        <v>5</v>
      </c>
      <c r="H3" s="380" t="s">
        <v>1478</v>
      </c>
    </row>
    <row r="4" spans="1:9" x14ac:dyDescent="0.25">
      <c r="A4" s="247" t="str">
        <f t="shared" si="0"/>
        <v>ＭＦＣ三花少年サッカー教室_3</v>
      </c>
      <c r="B4" s="238" t="s">
        <v>2469</v>
      </c>
      <c r="C4" s="238" t="str">
        <f>("3")</f>
        <v>3</v>
      </c>
      <c r="D4" s="238" t="s">
        <v>798</v>
      </c>
      <c r="E4" s="380" t="s">
        <v>8346</v>
      </c>
      <c r="F4" s="380" t="s">
        <v>14402</v>
      </c>
      <c r="G4" s="380">
        <v>5</v>
      </c>
      <c r="H4" s="380" t="s">
        <v>1480</v>
      </c>
    </row>
    <row r="5" spans="1:9" x14ac:dyDescent="0.25">
      <c r="A5" s="247" t="str">
        <f t="shared" si="0"/>
        <v>ＭＦＣ三花少年サッカー教室_4</v>
      </c>
      <c r="B5" s="238" t="s">
        <v>2469</v>
      </c>
      <c r="C5" s="238" t="str">
        <f>("4")</f>
        <v>4</v>
      </c>
      <c r="D5" s="238" t="s">
        <v>235</v>
      </c>
      <c r="E5" s="380" t="s">
        <v>8610</v>
      </c>
      <c r="F5" s="380" t="s">
        <v>14403</v>
      </c>
      <c r="G5" s="380">
        <v>6</v>
      </c>
      <c r="H5" s="380" t="s">
        <v>1478</v>
      </c>
    </row>
    <row r="6" spans="1:9" x14ac:dyDescent="0.25">
      <c r="A6" s="247" t="str">
        <f t="shared" si="0"/>
        <v>ＭＦＣ三花少年サッカー教室_5</v>
      </c>
      <c r="B6" s="238" t="s">
        <v>2469</v>
      </c>
      <c r="C6" s="238" t="str">
        <f>("5")</f>
        <v>5</v>
      </c>
      <c r="D6" s="238" t="s">
        <v>235</v>
      </c>
      <c r="E6" s="380" t="s">
        <v>5622</v>
      </c>
      <c r="F6" s="380" t="s">
        <v>6295</v>
      </c>
      <c r="G6" s="380">
        <v>6</v>
      </c>
      <c r="H6" s="380" t="s">
        <v>1478</v>
      </c>
    </row>
    <row r="7" spans="1:9" x14ac:dyDescent="0.25">
      <c r="A7" s="247" t="str">
        <f t="shared" si="0"/>
        <v>ＭＦＣ三花少年サッカー教室_6</v>
      </c>
      <c r="B7" s="238" t="s">
        <v>2469</v>
      </c>
      <c r="C7" s="238" t="str">
        <f>("6")</f>
        <v>6</v>
      </c>
      <c r="D7" s="238" t="s">
        <v>798</v>
      </c>
      <c r="E7" s="380" t="s">
        <v>9668</v>
      </c>
      <c r="F7" s="380" t="s">
        <v>14404</v>
      </c>
      <c r="G7" s="380">
        <v>4</v>
      </c>
      <c r="H7" s="380" t="s">
        <v>1478</v>
      </c>
    </row>
    <row r="8" spans="1:9" x14ac:dyDescent="0.25">
      <c r="A8" s="247" t="str">
        <f t="shared" si="0"/>
        <v>ＭＦＣ三花少年サッカー教室_7</v>
      </c>
      <c r="B8" s="238" t="s">
        <v>2469</v>
      </c>
      <c r="C8" s="238" t="str">
        <f>("7")</f>
        <v>7</v>
      </c>
      <c r="D8" s="238" t="s">
        <v>798</v>
      </c>
      <c r="E8" s="380" t="s">
        <v>5626</v>
      </c>
      <c r="F8" s="380" t="s">
        <v>6297</v>
      </c>
      <c r="G8" s="380">
        <v>4</v>
      </c>
      <c r="H8" s="380" t="s">
        <v>1478</v>
      </c>
    </row>
    <row r="9" spans="1:9" x14ac:dyDescent="0.25">
      <c r="A9" s="247" t="str">
        <f t="shared" si="0"/>
        <v>ＭＦＣ三花少年サッカー教室_8</v>
      </c>
      <c r="B9" s="238" t="s">
        <v>2469</v>
      </c>
      <c r="C9" s="238" t="str">
        <f>("8")</f>
        <v>8</v>
      </c>
      <c r="D9" s="238" t="s">
        <v>798</v>
      </c>
      <c r="E9" s="380" t="s">
        <v>9561</v>
      </c>
      <c r="F9" s="380" t="s">
        <v>14405</v>
      </c>
      <c r="G9" s="380">
        <v>4</v>
      </c>
      <c r="H9" s="380" t="s">
        <v>1478</v>
      </c>
    </row>
    <row r="10" spans="1:9" x14ac:dyDescent="0.25">
      <c r="A10" s="247" t="str">
        <f t="shared" si="0"/>
        <v>ＭＦＣ三花少年サッカー教室_9</v>
      </c>
      <c r="B10" s="238" t="s">
        <v>2469</v>
      </c>
      <c r="C10" s="238" t="str">
        <f>("9")</f>
        <v>9</v>
      </c>
      <c r="D10" s="238" t="s">
        <v>798</v>
      </c>
      <c r="E10" s="380" t="s">
        <v>4223</v>
      </c>
      <c r="F10" s="380" t="s">
        <v>4224</v>
      </c>
      <c r="G10" s="380">
        <v>5</v>
      </c>
      <c r="H10" s="380" t="s">
        <v>1478</v>
      </c>
    </row>
    <row r="11" spans="1:9" x14ac:dyDescent="0.25">
      <c r="A11" s="247" t="str">
        <f t="shared" si="0"/>
        <v>ＭＦＣ三花少年サッカー教室_10</v>
      </c>
      <c r="B11" s="238" t="s">
        <v>2469</v>
      </c>
      <c r="C11" s="238" t="str">
        <f>("10")</f>
        <v>10</v>
      </c>
      <c r="D11" s="238" t="s">
        <v>798</v>
      </c>
      <c r="E11" s="380" t="s">
        <v>2755</v>
      </c>
      <c r="F11" s="380" t="s">
        <v>2877</v>
      </c>
      <c r="G11" s="380">
        <v>6</v>
      </c>
      <c r="H11" s="380" t="s">
        <v>1478</v>
      </c>
      <c r="I11" s="380" t="s">
        <v>408</v>
      </c>
    </row>
    <row r="12" spans="1:9" x14ac:dyDescent="0.25">
      <c r="A12" s="247" t="str">
        <f t="shared" si="0"/>
        <v>ＭＦＣ三花少年サッカー教室_11</v>
      </c>
      <c r="B12" s="238" t="s">
        <v>2469</v>
      </c>
      <c r="C12" s="238" t="str">
        <f>("11")</f>
        <v>11</v>
      </c>
      <c r="D12" s="238" t="s">
        <v>280</v>
      </c>
      <c r="E12" s="380" t="s">
        <v>3873</v>
      </c>
      <c r="F12" s="380" t="s">
        <v>3874</v>
      </c>
      <c r="G12" s="380">
        <v>6</v>
      </c>
      <c r="H12" s="380" t="s">
        <v>1478</v>
      </c>
    </row>
    <row r="13" spans="1:9" x14ac:dyDescent="0.25">
      <c r="A13" s="247" t="str">
        <f t="shared" si="0"/>
        <v>ＭＦＣ三花少年サッカー教室_12</v>
      </c>
      <c r="B13" s="238" t="s">
        <v>2469</v>
      </c>
      <c r="C13" s="238" t="str">
        <f>("12")</f>
        <v>12</v>
      </c>
      <c r="D13" s="238" t="s">
        <v>798</v>
      </c>
      <c r="E13" s="380" t="s">
        <v>8128</v>
      </c>
      <c r="F13" s="380" t="s">
        <v>14406</v>
      </c>
      <c r="G13" s="380">
        <v>5</v>
      </c>
      <c r="H13" s="380" t="s">
        <v>1478</v>
      </c>
    </row>
    <row r="14" spans="1:9" x14ac:dyDescent="0.25">
      <c r="A14" s="247" t="str">
        <f t="shared" si="0"/>
        <v>ＭＦＣ三花少年サッカー教室_13</v>
      </c>
      <c r="B14" s="238" t="s">
        <v>2469</v>
      </c>
      <c r="C14" s="238" t="str">
        <f>("13")</f>
        <v>13</v>
      </c>
      <c r="D14" s="238" t="s">
        <v>280</v>
      </c>
      <c r="E14" s="380" t="s">
        <v>7952</v>
      </c>
      <c r="F14" s="380" t="s">
        <v>14407</v>
      </c>
      <c r="G14" s="380">
        <v>5</v>
      </c>
      <c r="H14" s="380" t="s">
        <v>1478</v>
      </c>
    </row>
    <row r="15" spans="1:9" x14ac:dyDescent="0.25">
      <c r="A15" s="247" t="str">
        <f t="shared" si="0"/>
        <v>ＭＦＣ三花少年サッカー教室_14</v>
      </c>
      <c r="B15" s="238" t="s">
        <v>2469</v>
      </c>
      <c r="C15" s="238" t="str">
        <f>("14")</f>
        <v>14</v>
      </c>
      <c r="D15" s="238" t="s">
        <v>798</v>
      </c>
      <c r="E15" s="380" t="s">
        <v>5623</v>
      </c>
      <c r="F15" s="380" t="s">
        <v>6296</v>
      </c>
      <c r="G15" s="380">
        <v>5</v>
      </c>
      <c r="H15" s="380" t="s">
        <v>1478</v>
      </c>
    </row>
    <row r="16" spans="1:9" x14ac:dyDescent="0.25">
      <c r="A16" s="247" t="str">
        <f t="shared" si="0"/>
        <v>ＭＦＣ三花少年サッカー教室_15</v>
      </c>
      <c r="B16" s="238" t="s">
        <v>2469</v>
      </c>
      <c r="C16" s="238" t="str">
        <f>("15")</f>
        <v>15</v>
      </c>
      <c r="D16" s="238" t="s">
        <v>235</v>
      </c>
      <c r="E16" s="380" t="s">
        <v>5625</v>
      </c>
      <c r="F16" s="380" t="s">
        <v>4780</v>
      </c>
      <c r="G16" s="380">
        <v>5</v>
      </c>
      <c r="H16" s="380" t="s">
        <v>1478</v>
      </c>
    </row>
    <row r="17" spans="1:9" x14ac:dyDescent="0.25">
      <c r="A17" s="247" t="str">
        <f t="shared" si="0"/>
        <v>ＭＦＣ三花少年サッカー教室_17</v>
      </c>
      <c r="B17" s="238" t="s">
        <v>2469</v>
      </c>
      <c r="C17" s="238" t="str">
        <f>("17")</f>
        <v>17</v>
      </c>
      <c r="D17" s="238" t="s">
        <v>280</v>
      </c>
      <c r="E17" s="380" t="s">
        <v>8878</v>
      </c>
      <c r="F17" s="380" t="s">
        <v>14408</v>
      </c>
      <c r="G17" s="380">
        <v>6</v>
      </c>
      <c r="H17" s="380" t="s">
        <v>1478</v>
      </c>
    </row>
    <row r="18" spans="1:9" x14ac:dyDescent="0.25">
      <c r="A18" s="247" t="str">
        <f t="shared" si="0"/>
        <v>若宮サッカースポーツ少年団_1</v>
      </c>
      <c r="B18" s="238" t="s">
        <v>2878</v>
      </c>
      <c r="C18" s="238" t="str">
        <f>("1")</f>
        <v>1</v>
      </c>
      <c r="D18" s="238" t="s">
        <v>235</v>
      </c>
      <c r="E18" s="380" t="s">
        <v>5628</v>
      </c>
      <c r="F18" s="380" t="s">
        <v>6299</v>
      </c>
      <c r="G18" s="380">
        <v>6</v>
      </c>
      <c r="H18" s="380" t="s">
        <v>1478</v>
      </c>
    </row>
    <row r="19" spans="1:9" x14ac:dyDescent="0.25">
      <c r="A19" s="247" t="str">
        <f t="shared" si="0"/>
        <v>若宮サッカースポーツ少年団_2</v>
      </c>
      <c r="B19" s="238" t="s">
        <v>2878</v>
      </c>
      <c r="C19" s="238" t="str">
        <f>("2")</f>
        <v>2</v>
      </c>
      <c r="D19" s="238" t="s">
        <v>235</v>
      </c>
      <c r="E19" s="380" t="s">
        <v>3875</v>
      </c>
      <c r="F19" s="380" t="s">
        <v>3876</v>
      </c>
      <c r="G19" s="380">
        <v>6</v>
      </c>
      <c r="H19" s="380" t="s">
        <v>1478</v>
      </c>
    </row>
    <row r="20" spans="1:9" x14ac:dyDescent="0.25">
      <c r="A20" s="247" t="str">
        <f t="shared" si="0"/>
        <v>若宮サッカースポーツ少年団_3</v>
      </c>
      <c r="B20" s="238" t="s">
        <v>2878</v>
      </c>
      <c r="C20" s="238" t="str">
        <f>("3")</f>
        <v>3</v>
      </c>
      <c r="D20" s="238" t="s">
        <v>235</v>
      </c>
      <c r="E20" s="380" t="s">
        <v>5631</v>
      </c>
      <c r="F20" s="380" t="s">
        <v>6302</v>
      </c>
      <c r="G20" s="380">
        <v>6</v>
      </c>
      <c r="H20" s="380" t="s">
        <v>1478</v>
      </c>
    </row>
    <row r="21" spans="1:9" x14ac:dyDescent="0.25">
      <c r="A21" s="247" t="str">
        <f t="shared" si="0"/>
        <v>若宮サッカースポーツ少年団_4</v>
      </c>
      <c r="B21" s="238" t="s">
        <v>2878</v>
      </c>
      <c r="C21" s="238" t="str">
        <f>("4")</f>
        <v>4</v>
      </c>
      <c r="D21" s="238" t="s">
        <v>235</v>
      </c>
      <c r="E21" s="380" t="s">
        <v>5630</v>
      </c>
      <c r="F21" s="380" t="s">
        <v>6301</v>
      </c>
      <c r="G21" s="380">
        <v>6</v>
      </c>
      <c r="H21" s="380" t="s">
        <v>1478</v>
      </c>
    </row>
    <row r="22" spans="1:9" x14ac:dyDescent="0.25">
      <c r="A22" s="247" t="str">
        <f t="shared" si="0"/>
        <v>若宮サッカースポーツ少年団_5</v>
      </c>
      <c r="B22" s="238" t="s">
        <v>2878</v>
      </c>
      <c r="C22" s="238" t="str">
        <f>("5")</f>
        <v>5</v>
      </c>
      <c r="D22" s="238" t="s">
        <v>798</v>
      </c>
      <c r="E22" s="380" t="s">
        <v>4232</v>
      </c>
      <c r="F22" s="380" t="s">
        <v>4233</v>
      </c>
      <c r="G22" s="380">
        <v>6</v>
      </c>
      <c r="H22" s="380" t="s">
        <v>1478</v>
      </c>
    </row>
    <row r="23" spans="1:9" x14ac:dyDescent="0.25">
      <c r="A23" s="247" t="str">
        <f t="shared" si="0"/>
        <v>若宮サッカースポーツ少年団_6</v>
      </c>
      <c r="B23" s="238" t="s">
        <v>2878</v>
      </c>
      <c r="C23" s="238" t="str">
        <f>("6")</f>
        <v>6</v>
      </c>
      <c r="D23" s="238" t="s">
        <v>235</v>
      </c>
      <c r="E23" s="380" t="s">
        <v>4230</v>
      </c>
      <c r="F23" s="380" t="s">
        <v>4231</v>
      </c>
      <c r="G23" s="380">
        <v>6</v>
      </c>
      <c r="H23" s="380" t="s">
        <v>1478</v>
      </c>
    </row>
    <row r="24" spans="1:9" x14ac:dyDescent="0.25">
      <c r="A24" s="247" t="str">
        <f t="shared" si="0"/>
        <v>若宮サッカースポーツ少年団_7</v>
      </c>
      <c r="B24" s="238" t="s">
        <v>2878</v>
      </c>
      <c r="C24" s="238" t="str">
        <f>("7")</f>
        <v>7</v>
      </c>
      <c r="D24" s="238" t="s">
        <v>798</v>
      </c>
      <c r="E24" s="380" t="s">
        <v>4228</v>
      </c>
      <c r="F24" s="380" t="s">
        <v>4229</v>
      </c>
      <c r="G24" s="380">
        <v>6</v>
      </c>
      <c r="H24" s="380" t="s">
        <v>1478</v>
      </c>
    </row>
    <row r="25" spans="1:9" x14ac:dyDescent="0.25">
      <c r="A25" s="247" t="str">
        <f t="shared" si="0"/>
        <v>若宮サッカースポーツ少年団_8</v>
      </c>
      <c r="B25" s="238" t="s">
        <v>2878</v>
      </c>
      <c r="C25" s="238" t="str">
        <f>("8")</f>
        <v>8</v>
      </c>
      <c r="D25" s="238" t="s">
        <v>235</v>
      </c>
      <c r="E25" s="380" t="s">
        <v>5629</v>
      </c>
      <c r="F25" s="380" t="s">
        <v>6300</v>
      </c>
      <c r="G25" s="380">
        <v>6</v>
      </c>
      <c r="H25" s="380" t="s">
        <v>1480</v>
      </c>
    </row>
    <row r="26" spans="1:9" x14ac:dyDescent="0.25">
      <c r="A26" s="247" t="str">
        <f t="shared" si="0"/>
        <v>若宮サッカースポーツ少年団_9</v>
      </c>
      <c r="B26" s="238" t="s">
        <v>2878</v>
      </c>
      <c r="C26" s="238" t="str">
        <f>("9")</f>
        <v>9</v>
      </c>
      <c r="D26" s="238" t="s">
        <v>280</v>
      </c>
      <c r="E26" s="380" t="s">
        <v>3879</v>
      </c>
      <c r="F26" s="380" t="s">
        <v>3880</v>
      </c>
      <c r="G26" s="380">
        <v>6</v>
      </c>
      <c r="H26" s="380" t="s">
        <v>1478</v>
      </c>
    </row>
    <row r="27" spans="1:9" x14ac:dyDescent="0.25">
      <c r="A27" s="247" t="str">
        <f t="shared" si="0"/>
        <v>若宮サッカースポーツ少年団_10</v>
      </c>
      <c r="B27" s="238" t="s">
        <v>2878</v>
      </c>
      <c r="C27" s="238" t="str">
        <f>("10")</f>
        <v>10</v>
      </c>
      <c r="D27" s="238" t="s">
        <v>798</v>
      </c>
      <c r="E27" s="380" t="s">
        <v>3877</v>
      </c>
      <c r="F27" s="380" t="s">
        <v>3878</v>
      </c>
      <c r="G27" s="380">
        <v>6</v>
      </c>
      <c r="H27" s="380" t="s">
        <v>1478</v>
      </c>
      <c r="I27" s="380" t="s">
        <v>408</v>
      </c>
    </row>
    <row r="28" spans="1:9" x14ac:dyDescent="0.25">
      <c r="A28" s="247" t="str">
        <f t="shared" si="0"/>
        <v>若宮サッカースポーツ少年団_11</v>
      </c>
      <c r="B28" s="238" t="s">
        <v>2878</v>
      </c>
      <c r="C28" s="238" t="str">
        <f>("11")</f>
        <v>11</v>
      </c>
      <c r="D28" s="238" t="s">
        <v>235</v>
      </c>
      <c r="E28" s="380" t="s">
        <v>10345</v>
      </c>
      <c r="F28" s="380" t="s">
        <v>14409</v>
      </c>
      <c r="G28" s="380">
        <v>4</v>
      </c>
      <c r="H28" s="380" t="s">
        <v>1478</v>
      </c>
    </row>
    <row r="29" spans="1:9" x14ac:dyDescent="0.25">
      <c r="A29" s="247" t="str">
        <f t="shared" si="0"/>
        <v>若宮サッカースポーツ少年団_12</v>
      </c>
      <c r="B29" s="238" t="s">
        <v>2878</v>
      </c>
      <c r="C29" s="238" t="str">
        <f>("12")</f>
        <v>12</v>
      </c>
      <c r="D29" s="238" t="s">
        <v>235</v>
      </c>
      <c r="E29" s="380" t="s">
        <v>9354</v>
      </c>
      <c r="F29" s="380" t="s">
        <v>14410</v>
      </c>
      <c r="G29" s="380">
        <v>4</v>
      </c>
      <c r="H29" s="380" t="s">
        <v>1478</v>
      </c>
    </row>
    <row r="30" spans="1:9" x14ac:dyDescent="0.25">
      <c r="A30" s="247" t="str">
        <f t="shared" si="0"/>
        <v>若宮サッカースポーツ少年団_13</v>
      </c>
      <c r="B30" s="238" t="s">
        <v>2878</v>
      </c>
      <c r="C30" s="238" t="str">
        <f>("13")</f>
        <v>13</v>
      </c>
      <c r="D30" s="238" t="s">
        <v>235</v>
      </c>
      <c r="E30" s="380" t="s">
        <v>10300</v>
      </c>
      <c r="F30" s="380" t="s">
        <v>14411</v>
      </c>
      <c r="G30" s="380">
        <v>4</v>
      </c>
      <c r="H30" s="380" t="s">
        <v>1478</v>
      </c>
    </row>
    <row r="31" spans="1:9" x14ac:dyDescent="0.25">
      <c r="A31" s="247" t="str">
        <f t="shared" si="0"/>
        <v>若宮サッカースポーツ少年団_14</v>
      </c>
      <c r="B31" s="238" t="s">
        <v>2878</v>
      </c>
      <c r="C31" s="238" t="str">
        <f>("14")</f>
        <v>14</v>
      </c>
      <c r="D31" s="238" t="s">
        <v>280</v>
      </c>
      <c r="E31" s="380" t="s">
        <v>9126</v>
      </c>
      <c r="F31" s="380" t="s">
        <v>14412</v>
      </c>
      <c r="G31" s="380">
        <v>4</v>
      </c>
      <c r="H31" s="380" t="s">
        <v>1478</v>
      </c>
    </row>
    <row r="32" spans="1:9" x14ac:dyDescent="0.25">
      <c r="A32" s="247" t="str">
        <f t="shared" si="0"/>
        <v>若宮サッカースポーツ少年団_15</v>
      </c>
      <c r="B32" s="238" t="s">
        <v>2878</v>
      </c>
      <c r="C32" s="238" t="str">
        <f>("15")</f>
        <v>15</v>
      </c>
      <c r="D32" s="238" t="s">
        <v>798</v>
      </c>
      <c r="E32" s="380" t="s">
        <v>7840</v>
      </c>
      <c r="F32" s="380" t="s">
        <v>14413</v>
      </c>
      <c r="G32" s="380">
        <v>5</v>
      </c>
      <c r="H32" s="380" t="s">
        <v>1478</v>
      </c>
    </row>
    <row r="33" spans="1:9" x14ac:dyDescent="0.25">
      <c r="A33" s="247" t="str">
        <f t="shared" si="0"/>
        <v>若宮サッカースポーツ少年団_16</v>
      </c>
      <c r="B33" s="238" t="s">
        <v>2878</v>
      </c>
      <c r="C33" s="238" t="str">
        <f>("16")</f>
        <v>16</v>
      </c>
      <c r="D33" s="238" t="s">
        <v>796</v>
      </c>
      <c r="E33" s="380" t="s">
        <v>5632</v>
      </c>
      <c r="F33" s="380" t="s">
        <v>6303</v>
      </c>
      <c r="G33" s="380">
        <v>5</v>
      </c>
      <c r="H33" s="380" t="s">
        <v>1478</v>
      </c>
    </row>
    <row r="34" spans="1:9" x14ac:dyDescent="0.25">
      <c r="A34" s="247" t="str">
        <f t="shared" si="0"/>
        <v>ＦＣアリアーレ_1</v>
      </c>
      <c r="B34" s="238" t="s">
        <v>1968</v>
      </c>
      <c r="C34" s="238" t="str">
        <f>("1")</f>
        <v>1</v>
      </c>
      <c r="D34" s="238" t="s">
        <v>796</v>
      </c>
      <c r="E34" s="380" t="s">
        <v>8683</v>
      </c>
      <c r="F34" s="380" t="s">
        <v>14414</v>
      </c>
      <c r="G34" s="380">
        <v>6</v>
      </c>
      <c r="H34" s="380" t="s">
        <v>1478</v>
      </c>
    </row>
    <row r="35" spans="1:9" x14ac:dyDescent="0.25">
      <c r="A35" s="247" t="str">
        <f t="shared" si="0"/>
        <v>ＦＣアリアーレ_2</v>
      </c>
      <c r="B35" s="238" t="s">
        <v>1968</v>
      </c>
      <c r="C35" s="238" t="str">
        <f>("2")</f>
        <v>2</v>
      </c>
      <c r="D35" s="238" t="s">
        <v>235</v>
      </c>
      <c r="E35" s="380" t="s">
        <v>8223</v>
      </c>
      <c r="F35" s="380" t="s">
        <v>14415</v>
      </c>
      <c r="G35" s="380">
        <v>5</v>
      </c>
      <c r="H35" s="380" t="s">
        <v>1478</v>
      </c>
    </row>
    <row r="36" spans="1:9" x14ac:dyDescent="0.25">
      <c r="A36" s="247" t="str">
        <f t="shared" si="0"/>
        <v>ＦＣアリアーレ_3</v>
      </c>
      <c r="B36" s="238" t="s">
        <v>1968</v>
      </c>
      <c r="C36" s="238" t="str">
        <f>("3")</f>
        <v>3</v>
      </c>
      <c r="D36" s="238" t="s">
        <v>280</v>
      </c>
      <c r="E36" s="380" t="s">
        <v>9008</v>
      </c>
      <c r="F36" s="380" t="s">
        <v>14416</v>
      </c>
      <c r="G36" s="380">
        <v>6</v>
      </c>
      <c r="H36" s="380" t="s">
        <v>1478</v>
      </c>
    </row>
    <row r="37" spans="1:9" x14ac:dyDescent="0.25">
      <c r="A37" s="247" t="str">
        <f t="shared" si="0"/>
        <v>ＦＣアリアーレ_4</v>
      </c>
      <c r="B37" s="238" t="s">
        <v>1968</v>
      </c>
      <c r="C37" s="238" t="str">
        <f>("4")</f>
        <v>4</v>
      </c>
      <c r="D37" s="238" t="s">
        <v>235</v>
      </c>
      <c r="E37" s="380" t="s">
        <v>8445</v>
      </c>
      <c r="F37" s="380" t="s">
        <v>14417</v>
      </c>
      <c r="G37" s="380">
        <v>5</v>
      </c>
      <c r="H37" s="380" t="s">
        <v>1478</v>
      </c>
    </row>
    <row r="38" spans="1:9" x14ac:dyDescent="0.25">
      <c r="A38" s="247" t="str">
        <f t="shared" si="0"/>
        <v>ＦＣアリアーレ_5</v>
      </c>
      <c r="B38" s="238" t="s">
        <v>1968</v>
      </c>
      <c r="C38" s="238" t="str">
        <f>("5")</f>
        <v>5</v>
      </c>
      <c r="D38" s="238" t="s">
        <v>235</v>
      </c>
      <c r="E38" s="380" t="s">
        <v>5634</v>
      </c>
      <c r="F38" s="380" t="s">
        <v>6304</v>
      </c>
      <c r="G38" s="380">
        <v>6</v>
      </c>
      <c r="H38" s="380" t="s">
        <v>1478</v>
      </c>
    </row>
    <row r="39" spans="1:9" x14ac:dyDescent="0.25">
      <c r="A39" s="247" t="str">
        <f t="shared" si="0"/>
        <v>ＦＣアリアーレ_6</v>
      </c>
      <c r="B39" s="238" t="s">
        <v>1968</v>
      </c>
      <c r="C39" s="238" t="str">
        <f>("6")</f>
        <v>6</v>
      </c>
      <c r="D39" s="238" t="s">
        <v>798</v>
      </c>
      <c r="E39" s="380" t="s">
        <v>8414</v>
      </c>
      <c r="F39" s="380" t="s">
        <v>14418</v>
      </c>
      <c r="G39" s="380">
        <v>5</v>
      </c>
      <c r="H39" s="380" t="s">
        <v>1478</v>
      </c>
    </row>
    <row r="40" spans="1:9" x14ac:dyDescent="0.25">
      <c r="A40" s="247" t="str">
        <f t="shared" si="0"/>
        <v>ＦＣアリアーレ_7</v>
      </c>
      <c r="B40" s="238" t="s">
        <v>1968</v>
      </c>
      <c r="C40" s="238" t="str">
        <f>("7")</f>
        <v>7</v>
      </c>
      <c r="D40" s="238" t="s">
        <v>798</v>
      </c>
      <c r="E40" s="380" t="s">
        <v>8582</v>
      </c>
      <c r="F40" s="380" t="s">
        <v>14419</v>
      </c>
      <c r="G40" s="380">
        <v>6</v>
      </c>
      <c r="H40" s="380" t="s">
        <v>1480</v>
      </c>
    </row>
    <row r="41" spans="1:9" x14ac:dyDescent="0.25">
      <c r="A41" s="247" t="str">
        <f t="shared" si="0"/>
        <v>ＦＣアリアーレ_8</v>
      </c>
      <c r="B41" s="238" t="s">
        <v>1968</v>
      </c>
      <c r="C41" s="238" t="str">
        <f>("8")</f>
        <v>8</v>
      </c>
      <c r="D41" s="238" t="s">
        <v>798</v>
      </c>
      <c r="E41" s="380" t="s">
        <v>8880</v>
      </c>
      <c r="F41" s="380" t="s">
        <v>14420</v>
      </c>
      <c r="G41" s="380">
        <v>6</v>
      </c>
      <c r="H41" s="380" t="s">
        <v>1478</v>
      </c>
    </row>
    <row r="42" spans="1:9" x14ac:dyDescent="0.25">
      <c r="A42" s="247" t="str">
        <f t="shared" si="0"/>
        <v>ＦＣアリアーレ_9</v>
      </c>
      <c r="B42" s="238" t="s">
        <v>1968</v>
      </c>
      <c r="C42" s="238" t="str">
        <f>("9")</f>
        <v>9</v>
      </c>
      <c r="D42" s="238" t="s">
        <v>280</v>
      </c>
      <c r="E42" s="380" t="s">
        <v>5640</v>
      </c>
      <c r="F42" s="380" t="s">
        <v>5640</v>
      </c>
      <c r="G42" s="380">
        <v>6</v>
      </c>
      <c r="H42" s="380" t="s">
        <v>1478</v>
      </c>
    </row>
    <row r="43" spans="1:9" x14ac:dyDescent="0.25">
      <c r="A43" s="247" t="str">
        <f t="shared" si="0"/>
        <v>ＦＣアリアーレ_10</v>
      </c>
      <c r="B43" s="238" t="s">
        <v>1968</v>
      </c>
      <c r="C43" s="238" t="str">
        <f>("10")</f>
        <v>10</v>
      </c>
      <c r="D43" s="238" t="s">
        <v>235</v>
      </c>
      <c r="E43" s="380" t="s">
        <v>3871</v>
      </c>
      <c r="F43" s="380" t="s">
        <v>3872</v>
      </c>
      <c r="G43" s="380">
        <v>6</v>
      </c>
      <c r="H43" s="380" t="s">
        <v>1478</v>
      </c>
      <c r="I43" s="380" t="s">
        <v>408</v>
      </c>
    </row>
    <row r="44" spans="1:9" x14ac:dyDescent="0.25">
      <c r="A44" s="247" t="str">
        <f t="shared" si="0"/>
        <v>ＦＣアリアーレ_11</v>
      </c>
      <c r="B44" s="238" t="s">
        <v>1968</v>
      </c>
      <c r="C44" s="238" t="str">
        <f>("11")</f>
        <v>11</v>
      </c>
      <c r="D44" s="238" t="s">
        <v>280</v>
      </c>
      <c r="E44" s="380" t="s">
        <v>5641</v>
      </c>
      <c r="F44" s="380" t="s">
        <v>6305</v>
      </c>
      <c r="G44" s="380">
        <v>6</v>
      </c>
      <c r="H44" s="380" t="s">
        <v>1478</v>
      </c>
    </row>
    <row r="45" spans="1:9" x14ac:dyDescent="0.25">
      <c r="A45" s="247" t="str">
        <f t="shared" si="0"/>
        <v>ＦＣアリアーレ_12</v>
      </c>
      <c r="B45" s="238" t="s">
        <v>1968</v>
      </c>
      <c r="C45" s="238" t="str">
        <f>("12")</f>
        <v>12</v>
      </c>
      <c r="D45" s="238" t="s">
        <v>798</v>
      </c>
      <c r="E45" s="380" t="s">
        <v>8539</v>
      </c>
      <c r="F45" s="380" t="s">
        <v>14421</v>
      </c>
      <c r="G45" s="380">
        <v>5</v>
      </c>
      <c r="H45" s="380" t="s">
        <v>1478</v>
      </c>
    </row>
    <row r="46" spans="1:9" x14ac:dyDescent="0.25">
      <c r="A46" s="247" t="str">
        <f t="shared" si="0"/>
        <v>ＦＣアリアーレ_13</v>
      </c>
      <c r="B46" s="238" t="s">
        <v>1968</v>
      </c>
      <c r="C46" s="238" t="str">
        <f>("13")</f>
        <v>13</v>
      </c>
      <c r="D46" s="238" t="s">
        <v>235</v>
      </c>
      <c r="E46" s="380" t="s">
        <v>7943</v>
      </c>
      <c r="F46" s="380" t="s">
        <v>14422</v>
      </c>
      <c r="G46" s="380">
        <v>5</v>
      </c>
      <c r="H46" s="380" t="s">
        <v>1478</v>
      </c>
    </row>
    <row r="47" spans="1:9" x14ac:dyDescent="0.25">
      <c r="A47" s="247" t="str">
        <f t="shared" si="0"/>
        <v>ＦＣアリアーレ_14</v>
      </c>
      <c r="B47" s="238" t="s">
        <v>1968</v>
      </c>
      <c r="C47" s="238" t="str">
        <f>("14")</f>
        <v>14</v>
      </c>
      <c r="D47" s="238" t="s">
        <v>798</v>
      </c>
      <c r="E47" s="380" t="s">
        <v>8322</v>
      </c>
      <c r="F47" s="380" t="s">
        <v>14423</v>
      </c>
      <c r="G47" s="380">
        <v>5</v>
      </c>
      <c r="H47" s="380" t="s">
        <v>1478</v>
      </c>
    </row>
    <row r="48" spans="1:9" x14ac:dyDescent="0.25">
      <c r="A48" s="247" t="str">
        <f t="shared" si="0"/>
        <v>ＦＣアリアーレ_15</v>
      </c>
      <c r="B48" s="238" t="s">
        <v>1968</v>
      </c>
      <c r="C48" s="238" t="str">
        <f>("15")</f>
        <v>15</v>
      </c>
      <c r="D48" s="238" t="s">
        <v>235</v>
      </c>
      <c r="E48" s="380" t="s">
        <v>8503</v>
      </c>
      <c r="F48" s="380" t="s">
        <v>14424</v>
      </c>
      <c r="G48" s="380">
        <v>5</v>
      </c>
      <c r="H48" s="380" t="s">
        <v>1478</v>
      </c>
    </row>
    <row r="49" spans="1:9" x14ac:dyDescent="0.25">
      <c r="A49" s="247" t="str">
        <f t="shared" si="0"/>
        <v>ＦＣアリアーレ_16</v>
      </c>
      <c r="B49" s="238" t="s">
        <v>1968</v>
      </c>
      <c r="C49" s="238" t="str">
        <f>("16")</f>
        <v>16</v>
      </c>
      <c r="D49" s="238" t="s">
        <v>796</v>
      </c>
      <c r="E49" s="380" t="s">
        <v>8415</v>
      </c>
      <c r="F49" s="380" t="s">
        <v>14425</v>
      </c>
      <c r="G49" s="380">
        <v>5</v>
      </c>
      <c r="H49" s="380" t="s">
        <v>1478</v>
      </c>
    </row>
    <row r="50" spans="1:9" x14ac:dyDescent="0.25">
      <c r="A50" s="247" t="str">
        <f t="shared" si="0"/>
        <v>ＦＣアリアーレ_17</v>
      </c>
      <c r="B50" s="238" t="s">
        <v>1968</v>
      </c>
      <c r="C50" s="238" t="str">
        <f>("17")</f>
        <v>17</v>
      </c>
      <c r="D50" s="238" t="s">
        <v>280</v>
      </c>
      <c r="E50" s="380" t="s">
        <v>8344</v>
      </c>
      <c r="F50" s="380" t="s">
        <v>14426</v>
      </c>
      <c r="G50" s="380">
        <v>5</v>
      </c>
      <c r="H50" s="380" t="s">
        <v>1478</v>
      </c>
    </row>
    <row r="51" spans="1:9" x14ac:dyDescent="0.25">
      <c r="A51" s="247" t="str">
        <f t="shared" si="0"/>
        <v>三芳少年サッカースクール_1</v>
      </c>
      <c r="B51" s="238" t="s">
        <v>684</v>
      </c>
      <c r="C51" s="238" t="str">
        <f>("1")</f>
        <v>1</v>
      </c>
      <c r="D51" s="238" t="s">
        <v>796</v>
      </c>
      <c r="E51" s="380" t="s">
        <v>5648</v>
      </c>
      <c r="F51" s="380" t="s">
        <v>6311</v>
      </c>
      <c r="G51" s="380">
        <v>6</v>
      </c>
      <c r="H51" s="380" t="s">
        <v>1478</v>
      </c>
    </row>
    <row r="52" spans="1:9" x14ac:dyDescent="0.25">
      <c r="A52" s="247" t="str">
        <f t="shared" si="0"/>
        <v>三芳少年サッカースクール_2</v>
      </c>
      <c r="B52" s="238" t="s">
        <v>684</v>
      </c>
      <c r="C52" s="238" t="str">
        <f>("2")</f>
        <v>2</v>
      </c>
      <c r="D52" s="238" t="s">
        <v>235</v>
      </c>
      <c r="E52" s="380" t="s">
        <v>5645</v>
      </c>
      <c r="F52" s="380" t="s">
        <v>6309</v>
      </c>
      <c r="G52" s="380">
        <v>6</v>
      </c>
      <c r="H52" s="380" t="s">
        <v>1480</v>
      </c>
    </row>
    <row r="53" spans="1:9" x14ac:dyDescent="0.25">
      <c r="A53" s="247" t="str">
        <f t="shared" si="0"/>
        <v>三芳少年サッカースクール_3</v>
      </c>
      <c r="B53" s="238" t="s">
        <v>684</v>
      </c>
      <c r="C53" s="238" t="str">
        <f>("3")</f>
        <v>3</v>
      </c>
      <c r="D53" s="238" t="s">
        <v>280</v>
      </c>
      <c r="E53" s="380" t="s">
        <v>9158</v>
      </c>
      <c r="F53" s="380" t="s">
        <v>14427</v>
      </c>
      <c r="G53" s="380">
        <v>4</v>
      </c>
      <c r="H53" s="380" t="s">
        <v>1478</v>
      </c>
    </row>
    <row r="54" spans="1:9" x14ac:dyDescent="0.25">
      <c r="A54" s="247" t="str">
        <f t="shared" si="0"/>
        <v>三芳少年サッカースクール_4</v>
      </c>
      <c r="B54" s="238" t="s">
        <v>684</v>
      </c>
      <c r="C54" s="238" t="str">
        <f>("4")</f>
        <v>4</v>
      </c>
      <c r="D54" s="238" t="s">
        <v>798</v>
      </c>
      <c r="E54" s="380" t="s">
        <v>3881</v>
      </c>
      <c r="F54" s="380" t="s">
        <v>3882</v>
      </c>
      <c r="G54" s="380">
        <v>6</v>
      </c>
      <c r="H54" s="380" t="s">
        <v>1478</v>
      </c>
      <c r="I54" s="380" t="s">
        <v>408</v>
      </c>
    </row>
    <row r="55" spans="1:9" x14ac:dyDescent="0.25">
      <c r="A55" s="247" t="str">
        <f t="shared" si="0"/>
        <v>三芳少年サッカースクール_5</v>
      </c>
      <c r="B55" s="238" t="s">
        <v>684</v>
      </c>
      <c r="C55" s="238" t="str">
        <f>("5")</f>
        <v>5</v>
      </c>
      <c r="D55" s="238" t="s">
        <v>280</v>
      </c>
      <c r="E55" s="380" t="s">
        <v>8526</v>
      </c>
      <c r="F55" s="380" t="s">
        <v>14428</v>
      </c>
      <c r="G55" s="380">
        <v>5</v>
      </c>
      <c r="H55" s="380" t="s">
        <v>1480</v>
      </c>
    </row>
    <row r="56" spans="1:9" x14ac:dyDescent="0.25">
      <c r="A56" s="247" t="str">
        <f t="shared" si="0"/>
        <v>三芳少年サッカースクール_6</v>
      </c>
      <c r="B56" s="238" t="s">
        <v>684</v>
      </c>
      <c r="C56" s="238" t="str">
        <f>("6")</f>
        <v>6</v>
      </c>
      <c r="D56" s="238" t="s">
        <v>235</v>
      </c>
      <c r="E56" s="380" t="s">
        <v>5650</v>
      </c>
      <c r="F56" s="380" t="s">
        <v>6313</v>
      </c>
      <c r="G56" s="380">
        <v>5</v>
      </c>
      <c r="H56" s="380" t="s">
        <v>1478</v>
      </c>
    </row>
    <row r="57" spans="1:9" x14ac:dyDescent="0.25">
      <c r="A57" s="247" t="str">
        <f t="shared" si="0"/>
        <v>三芳少年サッカースクール_7</v>
      </c>
      <c r="B57" s="238" t="s">
        <v>684</v>
      </c>
      <c r="C57" s="238" t="str">
        <f>("7")</f>
        <v>7</v>
      </c>
      <c r="D57" s="238" t="s">
        <v>280</v>
      </c>
      <c r="E57" s="380" t="s">
        <v>5646</v>
      </c>
      <c r="F57" s="380" t="s">
        <v>6310</v>
      </c>
      <c r="G57" s="380">
        <v>6</v>
      </c>
      <c r="H57" s="380" t="s">
        <v>1480</v>
      </c>
    </row>
    <row r="58" spans="1:9" x14ac:dyDescent="0.25">
      <c r="A58" s="247" t="str">
        <f t="shared" si="0"/>
        <v>三芳少年サッカースクール_8</v>
      </c>
      <c r="B58" s="238" t="s">
        <v>684</v>
      </c>
      <c r="C58" s="238" t="str">
        <f>("8")</f>
        <v>8</v>
      </c>
      <c r="D58" s="238" t="s">
        <v>235</v>
      </c>
      <c r="E58" s="380" t="s">
        <v>8060</v>
      </c>
      <c r="F58" s="380" t="s">
        <v>14429</v>
      </c>
      <c r="G58" s="380">
        <v>5</v>
      </c>
      <c r="H58" s="380" t="s">
        <v>1478</v>
      </c>
    </row>
    <row r="59" spans="1:9" x14ac:dyDescent="0.25">
      <c r="A59" s="247" t="str">
        <f t="shared" si="0"/>
        <v>三芳少年サッカースクール_9</v>
      </c>
      <c r="B59" s="238" t="s">
        <v>684</v>
      </c>
      <c r="C59" s="238" t="str">
        <f>("9")</f>
        <v>9</v>
      </c>
      <c r="D59" s="238" t="s">
        <v>280</v>
      </c>
      <c r="E59" s="380" t="s">
        <v>5642</v>
      </c>
      <c r="F59" s="380" t="s">
        <v>6306</v>
      </c>
      <c r="G59" s="380">
        <v>6</v>
      </c>
      <c r="H59" s="380" t="s">
        <v>1478</v>
      </c>
    </row>
    <row r="60" spans="1:9" x14ac:dyDescent="0.25">
      <c r="A60" s="247" t="str">
        <f t="shared" si="0"/>
        <v>三芳少年サッカースクール_10</v>
      </c>
      <c r="B60" s="238" t="s">
        <v>684</v>
      </c>
      <c r="C60" s="238" t="str">
        <f>("10")</f>
        <v>10</v>
      </c>
      <c r="D60" s="238" t="s">
        <v>798</v>
      </c>
      <c r="E60" s="380" t="s">
        <v>5643</v>
      </c>
      <c r="F60" s="380" t="s">
        <v>6307</v>
      </c>
      <c r="G60" s="380">
        <v>5</v>
      </c>
      <c r="H60" s="380" t="s">
        <v>1478</v>
      </c>
    </row>
    <row r="61" spans="1:9" x14ac:dyDescent="0.25">
      <c r="A61" s="247" t="str">
        <f t="shared" si="0"/>
        <v>三芳少年サッカースクール_11</v>
      </c>
      <c r="B61" s="238" t="s">
        <v>684</v>
      </c>
      <c r="C61" s="238" t="str">
        <f>("11")</f>
        <v>11</v>
      </c>
      <c r="D61" s="238" t="s">
        <v>235</v>
      </c>
      <c r="E61" s="380" t="s">
        <v>5644</v>
      </c>
      <c r="F61" s="380" t="s">
        <v>6308</v>
      </c>
      <c r="G61" s="380">
        <v>5</v>
      </c>
      <c r="H61" s="380" t="s">
        <v>1478</v>
      </c>
    </row>
    <row r="62" spans="1:9" x14ac:dyDescent="0.25">
      <c r="A62" s="247" t="str">
        <f t="shared" si="0"/>
        <v>三芳少年サッカースクール_12</v>
      </c>
      <c r="B62" s="238" t="s">
        <v>684</v>
      </c>
      <c r="C62" s="238" t="str">
        <f>("12")</f>
        <v>12</v>
      </c>
      <c r="D62" s="238" t="s">
        <v>235</v>
      </c>
      <c r="E62" s="380" t="s">
        <v>8874</v>
      </c>
      <c r="F62" s="380" t="s">
        <v>14430</v>
      </c>
      <c r="G62" s="380">
        <v>6</v>
      </c>
      <c r="H62" s="380" t="s">
        <v>1480</v>
      </c>
    </row>
    <row r="63" spans="1:9" x14ac:dyDescent="0.25">
      <c r="A63" s="247" t="str">
        <f t="shared" si="0"/>
        <v>三芳少年サッカースクール_13</v>
      </c>
      <c r="B63" s="238" t="s">
        <v>684</v>
      </c>
      <c r="C63" s="238" t="str">
        <f>("13")</f>
        <v>13</v>
      </c>
      <c r="D63" s="238" t="s">
        <v>235</v>
      </c>
      <c r="E63" s="380" t="s">
        <v>5649</v>
      </c>
      <c r="F63" s="380" t="s">
        <v>6312</v>
      </c>
      <c r="G63" s="380">
        <v>5</v>
      </c>
      <c r="H63" s="380" t="s">
        <v>1478</v>
      </c>
    </row>
    <row r="64" spans="1:9" x14ac:dyDescent="0.25">
      <c r="A64" s="247" t="str">
        <f t="shared" si="0"/>
        <v>三芳少年サッカースクール_14</v>
      </c>
      <c r="B64" s="238" t="s">
        <v>684</v>
      </c>
      <c r="C64" s="238" t="str">
        <f>("14")</f>
        <v>14</v>
      </c>
      <c r="D64" s="238" t="s">
        <v>280</v>
      </c>
      <c r="E64" s="380" t="s">
        <v>9907</v>
      </c>
      <c r="F64" s="380" t="s">
        <v>14431</v>
      </c>
      <c r="G64" s="380">
        <v>3</v>
      </c>
      <c r="H64" s="380" t="s">
        <v>1478</v>
      </c>
    </row>
    <row r="65" spans="1:9" x14ac:dyDescent="0.25">
      <c r="A65" s="247" t="str">
        <f t="shared" ref="A65:A128" si="1">CONCATENATE(B65,"_",C65)</f>
        <v>三芳少年サッカースクール_15</v>
      </c>
      <c r="B65" s="238" t="s">
        <v>684</v>
      </c>
      <c r="C65" s="238" t="str">
        <f>("15")</f>
        <v>15</v>
      </c>
      <c r="D65" s="238" t="s">
        <v>280</v>
      </c>
      <c r="E65" s="380" t="s">
        <v>8364</v>
      </c>
      <c r="F65" s="380" t="s">
        <v>14432</v>
      </c>
      <c r="G65" s="380">
        <v>5</v>
      </c>
      <c r="H65" s="380" t="s">
        <v>1480</v>
      </c>
    </row>
    <row r="66" spans="1:9" x14ac:dyDescent="0.25">
      <c r="A66" s="247" t="str">
        <f t="shared" si="1"/>
        <v>三芳少年サッカースクール_16</v>
      </c>
      <c r="B66" s="238" t="s">
        <v>684</v>
      </c>
      <c r="C66" s="238" t="str">
        <f>("16")</f>
        <v>16</v>
      </c>
      <c r="D66" s="238" t="s">
        <v>796</v>
      </c>
      <c r="E66" s="380" t="s">
        <v>8425</v>
      </c>
      <c r="F66" s="380" t="s">
        <v>14433</v>
      </c>
      <c r="G66" s="380">
        <v>5</v>
      </c>
      <c r="H66" s="380" t="s">
        <v>1478</v>
      </c>
    </row>
    <row r="67" spans="1:9" x14ac:dyDescent="0.25">
      <c r="A67" s="247" t="str">
        <f t="shared" si="1"/>
        <v>三芳少年サッカースクール_17</v>
      </c>
      <c r="B67" s="238" t="s">
        <v>684</v>
      </c>
      <c r="C67" s="238" t="str">
        <f>("17")</f>
        <v>17</v>
      </c>
      <c r="D67" s="238" t="s">
        <v>796</v>
      </c>
      <c r="E67" s="380" t="s">
        <v>9518</v>
      </c>
      <c r="F67" s="380" t="s">
        <v>14434</v>
      </c>
      <c r="G67" s="380">
        <v>4</v>
      </c>
      <c r="H67" s="380" t="s">
        <v>1478</v>
      </c>
    </row>
    <row r="68" spans="1:9" x14ac:dyDescent="0.25">
      <c r="A68" s="247" t="str">
        <f t="shared" si="1"/>
        <v>三芳少年サッカースクール_18</v>
      </c>
      <c r="B68" s="238" t="s">
        <v>684</v>
      </c>
      <c r="C68" s="238" t="str">
        <f>("18")</f>
        <v>18</v>
      </c>
      <c r="D68" s="238" t="s">
        <v>798</v>
      </c>
      <c r="E68" s="380" t="s">
        <v>7984</v>
      </c>
      <c r="F68" s="380" t="s">
        <v>4090</v>
      </c>
      <c r="G68" s="380">
        <v>5</v>
      </c>
      <c r="H68" s="380" t="s">
        <v>1478</v>
      </c>
    </row>
    <row r="69" spans="1:9" x14ac:dyDescent="0.25">
      <c r="A69" s="247" t="str">
        <f t="shared" si="1"/>
        <v>玖珠サッカースポーツ少年団_1</v>
      </c>
      <c r="B69" s="238" t="s">
        <v>2477</v>
      </c>
      <c r="C69" s="238" t="str">
        <f>("1")</f>
        <v>1</v>
      </c>
      <c r="D69" s="238" t="s">
        <v>796</v>
      </c>
      <c r="E69" s="380" t="s">
        <v>5651</v>
      </c>
      <c r="F69" s="380" t="s">
        <v>6314</v>
      </c>
      <c r="G69" s="380">
        <v>6</v>
      </c>
      <c r="H69" s="380" t="s">
        <v>1478</v>
      </c>
    </row>
    <row r="70" spans="1:9" x14ac:dyDescent="0.25">
      <c r="A70" s="247" t="str">
        <f t="shared" si="1"/>
        <v>玖珠サッカースポーツ少年団_2</v>
      </c>
      <c r="B70" s="238" t="s">
        <v>2477</v>
      </c>
      <c r="C70" s="238" t="str">
        <f>("2")</f>
        <v>2</v>
      </c>
      <c r="D70" s="238" t="s">
        <v>798</v>
      </c>
      <c r="E70" s="380" t="s">
        <v>5652</v>
      </c>
      <c r="F70" s="380" t="s">
        <v>6315</v>
      </c>
      <c r="G70" s="380">
        <v>6</v>
      </c>
      <c r="H70" s="380" t="s">
        <v>1480</v>
      </c>
    </row>
    <row r="71" spans="1:9" x14ac:dyDescent="0.25">
      <c r="A71" s="247" t="str">
        <f t="shared" si="1"/>
        <v>玖珠サッカースポーツ少年団_3</v>
      </c>
      <c r="B71" s="238" t="s">
        <v>2477</v>
      </c>
      <c r="C71" s="238" t="str">
        <f>("3")</f>
        <v>3</v>
      </c>
      <c r="D71" s="238" t="s">
        <v>235</v>
      </c>
      <c r="E71" s="380" t="s">
        <v>5653</v>
      </c>
      <c r="F71" s="380" t="s">
        <v>6316</v>
      </c>
      <c r="G71" s="380">
        <v>6</v>
      </c>
      <c r="H71" s="380" t="s">
        <v>1478</v>
      </c>
    </row>
    <row r="72" spans="1:9" x14ac:dyDescent="0.25">
      <c r="A72" s="247" t="str">
        <f t="shared" si="1"/>
        <v>玖珠サッカースポーツ少年団_4</v>
      </c>
      <c r="B72" s="238" t="s">
        <v>2477</v>
      </c>
      <c r="C72" s="238" t="str">
        <f>("4")</f>
        <v>4</v>
      </c>
      <c r="D72" s="238" t="s">
        <v>798</v>
      </c>
      <c r="E72" s="380" t="s">
        <v>5654</v>
      </c>
      <c r="F72" s="380" t="s">
        <v>6317</v>
      </c>
      <c r="G72" s="380">
        <v>6</v>
      </c>
      <c r="H72" s="380" t="s">
        <v>1478</v>
      </c>
    </row>
    <row r="73" spans="1:9" x14ac:dyDescent="0.25">
      <c r="A73" s="247" t="str">
        <f t="shared" si="1"/>
        <v>玖珠サッカースポーツ少年団_5</v>
      </c>
      <c r="B73" s="238" t="s">
        <v>2477</v>
      </c>
      <c r="C73" s="238" t="str">
        <f>("5")</f>
        <v>5</v>
      </c>
      <c r="D73" s="238" t="s">
        <v>796</v>
      </c>
      <c r="E73" s="380" t="s">
        <v>5655</v>
      </c>
      <c r="F73" s="380" t="s">
        <v>6318</v>
      </c>
      <c r="G73" s="380">
        <v>6</v>
      </c>
      <c r="H73" s="380" t="s">
        <v>1480</v>
      </c>
    </row>
    <row r="74" spans="1:9" x14ac:dyDescent="0.25">
      <c r="A74" s="247" t="str">
        <f t="shared" si="1"/>
        <v>玖珠サッカースポーツ少年団_6</v>
      </c>
      <c r="B74" s="238" t="s">
        <v>2477</v>
      </c>
      <c r="C74" s="238" t="str">
        <f>("6")</f>
        <v>6</v>
      </c>
      <c r="D74" s="238" t="s">
        <v>280</v>
      </c>
      <c r="E74" s="380" t="s">
        <v>5656</v>
      </c>
      <c r="F74" s="380" t="s">
        <v>6319</v>
      </c>
      <c r="G74" s="380">
        <v>6</v>
      </c>
      <c r="H74" s="380" t="s">
        <v>1478</v>
      </c>
    </row>
    <row r="75" spans="1:9" x14ac:dyDescent="0.25">
      <c r="A75" s="247" t="str">
        <f t="shared" si="1"/>
        <v>玖珠サッカースポーツ少年団_7</v>
      </c>
      <c r="B75" s="238" t="s">
        <v>2477</v>
      </c>
      <c r="C75" s="238" t="str">
        <f>("7")</f>
        <v>7</v>
      </c>
      <c r="D75" s="238" t="s">
        <v>798</v>
      </c>
      <c r="E75" s="380" t="s">
        <v>5657</v>
      </c>
      <c r="F75" s="380" t="s">
        <v>6320</v>
      </c>
      <c r="G75" s="380">
        <v>6</v>
      </c>
      <c r="H75" s="380" t="s">
        <v>1478</v>
      </c>
    </row>
    <row r="76" spans="1:9" x14ac:dyDescent="0.25">
      <c r="A76" s="247" t="str">
        <f t="shared" si="1"/>
        <v>玖珠サッカースポーツ少年団_8</v>
      </c>
      <c r="B76" s="238" t="s">
        <v>2477</v>
      </c>
      <c r="C76" s="238" t="str">
        <f>("8")</f>
        <v>8</v>
      </c>
      <c r="D76" s="238" t="s">
        <v>280</v>
      </c>
      <c r="E76" s="380" t="s">
        <v>5658</v>
      </c>
      <c r="F76" s="380" t="s">
        <v>6321</v>
      </c>
      <c r="G76" s="380">
        <v>6</v>
      </c>
      <c r="H76" s="380" t="s">
        <v>1480</v>
      </c>
    </row>
    <row r="77" spans="1:9" x14ac:dyDescent="0.25">
      <c r="A77" s="247" t="str">
        <f t="shared" si="1"/>
        <v>玖珠サッカースポーツ少年団_9</v>
      </c>
      <c r="B77" s="238" t="s">
        <v>2477</v>
      </c>
      <c r="C77" s="238" t="str">
        <f>("9")</f>
        <v>9</v>
      </c>
      <c r="D77" s="238" t="s">
        <v>235</v>
      </c>
      <c r="E77" s="380" t="s">
        <v>5659</v>
      </c>
      <c r="F77" s="380" t="s">
        <v>6322</v>
      </c>
      <c r="G77" s="380">
        <v>6</v>
      </c>
      <c r="H77" s="380" t="s">
        <v>1480</v>
      </c>
    </row>
    <row r="78" spans="1:9" x14ac:dyDescent="0.25">
      <c r="A78" s="247" t="str">
        <f t="shared" si="1"/>
        <v>玖珠サッカースポーツ少年団_10</v>
      </c>
      <c r="B78" s="238" t="s">
        <v>2477</v>
      </c>
      <c r="C78" s="238" t="str">
        <f>("10")</f>
        <v>10</v>
      </c>
      <c r="D78" s="238" t="s">
        <v>798</v>
      </c>
      <c r="E78" s="380" t="s">
        <v>4239</v>
      </c>
      <c r="F78" s="380" t="s">
        <v>4240</v>
      </c>
      <c r="G78" s="380">
        <v>6</v>
      </c>
      <c r="H78" s="380" t="s">
        <v>1478</v>
      </c>
      <c r="I78" s="380" t="s">
        <v>408</v>
      </c>
    </row>
    <row r="79" spans="1:9" x14ac:dyDescent="0.25">
      <c r="A79" s="247" t="str">
        <f t="shared" si="1"/>
        <v>玖珠サッカースポーツ少年団_11</v>
      </c>
      <c r="B79" s="238" t="s">
        <v>2477</v>
      </c>
      <c r="C79" s="238" t="str">
        <f>("11")</f>
        <v>11</v>
      </c>
      <c r="D79" s="238" t="s">
        <v>235</v>
      </c>
      <c r="E79" s="380" t="s">
        <v>5660</v>
      </c>
      <c r="F79" s="380" t="s">
        <v>6323</v>
      </c>
      <c r="G79" s="380">
        <v>6</v>
      </c>
      <c r="H79" s="380" t="s">
        <v>1478</v>
      </c>
    </row>
    <row r="80" spans="1:9" x14ac:dyDescent="0.25">
      <c r="A80" s="247" t="str">
        <f t="shared" si="1"/>
        <v>玖珠サッカースポーツ少年団_12</v>
      </c>
      <c r="B80" s="238" t="s">
        <v>2477</v>
      </c>
      <c r="C80" s="238" t="str">
        <f>("12")</f>
        <v>12</v>
      </c>
      <c r="D80" s="238" t="s">
        <v>798</v>
      </c>
      <c r="E80" s="380" t="s">
        <v>5661</v>
      </c>
      <c r="F80" s="380" t="s">
        <v>6324</v>
      </c>
      <c r="G80" s="380">
        <v>6</v>
      </c>
      <c r="H80" s="380" t="s">
        <v>1478</v>
      </c>
    </row>
    <row r="81" spans="1:9" x14ac:dyDescent="0.25">
      <c r="A81" s="247" t="str">
        <f t="shared" si="1"/>
        <v>玖珠サッカースポーツ少年団_13</v>
      </c>
      <c r="B81" s="238" t="s">
        <v>2477</v>
      </c>
      <c r="C81" s="238" t="str">
        <f>("13")</f>
        <v>13</v>
      </c>
      <c r="D81" s="238" t="s">
        <v>280</v>
      </c>
      <c r="E81" s="380" t="s">
        <v>5662</v>
      </c>
      <c r="F81" s="380" t="s">
        <v>6325</v>
      </c>
      <c r="G81" s="380">
        <v>6</v>
      </c>
      <c r="H81" s="380" t="s">
        <v>1478</v>
      </c>
    </row>
    <row r="82" spans="1:9" x14ac:dyDescent="0.25">
      <c r="A82" s="247" t="str">
        <f t="shared" si="1"/>
        <v>玖珠サッカースポーツ少年団_14</v>
      </c>
      <c r="B82" s="238" t="s">
        <v>2477</v>
      </c>
      <c r="C82" s="238" t="str">
        <f>("14")</f>
        <v>14</v>
      </c>
      <c r="D82" s="238" t="s">
        <v>798</v>
      </c>
      <c r="E82" s="380" t="s">
        <v>5663</v>
      </c>
      <c r="F82" s="380" t="s">
        <v>6326</v>
      </c>
      <c r="G82" s="380">
        <v>6</v>
      </c>
      <c r="H82" s="380" t="s">
        <v>1480</v>
      </c>
    </row>
    <row r="83" spans="1:9" x14ac:dyDescent="0.25">
      <c r="A83" s="247" t="str">
        <f t="shared" si="1"/>
        <v>玖珠サッカースポーツ少年団_15</v>
      </c>
      <c r="B83" s="238" t="s">
        <v>2477</v>
      </c>
      <c r="C83" s="238" t="str">
        <f>("15")</f>
        <v>15</v>
      </c>
      <c r="D83" s="238" t="s">
        <v>798</v>
      </c>
      <c r="E83" s="380" t="s">
        <v>4226</v>
      </c>
      <c r="F83" s="380" t="s">
        <v>4227</v>
      </c>
      <c r="G83" s="380">
        <v>6</v>
      </c>
      <c r="H83" s="380" t="s">
        <v>1478</v>
      </c>
    </row>
    <row r="84" spans="1:9" x14ac:dyDescent="0.25">
      <c r="A84" s="247" t="str">
        <f t="shared" si="1"/>
        <v>玖珠サッカースポーツ少年団_16</v>
      </c>
      <c r="B84" s="238" t="s">
        <v>2477</v>
      </c>
      <c r="C84" s="238" t="str">
        <f>("16")</f>
        <v>16</v>
      </c>
      <c r="D84" s="238" t="s">
        <v>798</v>
      </c>
      <c r="E84" s="380" t="s">
        <v>8098</v>
      </c>
      <c r="F84" s="380" t="s">
        <v>14435</v>
      </c>
      <c r="G84" s="380">
        <v>5</v>
      </c>
      <c r="H84" s="380" t="s">
        <v>1478</v>
      </c>
    </row>
    <row r="85" spans="1:9" x14ac:dyDescent="0.25">
      <c r="A85" s="247" t="str">
        <f t="shared" si="1"/>
        <v>玖珠サッカースポーツ少年団_17</v>
      </c>
      <c r="B85" s="238" t="s">
        <v>2477</v>
      </c>
      <c r="C85" s="238" t="str">
        <f>("17")</f>
        <v>17</v>
      </c>
      <c r="D85" s="238" t="s">
        <v>798</v>
      </c>
      <c r="E85" s="380" t="s">
        <v>8187</v>
      </c>
      <c r="F85" s="380" t="s">
        <v>14436</v>
      </c>
      <c r="G85" s="380">
        <v>5</v>
      </c>
      <c r="H85" s="380" t="s">
        <v>1478</v>
      </c>
    </row>
    <row r="86" spans="1:9" x14ac:dyDescent="0.25">
      <c r="A86" s="247" t="str">
        <f t="shared" si="1"/>
        <v>玖珠サッカースポーツ少年団_18</v>
      </c>
      <c r="B86" s="238" t="s">
        <v>2477</v>
      </c>
      <c r="C86" s="238" t="str">
        <f>("18")</f>
        <v>18</v>
      </c>
      <c r="D86" s="238" t="s">
        <v>280</v>
      </c>
      <c r="E86" s="380" t="s">
        <v>8438</v>
      </c>
      <c r="F86" s="380" t="s">
        <v>14437</v>
      </c>
      <c r="G86" s="380">
        <v>5</v>
      </c>
      <c r="H86" s="380" t="s">
        <v>1478</v>
      </c>
    </row>
    <row r="87" spans="1:9" x14ac:dyDescent="0.25">
      <c r="A87" s="247" t="str">
        <f t="shared" si="1"/>
        <v>ＦＣ．ＵＳＡ_1</v>
      </c>
      <c r="B87" s="238" t="s">
        <v>2274</v>
      </c>
      <c r="C87" s="238" t="str">
        <f>("1")</f>
        <v>1</v>
      </c>
      <c r="D87" s="238" t="s">
        <v>796</v>
      </c>
      <c r="E87" s="380" t="s">
        <v>4243</v>
      </c>
      <c r="F87" s="380" t="s">
        <v>4244</v>
      </c>
      <c r="G87" s="380">
        <v>6</v>
      </c>
      <c r="H87" s="380" t="s">
        <v>1478</v>
      </c>
    </row>
    <row r="88" spans="1:9" x14ac:dyDescent="0.25">
      <c r="A88" s="247" t="str">
        <f t="shared" si="1"/>
        <v>ＦＣ．ＵＳＡ_2</v>
      </c>
      <c r="B88" s="238" t="s">
        <v>2274</v>
      </c>
      <c r="C88" s="238" t="str">
        <f>("2")</f>
        <v>2</v>
      </c>
      <c r="D88" s="238" t="s">
        <v>235</v>
      </c>
      <c r="E88" s="380" t="s">
        <v>8350</v>
      </c>
      <c r="F88" s="380" t="s">
        <v>14438</v>
      </c>
      <c r="G88" s="380">
        <v>5</v>
      </c>
      <c r="H88" s="380" t="s">
        <v>1480</v>
      </c>
    </row>
    <row r="89" spans="1:9" x14ac:dyDescent="0.25">
      <c r="A89" s="247" t="str">
        <f t="shared" si="1"/>
        <v>ＦＣ．ＵＳＡ_3</v>
      </c>
      <c r="B89" s="238" t="s">
        <v>2274</v>
      </c>
      <c r="C89" s="238" t="str">
        <f>("3")</f>
        <v>3</v>
      </c>
      <c r="D89" s="238" t="s">
        <v>235</v>
      </c>
      <c r="E89" s="380" t="s">
        <v>3895</v>
      </c>
      <c r="F89" s="380" t="s">
        <v>3896</v>
      </c>
      <c r="G89" s="380">
        <v>6</v>
      </c>
      <c r="H89" s="380" t="s">
        <v>1478</v>
      </c>
    </row>
    <row r="90" spans="1:9" x14ac:dyDescent="0.25">
      <c r="A90" s="247" t="str">
        <f t="shared" si="1"/>
        <v>ＦＣ．ＵＳＡ_4</v>
      </c>
      <c r="B90" s="238" t="s">
        <v>2274</v>
      </c>
      <c r="C90" s="238" t="str">
        <f>("4")</f>
        <v>4</v>
      </c>
      <c r="D90" s="238" t="s">
        <v>798</v>
      </c>
      <c r="E90" s="380" t="s">
        <v>3893</v>
      </c>
      <c r="F90" s="380" t="s">
        <v>3894</v>
      </c>
      <c r="G90" s="380">
        <v>6</v>
      </c>
      <c r="H90" s="380" t="s">
        <v>1478</v>
      </c>
    </row>
    <row r="91" spans="1:9" x14ac:dyDescent="0.25">
      <c r="A91" s="247" t="str">
        <f t="shared" si="1"/>
        <v>ＦＣ．ＵＳＡ_5</v>
      </c>
      <c r="B91" s="238" t="s">
        <v>2274</v>
      </c>
      <c r="C91" s="238" t="str">
        <f>("5")</f>
        <v>5</v>
      </c>
      <c r="D91" s="238" t="s">
        <v>798</v>
      </c>
      <c r="E91" s="380" t="s">
        <v>3891</v>
      </c>
      <c r="F91" s="380" t="s">
        <v>3892</v>
      </c>
      <c r="G91" s="380">
        <v>6</v>
      </c>
      <c r="H91" s="380" t="s">
        <v>1478</v>
      </c>
      <c r="I91" s="380" t="s">
        <v>408</v>
      </c>
    </row>
    <row r="92" spans="1:9" x14ac:dyDescent="0.25">
      <c r="A92" s="247" t="str">
        <f t="shared" si="1"/>
        <v>ＦＣ．ＵＳＡ_6</v>
      </c>
      <c r="B92" s="238" t="s">
        <v>2274</v>
      </c>
      <c r="C92" s="238" t="str">
        <f>("6")</f>
        <v>6</v>
      </c>
      <c r="D92" s="238" t="s">
        <v>280</v>
      </c>
      <c r="E92" s="380" t="s">
        <v>4241</v>
      </c>
      <c r="F92" s="380" t="s">
        <v>4242</v>
      </c>
      <c r="G92" s="380">
        <v>6</v>
      </c>
      <c r="H92" s="380" t="s">
        <v>1478</v>
      </c>
    </row>
    <row r="93" spans="1:9" x14ac:dyDescent="0.25">
      <c r="A93" s="247" t="str">
        <f t="shared" si="1"/>
        <v>ＦＣ．ＵＳＡ_7</v>
      </c>
      <c r="B93" s="238" t="s">
        <v>2274</v>
      </c>
      <c r="C93" s="238" t="str">
        <f>("7")</f>
        <v>7</v>
      </c>
      <c r="D93" s="238" t="s">
        <v>235</v>
      </c>
      <c r="E93" s="380" t="s">
        <v>5664</v>
      </c>
      <c r="F93" s="380" t="s">
        <v>6327</v>
      </c>
      <c r="G93" s="380">
        <v>5</v>
      </c>
      <c r="H93" s="380" t="s">
        <v>1478</v>
      </c>
    </row>
    <row r="94" spans="1:9" x14ac:dyDescent="0.25">
      <c r="A94" s="247" t="str">
        <f t="shared" si="1"/>
        <v>ＦＣ．ＵＳＡ_8</v>
      </c>
      <c r="B94" s="238" t="s">
        <v>2274</v>
      </c>
      <c r="C94" s="238" t="str">
        <f>("8")</f>
        <v>8</v>
      </c>
      <c r="D94" s="238" t="s">
        <v>235</v>
      </c>
      <c r="E94" s="380" t="s">
        <v>7996</v>
      </c>
      <c r="F94" s="380" t="s">
        <v>14439</v>
      </c>
      <c r="G94" s="380">
        <v>5</v>
      </c>
      <c r="H94" s="380" t="s">
        <v>1480</v>
      </c>
    </row>
    <row r="95" spans="1:9" x14ac:dyDescent="0.25">
      <c r="A95" s="247" t="str">
        <f t="shared" si="1"/>
        <v>ＦＣ．ＵＳＡ_9</v>
      </c>
      <c r="B95" s="238" t="s">
        <v>2274</v>
      </c>
      <c r="C95" s="238" t="str">
        <f>("9")</f>
        <v>9</v>
      </c>
      <c r="D95" s="238" t="s">
        <v>798</v>
      </c>
      <c r="E95" s="380" t="s">
        <v>8053</v>
      </c>
      <c r="F95" s="380" t="s">
        <v>14440</v>
      </c>
      <c r="G95" s="380">
        <v>5</v>
      </c>
      <c r="H95" s="380" t="s">
        <v>1480</v>
      </c>
    </row>
    <row r="96" spans="1:9" x14ac:dyDescent="0.25">
      <c r="A96" s="247" t="str">
        <f t="shared" si="1"/>
        <v>ＦＣ．ＵＳＡ_10</v>
      </c>
      <c r="B96" s="238" t="s">
        <v>2274</v>
      </c>
      <c r="C96" s="238" t="str">
        <f>("10")</f>
        <v>10</v>
      </c>
      <c r="D96" s="238" t="s">
        <v>798</v>
      </c>
      <c r="E96" s="380" t="s">
        <v>9611</v>
      </c>
      <c r="F96" s="380" t="s">
        <v>14441</v>
      </c>
      <c r="G96" s="380">
        <v>4</v>
      </c>
      <c r="H96" s="380" t="s">
        <v>1478</v>
      </c>
    </row>
    <row r="97" spans="1:8" x14ac:dyDescent="0.25">
      <c r="A97" s="247" t="str">
        <f t="shared" si="1"/>
        <v>ＦＣ．ＵＳＡ_11</v>
      </c>
      <c r="B97" s="238" t="s">
        <v>2274</v>
      </c>
      <c r="C97" s="238" t="str">
        <f>("11")</f>
        <v>11</v>
      </c>
      <c r="D97" s="238" t="s">
        <v>798</v>
      </c>
      <c r="E97" s="380" t="s">
        <v>9720</v>
      </c>
      <c r="F97" s="380" t="s">
        <v>14442</v>
      </c>
      <c r="G97" s="380">
        <v>3</v>
      </c>
      <c r="H97" s="380" t="s">
        <v>1478</v>
      </c>
    </row>
    <row r="98" spans="1:8" x14ac:dyDescent="0.25">
      <c r="A98" s="247" t="str">
        <f t="shared" si="1"/>
        <v>ＦＣ．ＵＳＡ_12</v>
      </c>
      <c r="B98" s="238" t="s">
        <v>2274</v>
      </c>
      <c r="C98" s="238" t="str">
        <f>("12")</f>
        <v>12</v>
      </c>
      <c r="D98" s="238" t="s">
        <v>280</v>
      </c>
      <c r="E98" s="380" t="s">
        <v>9929</v>
      </c>
      <c r="F98" s="380" t="s">
        <v>14443</v>
      </c>
      <c r="G98" s="380">
        <v>3</v>
      </c>
      <c r="H98" s="380" t="s">
        <v>1478</v>
      </c>
    </row>
    <row r="99" spans="1:8" x14ac:dyDescent="0.25">
      <c r="A99" s="247" t="str">
        <f t="shared" si="1"/>
        <v>ＦＣ．ＵＳＡ_13</v>
      </c>
      <c r="B99" s="238" t="s">
        <v>2274</v>
      </c>
      <c r="C99" s="238" t="str">
        <f>("13")</f>
        <v>13</v>
      </c>
      <c r="D99" s="238" t="s">
        <v>798</v>
      </c>
      <c r="E99" s="380" t="s">
        <v>9958</v>
      </c>
      <c r="F99" s="380" t="s">
        <v>14444</v>
      </c>
      <c r="G99" s="380">
        <v>3</v>
      </c>
      <c r="H99" s="380" t="s">
        <v>1478</v>
      </c>
    </row>
    <row r="100" spans="1:8" x14ac:dyDescent="0.25">
      <c r="A100" s="247" t="str">
        <f t="shared" si="1"/>
        <v>ＦＣ．ＵＳＡ_14</v>
      </c>
      <c r="B100" s="238" t="s">
        <v>2274</v>
      </c>
      <c r="C100" s="238" t="str">
        <f>("14")</f>
        <v>14</v>
      </c>
      <c r="D100" s="238" t="s">
        <v>235</v>
      </c>
      <c r="E100" s="380" t="s">
        <v>9739</v>
      </c>
      <c r="F100" s="380" t="s">
        <v>14445</v>
      </c>
      <c r="G100" s="380">
        <v>3</v>
      </c>
      <c r="H100" s="380" t="s">
        <v>1478</v>
      </c>
    </row>
    <row r="101" spans="1:8" x14ac:dyDescent="0.25">
      <c r="A101" s="247" t="str">
        <f t="shared" si="1"/>
        <v>ＦＣ．ＵＳＡ_15</v>
      </c>
      <c r="B101" s="238" t="s">
        <v>2274</v>
      </c>
      <c r="C101" s="238" t="str">
        <f>("15")</f>
        <v>15</v>
      </c>
      <c r="D101" s="238" t="s">
        <v>798</v>
      </c>
      <c r="E101" s="380" t="s">
        <v>9966</v>
      </c>
      <c r="F101" s="380" t="s">
        <v>14446</v>
      </c>
      <c r="G101" s="380">
        <v>3</v>
      </c>
      <c r="H101" s="380" t="s">
        <v>1478</v>
      </c>
    </row>
    <row r="102" spans="1:8" x14ac:dyDescent="0.25">
      <c r="A102" s="247" t="str">
        <f t="shared" si="1"/>
        <v>ＦＣ．ＵＳＡ_16</v>
      </c>
      <c r="B102" s="238" t="s">
        <v>2274</v>
      </c>
      <c r="C102" s="238" t="str">
        <f>("16")</f>
        <v>16</v>
      </c>
      <c r="D102" s="238" t="s">
        <v>796</v>
      </c>
      <c r="E102" s="380" t="s">
        <v>5665</v>
      </c>
      <c r="F102" s="380" t="s">
        <v>6328</v>
      </c>
      <c r="G102" s="380">
        <v>5</v>
      </c>
      <c r="H102" s="380" t="s">
        <v>1478</v>
      </c>
    </row>
    <row r="103" spans="1:8" x14ac:dyDescent="0.25">
      <c r="A103" s="247" t="str">
        <f t="shared" si="1"/>
        <v>ＦＣ．ＵＳＡ_17</v>
      </c>
      <c r="B103" s="238" t="s">
        <v>2274</v>
      </c>
      <c r="C103" s="238" t="str">
        <f>("17")</f>
        <v>17</v>
      </c>
      <c r="D103" s="238" t="s">
        <v>280</v>
      </c>
      <c r="E103" s="380" t="s">
        <v>9738</v>
      </c>
      <c r="F103" s="380" t="s">
        <v>14447</v>
      </c>
      <c r="G103" s="380">
        <v>3</v>
      </c>
      <c r="H103" s="380" t="s">
        <v>1478</v>
      </c>
    </row>
    <row r="104" spans="1:8" x14ac:dyDescent="0.25">
      <c r="A104" s="247" t="str">
        <f t="shared" si="1"/>
        <v>ＦＣ．ＵＳＡ_18</v>
      </c>
      <c r="B104" s="238" t="s">
        <v>2274</v>
      </c>
      <c r="C104" s="238" t="str">
        <f>("18")</f>
        <v>18</v>
      </c>
      <c r="D104" s="238" t="s">
        <v>798</v>
      </c>
      <c r="E104" s="380" t="s">
        <v>9804</v>
      </c>
      <c r="F104" s="380" t="s">
        <v>14448</v>
      </c>
      <c r="G104" s="380">
        <v>3</v>
      </c>
      <c r="H104" s="380" t="s">
        <v>1478</v>
      </c>
    </row>
    <row r="105" spans="1:8" x14ac:dyDescent="0.25">
      <c r="A105" s="247" t="str">
        <f t="shared" si="1"/>
        <v>ＦＣ　ＷＡＹＳ_1</v>
      </c>
      <c r="B105" s="238" t="s">
        <v>1239</v>
      </c>
      <c r="C105" s="238" t="str">
        <f>("1")</f>
        <v>1</v>
      </c>
      <c r="D105" s="238" t="s">
        <v>796</v>
      </c>
      <c r="E105" s="380" t="s">
        <v>5670</v>
      </c>
      <c r="F105" s="380" t="s">
        <v>6332</v>
      </c>
      <c r="G105" s="380">
        <v>6</v>
      </c>
      <c r="H105" s="380" t="s">
        <v>1478</v>
      </c>
    </row>
    <row r="106" spans="1:8" x14ac:dyDescent="0.25">
      <c r="A106" s="247" t="str">
        <f t="shared" si="1"/>
        <v>ＦＣ　ＷＡＹＳ_2</v>
      </c>
      <c r="B106" s="238" t="s">
        <v>1239</v>
      </c>
      <c r="C106" s="238" t="str">
        <f>("2")</f>
        <v>2</v>
      </c>
      <c r="D106" s="238" t="s">
        <v>235</v>
      </c>
      <c r="E106" s="380" t="s">
        <v>8205</v>
      </c>
      <c r="F106" s="380" t="s">
        <v>14449</v>
      </c>
      <c r="G106" s="380">
        <v>5</v>
      </c>
      <c r="H106" s="380" t="s">
        <v>1478</v>
      </c>
    </row>
    <row r="107" spans="1:8" x14ac:dyDescent="0.25">
      <c r="A107" s="247" t="str">
        <f t="shared" si="1"/>
        <v>ＦＣ　ＷＡＹＳ_3</v>
      </c>
      <c r="B107" s="238" t="s">
        <v>1239</v>
      </c>
      <c r="C107" s="238" t="str">
        <f>("3")</f>
        <v>3</v>
      </c>
      <c r="D107" s="238" t="s">
        <v>235</v>
      </c>
      <c r="E107" s="380" t="s">
        <v>8163</v>
      </c>
      <c r="F107" s="380" t="s">
        <v>14450</v>
      </c>
      <c r="G107" s="380">
        <v>5</v>
      </c>
      <c r="H107" s="380" t="s">
        <v>1478</v>
      </c>
    </row>
    <row r="108" spans="1:8" x14ac:dyDescent="0.25">
      <c r="A108" s="247" t="str">
        <f t="shared" si="1"/>
        <v>ＦＣ　ＷＡＹＳ_4</v>
      </c>
      <c r="B108" s="238" t="s">
        <v>1239</v>
      </c>
      <c r="C108" s="238" t="str">
        <f>("4")</f>
        <v>4</v>
      </c>
      <c r="D108" s="238" t="s">
        <v>235</v>
      </c>
      <c r="E108" s="380" t="s">
        <v>8515</v>
      </c>
      <c r="F108" s="380" t="s">
        <v>14451</v>
      </c>
      <c r="G108" s="380">
        <v>5</v>
      </c>
      <c r="H108" s="380" t="s">
        <v>1478</v>
      </c>
    </row>
    <row r="109" spans="1:8" x14ac:dyDescent="0.25">
      <c r="A109" s="247" t="str">
        <f t="shared" si="1"/>
        <v>ＦＣ　ＷＡＹＳ_5</v>
      </c>
      <c r="B109" s="238" t="s">
        <v>1239</v>
      </c>
      <c r="C109" s="238" t="str">
        <f>("5")</f>
        <v>5</v>
      </c>
      <c r="D109" s="238" t="s">
        <v>798</v>
      </c>
      <c r="E109" s="380" t="s">
        <v>8129</v>
      </c>
      <c r="F109" s="380" t="s">
        <v>14452</v>
      </c>
      <c r="G109" s="380">
        <v>5</v>
      </c>
      <c r="H109" s="380" t="s">
        <v>1478</v>
      </c>
    </row>
    <row r="110" spans="1:8" x14ac:dyDescent="0.25">
      <c r="A110" s="247" t="str">
        <f t="shared" si="1"/>
        <v>ＦＣ　ＷＡＹＳ_6</v>
      </c>
      <c r="B110" s="238" t="s">
        <v>1239</v>
      </c>
      <c r="C110" s="238" t="str">
        <f>("6")</f>
        <v>6</v>
      </c>
      <c r="D110" s="238" t="s">
        <v>798</v>
      </c>
      <c r="E110" s="380" t="s">
        <v>8235</v>
      </c>
      <c r="F110" s="380" t="s">
        <v>14453</v>
      </c>
      <c r="G110" s="380">
        <v>5</v>
      </c>
      <c r="H110" s="380" t="s">
        <v>1478</v>
      </c>
    </row>
    <row r="111" spans="1:8" x14ac:dyDescent="0.25">
      <c r="A111" s="247" t="str">
        <f t="shared" si="1"/>
        <v>ＦＣ　ＷＡＹＳ_7</v>
      </c>
      <c r="B111" s="238" t="s">
        <v>1239</v>
      </c>
      <c r="C111" s="238" t="str">
        <f>("7")</f>
        <v>7</v>
      </c>
      <c r="D111" s="238" t="s">
        <v>798</v>
      </c>
      <c r="E111" s="380" t="s">
        <v>5668</v>
      </c>
      <c r="F111" s="380" t="s">
        <v>6330</v>
      </c>
      <c r="G111" s="380">
        <v>5</v>
      </c>
      <c r="H111" s="380" t="s">
        <v>1478</v>
      </c>
    </row>
    <row r="112" spans="1:8" x14ac:dyDescent="0.25">
      <c r="A112" s="247" t="str">
        <f t="shared" si="1"/>
        <v>ＦＣ　ＷＡＹＳ_8</v>
      </c>
      <c r="B112" s="238" t="s">
        <v>1239</v>
      </c>
      <c r="C112" s="238" t="str">
        <f>("8")</f>
        <v>8</v>
      </c>
      <c r="D112" s="238" t="s">
        <v>798</v>
      </c>
      <c r="E112" s="380" t="s">
        <v>8363</v>
      </c>
      <c r="F112" s="380" t="s">
        <v>14454</v>
      </c>
      <c r="G112" s="380">
        <v>5</v>
      </c>
      <c r="H112" s="380" t="s">
        <v>1478</v>
      </c>
    </row>
    <row r="113" spans="1:9" x14ac:dyDescent="0.25">
      <c r="A113" s="247" t="str">
        <f t="shared" si="1"/>
        <v>ＦＣ　ＷＡＹＳ_9</v>
      </c>
      <c r="B113" s="238" t="s">
        <v>1239</v>
      </c>
      <c r="C113" s="238" t="str">
        <f>("9")</f>
        <v>9</v>
      </c>
      <c r="D113" s="238" t="s">
        <v>280</v>
      </c>
      <c r="E113" s="380" t="s">
        <v>8461</v>
      </c>
      <c r="F113" s="380" t="s">
        <v>14455</v>
      </c>
      <c r="G113" s="380">
        <v>5</v>
      </c>
      <c r="H113" s="380" t="s">
        <v>1478</v>
      </c>
    </row>
    <row r="114" spans="1:9" x14ac:dyDescent="0.25">
      <c r="A114" s="247" t="str">
        <f t="shared" si="1"/>
        <v>ＦＣ　ＷＡＹＳ_10</v>
      </c>
      <c r="B114" s="238" t="s">
        <v>1239</v>
      </c>
      <c r="C114" s="238" t="str">
        <f>("10")</f>
        <v>10</v>
      </c>
      <c r="D114" s="238" t="s">
        <v>280</v>
      </c>
      <c r="E114" s="380" t="s">
        <v>7999</v>
      </c>
      <c r="F114" s="380" t="s">
        <v>14456</v>
      </c>
      <c r="G114" s="380">
        <v>5</v>
      </c>
      <c r="H114" s="380" t="s">
        <v>1478</v>
      </c>
    </row>
    <row r="115" spans="1:9" x14ac:dyDescent="0.25">
      <c r="A115" s="247" t="str">
        <f t="shared" si="1"/>
        <v>ＦＣ　ＷＡＹＳ_11</v>
      </c>
      <c r="B115" s="238" t="s">
        <v>1239</v>
      </c>
      <c r="C115" s="238" t="str">
        <f>("11")</f>
        <v>11</v>
      </c>
      <c r="D115" s="238" t="s">
        <v>280</v>
      </c>
      <c r="E115" s="380" t="s">
        <v>5669</v>
      </c>
      <c r="F115" s="380" t="s">
        <v>6331</v>
      </c>
      <c r="G115" s="380">
        <v>5</v>
      </c>
      <c r="H115" s="380" t="s">
        <v>1478</v>
      </c>
    </row>
    <row r="116" spans="1:9" x14ac:dyDescent="0.25">
      <c r="A116" s="247" t="str">
        <f t="shared" si="1"/>
        <v>ＦＣ　ＷＡＹＳ_12</v>
      </c>
      <c r="B116" s="238" t="s">
        <v>1239</v>
      </c>
      <c r="C116" s="238" t="str">
        <f>("12")</f>
        <v>12</v>
      </c>
      <c r="D116" s="238" t="s">
        <v>14400</v>
      </c>
      <c r="E116" s="380" t="s">
        <v>5667</v>
      </c>
      <c r="F116" s="380" t="s">
        <v>6329</v>
      </c>
      <c r="G116" s="380">
        <v>6</v>
      </c>
      <c r="H116" s="380" t="s">
        <v>1478</v>
      </c>
      <c r="I116" s="380" t="s">
        <v>408</v>
      </c>
    </row>
    <row r="117" spans="1:9" x14ac:dyDescent="0.25">
      <c r="A117" s="247" t="str">
        <f t="shared" si="1"/>
        <v>ＦＣ　ＷＡＹＳ_13</v>
      </c>
      <c r="B117" s="238" t="s">
        <v>1239</v>
      </c>
      <c r="C117" s="238" t="str">
        <f>("13")</f>
        <v>13</v>
      </c>
      <c r="D117" s="238" t="s">
        <v>798</v>
      </c>
      <c r="E117" s="380" t="s">
        <v>6274</v>
      </c>
      <c r="F117" s="380" t="s">
        <v>6787</v>
      </c>
      <c r="G117" s="380">
        <v>5</v>
      </c>
      <c r="H117" s="380" t="s">
        <v>1478</v>
      </c>
    </row>
    <row r="118" spans="1:9" x14ac:dyDescent="0.25">
      <c r="A118" s="247" t="str">
        <f t="shared" si="1"/>
        <v>ＦＣ　ＷＡＹＳ_14</v>
      </c>
      <c r="B118" s="238" t="s">
        <v>1239</v>
      </c>
      <c r="C118" s="238" t="str">
        <f>("14")</f>
        <v>14</v>
      </c>
      <c r="D118" s="238" t="s">
        <v>280</v>
      </c>
      <c r="E118" s="380" t="s">
        <v>9372</v>
      </c>
      <c r="F118" s="380" t="s">
        <v>14457</v>
      </c>
      <c r="G118" s="380">
        <v>4</v>
      </c>
      <c r="H118" s="380" t="s">
        <v>1478</v>
      </c>
    </row>
    <row r="119" spans="1:9" x14ac:dyDescent="0.25">
      <c r="A119" s="247" t="str">
        <f t="shared" si="1"/>
        <v>ＦＣ　ＷＡＹＳ_15</v>
      </c>
      <c r="B119" s="238" t="s">
        <v>1239</v>
      </c>
      <c r="C119" s="238" t="str">
        <f>("15")</f>
        <v>15</v>
      </c>
      <c r="D119" s="238" t="s">
        <v>235</v>
      </c>
      <c r="E119" s="380" t="s">
        <v>9289</v>
      </c>
      <c r="F119" s="380" t="s">
        <v>14458</v>
      </c>
      <c r="G119" s="380">
        <v>4</v>
      </c>
      <c r="H119" s="380" t="s">
        <v>1478</v>
      </c>
    </row>
    <row r="120" spans="1:9" x14ac:dyDescent="0.25">
      <c r="A120" s="247" t="str">
        <f t="shared" si="1"/>
        <v>ＦＣ　ＷＡＹＳ_16</v>
      </c>
      <c r="B120" s="238" t="s">
        <v>1239</v>
      </c>
      <c r="C120" s="238" t="str">
        <f>("16")</f>
        <v>16</v>
      </c>
      <c r="D120" s="238" t="s">
        <v>796</v>
      </c>
      <c r="E120" s="380" t="s">
        <v>8084</v>
      </c>
      <c r="F120" s="380" t="s">
        <v>14459</v>
      </c>
      <c r="G120" s="380">
        <v>5</v>
      </c>
      <c r="H120" s="380" t="s">
        <v>1478</v>
      </c>
    </row>
    <row r="121" spans="1:9" x14ac:dyDescent="0.25">
      <c r="A121" s="247" t="str">
        <f t="shared" si="1"/>
        <v>ＦＣ　ＷＡＹＳ_17</v>
      </c>
      <c r="B121" s="238" t="s">
        <v>1239</v>
      </c>
      <c r="C121" s="238" t="str">
        <f>("17")</f>
        <v>17</v>
      </c>
      <c r="D121" s="238" t="s">
        <v>235</v>
      </c>
      <c r="E121" s="380" t="s">
        <v>9418</v>
      </c>
      <c r="F121" s="380" t="s">
        <v>14460</v>
      </c>
      <c r="G121" s="380">
        <v>4</v>
      </c>
      <c r="H121" s="380" t="s">
        <v>1478</v>
      </c>
    </row>
    <row r="122" spans="1:9" x14ac:dyDescent="0.25">
      <c r="A122" s="247" t="str">
        <f t="shared" si="1"/>
        <v>ＦＣ　ＷＡＹＳ_18</v>
      </c>
      <c r="B122" s="238" t="s">
        <v>1239</v>
      </c>
      <c r="C122" s="238" t="str">
        <f>("18")</f>
        <v>18</v>
      </c>
      <c r="D122" s="238" t="s">
        <v>798</v>
      </c>
      <c r="E122" s="380" t="s">
        <v>6279</v>
      </c>
      <c r="F122" s="380" t="s">
        <v>6791</v>
      </c>
      <c r="G122" s="380">
        <v>4</v>
      </c>
      <c r="H122" s="380" t="s">
        <v>1478</v>
      </c>
    </row>
    <row r="123" spans="1:9" x14ac:dyDescent="0.25">
      <c r="A123" s="247" t="str">
        <f t="shared" si="1"/>
        <v>四日市南ＳＳＣ_1</v>
      </c>
      <c r="B123" s="238" t="s">
        <v>2188</v>
      </c>
      <c r="C123" s="238" t="str">
        <f>("1")</f>
        <v>1</v>
      </c>
      <c r="D123" s="238" t="s">
        <v>796</v>
      </c>
      <c r="E123" s="380" t="s">
        <v>8844</v>
      </c>
      <c r="F123" s="380" t="s">
        <v>14461</v>
      </c>
      <c r="G123" s="380">
        <v>6</v>
      </c>
      <c r="H123" s="380" t="s">
        <v>1478</v>
      </c>
    </row>
    <row r="124" spans="1:9" x14ac:dyDescent="0.25">
      <c r="A124" s="247" t="str">
        <f t="shared" si="1"/>
        <v>四日市南ＳＳＣ_2</v>
      </c>
      <c r="B124" s="238" t="s">
        <v>2188</v>
      </c>
      <c r="C124" s="238" t="str">
        <f>("2")</f>
        <v>2</v>
      </c>
      <c r="D124" s="238" t="s">
        <v>798</v>
      </c>
      <c r="E124" s="380" t="s">
        <v>8355</v>
      </c>
      <c r="F124" s="380" t="s">
        <v>14462</v>
      </c>
      <c r="G124" s="380">
        <v>5</v>
      </c>
      <c r="H124" s="380" t="s">
        <v>1478</v>
      </c>
    </row>
    <row r="125" spans="1:9" x14ac:dyDescent="0.25">
      <c r="A125" s="247" t="str">
        <f t="shared" si="1"/>
        <v>四日市南ＳＳＣ_4</v>
      </c>
      <c r="B125" s="238" t="s">
        <v>2188</v>
      </c>
      <c r="C125" s="238" t="str">
        <f>("4")</f>
        <v>4</v>
      </c>
      <c r="D125" s="238" t="s">
        <v>235</v>
      </c>
      <c r="E125" s="380" t="s">
        <v>8256</v>
      </c>
      <c r="F125" s="380" t="s">
        <v>14463</v>
      </c>
      <c r="G125" s="380">
        <v>5</v>
      </c>
      <c r="H125" s="380" t="s">
        <v>1478</v>
      </c>
    </row>
    <row r="126" spans="1:9" x14ac:dyDescent="0.25">
      <c r="A126" s="247" t="str">
        <f t="shared" si="1"/>
        <v>四日市南ＳＳＣ_5</v>
      </c>
      <c r="B126" s="238" t="s">
        <v>2188</v>
      </c>
      <c r="C126" s="238" t="str">
        <f>("5")</f>
        <v>5</v>
      </c>
      <c r="D126" s="238" t="s">
        <v>798</v>
      </c>
      <c r="E126" s="380" t="s">
        <v>5675</v>
      </c>
      <c r="F126" s="380" t="s">
        <v>6337</v>
      </c>
      <c r="G126" s="380">
        <v>6</v>
      </c>
      <c r="H126" s="380" t="s">
        <v>1478</v>
      </c>
    </row>
    <row r="127" spans="1:9" x14ac:dyDescent="0.25">
      <c r="A127" s="247" t="str">
        <f t="shared" si="1"/>
        <v>四日市南ＳＳＣ_6</v>
      </c>
      <c r="B127" s="238" t="s">
        <v>2188</v>
      </c>
      <c r="C127" s="238" t="str">
        <f>("6")</f>
        <v>6</v>
      </c>
      <c r="D127" s="238" t="s">
        <v>798</v>
      </c>
      <c r="E127" s="380" t="s">
        <v>7862</v>
      </c>
      <c r="F127" s="380" t="s">
        <v>14464</v>
      </c>
      <c r="G127" s="380">
        <v>5</v>
      </c>
      <c r="H127" s="380" t="s">
        <v>1478</v>
      </c>
    </row>
    <row r="128" spans="1:9" x14ac:dyDescent="0.25">
      <c r="A128" s="247" t="str">
        <f t="shared" si="1"/>
        <v>四日市南ＳＳＣ_7</v>
      </c>
      <c r="B128" s="238" t="s">
        <v>2188</v>
      </c>
      <c r="C128" s="238" t="str">
        <f>("7")</f>
        <v>7</v>
      </c>
      <c r="D128" s="238" t="s">
        <v>280</v>
      </c>
      <c r="E128" s="380" t="s">
        <v>5672</v>
      </c>
      <c r="F128" s="380" t="s">
        <v>6334</v>
      </c>
      <c r="G128" s="380">
        <v>6</v>
      </c>
      <c r="H128" s="380" t="s">
        <v>1478</v>
      </c>
    </row>
    <row r="129" spans="1:9" x14ac:dyDescent="0.25">
      <c r="A129" s="247" t="str">
        <f t="shared" ref="A129:A192" si="2">CONCATENATE(B129,"_",C129)</f>
        <v>四日市南ＳＳＣ_8</v>
      </c>
      <c r="B129" s="238" t="s">
        <v>2188</v>
      </c>
      <c r="C129" s="238" t="str">
        <f>("8")</f>
        <v>8</v>
      </c>
      <c r="D129" s="238" t="s">
        <v>798</v>
      </c>
      <c r="E129" s="380" t="s">
        <v>4290</v>
      </c>
      <c r="F129" s="380" t="s">
        <v>14465</v>
      </c>
      <c r="G129" s="380">
        <v>5</v>
      </c>
      <c r="H129" s="380" t="s">
        <v>1478</v>
      </c>
    </row>
    <row r="130" spans="1:9" x14ac:dyDescent="0.25">
      <c r="A130" s="247" t="str">
        <f t="shared" si="2"/>
        <v>四日市南ＳＳＣ_9</v>
      </c>
      <c r="B130" s="238" t="s">
        <v>2188</v>
      </c>
      <c r="C130" s="238" t="str">
        <f>("9")</f>
        <v>9</v>
      </c>
      <c r="D130" s="238" t="s">
        <v>798</v>
      </c>
      <c r="E130" s="380" t="s">
        <v>5673</v>
      </c>
      <c r="F130" s="380" t="s">
        <v>6335</v>
      </c>
      <c r="G130" s="380">
        <v>6</v>
      </c>
      <c r="H130" s="380" t="s">
        <v>1478</v>
      </c>
    </row>
    <row r="131" spans="1:9" x14ac:dyDescent="0.25">
      <c r="A131" s="247" t="str">
        <f t="shared" si="2"/>
        <v>四日市南ＳＳＣ_10</v>
      </c>
      <c r="B131" s="238" t="s">
        <v>2188</v>
      </c>
      <c r="C131" s="238" t="str">
        <f>("10")</f>
        <v>10</v>
      </c>
      <c r="D131" s="238" t="s">
        <v>235</v>
      </c>
      <c r="E131" s="380" t="s">
        <v>5671</v>
      </c>
      <c r="F131" s="380" t="s">
        <v>6333</v>
      </c>
      <c r="G131" s="380">
        <v>6</v>
      </c>
      <c r="H131" s="380" t="s">
        <v>1478</v>
      </c>
      <c r="I131" s="380" t="s">
        <v>408</v>
      </c>
    </row>
    <row r="132" spans="1:9" x14ac:dyDescent="0.25">
      <c r="A132" s="247" t="str">
        <f t="shared" si="2"/>
        <v>四日市南ＳＳＣ_11</v>
      </c>
      <c r="B132" s="238" t="s">
        <v>2188</v>
      </c>
      <c r="C132" s="238" t="str">
        <f>("11")</f>
        <v>11</v>
      </c>
      <c r="D132" s="238" t="s">
        <v>235</v>
      </c>
      <c r="E132" s="380" t="s">
        <v>8394</v>
      </c>
      <c r="F132" s="380" t="s">
        <v>14466</v>
      </c>
      <c r="G132" s="380">
        <v>5</v>
      </c>
      <c r="H132" s="380" t="s">
        <v>1478</v>
      </c>
    </row>
    <row r="133" spans="1:9" x14ac:dyDescent="0.25">
      <c r="A133" s="247" t="str">
        <f t="shared" si="2"/>
        <v>四日市南ＳＳＣ_12</v>
      </c>
      <c r="B133" s="238" t="s">
        <v>2188</v>
      </c>
      <c r="C133" s="238" t="str">
        <f>("12")</f>
        <v>12</v>
      </c>
      <c r="D133" s="238" t="s">
        <v>798</v>
      </c>
      <c r="E133" s="380" t="s">
        <v>8296</v>
      </c>
      <c r="F133" s="380" t="s">
        <v>14467</v>
      </c>
      <c r="G133" s="380">
        <v>5</v>
      </c>
      <c r="H133" s="380" t="s">
        <v>1478</v>
      </c>
    </row>
    <row r="134" spans="1:9" x14ac:dyDescent="0.25">
      <c r="A134" s="247" t="str">
        <f t="shared" si="2"/>
        <v>四日市南ＳＳＣ_13</v>
      </c>
      <c r="B134" s="238" t="s">
        <v>2188</v>
      </c>
      <c r="C134" s="238" t="str">
        <f>("13")</f>
        <v>13</v>
      </c>
      <c r="D134" s="238" t="s">
        <v>798</v>
      </c>
      <c r="E134" s="380" t="s">
        <v>8537</v>
      </c>
      <c r="F134" s="380" t="s">
        <v>14468</v>
      </c>
      <c r="G134" s="380">
        <v>5</v>
      </c>
      <c r="H134" s="380" t="s">
        <v>1478</v>
      </c>
    </row>
    <row r="135" spans="1:9" x14ac:dyDescent="0.25">
      <c r="A135" s="247" t="str">
        <f t="shared" si="2"/>
        <v>四日市南ＳＳＣ_14</v>
      </c>
      <c r="B135" s="238" t="s">
        <v>2188</v>
      </c>
      <c r="C135" s="238" t="str">
        <f>("14")</f>
        <v>14</v>
      </c>
      <c r="D135" s="238" t="s">
        <v>798</v>
      </c>
      <c r="E135" s="380" t="s">
        <v>5674</v>
      </c>
      <c r="F135" s="380" t="s">
        <v>6336</v>
      </c>
      <c r="G135" s="380">
        <v>5</v>
      </c>
      <c r="H135" s="380" t="s">
        <v>1478</v>
      </c>
    </row>
    <row r="136" spans="1:9" x14ac:dyDescent="0.25">
      <c r="A136" s="247" t="str">
        <f t="shared" si="2"/>
        <v>四日市南ＳＳＣ_15</v>
      </c>
      <c r="B136" s="238" t="s">
        <v>2188</v>
      </c>
      <c r="C136" s="238" t="str">
        <f>("15")</f>
        <v>15</v>
      </c>
      <c r="D136" s="238" t="s">
        <v>798</v>
      </c>
      <c r="E136" s="380" t="s">
        <v>8975</v>
      </c>
      <c r="F136" s="380" t="s">
        <v>14469</v>
      </c>
      <c r="G136" s="380">
        <v>6</v>
      </c>
      <c r="H136" s="380" t="s">
        <v>1478</v>
      </c>
    </row>
    <row r="137" spans="1:9" x14ac:dyDescent="0.25">
      <c r="A137" s="247" t="str">
        <f t="shared" si="2"/>
        <v>四日市南ＳＳＣ_16</v>
      </c>
      <c r="B137" s="238" t="s">
        <v>2188</v>
      </c>
      <c r="C137" s="238" t="str">
        <f>("16")</f>
        <v>16</v>
      </c>
      <c r="D137" s="238" t="s">
        <v>796</v>
      </c>
      <c r="E137" s="380" t="s">
        <v>8279</v>
      </c>
      <c r="F137" s="380" t="s">
        <v>14470</v>
      </c>
      <c r="G137" s="380">
        <v>5</v>
      </c>
      <c r="H137" s="380" t="s">
        <v>1478</v>
      </c>
    </row>
    <row r="138" spans="1:9" x14ac:dyDescent="0.25">
      <c r="A138" s="247" t="str">
        <f t="shared" si="2"/>
        <v>四日市南ＳＳＣ_17</v>
      </c>
      <c r="B138" s="238" t="s">
        <v>2188</v>
      </c>
      <c r="C138" s="238" t="str">
        <f>("17")</f>
        <v>17</v>
      </c>
      <c r="D138" s="238" t="s">
        <v>235</v>
      </c>
      <c r="E138" s="380" t="s">
        <v>8431</v>
      </c>
      <c r="F138" s="380" t="s">
        <v>14471</v>
      </c>
      <c r="G138" s="380">
        <v>5</v>
      </c>
      <c r="H138" s="380" t="s">
        <v>1478</v>
      </c>
    </row>
    <row r="139" spans="1:9" x14ac:dyDescent="0.25">
      <c r="A139" s="247" t="str">
        <f t="shared" si="2"/>
        <v>四日市南ＳＳＣ_20</v>
      </c>
      <c r="B139" s="238" t="s">
        <v>2188</v>
      </c>
      <c r="C139" s="238" t="str">
        <f>("20")</f>
        <v>20</v>
      </c>
      <c r="D139" s="238" t="s">
        <v>798</v>
      </c>
      <c r="E139" s="380" t="s">
        <v>8087</v>
      </c>
      <c r="F139" s="380" t="s">
        <v>14472</v>
      </c>
      <c r="G139" s="380">
        <v>5</v>
      </c>
      <c r="H139" s="380" t="s">
        <v>1478</v>
      </c>
    </row>
    <row r="140" spans="1:9" x14ac:dyDescent="0.25">
      <c r="A140" s="247" t="str">
        <f t="shared" si="2"/>
        <v>四日市北ＪＦＣ_1</v>
      </c>
      <c r="B140" s="238" t="s">
        <v>2479</v>
      </c>
      <c r="C140" s="238" t="str">
        <f>("1")</f>
        <v>1</v>
      </c>
      <c r="D140" s="238" t="s">
        <v>280</v>
      </c>
      <c r="E140" s="380" t="s">
        <v>5679</v>
      </c>
      <c r="F140" s="380" t="s">
        <v>6341</v>
      </c>
      <c r="G140" s="380">
        <v>5</v>
      </c>
      <c r="H140" s="380" t="s">
        <v>1478</v>
      </c>
    </row>
    <row r="141" spans="1:9" x14ac:dyDescent="0.25">
      <c r="A141" s="247" t="str">
        <f t="shared" si="2"/>
        <v>四日市北ＪＦＣ_2</v>
      </c>
      <c r="B141" s="238" t="s">
        <v>2479</v>
      </c>
      <c r="C141" s="238" t="str">
        <f>("2")</f>
        <v>2</v>
      </c>
      <c r="D141" s="238" t="s">
        <v>235</v>
      </c>
      <c r="E141" s="380" t="s">
        <v>5677</v>
      </c>
      <c r="F141" s="380" t="s">
        <v>6339</v>
      </c>
      <c r="G141" s="380">
        <v>5</v>
      </c>
      <c r="H141" s="380" t="s">
        <v>1478</v>
      </c>
    </row>
    <row r="142" spans="1:9" x14ac:dyDescent="0.25">
      <c r="A142" s="247" t="str">
        <f t="shared" si="2"/>
        <v>四日市北ＪＦＣ_3</v>
      </c>
      <c r="B142" s="238" t="s">
        <v>2479</v>
      </c>
      <c r="C142" s="238" t="str">
        <f>("3")</f>
        <v>3</v>
      </c>
      <c r="D142" s="238" t="s">
        <v>798</v>
      </c>
      <c r="E142" s="380" t="s">
        <v>5680</v>
      </c>
      <c r="F142" s="380" t="s">
        <v>6342</v>
      </c>
      <c r="G142" s="380">
        <v>5</v>
      </c>
      <c r="H142" s="380" t="s">
        <v>1478</v>
      </c>
    </row>
    <row r="143" spans="1:9" x14ac:dyDescent="0.25">
      <c r="A143" s="247" t="str">
        <f t="shared" si="2"/>
        <v>四日市北ＪＦＣ_4</v>
      </c>
      <c r="B143" s="238" t="s">
        <v>2479</v>
      </c>
      <c r="C143" s="238" t="str">
        <f>("4")</f>
        <v>4</v>
      </c>
      <c r="D143" s="238" t="s">
        <v>235</v>
      </c>
      <c r="E143" s="380" t="s">
        <v>8371</v>
      </c>
      <c r="F143" s="380" t="s">
        <v>14473</v>
      </c>
      <c r="G143" s="380">
        <v>5</v>
      </c>
      <c r="H143" s="380" t="s">
        <v>1478</v>
      </c>
    </row>
    <row r="144" spans="1:9" x14ac:dyDescent="0.25">
      <c r="A144" s="247" t="str">
        <f t="shared" si="2"/>
        <v>四日市北ＪＦＣ_5</v>
      </c>
      <c r="B144" s="238" t="s">
        <v>2479</v>
      </c>
      <c r="C144" s="238" t="str">
        <f>("5")</f>
        <v>5</v>
      </c>
      <c r="D144" s="238" t="s">
        <v>798</v>
      </c>
      <c r="E144" s="380" t="s">
        <v>8483</v>
      </c>
      <c r="F144" s="380" t="s">
        <v>14474</v>
      </c>
      <c r="G144" s="380">
        <v>5</v>
      </c>
      <c r="H144" s="380" t="s">
        <v>1478</v>
      </c>
    </row>
    <row r="145" spans="1:9" x14ac:dyDescent="0.25">
      <c r="A145" s="247" t="str">
        <f t="shared" si="2"/>
        <v>四日市北ＪＦＣ_6</v>
      </c>
      <c r="B145" s="238" t="s">
        <v>2479</v>
      </c>
      <c r="C145" s="238" t="str">
        <f>("6")</f>
        <v>6</v>
      </c>
      <c r="D145" s="238" t="s">
        <v>798</v>
      </c>
      <c r="E145" s="380" t="s">
        <v>5681</v>
      </c>
      <c r="F145" s="380" t="s">
        <v>6343</v>
      </c>
      <c r="G145" s="380">
        <v>5</v>
      </c>
      <c r="H145" s="380" t="s">
        <v>1478</v>
      </c>
    </row>
    <row r="146" spans="1:9" x14ac:dyDescent="0.25">
      <c r="A146" s="247" t="str">
        <f t="shared" si="2"/>
        <v>四日市北ＪＦＣ_7</v>
      </c>
      <c r="B146" s="238" t="s">
        <v>2479</v>
      </c>
      <c r="C146" s="238" t="str">
        <f>("7")</f>
        <v>7</v>
      </c>
      <c r="D146" s="238" t="s">
        <v>280</v>
      </c>
      <c r="E146" s="380" t="s">
        <v>3905</v>
      </c>
      <c r="F146" s="380" t="s">
        <v>3906</v>
      </c>
      <c r="G146" s="380">
        <v>6</v>
      </c>
      <c r="H146" s="380" t="s">
        <v>1480</v>
      </c>
    </row>
    <row r="147" spans="1:9" x14ac:dyDescent="0.25">
      <c r="A147" s="247" t="str">
        <f t="shared" si="2"/>
        <v>四日市北ＪＦＣ_8</v>
      </c>
      <c r="B147" s="238" t="s">
        <v>2479</v>
      </c>
      <c r="C147" s="238" t="str">
        <f>("8")</f>
        <v>8</v>
      </c>
      <c r="D147" s="238" t="s">
        <v>235</v>
      </c>
      <c r="E147" s="380" t="s">
        <v>5676</v>
      </c>
      <c r="F147" s="380" t="s">
        <v>6338</v>
      </c>
      <c r="G147" s="380">
        <v>6</v>
      </c>
      <c r="H147" s="380" t="s">
        <v>1478</v>
      </c>
    </row>
    <row r="148" spans="1:9" x14ac:dyDescent="0.25">
      <c r="A148" s="247" t="str">
        <f t="shared" si="2"/>
        <v>四日市北ＪＦＣ_9</v>
      </c>
      <c r="B148" s="238" t="s">
        <v>2479</v>
      </c>
      <c r="C148" s="238" t="str">
        <f>("9")</f>
        <v>9</v>
      </c>
      <c r="D148" s="238" t="s">
        <v>798</v>
      </c>
      <c r="E148" s="380" t="s">
        <v>5678</v>
      </c>
      <c r="F148" s="380" t="s">
        <v>6340</v>
      </c>
      <c r="G148" s="380">
        <v>5</v>
      </c>
      <c r="H148" s="380" t="s">
        <v>1478</v>
      </c>
    </row>
    <row r="149" spans="1:9" x14ac:dyDescent="0.25">
      <c r="A149" s="247" t="str">
        <f t="shared" si="2"/>
        <v>四日市北ＪＦＣ_10</v>
      </c>
      <c r="B149" s="238" t="s">
        <v>2479</v>
      </c>
      <c r="C149" s="238" t="str">
        <f>("10")</f>
        <v>10</v>
      </c>
      <c r="D149" s="238" t="s">
        <v>798</v>
      </c>
      <c r="E149" s="380" t="s">
        <v>4247</v>
      </c>
      <c r="F149" s="380" t="s">
        <v>4248</v>
      </c>
      <c r="G149" s="380">
        <v>6</v>
      </c>
      <c r="H149" s="380" t="s">
        <v>1478</v>
      </c>
      <c r="I149" s="380" t="s">
        <v>408</v>
      </c>
    </row>
    <row r="150" spans="1:9" x14ac:dyDescent="0.25">
      <c r="A150" s="247" t="str">
        <f t="shared" si="2"/>
        <v>四日市北ＪＦＣ_11</v>
      </c>
      <c r="B150" s="238" t="s">
        <v>2479</v>
      </c>
      <c r="C150" s="238" t="str">
        <f>("11")</f>
        <v>11</v>
      </c>
      <c r="D150" s="238" t="s">
        <v>235</v>
      </c>
      <c r="E150" s="380" t="s">
        <v>3903</v>
      </c>
      <c r="F150" s="380" t="s">
        <v>3904</v>
      </c>
      <c r="G150" s="380">
        <v>6</v>
      </c>
      <c r="H150" s="380" t="s">
        <v>1478</v>
      </c>
    </row>
    <row r="151" spans="1:9" x14ac:dyDescent="0.25">
      <c r="A151" s="247" t="str">
        <f t="shared" si="2"/>
        <v>四日市北ＪＦＣ_13</v>
      </c>
      <c r="B151" s="238" t="s">
        <v>2479</v>
      </c>
      <c r="C151" s="238" t="str">
        <f>("13")</f>
        <v>13</v>
      </c>
      <c r="D151" s="238" t="s">
        <v>798</v>
      </c>
      <c r="E151" s="380" t="s">
        <v>8338</v>
      </c>
      <c r="F151" s="380" t="s">
        <v>14475</v>
      </c>
      <c r="G151" s="380">
        <v>5</v>
      </c>
      <c r="H151" s="380" t="s">
        <v>1478</v>
      </c>
    </row>
    <row r="152" spans="1:9" x14ac:dyDescent="0.25">
      <c r="A152" s="247" t="str">
        <f t="shared" si="2"/>
        <v>四日市北ＪＦＣ_14</v>
      </c>
      <c r="B152" s="238" t="s">
        <v>2479</v>
      </c>
      <c r="C152" s="238" t="str">
        <f>("14")</f>
        <v>14</v>
      </c>
      <c r="D152" s="238" t="s">
        <v>798</v>
      </c>
      <c r="E152" s="380" t="s">
        <v>7837</v>
      </c>
      <c r="F152" s="380" t="s">
        <v>14476</v>
      </c>
      <c r="G152" s="380">
        <v>5</v>
      </c>
      <c r="H152" s="380" t="s">
        <v>1478</v>
      </c>
    </row>
    <row r="153" spans="1:9" x14ac:dyDescent="0.25">
      <c r="A153" s="247" t="str">
        <f t="shared" si="2"/>
        <v>四日市北ＪＦＣ_16</v>
      </c>
      <c r="B153" s="238" t="s">
        <v>2479</v>
      </c>
      <c r="C153" s="238" t="str">
        <f>("16")</f>
        <v>16</v>
      </c>
      <c r="D153" s="238" t="s">
        <v>796</v>
      </c>
      <c r="E153" s="380" t="s">
        <v>8358</v>
      </c>
      <c r="F153" s="380" t="s">
        <v>14477</v>
      </c>
      <c r="G153" s="380">
        <v>5</v>
      </c>
      <c r="H153" s="380" t="s">
        <v>1478</v>
      </c>
    </row>
    <row r="154" spans="1:9" x14ac:dyDescent="0.25">
      <c r="A154" s="247" t="str">
        <f t="shared" si="2"/>
        <v>東　Ｆ　Ｃ_1</v>
      </c>
      <c r="B154" s="238" t="s">
        <v>5615</v>
      </c>
      <c r="C154" s="238" t="str">
        <f>("1")</f>
        <v>1</v>
      </c>
      <c r="D154" s="238" t="s">
        <v>796</v>
      </c>
      <c r="E154" s="380" t="s">
        <v>4251</v>
      </c>
      <c r="F154" s="380" t="s">
        <v>4252</v>
      </c>
      <c r="G154" s="380">
        <v>6</v>
      </c>
      <c r="H154" s="380" t="s">
        <v>1478</v>
      </c>
    </row>
    <row r="155" spans="1:9" x14ac:dyDescent="0.25">
      <c r="A155" s="247" t="str">
        <f t="shared" si="2"/>
        <v>東　Ｆ　Ｃ_2</v>
      </c>
      <c r="B155" s="238" t="s">
        <v>5615</v>
      </c>
      <c r="C155" s="238" t="str">
        <f>("2")</f>
        <v>2</v>
      </c>
      <c r="D155" s="238" t="s">
        <v>798</v>
      </c>
      <c r="E155" s="380" t="s">
        <v>8512</v>
      </c>
      <c r="F155" s="380" t="s">
        <v>14478</v>
      </c>
      <c r="G155" s="380">
        <v>5</v>
      </c>
      <c r="H155" s="380" t="s">
        <v>1478</v>
      </c>
    </row>
    <row r="156" spans="1:9" x14ac:dyDescent="0.25">
      <c r="A156" s="247" t="str">
        <f t="shared" si="2"/>
        <v>東　Ｆ　Ｃ_3</v>
      </c>
      <c r="B156" s="238" t="s">
        <v>5615</v>
      </c>
      <c r="C156" s="238" t="str">
        <f>("3")</f>
        <v>3</v>
      </c>
      <c r="D156" s="238" t="s">
        <v>798</v>
      </c>
      <c r="E156" s="380" t="s">
        <v>5686</v>
      </c>
      <c r="F156" s="380" t="s">
        <v>6348</v>
      </c>
      <c r="G156" s="380">
        <v>5</v>
      </c>
      <c r="H156" s="380" t="s">
        <v>1478</v>
      </c>
    </row>
    <row r="157" spans="1:9" x14ac:dyDescent="0.25">
      <c r="A157" s="247" t="str">
        <f t="shared" si="2"/>
        <v>東　Ｆ　Ｃ_4</v>
      </c>
      <c r="B157" s="238" t="s">
        <v>5615</v>
      </c>
      <c r="C157" s="238" t="str">
        <f>("4")</f>
        <v>4</v>
      </c>
      <c r="D157" s="238" t="s">
        <v>235</v>
      </c>
      <c r="E157" s="380" t="s">
        <v>5684</v>
      </c>
      <c r="F157" s="380" t="s">
        <v>6346</v>
      </c>
      <c r="G157" s="380">
        <v>6</v>
      </c>
      <c r="H157" s="380" t="s">
        <v>1478</v>
      </c>
    </row>
    <row r="158" spans="1:9" x14ac:dyDescent="0.25">
      <c r="A158" s="247" t="str">
        <f t="shared" si="2"/>
        <v>東　Ｆ　Ｃ_5</v>
      </c>
      <c r="B158" s="238" t="s">
        <v>5615</v>
      </c>
      <c r="C158" s="238" t="str">
        <f>("5")</f>
        <v>5</v>
      </c>
      <c r="D158" s="238" t="s">
        <v>798</v>
      </c>
      <c r="E158" s="380" t="s">
        <v>5683</v>
      </c>
      <c r="F158" s="380" t="s">
        <v>6345</v>
      </c>
      <c r="G158" s="380">
        <v>6</v>
      </c>
      <c r="H158" s="380" t="s">
        <v>1478</v>
      </c>
    </row>
    <row r="159" spans="1:9" x14ac:dyDescent="0.25">
      <c r="A159" s="247" t="str">
        <f t="shared" si="2"/>
        <v>東　Ｆ　Ｃ_6</v>
      </c>
      <c r="B159" s="238" t="s">
        <v>5615</v>
      </c>
      <c r="C159" s="238" t="str">
        <f>("6")</f>
        <v>6</v>
      </c>
      <c r="D159" s="238" t="s">
        <v>280</v>
      </c>
      <c r="E159" s="380" t="s">
        <v>5687</v>
      </c>
      <c r="F159" s="380" t="s">
        <v>6349</v>
      </c>
      <c r="G159" s="380">
        <v>5</v>
      </c>
      <c r="H159" s="380" t="s">
        <v>1478</v>
      </c>
    </row>
    <row r="160" spans="1:9" x14ac:dyDescent="0.25">
      <c r="A160" s="247" t="str">
        <f t="shared" si="2"/>
        <v>東　Ｆ　Ｃ_7</v>
      </c>
      <c r="B160" s="238" t="s">
        <v>5615</v>
      </c>
      <c r="C160" s="238" t="str">
        <f>("7")</f>
        <v>7</v>
      </c>
      <c r="D160" s="238" t="s">
        <v>235</v>
      </c>
      <c r="E160" s="380" t="s">
        <v>4253</v>
      </c>
      <c r="F160" s="380" t="s">
        <v>4254</v>
      </c>
      <c r="G160" s="380">
        <v>6</v>
      </c>
      <c r="H160" s="380" t="s">
        <v>1478</v>
      </c>
    </row>
    <row r="161" spans="1:9" x14ac:dyDescent="0.25">
      <c r="A161" s="247" t="str">
        <f t="shared" si="2"/>
        <v>東　Ｆ　Ｃ_8</v>
      </c>
      <c r="B161" s="238" t="s">
        <v>5615</v>
      </c>
      <c r="C161" s="238" t="str">
        <f>("8")</f>
        <v>8</v>
      </c>
      <c r="D161" s="238" t="s">
        <v>798</v>
      </c>
      <c r="E161" s="380" t="s">
        <v>5685</v>
      </c>
      <c r="F161" s="380" t="s">
        <v>6347</v>
      </c>
      <c r="G161" s="380">
        <v>5</v>
      </c>
      <c r="H161" s="380" t="s">
        <v>1478</v>
      </c>
    </row>
    <row r="162" spans="1:9" x14ac:dyDescent="0.25">
      <c r="A162" s="247" t="str">
        <f t="shared" si="2"/>
        <v>東　Ｆ　Ｃ_9</v>
      </c>
      <c r="B162" s="238" t="s">
        <v>5615</v>
      </c>
      <c r="C162" s="238" t="str">
        <f>("9")</f>
        <v>9</v>
      </c>
      <c r="D162" s="238" t="s">
        <v>280</v>
      </c>
      <c r="E162" s="380" t="s">
        <v>4255</v>
      </c>
      <c r="F162" s="380" t="s">
        <v>4256</v>
      </c>
      <c r="G162" s="380">
        <v>6</v>
      </c>
      <c r="H162" s="380" t="s">
        <v>1478</v>
      </c>
    </row>
    <row r="163" spans="1:9" x14ac:dyDescent="0.25">
      <c r="A163" s="247" t="str">
        <f t="shared" si="2"/>
        <v>東　Ｆ　Ｃ_10</v>
      </c>
      <c r="B163" s="238" t="s">
        <v>5615</v>
      </c>
      <c r="C163" s="238" t="str">
        <f>("10")</f>
        <v>10</v>
      </c>
      <c r="D163" s="238" t="s">
        <v>798</v>
      </c>
      <c r="E163" s="380" t="s">
        <v>4249</v>
      </c>
      <c r="F163" s="380" t="s">
        <v>4250</v>
      </c>
      <c r="G163" s="380">
        <v>6</v>
      </c>
      <c r="H163" s="380" t="s">
        <v>1478</v>
      </c>
      <c r="I163" s="380" t="s">
        <v>408</v>
      </c>
    </row>
    <row r="164" spans="1:9" x14ac:dyDescent="0.25">
      <c r="A164" s="247" t="str">
        <f t="shared" si="2"/>
        <v>東　Ｆ　Ｃ_11</v>
      </c>
      <c r="B164" s="238" t="s">
        <v>5615</v>
      </c>
      <c r="C164" s="238" t="str">
        <f>("11")</f>
        <v>11</v>
      </c>
      <c r="D164" s="238" t="s">
        <v>280</v>
      </c>
      <c r="E164" s="380" t="s">
        <v>5682</v>
      </c>
      <c r="F164" s="380" t="s">
        <v>6344</v>
      </c>
      <c r="G164" s="380">
        <v>6</v>
      </c>
      <c r="H164" s="380" t="s">
        <v>1480</v>
      </c>
    </row>
    <row r="165" spans="1:9" x14ac:dyDescent="0.25">
      <c r="A165" s="247" t="str">
        <f t="shared" si="2"/>
        <v>東　Ｆ　Ｃ_12</v>
      </c>
      <c r="B165" s="238" t="s">
        <v>5615</v>
      </c>
      <c r="C165" s="238" t="str">
        <f>("12")</f>
        <v>12</v>
      </c>
      <c r="D165" s="238" t="s">
        <v>796</v>
      </c>
      <c r="E165" s="380" t="s">
        <v>5688</v>
      </c>
      <c r="F165" s="380" t="s">
        <v>6350</v>
      </c>
      <c r="G165" s="380">
        <v>5</v>
      </c>
      <c r="H165" s="380" t="s">
        <v>1478</v>
      </c>
    </row>
    <row r="166" spans="1:9" x14ac:dyDescent="0.25">
      <c r="A166" s="247" t="str">
        <f t="shared" si="2"/>
        <v>東　Ｆ　Ｃ_13</v>
      </c>
      <c r="B166" s="238" t="s">
        <v>5615</v>
      </c>
      <c r="C166" s="238" t="str">
        <f>("13")</f>
        <v>13</v>
      </c>
      <c r="D166" s="238" t="s">
        <v>798</v>
      </c>
      <c r="E166" s="380" t="s">
        <v>8304</v>
      </c>
      <c r="F166" s="380" t="s">
        <v>14479</v>
      </c>
      <c r="G166" s="380">
        <v>5</v>
      </c>
      <c r="H166" s="380" t="s">
        <v>1478</v>
      </c>
    </row>
    <row r="167" spans="1:9" x14ac:dyDescent="0.25">
      <c r="A167" s="247" t="str">
        <f t="shared" si="2"/>
        <v>東　Ｆ　Ｃ_14</v>
      </c>
      <c r="B167" s="238" t="s">
        <v>5615</v>
      </c>
      <c r="C167" s="238" t="str">
        <f>("14")</f>
        <v>14</v>
      </c>
      <c r="D167" s="238" t="s">
        <v>798</v>
      </c>
      <c r="E167" s="380" t="s">
        <v>7889</v>
      </c>
      <c r="F167" s="380" t="s">
        <v>14480</v>
      </c>
      <c r="G167" s="380">
        <v>5</v>
      </c>
      <c r="H167" s="380" t="s">
        <v>1480</v>
      </c>
    </row>
    <row r="168" spans="1:9" x14ac:dyDescent="0.25">
      <c r="A168" s="247" t="str">
        <f t="shared" si="2"/>
        <v>東　Ｆ　Ｃ_15</v>
      </c>
      <c r="B168" s="238" t="s">
        <v>5615</v>
      </c>
      <c r="C168" s="238" t="str">
        <f>("15")</f>
        <v>15</v>
      </c>
      <c r="D168" s="238" t="s">
        <v>798</v>
      </c>
      <c r="E168" s="380" t="s">
        <v>9071</v>
      </c>
      <c r="F168" s="380" t="s">
        <v>14481</v>
      </c>
      <c r="G168" s="380">
        <v>4</v>
      </c>
      <c r="H168" s="380" t="s">
        <v>1478</v>
      </c>
    </row>
    <row r="169" spans="1:9" x14ac:dyDescent="0.25">
      <c r="A169" s="247" t="str">
        <f t="shared" si="2"/>
        <v>東　Ｆ　Ｃ_16</v>
      </c>
      <c r="B169" s="238" t="s">
        <v>5615</v>
      </c>
      <c r="C169" s="238" t="str">
        <f>("16")</f>
        <v>16</v>
      </c>
      <c r="D169" s="238" t="s">
        <v>798</v>
      </c>
      <c r="E169" s="380" t="s">
        <v>9235</v>
      </c>
      <c r="F169" s="380" t="s">
        <v>14482</v>
      </c>
      <c r="G169" s="380">
        <v>4</v>
      </c>
      <c r="H169" s="380" t="s">
        <v>1478</v>
      </c>
    </row>
    <row r="170" spans="1:9" x14ac:dyDescent="0.25">
      <c r="A170" s="247" t="str">
        <f t="shared" si="2"/>
        <v>東　Ｆ　Ｃ_17</v>
      </c>
      <c r="B170" s="238" t="s">
        <v>5615</v>
      </c>
      <c r="C170" s="238" t="str">
        <f>("17")</f>
        <v>17</v>
      </c>
      <c r="D170" s="238" t="s">
        <v>798</v>
      </c>
      <c r="E170" s="380" t="s">
        <v>9146</v>
      </c>
      <c r="F170" s="380" t="s">
        <v>14483</v>
      </c>
      <c r="G170" s="380">
        <v>4</v>
      </c>
      <c r="H170" s="380" t="s">
        <v>1478</v>
      </c>
    </row>
    <row r="171" spans="1:9" x14ac:dyDescent="0.25">
      <c r="A171" s="247" t="str">
        <f t="shared" si="2"/>
        <v>東　Ｆ　Ｃ_18</v>
      </c>
      <c r="B171" s="238" t="s">
        <v>5615</v>
      </c>
      <c r="C171" s="238" t="str">
        <f>("18")</f>
        <v>18</v>
      </c>
      <c r="D171" s="238" t="s">
        <v>798</v>
      </c>
      <c r="E171" s="380" t="s">
        <v>9492</v>
      </c>
      <c r="F171" s="380" t="s">
        <v>14484</v>
      </c>
      <c r="G171" s="380">
        <v>4</v>
      </c>
      <c r="H171" s="380" t="s">
        <v>1478</v>
      </c>
    </row>
    <row r="172" spans="1:9" x14ac:dyDescent="0.25">
      <c r="A172" s="247" t="str">
        <f t="shared" si="2"/>
        <v>八坂少年サッカークラブ_1</v>
      </c>
      <c r="B172" s="238" t="s">
        <v>334</v>
      </c>
      <c r="C172" s="238" t="str">
        <f>("1")</f>
        <v>1</v>
      </c>
      <c r="D172" s="238" t="s">
        <v>796</v>
      </c>
      <c r="E172" s="380" t="s">
        <v>5689</v>
      </c>
      <c r="F172" s="380" t="s">
        <v>6351</v>
      </c>
      <c r="G172" s="380">
        <v>6</v>
      </c>
      <c r="H172" s="380" t="s">
        <v>1478</v>
      </c>
    </row>
    <row r="173" spans="1:9" x14ac:dyDescent="0.25">
      <c r="A173" s="247" t="str">
        <f t="shared" si="2"/>
        <v>八坂少年サッカークラブ_2</v>
      </c>
      <c r="B173" s="238" t="s">
        <v>334</v>
      </c>
      <c r="C173" s="238" t="str">
        <f>("2")</f>
        <v>2</v>
      </c>
      <c r="D173" s="238" t="s">
        <v>798</v>
      </c>
      <c r="E173" s="380" t="s">
        <v>10209</v>
      </c>
      <c r="F173" s="380" t="s">
        <v>14485</v>
      </c>
      <c r="G173" s="380">
        <v>2</v>
      </c>
      <c r="H173" s="380" t="s">
        <v>1478</v>
      </c>
    </row>
    <row r="174" spans="1:9" x14ac:dyDescent="0.25">
      <c r="A174" s="247" t="str">
        <f t="shared" si="2"/>
        <v>八坂少年サッカークラブ_3</v>
      </c>
      <c r="B174" s="238" t="s">
        <v>334</v>
      </c>
      <c r="C174" s="238" t="str">
        <f>("3")</f>
        <v>3</v>
      </c>
      <c r="D174" s="238" t="s">
        <v>280</v>
      </c>
      <c r="E174" s="380" t="s">
        <v>10092</v>
      </c>
      <c r="F174" s="380" t="s">
        <v>14486</v>
      </c>
      <c r="G174" s="380">
        <v>3</v>
      </c>
      <c r="H174" s="380" t="s">
        <v>1480</v>
      </c>
    </row>
    <row r="175" spans="1:9" x14ac:dyDescent="0.25">
      <c r="A175" s="247" t="str">
        <f t="shared" si="2"/>
        <v>八坂少年サッカークラブ_4</v>
      </c>
      <c r="B175" s="238" t="s">
        <v>334</v>
      </c>
      <c r="C175" s="238" t="str">
        <f>("4")</f>
        <v>4</v>
      </c>
      <c r="D175" s="238" t="s">
        <v>235</v>
      </c>
      <c r="E175" s="380" t="s">
        <v>10032</v>
      </c>
      <c r="F175" s="380" t="s">
        <v>14487</v>
      </c>
      <c r="G175" s="380">
        <v>3</v>
      </c>
      <c r="H175" s="380" t="s">
        <v>1478</v>
      </c>
    </row>
    <row r="176" spans="1:9" x14ac:dyDescent="0.25">
      <c r="A176" s="247" t="str">
        <f t="shared" si="2"/>
        <v>八坂少年サッカークラブ_5</v>
      </c>
      <c r="B176" s="238" t="s">
        <v>334</v>
      </c>
      <c r="C176" s="238" t="str">
        <f>("5")</f>
        <v>5</v>
      </c>
      <c r="D176" s="238" t="s">
        <v>280</v>
      </c>
      <c r="E176" s="380" t="s">
        <v>5690</v>
      </c>
      <c r="F176" s="380" t="s">
        <v>6352</v>
      </c>
      <c r="G176" s="380">
        <v>6</v>
      </c>
      <c r="H176" s="380" t="s">
        <v>1478</v>
      </c>
    </row>
    <row r="177" spans="1:9" x14ac:dyDescent="0.25">
      <c r="A177" s="247" t="str">
        <f t="shared" si="2"/>
        <v>八坂少年サッカークラブ_6</v>
      </c>
      <c r="B177" s="238" t="s">
        <v>334</v>
      </c>
      <c r="C177" s="238" t="str">
        <f>("6")</f>
        <v>6</v>
      </c>
      <c r="D177" s="238" t="s">
        <v>280</v>
      </c>
      <c r="E177" s="380" t="s">
        <v>4257</v>
      </c>
      <c r="F177" s="380" t="s">
        <v>4258</v>
      </c>
      <c r="G177" s="380">
        <v>5</v>
      </c>
      <c r="H177" s="380" t="s">
        <v>1478</v>
      </c>
    </row>
    <row r="178" spans="1:9" x14ac:dyDescent="0.25">
      <c r="A178" s="247" t="str">
        <f t="shared" si="2"/>
        <v>八坂少年サッカークラブ_7</v>
      </c>
      <c r="B178" s="238" t="s">
        <v>334</v>
      </c>
      <c r="C178" s="238" t="str">
        <f>("7")</f>
        <v>7</v>
      </c>
      <c r="D178" s="238" t="s">
        <v>235</v>
      </c>
      <c r="E178" s="380" t="s">
        <v>4259</v>
      </c>
      <c r="F178" s="380" t="s">
        <v>4260</v>
      </c>
      <c r="G178" s="380">
        <v>5</v>
      </c>
      <c r="H178" s="380" t="s">
        <v>1478</v>
      </c>
    </row>
    <row r="179" spans="1:9" x14ac:dyDescent="0.25">
      <c r="A179" s="247" t="str">
        <f t="shared" si="2"/>
        <v>八坂少年サッカークラブ_8</v>
      </c>
      <c r="B179" s="238" t="s">
        <v>334</v>
      </c>
      <c r="C179" s="238" t="str">
        <f>("8")</f>
        <v>8</v>
      </c>
      <c r="D179" s="238" t="s">
        <v>280</v>
      </c>
      <c r="E179" s="380" t="s">
        <v>5691</v>
      </c>
      <c r="F179" s="380" t="s">
        <v>6353</v>
      </c>
      <c r="G179" s="380">
        <v>6</v>
      </c>
      <c r="H179" s="380" t="s">
        <v>1478</v>
      </c>
    </row>
    <row r="180" spans="1:9" x14ac:dyDescent="0.25">
      <c r="A180" s="247" t="str">
        <f t="shared" si="2"/>
        <v>八坂少年サッカークラブ_9</v>
      </c>
      <c r="B180" s="238" t="s">
        <v>334</v>
      </c>
      <c r="C180" s="238" t="str">
        <f>("9")</f>
        <v>9</v>
      </c>
      <c r="D180" s="238" t="s">
        <v>235</v>
      </c>
      <c r="E180" s="380" t="s">
        <v>3909</v>
      </c>
      <c r="F180" s="380" t="s">
        <v>3910</v>
      </c>
      <c r="G180" s="380">
        <v>6</v>
      </c>
      <c r="H180" s="380" t="s">
        <v>1478</v>
      </c>
      <c r="I180" s="380" t="s">
        <v>408</v>
      </c>
    </row>
    <row r="181" spans="1:9" x14ac:dyDescent="0.25">
      <c r="A181" s="247" t="str">
        <f t="shared" si="2"/>
        <v>八坂少年サッカークラブ_10</v>
      </c>
      <c r="B181" s="238" t="s">
        <v>334</v>
      </c>
      <c r="C181" s="238" t="str">
        <f>("10")</f>
        <v>10</v>
      </c>
      <c r="D181" s="238" t="s">
        <v>798</v>
      </c>
      <c r="E181" s="380" t="s">
        <v>3911</v>
      </c>
      <c r="F181" s="380" t="s">
        <v>3912</v>
      </c>
      <c r="G181" s="380">
        <v>6</v>
      </c>
      <c r="H181" s="380" t="s">
        <v>1478</v>
      </c>
    </row>
    <row r="182" spans="1:9" x14ac:dyDescent="0.25">
      <c r="A182" s="247" t="str">
        <f t="shared" si="2"/>
        <v>八坂少年サッカークラブ_11</v>
      </c>
      <c r="B182" s="238" t="s">
        <v>334</v>
      </c>
      <c r="C182" s="238" t="str">
        <f>("11")</f>
        <v>11</v>
      </c>
      <c r="D182" s="238" t="s">
        <v>235</v>
      </c>
      <c r="E182" s="380" t="s">
        <v>4263</v>
      </c>
      <c r="F182" s="380" t="s">
        <v>4264</v>
      </c>
      <c r="G182" s="380">
        <v>5</v>
      </c>
      <c r="H182" s="380" t="s">
        <v>1478</v>
      </c>
    </row>
    <row r="183" spans="1:9" x14ac:dyDescent="0.25">
      <c r="A183" s="247" t="str">
        <f t="shared" si="2"/>
        <v>八坂少年サッカークラブ_12</v>
      </c>
      <c r="B183" s="238" t="s">
        <v>334</v>
      </c>
      <c r="C183" s="238" t="str">
        <f>("12")</f>
        <v>12</v>
      </c>
      <c r="D183" s="238" t="s">
        <v>798</v>
      </c>
      <c r="E183" s="380" t="s">
        <v>5692</v>
      </c>
      <c r="F183" s="380" t="s">
        <v>6354</v>
      </c>
      <c r="G183" s="380">
        <v>4</v>
      </c>
      <c r="H183" s="380" t="s">
        <v>1478</v>
      </c>
    </row>
    <row r="184" spans="1:9" x14ac:dyDescent="0.25">
      <c r="A184" s="247" t="str">
        <f t="shared" si="2"/>
        <v>八坂少年サッカークラブ_13</v>
      </c>
      <c r="B184" s="238" t="s">
        <v>334</v>
      </c>
      <c r="C184" s="238" t="str">
        <f>("13")</f>
        <v>13</v>
      </c>
      <c r="D184" s="238" t="s">
        <v>235</v>
      </c>
      <c r="E184" s="380" t="s">
        <v>4261</v>
      </c>
      <c r="F184" s="380" t="s">
        <v>4262</v>
      </c>
      <c r="G184" s="380">
        <v>5</v>
      </c>
      <c r="H184" s="380" t="s">
        <v>1478</v>
      </c>
    </row>
    <row r="185" spans="1:9" x14ac:dyDescent="0.25">
      <c r="A185" s="247" t="str">
        <f t="shared" si="2"/>
        <v>八坂少年サッカークラブ_14</v>
      </c>
      <c r="B185" s="238" t="s">
        <v>334</v>
      </c>
      <c r="C185" s="238" t="str">
        <f>("14")</f>
        <v>14</v>
      </c>
      <c r="D185" s="238" t="s">
        <v>280</v>
      </c>
      <c r="E185" s="380" t="s">
        <v>10310</v>
      </c>
      <c r="F185" s="380" t="s">
        <v>14488</v>
      </c>
      <c r="G185" s="380">
        <v>2</v>
      </c>
      <c r="H185" s="380" t="s">
        <v>1478</v>
      </c>
    </row>
    <row r="186" spans="1:9" x14ac:dyDescent="0.25">
      <c r="A186" s="247" t="str">
        <f t="shared" si="2"/>
        <v>八坂少年サッカークラブ_15</v>
      </c>
      <c r="B186" s="238" t="s">
        <v>334</v>
      </c>
      <c r="C186" s="238" t="str">
        <f>("15")</f>
        <v>15</v>
      </c>
      <c r="D186" s="238" t="s">
        <v>280</v>
      </c>
      <c r="E186" s="380" t="s">
        <v>10275</v>
      </c>
      <c r="F186" s="380" t="s">
        <v>14489</v>
      </c>
      <c r="G186" s="380">
        <v>2</v>
      </c>
      <c r="H186" s="380" t="s">
        <v>1478</v>
      </c>
    </row>
    <row r="187" spans="1:9" x14ac:dyDescent="0.25">
      <c r="A187" s="247" t="str">
        <f t="shared" si="2"/>
        <v>国東ジュニアサッカークラブ_1</v>
      </c>
      <c r="B187" s="238" t="s">
        <v>3866</v>
      </c>
      <c r="C187" s="238" t="str">
        <f>("1")</f>
        <v>1</v>
      </c>
      <c r="D187" s="238" t="s">
        <v>796</v>
      </c>
      <c r="E187" s="380" t="s">
        <v>5698</v>
      </c>
      <c r="F187" s="380" t="s">
        <v>6359</v>
      </c>
      <c r="G187" s="380">
        <v>5</v>
      </c>
      <c r="H187" s="380" t="s">
        <v>1478</v>
      </c>
    </row>
    <row r="188" spans="1:9" x14ac:dyDescent="0.25">
      <c r="A188" s="247" t="str">
        <f t="shared" si="2"/>
        <v>国東ジュニアサッカークラブ_2</v>
      </c>
      <c r="B188" s="238" t="s">
        <v>3866</v>
      </c>
      <c r="C188" s="238" t="str">
        <f>("2")</f>
        <v>2</v>
      </c>
      <c r="D188" s="238" t="s">
        <v>280</v>
      </c>
      <c r="E188" s="380" t="s">
        <v>4269</v>
      </c>
      <c r="F188" s="380" t="s">
        <v>4270</v>
      </c>
      <c r="G188" s="380">
        <v>6</v>
      </c>
      <c r="H188" s="380" t="s">
        <v>1478</v>
      </c>
    </row>
    <row r="189" spans="1:9" x14ac:dyDescent="0.25">
      <c r="A189" s="247" t="str">
        <f t="shared" si="2"/>
        <v>国東ジュニアサッカークラブ_3</v>
      </c>
      <c r="B189" s="238" t="s">
        <v>3866</v>
      </c>
      <c r="C189" s="238" t="str">
        <f>("3")</f>
        <v>3</v>
      </c>
      <c r="D189" s="238" t="s">
        <v>798</v>
      </c>
      <c r="E189" s="380" t="s">
        <v>5699</v>
      </c>
      <c r="F189" s="380" t="s">
        <v>6360</v>
      </c>
      <c r="G189" s="380">
        <v>5</v>
      </c>
      <c r="H189" s="380" t="s">
        <v>1478</v>
      </c>
    </row>
    <row r="190" spans="1:9" x14ac:dyDescent="0.25">
      <c r="A190" s="247" t="str">
        <f t="shared" si="2"/>
        <v>国東ジュニアサッカークラブ_4</v>
      </c>
      <c r="B190" s="238" t="s">
        <v>3866</v>
      </c>
      <c r="C190" s="238" t="str">
        <f>("4")</f>
        <v>4</v>
      </c>
      <c r="D190" s="238" t="s">
        <v>280</v>
      </c>
      <c r="E190" s="380" t="s">
        <v>4265</v>
      </c>
      <c r="F190" s="380" t="s">
        <v>4266</v>
      </c>
      <c r="G190" s="380">
        <v>6</v>
      </c>
      <c r="H190" s="380" t="s">
        <v>1480</v>
      </c>
    </row>
    <row r="191" spans="1:9" x14ac:dyDescent="0.25">
      <c r="A191" s="247" t="str">
        <f t="shared" si="2"/>
        <v>国東ジュニアサッカークラブ_5</v>
      </c>
      <c r="B191" s="238" t="s">
        <v>3866</v>
      </c>
      <c r="C191" s="238" t="str">
        <f>("5")</f>
        <v>5</v>
      </c>
      <c r="D191" s="238" t="s">
        <v>235</v>
      </c>
      <c r="E191" s="380" t="s">
        <v>4271</v>
      </c>
      <c r="F191" s="380" t="s">
        <v>4272</v>
      </c>
      <c r="G191" s="380">
        <v>5</v>
      </c>
      <c r="H191" s="380" t="s">
        <v>1480</v>
      </c>
    </row>
    <row r="192" spans="1:9" x14ac:dyDescent="0.25">
      <c r="A192" s="247" t="str">
        <f t="shared" si="2"/>
        <v>国東ジュニアサッカークラブ_6</v>
      </c>
      <c r="B192" s="238" t="s">
        <v>3866</v>
      </c>
      <c r="C192" s="238" t="str">
        <f>("6")</f>
        <v>6</v>
      </c>
      <c r="D192" s="238" t="s">
        <v>235</v>
      </c>
      <c r="E192" s="380" t="s">
        <v>4267</v>
      </c>
      <c r="F192" s="380" t="s">
        <v>4268</v>
      </c>
      <c r="G192" s="380">
        <v>6</v>
      </c>
      <c r="H192" s="380" t="s">
        <v>1480</v>
      </c>
    </row>
    <row r="193" spans="1:9" x14ac:dyDescent="0.25">
      <c r="A193" s="247" t="str">
        <f t="shared" ref="A193:A256" si="3">CONCATENATE(B193,"_",C193)</f>
        <v>国東ジュニアサッカークラブ_8</v>
      </c>
      <c r="B193" s="238" t="s">
        <v>3866</v>
      </c>
      <c r="C193" s="238" t="str">
        <f>("8")</f>
        <v>8</v>
      </c>
      <c r="D193" s="238" t="s">
        <v>798</v>
      </c>
      <c r="E193" s="380" t="s">
        <v>5697</v>
      </c>
      <c r="F193" s="380" t="s">
        <v>6358</v>
      </c>
      <c r="G193" s="380">
        <v>4</v>
      </c>
      <c r="H193" s="380" t="s">
        <v>1478</v>
      </c>
    </row>
    <row r="194" spans="1:9" x14ac:dyDescent="0.25">
      <c r="A194" s="247" t="str">
        <f t="shared" si="3"/>
        <v>国東ジュニアサッカークラブ_9</v>
      </c>
      <c r="B194" s="238" t="s">
        <v>3866</v>
      </c>
      <c r="C194" s="238" t="str">
        <f>("9")</f>
        <v>9</v>
      </c>
      <c r="D194" s="238" t="s">
        <v>798</v>
      </c>
      <c r="E194" s="380" t="s">
        <v>5695</v>
      </c>
      <c r="F194" s="380" t="s">
        <v>6356</v>
      </c>
      <c r="G194" s="380">
        <v>5</v>
      </c>
      <c r="H194" s="380" t="s">
        <v>1478</v>
      </c>
    </row>
    <row r="195" spans="1:9" x14ac:dyDescent="0.25">
      <c r="A195" s="247" t="str">
        <f t="shared" si="3"/>
        <v>国東ジュニアサッカークラブ_10</v>
      </c>
      <c r="B195" s="238" t="s">
        <v>3866</v>
      </c>
      <c r="C195" s="238" t="str">
        <f>("10")</f>
        <v>10</v>
      </c>
      <c r="D195" s="238" t="s">
        <v>798</v>
      </c>
      <c r="E195" s="380" t="s">
        <v>5694</v>
      </c>
      <c r="F195" s="380" t="s">
        <v>6355</v>
      </c>
      <c r="G195" s="380">
        <v>6</v>
      </c>
      <c r="H195" s="380" t="s">
        <v>1478</v>
      </c>
      <c r="I195" s="380" t="s">
        <v>408</v>
      </c>
    </row>
    <row r="196" spans="1:9" x14ac:dyDescent="0.25">
      <c r="A196" s="247" t="str">
        <f t="shared" si="3"/>
        <v>国東ジュニアサッカークラブ_11</v>
      </c>
      <c r="B196" s="238" t="s">
        <v>3866</v>
      </c>
      <c r="C196" s="238" t="str">
        <f>("11")</f>
        <v>11</v>
      </c>
      <c r="D196" s="238" t="s">
        <v>235</v>
      </c>
      <c r="E196" s="380" t="s">
        <v>5696</v>
      </c>
      <c r="F196" s="380" t="s">
        <v>6357</v>
      </c>
      <c r="G196" s="380">
        <v>4</v>
      </c>
      <c r="H196" s="380" t="s">
        <v>1478</v>
      </c>
    </row>
    <row r="197" spans="1:9" x14ac:dyDescent="0.25">
      <c r="A197" s="247" t="str">
        <f t="shared" si="3"/>
        <v>国東ジュニアサッカークラブ_12</v>
      </c>
      <c r="B197" s="238" t="s">
        <v>3866</v>
      </c>
      <c r="C197" s="238" t="str">
        <f>("12")</f>
        <v>12</v>
      </c>
      <c r="D197" s="238" t="s">
        <v>235</v>
      </c>
      <c r="E197" s="380" t="s">
        <v>9348</v>
      </c>
      <c r="F197" s="380" t="s">
        <v>14490</v>
      </c>
      <c r="G197" s="380">
        <v>4</v>
      </c>
      <c r="H197" s="380" t="s">
        <v>1478</v>
      </c>
    </row>
    <row r="198" spans="1:9" x14ac:dyDescent="0.25">
      <c r="A198" s="247" t="str">
        <f t="shared" si="3"/>
        <v>国東ジュニアサッカークラブ_13</v>
      </c>
      <c r="B198" s="238" t="s">
        <v>3866</v>
      </c>
      <c r="C198" s="238" t="str">
        <f>("13")</f>
        <v>13</v>
      </c>
      <c r="D198" s="238" t="s">
        <v>280</v>
      </c>
      <c r="E198" s="380" t="s">
        <v>9442</v>
      </c>
      <c r="F198" s="380" t="s">
        <v>14491</v>
      </c>
      <c r="G198" s="380">
        <v>4</v>
      </c>
      <c r="H198" s="380" t="s">
        <v>1478</v>
      </c>
    </row>
    <row r="199" spans="1:9" x14ac:dyDescent="0.25">
      <c r="A199" s="247" t="str">
        <f t="shared" si="3"/>
        <v>国東ジュニアサッカークラブ_14</v>
      </c>
      <c r="B199" s="238" t="s">
        <v>3866</v>
      </c>
      <c r="C199" s="238" t="str">
        <f>("14")</f>
        <v>14</v>
      </c>
      <c r="D199" s="238" t="s">
        <v>798</v>
      </c>
      <c r="E199" s="380" t="s">
        <v>9980</v>
      </c>
      <c r="F199" s="380" t="s">
        <v>14492</v>
      </c>
      <c r="G199" s="380">
        <v>3</v>
      </c>
      <c r="H199" s="380" t="s">
        <v>1478</v>
      </c>
    </row>
    <row r="200" spans="1:9" x14ac:dyDescent="0.25">
      <c r="A200" s="247" t="str">
        <f t="shared" si="3"/>
        <v>国東ジュニアサッカークラブ_16</v>
      </c>
      <c r="B200" s="238" t="s">
        <v>3866</v>
      </c>
      <c r="C200" s="238" t="str">
        <f>("16")</f>
        <v>16</v>
      </c>
      <c r="D200" s="238" t="s">
        <v>280</v>
      </c>
      <c r="E200" s="380" t="s">
        <v>9205</v>
      </c>
      <c r="F200" s="380" t="s">
        <v>14493</v>
      </c>
      <c r="G200" s="380">
        <v>4</v>
      </c>
      <c r="H200" s="380" t="s">
        <v>1478</v>
      </c>
    </row>
    <row r="201" spans="1:9" x14ac:dyDescent="0.25">
      <c r="A201" s="247" t="str">
        <f t="shared" si="3"/>
        <v>はやぶさフットボールクラブ_1</v>
      </c>
      <c r="B201" s="238" t="s">
        <v>2485</v>
      </c>
      <c r="C201" s="238" t="str">
        <f>("1")</f>
        <v>1</v>
      </c>
      <c r="D201" s="238" t="s">
        <v>796</v>
      </c>
      <c r="E201" s="380" t="s">
        <v>4280</v>
      </c>
      <c r="F201" s="380" t="s">
        <v>4281</v>
      </c>
      <c r="G201" s="380">
        <v>6</v>
      </c>
      <c r="H201" s="380" t="s">
        <v>1478</v>
      </c>
    </row>
    <row r="202" spans="1:9" x14ac:dyDescent="0.25">
      <c r="A202" s="247" t="str">
        <f t="shared" si="3"/>
        <v>はやぶさフットボールクラブ_4</v>
      </c>
      <c r="B202" s="238" t="s">
        <v>2485</v>
      </c>
      <c r="C202" s="238" t="str">
        <f>("4")</f>
        <v>4</v>
      </c>
      <c r="D202" s="238" t="s">
        <v>798</v>
      </c>
      <c r="E202" s="380" t="s">
        <v>9586</v>
      </c>
      <c r="F202" s="380" t="s">
        <v>14494</v>
      </c>
      <c r="G202" s="380">
        <v>4</v>
      </c>
      <c r="H202" s="380" t="s">
        <v>1478</v>
      </c>
    </row>
    <row r="203" spans="1:9" x14ac:dyDescent="0.25">
      <c r="A203" s="247" t="str">
        <f t="shared" si="3"/>
        <v>はやぶさフットボールクラブ_5</v>
      </c>
      <c r="B203" s="238" t="s">
        <v>2485</v>
      </c>
      <c r="C203" s="238" t="str">
        <f>("5")</f>
        <v>5</v>
      </c>
      <c r="D203" s="238" t="s">
        <v>798</v>
      </c>
      <c r="E203" s="380" t="s">
        <v>4278</v>
      </c>
      <c r="F203" s="380" t="s">
        <v>4279</v>
      </c>
      <c r="G203" s="380">
        <v>6</v>
      </c>
      <c r="H203" s="380" t="s">
        <v>1478</v>
      </c>
    </row>
    <row r="204" spans="1:9" x14ac:dyDescent="0.25">
      <c r="A204" s="247" t="str">
        <f t="shared" si="3"/>
        <v>はやぶさフットボールクラブ_6</v>
      </c>
      <c r="B204" s="238" t="s">
        <v>2485</v>
      </c>
      <c r="C204" s="238" t="str">
        <f>("6")</f>
        <v>6</v>
      </c>
      <c r="D204" s="238" t="s">
        <v>798</v>
      </c>
      <c r="E204" s="380" t="s">
        <v>4284</v>
      </c>
      <c r="F204" s="380" t="s">
        <v>4285</v>
      </c>
      <c r="G204" s="380">
        <v>5</v>
      </c>
      <c r="H204" s="380" t="s">
        <v>1478</v>
      </c>
    </row>
    <row r="205" spans="1:9" x14ac:dyDescent="0.25">
      <c r="A205" s="247" t="str">
        <f t="shared" si="3"/>
        <v>はやぶさフットボールクラブ_7</v>
      </c>
      <c r="B205" s="238" t="s">
        <v>2485</v>
      </c>
      <c r="C205" s="238" t="str">
        <f>("7")</f>
        <v>7</v>
      </c>
      <c r="D205" s="238" t="s">
        <v>235</v>
      </c>
      <c r="E205" s="380" t="s">
        <v>4274</v>
      </c>
      <c r="F205" s="380" t="s">
        <v>4275</v>
      </c>
      <c r="G205" s="380">
        <v>6</v>
      </c>
      <c r="H205" s="380" t="s">
        <v>1478</v>
      </c>
    </row>
    <row r="206" spans="1:9" x14ac:dyDescent="0.25">
      <c r="A206" s="247" t="str">
        <f t="shared" si="3"/>
        <v>はやぶさフットボールクラブ_8</v>
      </c>
      <c r="B206" s="238" t="s">
        <v>2485</v>
      </c>
      <c r="C206" s="238" t="str">
        <f>("8")</f>
        <v>8</v>
      </c>
      <c r="D206" s="238" t="s">
        <v>280</v>
      </c>
      <c r="E206" s="380" t="s">
        <v>4286</v>
      </c>
      <c r="F206" s="380" t="s">
        <v>4287</v>
      </c>
      <c r="G206" s="380">
        <v>5</v>
      </c>
      <c r="H206" s="380" t="s">
        <v>1478</v>
      </c>
    </row>
    <row r="207" spans="1:9" x14ac:dyDescent="0.25">
      <c r="A207" s="247" t="str">
        <f t="shared" si="3"/>
        <v>はやぶさフットボールクラブ_9</v>
      </c>
      <c r="B207" s="238" t="s">
        <v>2485</v>
      </c>
      <c r="C207" s="238" t="str">
        <f>("9")</f>
        <v>9</v>
      </c>
      <c r="D207" s="238" t="s">
        <v>280</v>
      </c>
      <c r="E207" s="380" t="s">
        <v>4288</v>
      </c>
      <c r="F207" s="380" t="s">
        <v>4289</v>
      </c>
      <c r="G207" s="380">
        <v>5</v>
      </c>
      <c r="H207" s="380" t="s">
        <v>1478</v>
      </c>
    </row>
    <row r="208" spans="1:9" x14ac:dyDescent="0.25">
      <c r="A208" s="247" t="str">
        <f t="shared" si="3"/>
        <v>はやぶさフットボールクラブ_10</v>
      </c>
      <c r="B208" s="238" t="s">
        <v>2485</v>
      </c>
      <c r="C208" s="238" t="str">
        <f>("10")</f>
        <v>10</v>
      </c>
      <c r="D208" s="238" t="s">
        <v>798</v>
      </c>
      <c r="E208" s="380" t="s">
        <v>4276</v>
      </c>
      <c r="F208" s="380" t="s">
        <v>4277</v>
      </c>
      <c r="G208" s="380">
        <v>6</v>
      </c>
      <c r="H208" s="380" t="s">
        <v>1478</v>
      </c>
      <c r="I208" s="380" t="s">
        <v>408</v>
      </c>
    </row>
    <row r="209" spans="1:8" x14ac:dyDescent="0.25">
      <c r="A209" s="247" t="str">
        <f t="shared" si="3"/>
        <v>はやぶさフットボールクラブ_11</v>
      </c>
      <c r="B209" s="238" t="s">
        <v>2485</v>
      </c>
      <c r="C209" s="238" t="str">
        <f>("11")</f>
        <v>11</v>
      </c>
      <c r="D209" s="238" t="s">
        <v>235</v>
      </c>
      <c r="E209" s="380" t="s">
        <v>4282</v>
      </c>
      <c r="F209" s="380" t="s">
        <v>4283</v>
      </c>
      <c r="G209" s="380">
        <v>6</v>
      </c>
      <c r="H209" s="380" t="s">
        <v>1478</v>
      </c>
    </row>
    <row r="210" spans="1:8" x14ac:dyDescent="0.25">
      <c r="A210" s="247" t="str">
        <f t="shared" si="3"/>
        <v>はやぶさフットボールクラブ_12</v>
      </c>
      <c r="B210" s="238" t="s">
        <v>2485</v>
      </c>
      <c r="C210" s="238" t="str">
        <f>("12")</f>
        <v>12</v>
      </c>
      <c r="D210" s="238" t="s">
        <v>796</v>
      </c>
      <c r="E210" s="380" t="s">
        <v>5702</v>
      </c>
      <c r="F210" s="380" t="s">
        <v>6363</v>
      </c>
      <c r="G210" s="380">
        <v>4</v>
      </c>
      <c r="H210" s="380" t="s">
        <v>1478</v>
      </c>
    </row>
    <row r="211" spans="1:8" x14ac:dyDescent="0.25">
      <c r="A211" s="247" t="str">
        <f t="shared" si="3"/>
        <v>はやぶさフットボールクラブ_13</v>
      </c>
      <c r="B211" s="238" t="s">
        <v>2485</v>
      </c>
      <c r="C211" s="238" t="str">
        <f>("13")</f>
        <v>13</v>
      </c>
      <c r="D211" s="238" t="s">
        <v>798</v>
      </c>
      <c r="E211" s="380" t="s">
        <v>5700</v>
      </c>
      <c r="F211" s="380" t="s">
        <v>6361</v>
      </c>
      <c r="G211" s="380">
        <v>5</v>
      </c>
      <c r="H211" s="380" t="s">
        <v>1478</v>
      </c>
    </row>
    <row r="212" spans="1:8" x14ac:dyDescent="0.25">
      <c r="A212" s="247" t="str">
        <f t="shared" si="3"/>
        <v>はやぶさフットボールクラブ_14</v>
      </c>
      <c r="B212" s="238" t="s">
        <v>2485</v>
      </c>
      <c r="C212" s="238" t="str">
        <f>("14")</f>
        <v>14</v>
      </c>
      <c r="D212" s="238" t="s">
        <v>280</v>
      </c>
      <c r="E212" s="380" t="s">
        <v>5701</v>
      </c>
      <c r="F212" s="380" t="s">
        <v>6362</v>
      </c>
      <c r="G212" s="380">
        <v>4</v>
      </c>
      <c r="H212" s="380" t="s">
        <v>1478</v>
      </c>
    </row>
    <row r="213" spans="1:8" x14ac:dyDescent="0.25">
      <c r="A213" s="247" t="str">
        <f t="shared" si="3"/>
        <v>はやぶさフットボールクラブ_15</v>
      </c>
      <c r="B213" s="238" t="s">
        <v>2485</v>
      </c>
      <c r="C213" s="238" t="str">
        <f>("15")</f>
        <v>15</v>
      </c>
      <c r="D213" s="238" t="s">
        <v>235</v>
      </c>
      <c r="E213" s="380" t="s">
        <v>9690</v>
      </c>
      <c r="F213" s="380" t="s">
        <v>14495</v>
      </c>
      <c r="G213" s="380">
        <v>3</v>
      </c>
      <c r="H213" s="380" t="s">
        <v>1478</v>
      </c>
    </row>
    <row r="214" spans="1:8" x14ac:dyDescent="0.25">
      <c r="A214" s="247" t="str">
        <f t="shared" si="3"/>
        <v>はやぶさフットボールクラブ_17</v>
      </c>
      <c r="B214" s="238" t="s">
        <v>2485</v>
      </c>
      <c r="C214" s="238" t="str">
        <f>("17")</f>
        <v>17</v>
      </c>
      <c r="D214" s="238" t="s">
        <v>798</v>
      </c>
      <c r="E214" s="380" t="s">
        <v>10008</v>
      </c>
      <c r="F214" s="380" t="s">
        <v>14496</v>
      </c>
      <c r="G214" s="380">
        <v>3</v>
      </c>
      <c r="H214" s="380" t="s">
        <v>1478</v>
      </c>
    </row>
    <row r="215" spans="1:8" x14ac:dyDescent="0.25">
      <c r="A215" s="247" t="str">
        <f t="shared" si="3"/>
        <v>はやぶさフットボールクラブ_19</v>
      </c>
      <c r="B215" s="238" t="s">
        <v>2485</v>
      </c>
      <c r="C215" s="238" t="str">
        <f>("19")</f>
        <v>19</v>
      </c>
      <c r="D215" s="238" t="s">
        <v>280</v>
      </c>
      <c r="E215" s="380" t="s">
        <v>10095</v>
      </c>
      <c r="F215" s="380" t="s">
        <v>2612</v>
      </c>
      <c r="G215" s="380">
        <v>3</v>
      </c>
      <c r="H215" s="380" t="s">
        <v>1478</v>
      </c>
    </row>
    <row r="216" spans="1:8" x14ac:dyDescent="0.25">
      <c r="A216" s="247" t="str">
        <f t="shared" si="3"/>
        <v>はやぶさフットボールクラブ_20</v>
      </c>
      <c r="B216" s="238" t="s">
        <v>2485</v>
      </c>
      <c r="C216" s="238" t="str">
        <f>("20")</f>
        <v>20</v>
      </c>
      <c r="D216" s="238" t="s">
        <v>280</v>
      </c>
      <c r="E216" s="380" t="s">
        <v>9820</v>
      </c>
      <c r="F216" s="380" t="s">
        <v>14497</v>
      </c>
      <c r="G216" s="380">
        <v>3</v>
      </c>
      <c r="H216" s="380" t="s">
        <v>1478</v>
      </c>
    </row>
    <row r="217" spans="1:8" x14ac:dyDescent="0.25">
      <c r="A217" s="247" t="str">
        <f t="shared" si="3"/>
        <v>はやぶさフットボールクラブ_21</v>
      </c>
      <c r="B217" s="238" t="s">
        <v>2485</v>
      </c>
      <c r="C217" s="238" t="str">
        <f>("21")</f>
        <v>21</v>
      </c>
      <c r="D217" s="238" t="s">
        <v>235</v>
      </c>
      <c r="E217" s="380" t="s">
        <v>9896</v>
      </c>
      <c r="F217" s="380" t="s">
        <v>14498</v>
      </c>
      <c r="G217" s="380">
        <v>3</v>
      </c>
      <c r="H217" s="380" t="s">
        <v>1478</v>
      </c>
    </row>
    <row r="218" spans="1:8" x14ac:dyDescent="0.25">
      <c r="A218" s="247" t="str">
        <f t="shared" si="3"/>
        <v>はやぶさフットボールクラブ_26</v>
      </c>
      <c r="B218" s="238" t="s">
        <v>2485</v>
      </c>
      <c r="C218" s="238" t="str">
        <f>("26")</f>
        <v>26</v>
      </c>
      <c r="D218" s="238" t="s">
        <v>798</v>
      </c>
      <c r="E218" s="380" t="s">
        <v>9964</v>
      </c>
      <c r="F218" s="380" t="s">
        <v>14499</v>
      </c>
      <c r="G218" s="380">
        <v>3</v>
      </c>
      <c r="H218" s="380" t="s">
        <v>1478</v>
      </c>
    </row>
    <row r="219" spans="1:8" x14ac:dyDescent="0.25">
      <c r="A219" s="247" t="str">
        <f t="shared" si="3"/>
        <v>鶴居ＳＳＳ_1</v>
      </c>
      <c r="B219" s="238" t="s">
        <v>520</v>
      </c>
      <c r="C219" s="238" t="str">
        <f>("1")</f>
        <v>1</v>
      </c>
      <c r="D219" s="238" t="s">
        <v>796</v>
      </c>
      <c r="E219" s="380" t="s">
        <v>8214</v>
      </c>
      <c r="F219" s="380" t="s">
        <v>14500</v>
      </c>
      <c r="G219" s="380">
        <v>5</v>
      </c>
      <c r="H219" s="380" t="s">
        <v>1478</v>
      </c>
    </row>
    <row r="220" spans="1:8" x14ac:dyDescent="0.25">
      <c r="A220" s="247" t="str">
        <f t="shared" si="3"/>
        <v>鶴居ＳＳＳ_2</v>
      </c>
      <c r="B220" s="238" t="s">
        <v>520</v>
      </c>
      <c r="C220" s="238" t="str">
        <f>("2")</f>
        <v>2</v>
      </c>
      <c r="D220" s="238" t="s">
        <v>235</v>
      </c>
      <c r="E220" s="380" t="s">
        <v>7900</v>
      </c>
      <c r="F220" s="380" t="s">
        <v>14493</v>
      </c>
      <c r="G220" s="380">
        <v>5</v>
      </c>
      <c r="H220" s="380" t="s">
        <v>1478</v>
      </c>
    </row>
    <row r="221" spans="1:8" x14ac:dyDescent="0.25">
      <c r="A221" s="247" t="str">
        <f t="shared" si="3"/>
        <v>鶴居ＳＳＳ_3</v>
      </c>
      <c r="B221" s="238" t="s">
        <v>520</v>
      </c>
      <c r="C221" s="238" t="str">
        <f>("3")</f>
        <v>3</v>
      </c>
      <c r="D221" s="238" t="s">
        <v>798</v>
      </c>
      <c r="E221" s="380" t="s">
        <v>8026</v>
      </c>
      <c r="F221" s="380" t="s">
        <v>14501</v>
      </c>
      <c r="G221" s="380">
        <v>5</v>
      </c>
      <c r="H221" s="380" t="s">
        <v>1478</v>
      </c>
    </row>
    <row r="222" spans="1:8" x14ac:dyDescent="0.25">
      <c r="A222" s="247" t="str">
        <f t="shared" si="3"/>
        <v>鶴居ＳＳＳ_4</v>
      </c>
      <c r="B222" s="238" t="s">
        <v>520</v>
      </c>
      <c r="C222" s="238" t="str">
        <f>("4")</f>
        <v>4</v>
      </c>
      <c r="D222" s="238" t="s">
        <v>798</v>
      </c>
      <c r="E222" s="380" t="s">
        <v>5705</v>
      </c>
      <c r="F222" s="380" t="s">
        <v>6365</v>
      </c>
      <c r="G222" s="380">
        <v>6</v>
      </c>
      <c r="H222" s="380" t="s">
        <v>1478</v>
      </c>
    </row>
    <row r="223" spans="1:8" x14ac:dyDescent="0.25">
      <c r="A223" s="247" t="str">
        <f t="shared" si="3"/>
        <v>鶴居ＳＳＳ_5</v>
      </c>
      <c r="B223" s="238" t="s">
        <v>520</v>
      </c>
      <c r="C223" s="238" t="str">
        <f>("5")</f>
        <v>5</v>
      </c>
      <c r="D223" s="238" t="s">
        <v>235</v>
      </c>
      <c r="E223" s="380" t="s">
        <v>9257</v>
      </c>
      <c r="F223" s="380" t="s">
        <v>14502</v>
      </c>
      <c r="G223" s="380">
        <v>4</v>
      </c>
      <c r="H223" s="380" t="s">
        <v>1478</v>
      </c>
    </row>
    <row r="224" spans="1:8" x14ac:dyDescent="0.25">
      <c r="A224" s="247" t="str">
        <f t="shared" si="3"/>
        <v>鶴居ＳＳＳ_6</v>
      </c>
      <c r="B224" s="238" t="s">
        <v>520</v>
      </c>
      <c r="C224" s="238" t="str">
        <f>("6")</f>
        <v>6</v>
      </c>
      <c r="D224" s="238" t="s">
        <v>798</v>
      </c>
      <c r="E224" s="380" t="s">
        <v>9317</v>
      </c>
      <c r="F224" s="380" t="s">
        <v>14503</v>
      </c>
      <c r="G224" s="380">
        <v>4</v>
      </c>
      <c r="H224" s="380" t="s">
        <v>1478</v>
      </c>
    </row>
    <row r="225" spans="1:9" x14ac:dyDescent="0.25">
      <c r="A225" s="247" t="str">
        <f t="shared" si="3"/>
        <v>鶴居ＳＳＳ_7</v>
      </c>
      <c r="B225" s="238" t="s">
        <v>520</v>
      </c>
      <c r="C225" s="238" t="str">
        <f>("7")</f>
        <v>7</v>
      </c>
      <c r="D225" s="238" t="s">
        <v>235</v>
      </c>
      <c r="E225" s="380" t="s">
        <v>5708</v>
      </c>
      <c r="F225" s="380" t="s">
        <v>6366</v>
      </c>
      <c r="G225" s="380">
        <v>6</v>
      </c>
      <c r="H225" s="380" t="s">
        <v>1478</v>
      </c>
    </row>
    <row r="226" spans="1:9" x14ac:dyDescent="0.25">
      <c r="A226" s="247" t="str">
        <f t="shared" si="3"/>
        <v>鶴居ＳＳＳ_8</v>
      </c>
      <c r="B226" s="238" t="s">
        <v>520</v>
      </c>
      <c r="C226" s="238" t="str">
        <f>("8")</f>
        <v>8</v>
      </c>
      <c r="D226" s="238" t="s">
        <v>235</v>
      </c>
      <c r="E226" s="380" t="s">
        <v>7867</v>
      </c>
      <c r="F226" s="380" t="s">
        <v>14504</v>
      </c>
      <c r="G226" s="380">
        <v>5</v>
      </c>
      <c r="H226" s="380" t="s">
        <v>1478</v>
      </c>
    </row>
    <row r="227" spans="1:9" x14ac:dyDescent="0.25">
      <c r="A227" s="247" t="str">
        <f t="shared" si="3"/>
        <v>鶴居ＳＳＳ_9</v>
      </c>
      <c r="B227" s="238" t="s">
        <v>520</v>
      </c>
      <c r="C227" s="238" t="str">
        <f>("9")</f>
        <v>9</v>
      </c>
      <c r="D227" s="238" t="s">
        <v>235</v>
      </c>
      <c r="E227" s="380" t="s">
        <v>7966</v>
      </c>
      <c r="F227" s="380" t="s">
        <v>14505</v>
      </c>
      <c r="G227" s="380">
        <v>5</v>
      </c>
      <c r="H227" s="380" t="s">
        <v>1478</v>
      </c>
    </row>
    <row r="228" spans="1:9" x14ac:dyDescent="0.25">
      <c r="A228" s="247" t="str">
        <f t="shared" si="3"/>
        <v>鶴居ＳＳＳ_10</v>
      </c>
      <c r="B228" s="238" t="s">
        <v>520</v>
      </c>
      <c r="C228" s="238" t="str">
        <f>("10")</f>
        <v>10</v>
      </c>
      <c r="D228" s="238" t="s">
        <v>798</v>
      </c>
      <c r="E228" s="380" t="s">
        <v>5704</v>
      </c>
      <c r="F228" s="380" t="s">
        <v>6364</v>
      </c>
      <c r="G228" s="380">
        <v>6</v>
      </c>
      <c r="H228" s="380" t="s">
        <v>1478</v>
      </c>
      <c r="I228" s="380" t="s">
        <v>408</v>
      </c>
    </row>
    <row r="229" spans="1:9" x14ac:dyDescent="0.25">
      <c r="A229" s="247" t="str">
        <f t="shared" si="3"/>
        <v>鶴居ＳＳＳ_11</v>
      </c>
      <c r="B229" s="238" t="s">
        <v>520</v>
      </c>
      <c r="C229" s="238" t="str">
        <f>("11")</f>
        <v>11</v>
      </c>
      <c r="D229" s="238" t="s">
        <v>280</v>
      </c>
      <c r="E229" s="380" t="s">
        <v>8395</v>
      </c>
      <c r="F229" s="380" t="s">
        <v>14506</v>
      </c>
      <c r="G229" s="380">
        <v>5</v>
      </c>
      <c r="H229" s="380" t="s">
        <v>1478</v>
      </c>
    </row>
    <row r="230" spans="1:9" x14ac:dyDescent="0.25">
      <c r="A230" s="247" t="str">
        <f t="shared" si="3"/>
        <v>鶴居ＳＳＳ_12</v>
      </c>
      <c r="B230" s="238" t="s">
        <v>520</v>
      </c>
      <c r="C230" s="238" t="str">
        <f>("12")</f>
        <v>12</v>
      </c>
      <c r="D230" s="238" t="s">
        <v>796</v>
      </c>
      <c r="E230" s="380" t="s">
        <v>8746</v>
      </c>
      <c r="F230" s="380" t="s">
        <v>14507</v>
      </c>
      <c r="G230" s="380">
        <v>6</v>
      </c>
      <c r="H230" s="380" t="s">
        <v>1478</v>
      </c>
    </row>
    <row r="231" spans="1:9" x14ac:dyDescent="0.25">
      <c r="A231" s="247" t="str">
        <f t="shared" si="3"/>
        <v>鶴居ＳＳＳ_13</v>
      </c>
      <c r="B231" s="238" t="s">
        <v>520</v>
      </c>
      <c r="C231" s="238" t="str">
        <f>("13")</f>
        <v>13</v>
      </c>
      <c r="D231" s="238" t="s">
        <v>798</v>
      </c>
      <c r="E231" s="380" t="s">
        <v>9384</v>
      </c>
      <c r="F231" s="380" t="s">
        <v>14508</v>
      </c>
      <c r="G231" s="380">
        <v>4</v>
      </c>
      <c r="H231" s="380" t="s">
        <v>1478</v>
      </c>
    </row>
    <row r="232" spans="1:9" x14ac:dyDescent="0.25">
      <c r="A232" s="247" t="str">
        <f t="shared" si="3"/>
        <v>鶴居ＳＳＳ_14</v>
      </c>
      <c r="B232" s="238" t="s">
        <v>520</v>
      </c>
      <c r="C232" s="238" t="str">
        <f>("14")</f>
        <v>14</v>
      </c>
      <c r="D232" s="238" t="s">
        <v>798</v>
      </c>
      <c r="E232" s="380" t="s">
        <v>7897</v>
      </c>
      <c r="F232" s="380" t="s">
        <v>14509</v>
      </c>
      <c r="G232" s="380">
        <v>5</v>
      </c>
      <c r="H232" s="380" t="s">
        <v>1478</v>
      </c>
    </row>
    <row r="233" spans="1:9" x14ac:dyDescent="0.25">
      <c r="A233" s="247" t="str">
        <f t="shared" si="3"/>
        <v>鶴居ＳＳＳ_15</v>
      </c>
      <c r="B233" s="238" t="s">
        <v>520</v>
      </c>
      <c r="C233" s="238" t="str">
        <f>("15")</f>
        <v>15</v>
      </c>
      <c r="D233" s="238" t="s">
        <v>798</v>
      </c>
      <c r="E233" s="380" t="s">
        <v>5710</v>
      </c>
      <c r="F233" s="380" t="s">
        <v>6367</v>
      </c>
      <c r="G233" s="380">
        <v>6</v>
      </c>
      <c r="H233" s="380" t="s">
        <v>1478</v>
      </c>
    </row>
    <row r="234" spans="1:9" x14ac:dyDescent="0.25">
      <c r="A234" s="247" t="str">
        <f t="shared" si="3"/>
        <v>ＦＣ大野_2</v>
      </c>
      <c r="B234" s="238" t="s">
        <v>2139</v>
      </c>
      <c r="C234" s="238" t="str">
        <f>("2")</f>
        <v>2</v>
      </c>
      <c r="D234" s="238" t="s">
        <v>796</v>
      </c>
      <c r="E234" s="380" t="s">
        <v>8439</v>
      </c>
      <c r="F234" s="380" t="s">
        <v>14510</v>
      </c>
      <c r="G234" s="380">
        <v>5</v>
      </c>
      <c r="H234" s="380" t="s">
        <v>1478</v>
      </c>
    </row>
    <row r="235" spans="1:9" x14ac:dyDescent="0.25">
      <c r="A235" s="247" t="str">
        <f t="shared" si="3"/>
        <v>ＦＣ大野_5</v>
      </c>
      <c r="B235" s="238" t="s">
        <v>2139</v>
      </c>
      <c r="C235" s="238" t="str">
        <f>("5")</f>
        <v>5</v>
      </c>
      <c r="D235" s="238" t="s">
        <v>798</v>
      </c>
      <c r="E235" s="380" t="s">
        <v>5711</v>
      </c>
      <c r="F235" s="380" t="s">
        <v>6368</v>
      </c>
      <c r="G235" s="380">
        <v>4</v>
      </c>
      <c r="H235" s="380" t="s">
        <v>1478</v>
      </c>
    </row>
    <row r="236" spans="1:9" x14ac:dyDescent="0.25">
      <c r="A236" s="247" t="str">
        <f t="shared" si="3"/>
        <v>ＦＣ大野_6</v>
      </c>
      <c r="B236" s="238" t="s">
        <v>2139</v>
      </c>
      <c r="C236" s="238" t="str">
        <f>("6")</f>
        <v>6</v>
      </c>
      <c r="D236" s="238" t="s">
        <v>280</v>
      </c>
      <c r="E236" s="380" t="s">
        <v>5712</v>
      </c>
      <c r="F236" s="380" t="s">
        <v>6369</v>
      </c>
      <c r="G236" s="380">
        <v>5</v>
      </c>
      <c r="H236" s="380" t="s">
        <v>1478</v>
      </c>
    </row>
    <row r="237" spans="1:9" x14ac:dyDescent="0.25">
      <c r="A237" s="247" t="str">
        <f t="shared" si="3"/>
        <v>ＦＣ大野_7</v>
      </c>
      <c r="B237" s="238" t="s">
        <v>2139</v>
      </c>
      <c r="C237" s="238" t="str">
        <f>("7")</f>
        <v>7</v>
      </c>
      <c r="D237" s="238" t="s">
        <v>280</v>
      </c>
      <c r="E237" s="380" t="s">
        <v>8042</v>
      </c>
      <c r="F237" s="380" t="s">
        <v>14511</v>
      </c>
      <c r="G237" s="380">
        <v>5</v>
      </c>
      <c r="H237" s="380" t="s">
        <v>1480</v>
      </c>
    </row>
    <row r="238" spans="1:9" x14ac:dyDescent="0.25">
      <c r="A238" s="247" t="str">
        <f t="shared" si="3"/>
        <v>ＦＣ大野_8</v>
      </c>
      <c r="B238" s="238" t="s">
        <v>2139</v>
      </c>
      <c r="C238" s="238" t="str">
        <f>("8")</f>
        <v>8</v>
      </c>
      <c r="D238" s="238" t="s">
        <v>798</v>
      </c>
      <c r="E238" s="380" t="s">
        <v>5713</v>
      </c>
      <c r="F238" s="380" t="s">
        <v>6370</v>
      </c>
      <c r="G238" s="380">
        <v>4</v>
      </c>
      <c r="H238" s="380" t="s">
        <v>1480</v>
      </c>
    </row>
    <row r="239" spans="1:9" x14ac:dyDescent="0.25">
      <c r="A239" s="247" t="str">
        <f t="shared" si="3"/>
        <v>ＦＣ大野_9</v>
      </c>
      <c r="B239" s="238" t="s">
        <v>2139</v>
      </c>
      <c r="C239" s="238" t="str">
        <f>("9")</f>
        <v>9</v>
      </c>
      <c r="D239" s="238" t="s">
        <v>280</v>
      </c>
      <c r="E239" s="380" t="s">
        <v>4294</v>
      </c>
      <c r="F239" s="380" t="s">
        <v>4295</v>
      </c>
      <c r="G239" s="380">
        <v>3</v>
      </c>
      <c r="H239" s="380" t="s">
        <v>1478</v>
      </c>
    </row>
    <row r="240" spans="1:9" x14ac:dyDescent="0.25">
      <c r="A240" s="247" t="str">
        <f t="shared" si="3"/>
        <v>ＦＣ大野_10</v>
      </c>
      <c r="B240" s="238" t="s">
        <v>2139</v>
      </c>
      <c r="C240" s="238" t="str">
        <f>("10")</f>
        <v>10</v>
      </c>
      <c r="D240" s="238" t="s">
        <v>280</v>
      </c>
      <c r="E240" s="380" t="s">
        <v>9156</v>
      </c>
      <c r="F240" s="380" t="s">
        <v>14512</v>
      </c>
      <c r="G240" s="380">
        <v>4</v>
      </c>
      <c r="H240" s="380" t="s">
        <v>1478</v>
      </c>
    </row>
    <row r="241" spans="1:9" x14ac:dyDescent="0.25">
      <c r="A241" s="247" t="str">
        <f t="shared" si="3"/>
        <v>ＦＣ大野_11</v>
      </c>
      <c r="B241" s="238" t="s">
        <v>2139</v>
      </c>
      <c r="C241" s="238" t="str">
        <f>("11")</f>
        <v>11</v>
      </c>
      <c r="D241" s="238" t="s">
        <v>798</v>
      </c>
      <c r="E241" s="380" t="s">
        <v>5714</v>
      </c>
      <c r="F241" s="380" t="s">
        <v>6371</v>
      </c>
      <c r="G241" s="380">
        <v>4</v>
      </c>
      <c r="H241" s="380" t="s">
        <v>1478</v>
      </c>
    </row>
    <row r="242" spans="1:9" x14ac:dyDescent="0.25">
      <c r="A242" s="247" t="str">
        <f t="shared" si="3"/>
        <v>ＦＣ大野_12</v>
      </c>
      <c r="B242" s="238" t="s">
        <v>2139</v>
      </c>
      <c r="C242" s="238" t="str">
        <f>("12")</f>
        <v>12</v>
      </c>
      <c r="D242" s="238" t="s">
        <v>796</v>
      </c>
      <c r="E242" s="380" t="s">
        <v>3924</v>
      </c>
      <c r="F242" s="380" t="s">
        <v>3925</v>
      </c>
      <c r="G242" s="380">
        <v>6</v>
      </c>
      <c r="H242" s="380" t="s">
        <v>1478</v>
      </c>
      <c r="I242" s="380" t="s">
        <v>408</v>
      </c>
    </row>
    <row r="243" spans="1:9" x14ac:dyDescent="0.25">
      <c r="A243" s="247" t="str">
        <f t="shared" si="3"/>
        <v>ＦＣ大野_13</v>
      </c>
      <c r="B243" s="238" t="s">
        <v>2139</v>
      </c>
      <c r="C243" s="238" t="str">
        <f>("13")</f>
        <v>13</v>
      </c>
      <c r="D243" s="238" t="s">
        <v>235</v>
      </c>
      <c r="E243" s="380" t="s">
        <v>4297</v>
      </c>
      <c r="F243" s="380" t="s">
        <v>4298</v>
      </c>
      <c r="G243" s="380">
        <v>5</v>
      </c>
      <c r="H243" s="380" t="s">
        <v>1478</v>
      </c>
    </row>
    <row r="244" spans="1:9" x14ac:dyDescent="0.25">
      <c r="A244" s="247" t="str">
        <f t="shared" si="3"/>
        <v>ＦＣ大野_17</v>
      </c>
      <c r="B244" s="238" t="s">
        <v>2139</v>
      </c>
      <c r="C244" s="238" t="str">
        <f>("17")</f>
        <v>17</v>
      </c>
      <c r="D244" s="238" t="s">
        <v>798</v>
      </c>
      <c r="E244" s="380" t="s">
        <v>5715</v>
      </c>
      <c r="F244" s="380" t="s">
        <v>6372</v>
      </c>
      <c r="G244" s="380">
        <v>4</v>
      </c>
      <c r="H244" s="380" t="s">
        <v>1478</v>
      </c>
    </row>
    <row r="245" spans="1:9" x14ac:dyDescent="0.25">
      <c r="A245" s="247" t="str">
        <f t="shared" si="3"/>
        <v>ＦＣ大野_18</v>
      </c>
      <c r="B245" s="238" t="s">
        <v>2139</v>
      </c>
      <c r="C245" s="238" t="str">
        <f>("18")</f>
        <v>18</v>
      </c>
      <c r="D245" s="238" t="s">
        <v>235</v>
      </c>
      <c r="E245" s="380" t="s">
        <v>5716</v>
      </c>
      <c r="F245" s="380" t="s">
        <v>4301</v>
      </c>
      <c r="G245" s="380">
        <v>4</v>
      </c>
      <c r="H245" s="380" t="s">
        <v>1478</v>
      </c>
    </row>
    <row r="246" spans="1:9" x14ac:dyDescent="0.25">
      <c r="A246" s="247" t="str">
        <f t="shared" si="3"/>
        <v>ＦＣ大野_19</v>
      </c>
      <c r="B246" s="238" t="s">
        <v>2139</v>
      </c>
      <c r="C246" s="238" t="str">
        <f>("19")</f>
        <v>19</v>
      </c>
      <c r="D246" s="238" t="s">
        <v>798</v>
      </c>
      <c r="E246" s="380" t="s">
        <v>4299</v>
      </c>
      <c r="F246" s="380" t="s">
        <v>4300</v>
      </c>
      <c r="G246" s="380">
        <v>5</v>
      </c>
      <c r="H246" s="380" t="s">
        <v>1478</v>
      </c>
    </row>
    <row r="247" spans="1:9" x14ac:dyDescent="0.25">
      <c r="A247" s="247" t="str">
        <f t="shared" si="3"/>
        <v>ＦＣ大野_20</v>
      </c>
      <c r="B247" s="238" t="s">
        <v>2139</v>
      </c>
      <c r="C247" s="238" t="str">
        <f>("20")</f>
        <v>20</v>
      </c>
      <c r="D247" s="238" t="s">
        <v>280</v>
      </c>
      <c r="E247" s="380" t="s">
        <v>9068</v>
      </c>
      <c r="F247" s="380" t="s">
        <v>14513</v>
      </c>
      <c r="G247" s="380">
        <v>4</v>
      </c>
      <c r="H247" s="380" t="s">
        <v>1478</v>
      </c>
    </row>
    <row r="248" spans="1:9" x14ac:dyDescent="0.25">
      <c r="A248" s="247" t="str">
        <f t="shared" si="3"/>
        <v>ＦＣ大野_23</v>
      </c>
      <c r="B248" s="238" t="s">
        <v>2139</v>
      </c>
      <c r="C248" s="238" t="str">
        <f>("23")</f>
        <v>23</v>
      </c>
      <c r="D248" s="238" t="s">
        <v>235</v>
      </c>
      <c r="E248" s="380" t="s">
        <v>5717</v>
      </c>
      <c r="F248" s="380" t="s">
        <v>6373</v>
      </c>
      <c r="G248" s="380">
        <v>4</v>
      </c>
      <c r="H248" s="380" t="s">
        <v>1478</v>
      </c>
    </row>
    <row r="249" spans="1:9" x14ac:dyDescent="0.25">
      <c r="A249" s="247" t="str">
        <f t="shared" si="3"/>
        <v>ＦＣ大野_24</v>
      </c>
      <c r="B249" s="238" t="s">
        <v>2139</v>
      </c>
      <c r="C249" s="238" t="str">
        <f>("24")</f>
        <v>24</v>
      </c>
      <c r="D249" s="238" t="s">
        <v>235</v>
      </c>
      <c r="E249" s="380" t="s">
        <v>9753</v>
      </c>
      <c r="F249" s="380" t="s">
        <v>14514</v>
      </c>
      <c r="G249" s="380">
        <v>3</v>
      </c>
      <c r="H249" s="380" t="s">
        <v>1478</v>
      </c>
    </row>
    <row r="250" spans="1:9" x14ac:dyDescent="0.25">
      <c r="A250" s="247" t="str">
        <f t="shared" si="3"/>
        <v>ＦＣ大野_29</v>
      </c>
      <c r="B250" s="238" t="s">
        <v>2139</v>
      </c>
      <c r="C250" s="238" t="str">
        <f>("29")</f>
        <v>29</v>
      </c>
      <c r="D250" s="238" t="s">
        <v>798</v>
      </c>
      <c r="E250" s="380" t="s">
        <v>9947</v>
      </c>
      <c r="F250" s="380" t="s">
        <v>14515</v>
      </c>
      <c r="G250" s="380">
        <v>3</v>
      </c>
      <c r="H250" s="380" t="s">
        <v>1478</v>
      </c>
    </row>
    <row r="251" spans="1:9" x14ac:dyDescent="0.25">
      <c r="A251" s="247" t="str">
        <f t="shared" si="3"/>
        <v>鶴見ジュニアサッカークラブ_1</v>
      </c>
      <c r="B251" s="238" t="s">
        <v>2491</v>
      </c>
      <c r="C251" s="238" t="str">
        <f>("1")</f>
        <v>1</v>
      </c>
      <c r="D251" s="238" t="s">
        <v>796</v>
      </c>
      <c r="E251" s="380" t="s">
        <v>2768</v>
      </c>
      <c r="F251" s="380" t="s">
        <v>2896</v>
      </c>
      <c r="G251" s="380">
        <v>6</v>
      </c>
      <c r="H251" s="380" t="s">
        <v>1478</v>
      </c>
    </row>
    <row r="252" spans="1:9" x14ac:dyDescent="0.25">
      <c r="A252" s="247" t="str">
        <f t="shared" si="3"/>
        <v>鶴見ジュニアサッカークラブ_2</v>
      </c>
      <c r="B252" s="238" t="s">
        <v>2491</v>
      </c>
      <c r="C252" s="238" t="str">
        <f>("2")</f>
        <v>2</v>
      </c>
      <c r="D252" s="238" t="s">
        <v>280</v>
      </c>
      <c r="E252" s="380" t="s">
        <v>9149</v>
      </c>
      <c r="F252" s="380" t="s">
        <v>14516</v>
      </c>
      <c r="G252" s="380">
        <v>4</v>
      </c>
      <c r="H252" s="380" t="s">
        <v>1478</v>
      </c>
    </row>
    <row r="253" spans="1:9" x14ac:dyDescent="0.25">
      <c r="A253" s="247" t="str">
        <f t="shared" si="3"/>
        <v>鶴見ジュニアサッカークラブ_3</v>
      </c>
      <c r="B253" s="238" t="s">
        <v>2491</v>
      </c>
      <c r="C253" s="238" t="str">
        <f>("3")</f>
        <v>3</v>
      </c>
      <c r="D253" s="238" t="s">
        <v>798</v>
      </c>
      <c r="E253" s="380" t="s">
        <v>9058</v>
      </c>
      <c r="F253" s="380" t="s">
        <v>14517</v>
      </c>
      <c r="G253" s="380">
        <v>4</v>
      </c>
      <c r="H253" s="380" t="s">
        <v>1480</v>
      </c>
    </row>
    <row r="254" spans="1:9" x14ac:dyDescent="0.25">
      <c r="A254" s="247" t="str">
        <f t="shared" si="3"/>
        <v>鶴見ジュニアサッカークラブ_4</v>
      </c>
      <c r="B254" s="238" t="s">
        <v>2491</v>
      </c>
      <c r="C254" s="238" t="str">
        <f>("4")</f>
        <v>4</v>
      </c>
      <c r="D254" s="238" t="s">
        <v>235</v>
      </c>
      <c r="E254" s="380" t="s">
        <v>4310</v>
      </c>
      <c r="F254" s="380" t="s">
        <v>4311</v>
      </c>
      <c r="G254" s="380">
        <v>6</v>
      </c>
      <c r="H254" s="380" t="s">
        <v>1478</v>
      </c>
    </row>
    <row r="255" spans="1:9" x14ac:dyDescent="0.25">
      <c r="A255" s="247" t="str">
        <f t="shared" si="3"/>
        <v>鶴見ジュニアサッカークラブ_5</v>
      </c>
      <c r="B255" s="238" t="s">
        <v>2491</v>
      </c>
      <c r="C255" s="238" t="str">
        <f>("5")</f>
        <v>5</v>
      </c>
      <c r="D255" s="238" t="s">
        <v>798</v>
      </c>
      <c r="E255" s="380" t="s">
        <v>4308</v>
      </c>
      <c r="F255" s="380" t="s">
        <v>4309</v>
      </c>
      <c r="G255" s="380">
        <v>6</v>
      </c>
      <c r="H255" s="380" t="s">
        <v>1478</v>
      </c>
    </row>
    <row r="256" spans="1:9" x14ac:dyDescent="0.25">
      <c r="A256" s="247" t="str">
        <f t="shared" si="3"/>
        <v>鶴見ジュニアサッカークラブ_7</v>
      </c>
      <c r="B256" s="238" t="s">
        <v>2491</v>
      </c>
      <c r="C256" s="238" t="str">
        <f>("7")</f>
        <v>7</v>
      </c>
      <c r="D256" s="238" t="s">
        <v>235</v>
      </c>
      <c r="E256" s="380" t="s">
        <v>4304</v>
      </c>
      <c r="F256" s="380" t="s">
        <v>4305</v>
      </c>
      <c r="G256" s="380">
        <v>6</v>
      </c>
      <c r="H256" s="380" t="s">
        <v>1478</v>
      </c>
    </row>
    <row r="257" spans="1:9" x14ac:dyDescent="0.25">
      <c r="A257" s="247" t="str">
        <f t="shared" ref="A257:A320" si="4">CONCATENATE(B257,"_",C257)</f>
        <v>鶴見ジュニアサッカークラブ_8</v>
      </c>
      <c r="B257" s="238" t="s">
        <v>2491</v>
      </c>
      <c r="C257" s="238" t="str">
        <f>("8")</f>
        <v>8</v>
      </c>
      <c r="D257" s="238" t="s">
        <v>798</v>
      </c>
      <c r="E257" s="380" t="s">
        <v>5720</v>
      </c>
      <c r="F257" s="380" t="s">
        <v>6375</v>
      </c>
      <c r="G257" s="380">
        <v>5</v>
      </c>
      <c r="H257" s="380" t="s">
        <v>1478</v>
      </c>
    </row>
    <row r="258" spans="1:9" x14ac:dyDescent="0.25">
      <c r="A258" s="247" t="str">
        <f t="shared" si="4"/>
        <v>鶴見ジュニアサッカークラブ_9</v>
      </c>
      <c r="B258" s="238" t="s">
        <v>2491</v>
      </c>
      <c r="C258" s="238" t="str">
        <f>("9")</f>
        <v>9</v>
      </c>
      <c r="D258" s="238" t="s">
        <v>280</v>
      </c>
      <c r="E258" s="380" t="s">
        <v>5719</v>
      </c>
      <c r="F258" s="380" t="s">
        <v>6374</v>
      </c>
      <c r="G258" s="380">
        <v>5</v>
      </c>
      <c r="H258" s="380" t="s">
        <v>1478</v>
      </c>
    </row>
    <row r="259" spans="1:9" x14ac:dyDescent="0.25">
      <c r="A259" s="247" t="str">
        <f t="shared" si="4"/>
        <v>鶴見ジュニアサッカークラブ_10</v>
      </c>
      <c r="B259" s="238" t="s">
        <v>2491</v>
      </c>
      <c r="C259" s="238" t="str">
        <f>("10")</f>
        <v>10</v>
      </c>
      <c r="D259" s="238" t="s">
        <v>798</v>
      </c>
      <c r="E259" s="380" t="s">
        <v>4302</v>
      </c>
      <c r="F259" s="380" t="s">
        <v>4303</v>
      </c>
      <c r="G259" s="380">
        <v>6</v>
      </c>
      <c r="H259" s="380" t="s">
        <v>1478</v>
      </c>
      <c r="I259" s="380" t="s">
        <v>408</v>
      </c>
    </row>
    <row r="260" spans="1:9" x14ac:dyDescent="0.25">
      <c r="A260" s="247" t="str">
        <f t="shared" si="4"/>
        <v>鶴見ジュニアサッカークラブ_11</v>
      </c>
      <c r="B260" s="238" t="s">
        <v>2491</v>
      </c>
      <c r="C260" s="238" t="str">
        <f>("11")</f>
        <v>11</v>
      </c>
      <c r="D260" s="238" t="s">
        <v>798</v>
      </c>
      <c r="E260" s="380" t="s">
        <v>4306</v>
      </c>
      <c r="F260" s="380" t="s">
        <v>4307</v>
      </c>
      <c r="G260" s="380">
        <v>6</v>
      </c>
      <c r="H260" s="380" t="s">
        <v>1478</v>
      </c>
    </row>
    <row r="261" spans="1:9" x14ac:dyDescent="0.25">
      <c r="A261" s="247" t="str">
        <f t="shared" si="4"/>
        <v>鶴見ジュニアサッカークラブ_12</v>
      </c>
      <c r="B261" s="238" t="s">
        <v>2491</v>
      </c>
      <c r="C261" s="238" t="str">
        <f>("12")</f>
        <v>12</v>
      </c>
      <c r="D261" s="238" t="s">
        <v>798</v>
      </c>
      <c r="E261" s="380" t="s">
        <v>9619</v>
      </c>
      <c r="F261" s="380" t="s">
        <v>14518</v>
      </c>
      <c r="G261" s="380">
        <v>4</v>
      </c>
      <c r="H261" s="380" t="s">
        <v>1478</v>
      </c>
    </row>
    <row r="262" spans="1:9" x14ac:dyDescent="0.25">
      <c r="A262" s="247" t="str">
        <f t="shared" si="4"/>
        <v>鶴見ジュニアサッカークラブ_13</v>
      </c>
      <c r="B262" s="238" t="s">
        <v>2491</v>
      </c>
      <c r="C262" s="238" t="str">
        <f>("13")</f>
        <v>13</v>
      </c>
      <c r="D262" s="238" t="s">
        <v>798</v>
      </c>
      <c r="E262" s="380" t="s">
        <v>9663</v>
      </c>
      <c r="F262" s="380" t="s">
        <v>14519</v>
      </c>
      <c r="G262" s="380">
        <v>4</v>
      </c>
      <c r="H262" s="380" t="s">
        <v>1478</v>
      </c>
    </row>
    <row r="263" spans="1:9" x14ac:dyDescent="0.25">
      <c r="A263" s="247" t="str">
        <f t="shared" si="4"/>
        <v>鶴見ジュニアサッカークラブ_14</v>
      </c>
      <c r="B263" s="238" t="s">
        <v>2491</v>
      </c>
      <c r="C263" s="238" t="str">
        <f>("14")</f>
        <v>14</v>
      </c>
      <c r="D263" s="238" t="s">
        <v>798</v>
      </c>
      <c r="E263" s="380" t="s">
        <v>3048</v>
      </c>
      <c r="F263" s="380" t="s">
        <v>541</v>
      </c>
      <c r="G263" s="380">
        <v>4</v>
      </c>
      <c r="H263" s="380" t="s">
        <v>1478</v>
      </c>
    </row>
    <row r="264" spans="1:9" x14ac:dyDescent="0.25">
      <c r="A264" s="247" t="str">
        <f t="shared" si="4"/>
        <v>鶴見ジュニアサッカークラブ_15</v>
      </c>
      <c r="B264" s="238" t="s">
        <v>2491</v>
      </c>
      <c r="C264" s="238" t="str">
        <f>("15")</f>
        <v>15</v>
      </c>
      <c r="D264" s="238" t="s">
        <v>798</v>
      </c>
      <c r="E264" s="380" t="s">
        <v>9062</v>
      </c>
      <c r="F264" s="380" t="s">
        <v>14520</v>
      </c>
      <c r="G264" s="380">
        <v>4</v>
      </c>
      <c r="H264" s="380" t="s">
        <v>1478</v>
      </c>
    </row>
    <row r="265" spans="1:9" x14ac:dyDescent="0.25">
      <c r="A265" s="247" t="str">
        <f t="shared" si="4"/>
        <v>鶴見ジュニアサッカークラブ_18</v>
      </c>
      <c r="B265" s="238" t="s">
        <v>2491</v>
      </c>
      <c r="C265" s="238" t="str">
        <f>("18")</f>
        <v>18</v>
      </c>
      <c r="D265" s="238" t="s">
        <v>798</v>
      </c>
      <c r="E265" s="380" t="s">
        <v>9044</v>
      </c>
      <c r="F265" s="380" t="s">
        <v>14521</v>
      </c>
      <c r="G265" s="380">
        <v>4</v>
      </c>
      <c r="H265" s="380" t="s">
        <v>1478</v>
      </c>
    </row>
    <row r="266" spans="1:9" x14ac:dyDescent="0.25">
      <c r="A266" s="247" t="str">
        <f t="shared" si="4"/>
        <v>鶴見ジュニアサッカークラブ_21</v>
      </c>
      <c r="B266" s="238" t="s">
        <v>2491</v>
      </c>
      <c r="C266" s="238" t="str">
        <f>("21")</f>
        <v>21</v>
      </c>
      <c r="D266" s="238" t="s">
        <v>796</v>
      </c>
      <c r="E266" s="380" t="s">
        <v>9498</v>
      </c>
      <c r="F266" s="380" t="s">
        <v>14522</v>
      </c>
      <c r="G266" s="380">
        <v>4</v>
      </c>
      <c r="H266" s="380" t="s">
        <v>1478</v>
      </c>
    </row>
    <row r="267" spans="1:9" x14ac:dyDescent="0.25">
      <c r="A267" s="247" t="str">
        <f t="shared" si="4"/>
        <v>大平山アソシエーション式フットボールクラブ_1</v>
      </c>
      <c r="B267" s="238" t="s">
        <v>834</v>
      </c>
      <c r="C267" s="238" t="str">
        <f>("1")</f>
        <v>1</v>
      </c>
      <c r="D267" s="238" t="s">
        <v>796</v>
      </c>
      <c r="E267" s="380" t="s">
        <v>5721</v>
      </c>
      <c r="F267" s="380" t="s">
        <v>6376</v>
      </c>
      <c r="G267" s="380">
        <v>6</v>
      </c>
      <c r="H267" s="380" t="s">
        <v>1478</v>
      </c>
    </row>
    <row r="268" spans="1:9" x14ac:dyDescent="0.25">
      <c r="A268" s="247" t="str">
        <f t="shared" si="4"/>
        <v>大平山アソシエーション式フットボールクラブ_2</v>
      </c>
      <c r="B268" s="238" t="s">
        <v>834</v>
      </c>
      <c r="C268" s="238" t="str">
        <f>("2")</f>
        <v>2</v>
      </c>
      <c r="D268" s="238" t="s">
        <v>280</v>
      </c>
      <c r="E268" s="380" t="s">
        <v>5725</v>
      </c>
      <c r="F268" s="380" t="s">
        <v>6379</v>
      </c>
      <c r="G268" s="380">
        <v>5</v>
      </c>
      <c r="H268" s="380" t="s">
        <v>1478</v>
      </c>
    </row>
    <row r="269" spans="1:9" x14ac:dyDescent="0.25">
      <c r="A269" s="247" t="str">
        <f t="shared" si="4"/>
        <v>大平山アソシエーション式フットボールクラブ_3</v>
      </c>
      <c r="B269" s="238" t="s">
        <v>834</v>
      </c>
      <c r="C269" s="238" t="str">
        <f>("3")</f>
        <v>3</v>
      </c>
      <c r="D269" s="238" t="s">
        <v>280</v>
      </c>
      <c r="E269" s="380" t="s">
        <v>4314</v>
      </c>
      <c r="F269" s="380" t="s">
        <v>4315</v>
      </c>
      <c r="G269" s="380">
        <v>6</v>
      </c>
      <c r="H269" s="380" t="s">
        <v>1478</v>
      </c>
    </row>
    <row r="270" spans="1:9" x14ac:dyDescent="0.25">
      <c r="A270" s="247" t="str">
        <f t="shared" si="4"/>
        <v>大平山アソシエーション式フットボールクラブ_4</v>
      </c>
      <c r="B270" s="238" t="s">
        <v>834</v>
      </c>
      <c r="C270" s="238" t="str">
        <f>("4")</f>
        <v>4</v>
      </c>
      <c r="D270" s="238" t="s">
        <v>280</v>
      </c>
      <c r="E270" s="380" t="s">
        <v>5722</v>
      </c>
      <c r="F270" s="380" t="s">
        <v>6377</v>
      </c>
      <c r="G270" s="380">
        <v>6</v>
      </c>
      <c r="H270" s="380" t="s">
        <v>1478</v>
      </c>
    </row>
    <row r="271" spans="1:9" x14ac:dyDescent="0.25">
      <c r="A271" s="247" t="str">
        <f t="shared" si="4"/>
        <v>大平山アソシエーション式フットボールクラブ_5</v>
      </c>
      <c r="B271" s="238" t="s">
        <v>834</v>
      </c>
      <c r="C271" s="238" t="str">
        <f>("5")</f>
        <v>5</v>
      </c>
      <c r="D271" s="238" t="s">
        <v>280</v>
      </c>
      <c r="E271" s="380" t="s">
        <v>5728</v>
      </c>
      <c r="F271" s="380" t="s">
        <v>6382</v>
      </c>
      <c r="G271" s="380">
        <v>5</v>
      </c>
      <c r="H271" s="380" t="s">
        <v>1478</v>
      </c>
    </row>
    <row r="272" spans="1:9" x14ac:dyDescent="0.25">
      <c r="A272" s="247" t="str">
        <f t="shared" si="4"/>
        <v>大平山アソシエーション式フットボールクラブ_6</v>
      </c>
      <c r="B272" s="238" t="s">
        <v>834</v>
      </c>
      <c r="C272" s="238" t="str">
        <f>("6")</f>
        <v>6</v>
      </c>
      <c r="D272" s="238" t="s">
        <v>280</v>
      </c>
      <c r="E272" s="380" t="s">
        <v>5727</v>
      </c>
      <c r="F272" s="380" t="s">
        <v>6381</v>
      </c>
      <c r="G272" s="380">
        <v>6</v>
      </c>
      <c r="H272" s="380" t="s">
        <v>1478</v>
      </c>
    </row>
    <row r="273" spans="1:9" x14ac:dyDescent="0.25">
      <c r="A273" s="247" t="str">
        <f t="shared" si="4"/>
        <v>大平山アソシエーション式フットボールクラブ_7</v>
      </c>
      <c r="B273" s="238" t="s">
        <v>834</v>
      </c>
      <c r="C273" s="238" t="str">
        <f>("7")</f>
        <v>7</v>
      </c>
      <c r="D273" s="238" t="s">
        <v>280</v>
      </c>
      <c r="E273" s="380" t="s">
        <v>5724</v>
      </c>
      <c r="F273" s="380" t="s">
        <v>6378</v>
      </c>
      <c r="G273" s="380">
        <v>6</v>
      </c>
      <c r="H273" s="380" t="s">
        <v>1478</v>
      </c>
    </row>
    <row r="274" spans="1:9" x14ac:dyDescent="0.25">
      <c r="A274" s="247" t="str">
        <f t="shared" si="4"/>
        <v>大平山アソシエーション式フットボールクラブ_8</v>
      </c>
      <c r="B274" s="238" t="s">
        <v>834</v>
      </c>
      <c r="C274" s="238" t="str">
        <f>("8")</f>
        <v>8</v>
      </c>
      <c r="D274" s="238" t="s">
        <v>280</v>
      </c>
      <c r="E274" s="380" t="s">
        <v>4316</v>
      </c>
      <c r="F274" s="380" t="s">
        <v>4317</v>
      </c>
      <c r="G274" s="380">
        <v>6</v>
      </c>
      <c r="H274" s="380" t="s">
        <v>1478</v>
      </c>
    </row>
    <row r="275" spans="1:9" x14ac:dyDescent="0.25">
      <c r="A275" s="247" t="str">
        <f t="shared" si="4"/>
        <v>大平山アソシエーション式フットボールクラブ_9</v>
      </c>
      <c r="B275" s="238" t="s">
        <v>834</v>
      </c>
      <c r="C275" s="238" t="str">
        <f>("9")</f>
        <v>9</v>
      </c>
      <c r="D275" s="238" t="s">
        <v>280</v>
      </c>
      <c r="E275" s="380" t="s">
        <v>4321</v>
      </c>
      <c r="F275" s="380" t="s">
        <v>4322</v>
      </c>
      <c r="G275" s="380">
        <v>5</v>
      </c>
      <c r="H275" s="380" t="s">
        <v>1478</v>
      </c>
    </row>
    <row r="276" spans="1:9" x14ac:dyDescent="0.25">
      <c r="A276" s="247" t="str">
        <f t="shared" si="4"/>
        <v>大平山アソシエーション式フットボールクラブ_10</v>
      </c>
      <c r="B276" s="238" t="s">
        <v>834</v>
      </c>
      <c r="C276" s="238" t="str">
        <f>("10")</f>
        <v>10</v>
      </c>
      <c r="D276" s="238" t="s">
        <v>280</v>
      </c>
      <c r="E276" s="380" t="s">
        <v>4312</v>
      </c>
      <c r="F276" s="380" t="s">
        <v>4313</v>
      </c>
      <c r="G276" s="380">
        <v>6</v>
      </c>
      <c r="H276" s="380" t="s">
        <v>1478</v>
      </c>
      <c r="I276" s="380" t="s">
        <v>408</v>
      </c>
    </row>
    <row r="277" spans="1:9" x14ac:dyDescent="0.25">
      <c r="A277" s="247" t="str">
        <f t="shared" si="4"/>
        <v>大平山アソシエーション式フットボールクラブ_11</v>
      </c>
      <c r="B277" s="238" t="s">
        <v>834</v>
      </c>
      <c r="C277" s="238" t="str">
        <f>("11")</f>
        <v>11</v>
      </c>
      <c r="D277" s="238" t="s">
        <v>280</v>
      </c>
      <c r="E277" s="380" t="s">
        <v>4318</v>
      </c>
      <c r="F277" s="380" t="s">
        <v>4319</v>
      </c>
      <c r="G277" s="380">
        <v>6</v>
      </c>
      <c r="H277" s="380" t="s">
        <v>1480</v>
      </c>
    </row>
    <row r="278" spans="1:9" x14ac:dyDescent="0.25">
      <c r="A278" s="247" t="str">
        <f t="shared" si="4"/>
        <v>大平山アソシエーション式フットボールクラブ_12</v>
      </c>
      <c r="B278" s="238" t="s">
        <v>834</v>
      </c>
      <c r="C278" s="238" t="str">
        <f>("12")</f>
        <v>12</v>
      </c>
      <c r="D278" s="238" t="s">
        <v>280</v>
      </c>
      <c r="E278" s="380" t="s">
        <v>5726</v>
      </c>
      <c r="F278" s="380" t="s">
        <v>6380</v>
      </c>
      <c r="G278" s="380">
        <v>5</v>
      </c>
      <c r="H278" s="380" t="s">
        <v>1478</v>
      </c>
    </row>
    <row r="279" spans="1:9" x14ac:dyDescent="0.25">
      <c r="A279" s="247" t="str">
        <f t="shared" si="4"/>
        <v>大平山アソシエーション式フットボールクラブ_13</v>
      </c>
      <c r="B279" s="238" t="s">
        <v>834</v>
      </c>
      <c r="C279" s="238" t="str">
        <f>("13")</f>
        <v>13</v>
      </c>
      <c r="D279" s="238" t="s">
        <v>280</v>
      </c>
      <c r="E279" s="380" t="s">
        <v>5729</v>
      </c>
      <c r="F279" s="380" t="s">
        <v>6383</v>
      </c>
      <c r="G279" s="380">
        <v>5</v>
      </c>
      <c r="H279" s="380" t="s">
        <v>1478</v>
      </c>
    </row>
    <row r="280" spans="1:9" x14ac:dyDescent="0.25">
      <c r="A280" s="247" t="str">
        <f t="shared" si="4"/>
        <v>大平山アソシエーション式フットボールクラブ_15</v>
      </c>
      <c r="B280" s="238" t="s">
        <v>834</v>
      </c>
      <c r="C280" s="238" t="str">
        <f>("15")</f>
        <v>15</v>
      </c>
      <c r="D280" s="238" t="s">
        <v>280</v>
      </c>
      <c r="E280" s="380" t="s">
        <v>5731</v>
      </c>
      <c r="F280" s="380" t="s">
        <v>6385</v>
      </c>
      <c r="G280" s="380">
        <v>4</v>
      </c>
      <c r="H280" s="380" t="s">
        <v>1478</v>
      </c>
    </row>
    <row r="281" spans="1:9" x14ac:dyDescent="0.25">
      <c r="A281" s="247" t="str">
        <f t="shared" si="4"/>
        <v>大平山アソシエーション式フットボールクラブ_16</v>
      </c>
      <c r="B281" s="238" t="s">
        <v>834</v>
      </c>
      <c r="C281" s="238" t="str">
        <f>("16")</f>
        <v>16</v>
      </c>
      <c r="D281" s="238" t="s">
        <v>796</v>
      </c>
      <c r="E281" s="380" t="s">
        <v>5730</v>
      </c>
      <c r="F281" s="380" t="s">
        <v>6384</v>
      </c>
      <c r="G281" s="380">
        <v>4</v>
      </c>
      <c r="H281" s="380" t="s">
        <v>1480</v>
      </c>
    </row>
    <row r="282" spans="1:9" x14ac:dyDescent="0.25">
      <c r="A282" s="247" t="str">
        <f t="shared" si="4"/>
        <v>大平山アソシエーション式フットボールクラブ_18</v>
      </c>
      <c r="B282" s="238" t="s">
        <v>834</v>
      </c>
      <c r="C282" s="238" t="str">
        <f>("18")</f>
        <v>18</v>
      </c>
      <c r="D282" s="238" t="s">
        <v>280</v>
      </c>
      <c r="E282" s="380" t="s">
        <v>9973</v>
      </c>
      <c r="F282" s="380" t="s">
        <v>14523</v>
      </c>
      <c r="G282" s="380">
        <v>3</v>
      </c>
      <c r="H282" s="380" t="s">
        <v>1478</v>
      </c>
    </row>
    <row r="283" spans="1:9" x14ac:dyDescent="0.25">
      <c r="A283" s="247" t="str">
        <f t="shared" si="4"/>
        <v>大平山アソシエーション式フットボールクラブ_19</v>
      </c>
      <c r="B283" s="238" t="s">
        <v>834</v>
      </c>
      <c r="C283" s="238" t="str">
        <f>("19")</f>
        <v>19</v>
      </c>
      <c r="D283" s="238" t="s">
        <v>280</v>
      </c>
      <c r="E283" s="380" t="s">
        <v>9797</v>
      </c>
      <c r="F283" s="380" t="s">
        <v>14524</v>
      </c>
      <c r="G283" s="380">
        <v>3</v>
      </c>
      <c r="H283" s="380" t="s">
        <v>1478</v>
      </c>
    </row>
    <row r="284" spans="1:9" x14ac:dyDescent="0.25">
      <c r="A284" s="247" t="str">
        <f t="shared" si="4"/>
        <v>大平山アソシエーション式フットボールクラブ_22</v>
      </c>
      <c r="B284" s="238" t="s">
        <v>834</v>
      </c>
      <c r="C284" s="238" t="str">
        <f>("22")</f>
        <v>22</v>
      </c>
      <c r="D284" s="238" t="s">
        <v>280</v>
      </c>
      <c r="E284" s="380" t="s">
        <v>9883</v>
      </c>
      <c r="F284" s="380" t="s">
        <v>14525</v>
      </c>
      <c r="G284" s="380">
        <v>3</v>
      </c>
      <c r="H284" s="380" t="s">
        <v>1478</v>
      </c>
    </row>
    <row r="285" spans="1:9" x14ac:dyDescent="0.25">
      <c r="A285" s="247" t="str">
        <f t="shared" si="4"/>
        <v>緑丘サッカースポーツ少年団_1</v>
      </c>
      <c r="B285" s="238" t="s">
        <v>2496</v>
      </c>
      <c r="C285" s="238" t="str">
        <f>("1")</f>
        <v>1</v>
      </c>
      <c r="D285" s="238" t="s">
        <v>796</v>
      </c>
      <c r="E285" s="380" t="s">
        <v>4328</v>
      </c>
      <c r="F285" s="380" t="s">
        <v>4329</v>
      </c>
      <c r="G285" s="380">
        <v>5</v>
      </c>
      <c r="H285" s="380" t="s">
        <v>1478</v>
      </c>
    </row>
    <row r="286" spans="1:9" x14ac:dyDescent="0.25">
      <c r="A286" s="247" t="str">
        <f t="shared" si="4"/>
        <v>緑丘サッカースポーツ少年団_2</v>
      </c>
      <c r="B286" s="238" t="s">
        <v>2496</v>
      </c>
      <c r="C286" s="238" t="str">
        <f>("2")</f>
        <v>2</v>
      </c>
      <c r="D286" s="238" t="s">
        <v>235</v>
      </c>
      <c r="E286" s="380" t="s">
        <v>5732</v>
      </c>
      <c r="F286" s="380" t="s">
        <v>6386</v>
      </c>
      <c r="G286" s="380">
        <v>4</v>
      </c>
      <c r="H286" s="380" t="s">
        <v>1480</v>
      </c>
    </row>
    <row r="287" spans="1:9" x14ac:dyDescent="0.25">
      <c r="A287" s="247" t="str">
        <f t="shared" si="4"/>
        <v>緑丘サッカースポーツ少年団_5</v>
      </c>
      <c r="B287" s="238" t="s">
        <v>2496</v>
      </c>
      <c r="C287" s="238" t="str">
        <f>("5")</f>
        <v>5</v>
      </c>
      <c r="D287" s="238" t="s">
        <v>235</v>
      </c>
      <c r="E287" s="380" t="s">
        <v>9906</v>
      </c>
      <c r="F287" s="380" t="s">
        <v>14526</v>
      </c>
      <c r="G287" s="380">
        <v>3</v>
      </c>
      <c r="H287" s="380" t="s">
        <v>1478</v>
      </c>
    </row>
    <row r="288" spans="1:9" x14ac:dyDescent="0.25">
      <c r="A288" s="247" t="str">
        <f t="shared" si="4"/>
        <v>緑丘サッカースポーツ少年団_6</v>
      </c>
      <c r="B288" s="238" t="s">
        <v>2496</v>
      </c>
      <c r="C288" s="238" t="str">
        <f>("6")</f>
        <v>6</v>
      </c>
      <c r="D288" s="238" t="s">
        <v>235</v>
      </c>
      <c r="E288" s="380" t="s">
        <v>4325</v>
      </c>
      <c r="F288" s="380" t="s">
        <v>4326</v>
      </c>
      <c r="G288" s="380">
        <v>5</v>
      </c>
      <c r="H288" s="380" t="s">
        <v>1478</v>
      </c>
    </row>
    <row r="289" spans="1:9" x14ac:dyDescent="0.25">
      <c r="A289" s="247" t="str">
        <f t="shared" si="4"/>
        <v>緑丘サッカースポーツ少年団_7</v>
      </c>
      <c r="B289" s="238" t="s">
        <v>2496</v>
      </c>
      <c r="C289" s="238" t="str">
        <f>("7")</f>
        <v>7</v>
      </c>
      <c r="D289" s="238" t="s">
        <v>798</v>
      </c>
      <c r="E289" s="380" t="s">
        <v>5733</v>
      </c>
      <c r="F289" s="380" t="s">
        <v>6387</v>
      </c>
      <c r="G289" s="380">
        <v>4</v>
      </c>
      <c r="H289" s="380" t="s">
        <v>1478</v>
      </c>
    </row>
    <row r="290" spans="1:9" x14ac:dyDescent="0.25">
      <c r="A290" s="247" t="str">
        <f t="shared" si="4"/>
        <v>緑丘サッカースポーツ少年団_8</v>
      </c>
      <c r="B290" s="238" t="s">
        <v>2496</v>
      </c>
      <c r="C290" s="238" t="str">
        <f>("8")</f>
        <v>8</v>
      </c>
      <c r="D290" s="238" t="s">
        <v>798</v>
      </c>
      <c r="E290" s="380" t="s">
        <v>3933</v>
      </c>
      <c r="F290" s="380" t="s">
        <v>3934</v>
      </c>
      <c r="G290" s="380">
        <v>6</v>
      </c>
      <c r="H290" s="380" t="s">
        <v>1478</v>
      </c>
    </row>
    <row r="291" spans="1:9" x14ac:dyDescent="0.25">
      <c r="A291" s="247" t="str">
        <f t="shared" si="4"/>
        <v>緑丘サッカースポーツ少年団_9</v>
      </c>
      <c r="B291" s="238" t="s">
        <v>2496</v>
      </c>
      <c r="C291" s="238" t="str">
        <f>("9")</f>
        <v>9</v>
      </c>
      <c r="D291" s="238" t="s">
        <v>280</v>
      </c>
      <c r="E291" s="380" t="s">
        <v>4323</v>
      </c>
      <c r="F291" s="380" t="s">
        <v>4324</v>
      </c>
      <c r="G291" s="380">
        <v>6</v>
      </c>
      <c r="H291" s="380" t="s">
        <v>1478</v>
      </c>
    </row>
    <row r="292" spans="1:9" x14ac:dyDescent="0.25">
      <c r="A292" s="247" t="str">
        <f t="shared" si="4"/>
        <v>緑丘サッカースポーツ少年団_10</v>
      </c>
      <c r="B292" s="238" t="s">
        <v>2496</v>
      </c>
      <c r="C292" s="238" t="str">
        <f>("10")</f>
        <v>10</v>
      </c>
      <c r="D292" s="238" t="s">
        <v>798</v>
      </c>
      <c r="E292" s="380" t="s">
        <v>3930</v>
      </c>
      <c r="F292" s="380" t="s">
        <v>3931</v>
      </c>
      <c r="G292" s="380">
        <v>6</v>
      </c>
      <c r="H292" s="380" t="s">
        <v>1478</v>
      </c>
      <c r="I292" s="380" t="s">
        <v>408</v>
      </c>
    </row>
    <row r="293" spans="1:9" x14ac:dyDescent="0.25">
      <c r="A293" s="247" t="str">
        <f t="shared" si="4"/>
        <v>緑丘サッカースポーツ少年団_12</v>
      </c>
      <c r="B293" s="238" t="s">
        <v>2496</v>
      </c>
      <c r="C293" s="238" t="str">
        <f>("12")</f>
        <v>12</v>
      </c>
      <c r="D293" s="238" t="s">
        <v>280</v>
      </c>
      <c r="E293" s="380" t="s">
        <v>9997</v>
      </c>
      <c r="F293" s="380" t="s">
        <v>14527</v>
      </c>
      <c r="G293" s="380">
        <v>3</v>
      </c>
      <c r="H293" s="380" t="s">
        <v>1478</v>
      </c>
    </row>
    <row r="294" spans="1:9" x14ac:dyDescent="0.25">
      <c r="A294" s="247" t="str">
        <f t="shared" si="4"/>
        <v>緑丘サッカースポーツ少年団_13</v>
      </c>
      <c r="B294" s="238" t="s">
        <v>2496</v>
      </c>
      <c r="C294" s="238" t="str">
        <f>("13")</f>
        <v>13</v>
      </c>
      <c r="D294" s="238" t="s">
        <v>798</v>
      </c>
      <c r="E294" s="380" t="s">
        <v>9914</v>
      </c>
      <c r="F294" s="380" t="s">
        <v>14528</v>
      </c>
      <c r="G294" s="380">
        <v>3</v>
      </c>
      <c r="H294" s="380" t="s">
        <v>1478</v>
      </c>
    </row>
    <row r="295" spans="1:9" x14ac:dyDescent="0.25">
      <c r="A295" s="247" t="str">
        <f t="shared" si="4"/>
        <v>緑丘サッカースポーツ少年団_14</v>
      </c>
      <c r="B295" s="238" t="s">
        <v>2496</v>
      </c>
      <c r="C295" s="238" t="str">
        <f>("14")</f>
        <v>14</v>
      </c>
      <c r="D295" s="238" t="s">
        <v>798</v>
      </c>
      <c r="E295" s="380" t="s">
        <v>10097</v>
      </c>
      <c r="F295" s="380" t="s">
        <v>14529</v>
      </c>
      <c r="G295" s="380">
        <v>3</v>
      </c>
      <c r="H295" s="380" t="s">
        <v>1478</v>
      </c>
    </row>
    <row r="296" spans="1:9" x14ac:dyDescent="0.25">
      <c r="A296" s="247" t="str">
        <f t="shared" si="4"/>
        <v>緑丘サッカースポーツ少年団_15</v>
      </c>
      <c r="B296" s="238" t="s">
        <v>2496</v>
      </c>
      <c r="C296" s="238" t="str">
        <f>("15")</f>
        <v>15</v>
      </c>
      <c r="D296" s="238" t="s">
        <v>280</v>
      </c>
      <c r="E296" s="380" t="s">
        <v>10110</v>
      </c>
      <c r="F296" s="380" t="s">
        <v>14530</v>
      </c>
      <c r="G296" s="380">
        <v>3</v>
      </c>
      <c r="H296" s="380" t="s">
        <v>1478</v>
      </c>
    </row>
    <row r="297" spans="1:9" x14ac:dyDescent="0.25">
      <c r="A297" s="247" t="str">
        <f t="shared" si="4"/>
        <v>緑丘サッカースポーツ少年団_16</v>
      </c>
      <c r="B297" s="238" t="s">
        <v>2496</v>
      </c>
      <c r="C297" s="238" t="str">
        <f>("16")</f>
        <v>16</v>
      </c>
      <c r="D297" s="238" t="s">
        <v>796</v>
      </c>
      <c r="E297" s="380" t="s">
        <v>5734</v>
      </c>
      <c r="F297" s="380" t="s">
        <v>6388</v>
      </c>
      <c r="G297" s="380">
        <v>4</v>
      </c>
      <c r="H297" s="380" t="s">
        <v>1478</v>
      </c>
    </row>
    <row r="298" spans="1:9" x14ac:dyDescent="0.25">
      <c r="A298" s="247" t="str">
        <f t="shared" si="4"/>
        <v>Ｓｈｙｎｔ　ＦＣ_1</v>
      </c>
      <c r="B298" s="238" t="s">
        <v>1481</v>
      </c>
      <c r="C298" s="238" t="str">
        <f>("1")</f>
        <v>1</v>
      </c>
      <c r="D298" s="238" t="s">
        <v>796</v>
      </c>
      <c r="E298" s="380" t="s">
        <v>8736</v>
      </c>
      <c r="F298" s="380" t="s">
        <v>14531</v>
      </c>
      <c r="G298" s="380">
        <v>6</v>
      </c>
      <c r="H298" s="380" t="s">
        <v>1478</v>
      </c>
    </row>
    <row r="299" spans="1:9" x14ac:dyDescent="0.25">
      <c r="A299" s="247" t="str">
        <f t="shared" si="4"/>
        <v>Ｓｈｙｎｔ　ＦＣ_2</v>
      </c>
      <c r="B299" s="238" t="s">
        <v>1481</v>
      </c>
      <c r="C299" s="238" t="str">
        <f>("2")</f>
        <v>2</v>
      </c>
      <c r="D299" s="238" t="s">
        <v>235</v>
      </c>
      <c r="E299" s="380" t="s">
        <v>8126</v>
      </c>
      <c r="F299" s="380" t="s">
        <v>14532</v>
      </c>
      <c r="G299" s="380">
        <v>5</v>
      </c>
      <c r="H299" s="380" t="s">
        <v>1478</v>
      </c>
    </row>
    <row r="300" spans="1:9" x14ac:dyDescent="0.25">
      <c r="A300" s="247" t="str">
        <f t="shared" si="4"/>
        <v>Ｓｈｙｎｔ　ＦＣ_3</v>
      </c>
      <c r="B300" s="238" t="s">
        <v>1481</v>
      </c>
      <c r="C300" s="238" t="str">
        <f>("3")</f>
        <v>3</v>
      </c>
      <c r="D300" s="238" t="s">
        <v>235</v>
      </c>
      <c r="E300" s="380" t="s">
        <v>8208</v>
      </c>
      <c r="F300" s="380" t="s">
        <v>14533</v>
      </c>
      <c r="G300" s="380">
        <v>5</v>
      </c>
      <c r="H300" s="380" t="s">
        <v>1478</v>
      </c>
    </row>
    <row r="301" spans="1:9" x14ac:dyDescent="0.25">
      <c r="A301" s="247" t="str">
        <f t="shared" si="4"/>
        <v>Ｓｈｙｎｔ　ＦＣ_4</v>
      </c>
      <c r="B301" s="238" t="s">
        <v>1481</v>
      </c>
      <c r="C301" s="238" t="str">
        <f>("4")</f>
        <v>4</v>
      </c>
      <c r="D301" s="238" t="s">
        <v>798</v>
      </c>
      <c r="E301" s="380" t="s">
        <v>5738</v>
      </c>
      <c r="F301" s="380" t="s">
        <v>6391</v>
      </c>
      <c r="G301" s="380">
        <v>5</v>
      </c>
      <c r="H301" s="380" t="s">
        <v>1478</v>
      </c>
    </row>
    <row r="302" spans="1:9" x14ac:dyDescent="0.25">
      <c r="A302" s="247" t="str">
        <f t="shared" si="4"/>
        <v>Ｓｈｙｎｔ　ＦＣ_5</v>
      </c>
      <c r="B302" s="238" t="s">
        <v>1481</v>
      </c>
      <c r="C302" s="238" t="str">
        <f>("5")</f>
        <v>5</v>
      </c>
      <c r="D302" s="238" t="s">
        <v>798</v>
      </c>
      <c r="E302" s="380" t="s">
        <v>8221</v>
      </c>
      <c r="F302" s="380" t="s">
        <v>14534</v>
      </c>
      <c r="G302" s="380">
        <v>5</v>
      </c>
      <c r="H302" s="380" t="s">
        <v>1480</v>
      </c>
    </row>
    <row r="303" spans="1:9" x14ac:dyDescent="0.25">
      <c r="A303" s="247" t="str">
        <f t="shared" si="4"/>
        <v>Ｓｈｙｎｔ　ＦＣ_6</v>
      </c>
      <c r="B303" s="238" t="s">
        <v>1481</v>
      </c>
      <c r="C303" s="238" t="str">
        <f>("6")</f>
        <v>6</v>
      </c>
      <c r="D303" s="238" t="s">
        <v>235</v>
      </c>
      <c r="E303" s="380" t="s">
        <v>5739</v>
      </c>
      <c r="F303" s="380" t="s">
        <v>6392</v>
      </c>
      <c r="G303" s="380">
        <v>6</v>
      </c>
      <c r="H303" s="380" t="s">
        <v>1480</v>
      </c>
    </row>
    <row r="304" spans="1:9" x14ac:dyDescent="0.25">
      <c r="A304" s="247" t="str">
        <f t="shared" si="4"/>
        <v>Ｓｈｙｎｔ　ＦＣ_8</v>
      </c>
      <c r="B304" s="238" t="s">
        <v>1481</v>
      </c>
      <c r="C304" s="238" t="str">
        <f>("8")</f>
        <v>8</v>
      </c>
      <c r="D304" s="238" t="s">
        <v>280</v>
      </c>
      <c r="E304" s="380" t="s">
        <v>8728</v>
      </c>
      <c r="F304" s="380" t="s">
        <v>14535</v>
      </c>
      <c r="G304" s="380">
        <v>6</v>
      </c>
      <c r="H304" s="380" t="s">
        <v>1478</v>
      </c>
    </row>
    <row r="305" spans="1:9" x14ac:dyDescent="0.25">
      <c r="A305" s="247" t="str">
        <f t="shared" si="4"/>
        <v>Ｓｈｙｎｔ　ＦＣ_9</v>
      </c>
      <c r="B305" s="238" t="s">
        <v>1481</v>
      </c>
      <c r="C305" s="238" t="str">
        <f>("9")</f>
        <v>9</v>
      </c>
      <c r="D305" s="238" t="s">
        <v>235</v>
      </c>
      <c r="E305" s="380" t="s">
        <v>5737</v>
      </c>
      <c r="F305" s="380" t="s">
        <v>6390</v>
      </c>
      <c r="G305" s="380">
        <v>6</v>
      </c>
      <c r="H305" s="380" t="s">
        <v>1478</v>
      </c>
    </row>
    <row r="306" spans="1:9" x14ac:dyDescent="0.25">
      <c r="A306" s="247" t="str">
        <f t="shared" si="4"/>
        <v>Ｓｈｙｎｔ　ＦＣ_10</v>
      </c>
      <c r="B306" s="238" t="s">
        <v>1481</v>
      </c>
      <c r="C306" s="238" t="str">
        <f>("10")</f>
        <v>10</v>
      </c>
      <c r="D306" s="238" t="s">
        <v>280</v>
      </c>
      <c r="E306" s="380" t="s">
        <v>5736</v>
      </c>
      <c r="F306" s="380" t="s">
        <v>6389</v>
      </c>
      <c r="G306" s="380">
        <v>6</v>
      </c>
      <c r="H306" s="380" t="s">
        <v>1478</v>
      </c>
      <c r="I306" s="380" t="s">
        <v>408</v>
      </c>
    </row>
    <row r="307" spans="1:9" x14ac:dyDescent="0.25">
      <c r="A307" s="247" t="str">
        <f t="shared" si="4"/>
        <v>Ｓｈｙｎｔ　ＦＣ_11</v>
      </c>
      <c r="B307" s="238" t="s">
        <v>1481</v>
      </c>
      <c r="C307" s="238" t="str">
        <f>("11")</f>
        <v>11</v>
      </c>
      <c r="D307" s="238" t="s">
        <v>280</v>
      </c>
      <c r="E307" s="380" t="s">
        <v>9148</v>
      </c>
      <c r="F307" s="380" t="s">
        <v>14536</v>
      </c>
      <c r="G307" s="380">
        <v>4</v>
      </c>
      <c r="H307" s="380" t="s">
        <v>1478</v>
      </c>
    </row>
    <row r="308" spans="1:9" x14ac:dyDescent="0.25">
      <c r="A308" s="247" t="str">
        <f t="shared" si="4"/>
        <v>Ｓｈｙｎｔ　ＦＣ_12</v>
      </c>
      <c r="B308" s="238" t="s">
        <v>1481</v>
      </c>
      <c r="C308" s="238" t="str">
        <f>("12")</f>
        <v>12</v>
      </c>
      <c r="D308" s="238" t="s">
        <v>796</v>
      </c>
      <c r="E308" s="380" t="s">
        <v>8250</v>
      </c>
      <c r="F308" s="380" t="s">
        <v>14537</v>
      </c>
      <c r="G308" s="380">
        <v>5</v>
      </c>
      <c r="H308" s="380" t="s">
        <v>1478</v>
      </c>
    </row>
    <row r="309" spans="1:9" x14ac:dyDescent="0.25">
      <c r="A309" s="247" t="str">
        <f t="shared" si="4"/>
        <v>Ｓｈｙｎｔ　ＦＣ_13</v>
      </c>
      <c r="B309" s="238" t="s">
        <v>1481</v>
      </c>
      <c r="C309" s="238" t="str">
        <f>("13")</f>
        <v>13</v>
      </c>
      <c r="D309" s="238" t="s">
        <v>235</v>
      </c>
      <c r="E309" s="380" t="s">
        <v>7993</v>
      </c>
      <c r="F309" s="380" t="s">
        <v>14538</v>
      </c>
      <c r="G309" s="380">
        <v>5</v>
      </c>
      <c r="H309" s="380" t="s">
        <v>1478</v>
      </c>
    </row>
    <row r="310" spans="1:9" x14ac:dyDescent="0.25">
      <c r="A310" s="247" t="str">
        <f t="shared" si="4"/>
        <v>Ｓｈｙｎｔ　ＦＣ_14</v>
      </c>
      <c r="B310" s="238" t="s">
        <v>1481</v>
      </c>
      <c r="C310" s="238" t="str">
        <f>("14")</f>
        <v>14</v>
      </c>
      <c r="D310" s="238" t="s">
        <v>280</v>
      </c>
      <c r="E310" s="380" t="s">
        <v>8528</v>
      </c>
      <c r="F310" s="380" t="s">
        <v>14539</v>
      </c>
      <c r="G310" s="380">
        <v>5</v>
      </c>
      <c r="H310" s="380" t="s">
        <v>1478</v>
      </c>
    </row>
    <row r="311" spans="1:9" x14ac:dyDescent="0.25">
      <c r="A311" s="247" t="str">
        <f t="shared" si="4"/>
        <v>Ｓｈｙｎｔ　ＦＣ_15</v>
      </c>
      <c r="B311" s="238" t="s">
        <v>1481</v>
      </c>
      <c r="C311" s="238" t="str">
        <f>("15")</f>
        <v>15</v>
      </c>
      <c r="D311" s="238" t="s">
        <v>280</v>
      </c>
      <c r="E311" s="380" t="s">
        <v>8168</v>
      </c>
      <c r="F311" s="380" t="s">
        <v>14540</v>
      </c>
      <c r="G311" s="380">
        <v>5</v>
      </c>
      <c r="H311" s="380" t="s">
        <v>1478</v>
      </c>
    </row>
    <row r="312" spans="1:9" x14ac:dyDescent="0.25">
      <c r="A312" s="247" t="str">
        <f t="shared" si="4"/>
        <v>Ｓｈｙｎｔ　ＦＣ_16</v>
      </c>
      <c r="B312" s="238" t="s">
        <v>1481</v>
      </c>
      <c r="C312" s="238" t="str">
        <f>("16")</f>
        <v>16</v>
      </c>
      <c r="D312" s="238" t="s">
        <v>280</v>
      </c>
      <c r="E312" s="380" t="s">
        <v>8281</v>
      </c>
      <c r="F312" s="380" t="s">
        <v>14541</v>
      </c>
      <c r="G312" s="380">
        <v>5</v>
      </c>
      <c r="H312" s="380" t="s">
        <v>1478</v>
      </c>
    </row>
    <row r="313" spans="1:9" x14ac:dyDescent="0.25">
      <c r="A313" s="247" t="str">
        <f t="shared" si="4"/>
        <v>和田少年サッカークラブ_1</v>
      </c>
      <c r="B313" s="238" t="s">
        <v>2918</v>
      </c>
      <c r="C313" s="238" t="str">
        <f>("1")</f>
        <v>1</v>
      </c>
      <c r="D313" s="238" t="s">
        <v>796</v>
      </c>
      <c r="E313" s="380" t="s">
        <v>5740</v>
      </c>
      <c r="F313" s="380" t="s">
        <v>6393</v>
      </c>
      <c r="G313" s="380">
        <v>5</v>
      </c>
      <c r="H313" s="380" t="s">
        <v>1478</v>
      </c>
    </row>
    <row r="314" spans="1:9" x14ac:dyDescent="0.25">
      <c r="A314" s="247" t="str">
        <f t="shared" si="4"/>
        <v>和田少年サッカークラブ_2</v>
      </c>
      <c r="B314" s="238" t="s">
        <v>2918</v>
      </c>
      <c r="C314" s="238" t="str">
        <f>("2")</f>
        <v>2</v>
      </c>
      <c r="D314" s="238" t="s">
        <v>798</v>
      </c>
      <c r="E314" s="380" t="s">
        <v>5746</v>
      </c>
      <c r="F314" s="380" t="s">
        <v>6399</v>
      </c>
      <c r="G314" s="380">
        <v>5</v>
      </c>
      <c r="H314" s="380" t="s">
        <v>1478</v>
      </c>
    </row>
    <row r="315" spans="1:9" x14ac:dyDescent="0.25">
      <c r="A315" s="247" t="str">
        <f t="shared" si="4"/>
        <v>和田少年サッカークラブ_3</v>
      </c>
      <c r="B315" s="238" t="s">
        <v>2918</v>
      </c>
      <c r="C315" s="238" t="str">
        <f>("3")</f>
        <v>3</v>
      </c>
      <c r="D315" s="238" t="s">
        <v>280</v>
      </c>
      <c r="E315" s="380" t="s">
        <v>5741</v>
      </c>
      <c r="F315" s="380" t="s">
        <v>6394</v>
      </c>
      <c r="G315" s="380">
        <v>5</v>
      </c>
      <c r="H315" s="380" t="s">
        <v>1478</v>
      </c>
    </row>
    <row r="316" spans="1:9" x14ac:dyDescent="0.25">
      <c r="A316" s="247" t="str">
        <f t="shared" si="4"/>
        <v>和田少年サッカークラブ_5</v>
      </c>
      <c r="B316" s="238" t="s">
        <v>2918</v>
      </c>
      <c r="C316" s="238" t="str">
        <f>("5")</f>
        <v>5</v>
      </c>
      <c r="D316" s="238" t="s">
        <v>235</v>
      </c>
      <c r="E316" s="380" t="s">
        <v>4340</v>
      </c>
      <c r="F316" s="380" t="s">
        <v>4341</v>
      </c>
      <c r="G316" s="380">
        <v>6</v>
      </c>
      <c r="H316" s="380" t="s">
        <v>1478</v>
      </c>
    </row>
    <row r="317" spans="1:9" x14ac:dyDescent="0.25">
      <c r="A317" s="247" t="str">
        <f t="shared" si="4"/>
        <v>和田少年サッカークラブ_6</v>
      </c>
      <c r="B317" s="238" t="s">
        <v>2918</v>
      </c>
      <c r="C317" s="238" t="str">
        <f>("6")</f>
        <v>6</v>
      </c>
      <c r="D317" s="238" t="s">
        <v>235</v>
      </c>
      <c r="E317" s="380" t="s">
        <v>4338</v>
      </c>
      <c r="F317" s="380" t="s">
        <v>4339</v>
      </c>
      <c r="G317" s="380">
        <v>6</v>
      </c>
      <c r="H317" s="380" t="s">
        <v>1480</v>
      </c>
    </row>
    <row r="318" spans="1:9" x14ac:dyDescent="0.25">
      <c r="A318" s="247" t="str">
        <f t="shared" si="4"/>
        <v>和田少年サッカークラブ_7</v>
      </c>
      <c r="B318" s="238" t="s">
        <v>2918</v>
      </c>
      <c r="C318" s="238" t="str">
        <f>("7")</f>
        <v>7</v>
      </c>
      <c r="D318" s="238" t="s">
        <v>235</v>
      </c>
      <c r="E318" s="380" t="s">
        <v>4336</v>
      </c>
      <c r="F318" s="380" t="s">
        <v>4337</v>
      </c>
      <c r="G318" s="380">
        <v>6</v>
      </c>
      <c r="H318" s="380" t="s">
        <v>1478</v>
      </c>
    </row>
    <row r="319" spans="1:9" x14ac:dyDescent="0.25">
      <c r="A319" s="247" t="str">
        <f t="shared" si="4"/>
        <v>和田少年サッカークラブ_8</v>
      </c>
      <c r="B319" s="238" t="s">
        <v>2918</v>
      </c>
      <c r="C319" s="238" t="str">
        <f>("8")</f>
        <v>8</v>
      </c>
      <c r="D319" s="238" t="s">
        <v>280</v>
      </c>
      <c r="E319" s="380" t="s">
        <v>5742</v>
      </c>
      <c r="F319" s="380" t="s">
        <v>6395</v>
      </c>
      <c r="G319" s="380">
        <v>5</v>
      </c>
      <c r="H319" s="380" t="s">
        <v>1478</v>
      </c>
    </row>
    <row r="320" spans="1:9" x14ac:dyDescent="0.25">
      <c r="A320" s="247" t="str">
        <f t="shared" si="4"/>
        <v>和田少年サッカークラブ_9</v>
      </c>
      <c r="B320" s="238" t="s">
        <v>2918</v>
      </c>
      <c r="C320" s="238" t="str">
        <f>("9")</f>
        <v>9</v>
      </c>
      <c r="D320" s="238" t="s">
        <v>798</v>
      </c>
      <c r="E320" s="380" t="s">
        <v>5743</v>
      </c>
      <c r="F320" s="380" t="s">
        <v>6396</v>
      </c>
      <c r="G320" s="380">
        <v>4</v>
      </c>
      <c r="H320" s="380" t="s">
        <v>1478</v>
      </c>
    </row>
    <row r="321" spans="1:9" x14ac:dyDescent="0.25">
      <c r="A321" s="247" t="str">
        <f t="shared" ref="A321:A384" si="5">CONCATENATE(B321,"_",C321)</f>
        <v>和田少年サッカークラブ_10</v>
      </c>
      <c r="B321" s="238" t="s">
        <v>2918</v>
      </c>
      <c r="C321" s="238" t="str">
        <f>("10")</f>
        <v>10</v>
      </c>
      <c r="D321" s="238" t="s">
        <v>798</v>
      </c>
      <c r="E321" s="380" t="s">
        <v>4334</v>
      </c>
      <c r="F321" s="380" t="s">
        <v>4335</v>
      </c>
      <c r="G321" s="380">
        <v>6</v>
      </c>
      <c r="H321" s="380" t="s">
        <v>1480</v>
      </c>
      <c r="I321" s="380" t="s">
        <v>408</v>
      </c>
    </row>
    <row r="322" spans="1:9" x14ac:dyDescent="0.25">
      <c r="A322" s="247" t="str">
        <f t="shared" si="5"/>
        <v>和田少年サッカークラブ_11</v>
      </c>
      <c r="B322" s="238" t="s">
        <v>2918</v>
      </c>
      <c r="C322" s="238" t="str">
        <f>("11")</f>
        <v>11</v>
      </c>
      <c r="D322" s="238" t="s">
        <v>235</v>
      </c>
      <c r="E322" s="380" t="s">
        <v>5744</v>
      </c>
      <c r="F322" s="380" t="s">
        <v>6397</v>
      </c>
      <c r="G322" s="380">
        <v>5</v>
      </c>
      <c r="H322" s="380" t="s">
        <v>1478</v>
      </c>
    </row>
    <row r="323" spans="1:9" x14ac:dyDescent="0.25">
      <c r="A323" s="247" t="str">
        <f t="shared" si="5"/>
        <v>和田少年サッカークラブ_12</v>
      </c>
      <c r="B323" s="238" t="s">
        <v>2918</v>
      </c>
      <c r="C323" s="238" t="str">
        <f>("12")</f>
        <v>12</v>
      </c>
      <c r="D323" s="238" t="s">
        <v>796</v>
      </c>
      <c r="E323" s="380" t="s">
        <v>5745</v>
      </c>
      <c r="F323" s="380" t="s">
        <v>6398</v>
      </c>
      <c r="G323" s="380">
        <v>3</v>
      </c>
      <c r="H323" s="380" t="s">
        <v>1478</v>
      </c>
    </row>
    <row r="324" spans="1:9" x14ac:dyDescent="0.25">
      <c r="A324" s="247" t="str">
        <f t="shared" si="5"/>
        <v>和田少年サッカークラブ_15</v>
      </c>
      <c r="B324" s="238" t="s">
        <v>2918</v>
      </c>
      <c r="C324" s="238" t="str">
        <f>("15")</f>
        <v>15</v>
      </c>
      <c r="D324" s="238" t="s">
        <v>798</v>
      </c>
      <c r="E324" s="380" t="s">
        <v>9509</v>
      </c>
      <c r="F324" s="380" t="s">
        <v>14542</v>
      </c>
      <c r="G324" s="380">
        <v>4</v>
      </c>
      <c r="H324" s="380" t="s">
        <v>1478</v>
      </c>
    </row>
    <row r="325" spans="1:9" x14ac:dyDescent="0.25">
      <c r="A325" s="247" t="str">
        <f t="shared" si="5"/>
        <v>下毛ＦＣ_1</v>
      </c>
      <c r="B325" s="238" t="s">
        <v>2505</v>
      </c>
      <c r="C325" s="238" t="str">
        <f>("1")</f>
        <v>1</v>
      </c>
      <c r="D325" s="238" t="s">
        <v>796</v>
      </c>
      <c r="E325" s="380" t="s">
        <v>4351</v>
      </c>
      <c r="F325" s="380" t="s">
        <v>4352</v>
      </c>
      <c r="G325" s="380">
        <v>5</v>
      </c>
      <c r="H325" s="380" t="s">
        <v>1478</v>
      </c>
    </row>
    <row r="326" spans="1:9" x14ac:dyDescent="0.25">
      <c r="A326" s="247" t="str">
        <f t="shared" si="5"/>
        <v>下毛ＦＣ_2</v>
      </c>
      <c r="B326" s="238" t="s">
        <v>2505</v>
      </c>
      <c r="C326" s="238" t="str">
        <f>("2")</f>
        <v>2</v>
      </c>
      <c r="D326" s="238" t="s">
        <v>798</v>
      </c>
      <c r="E326" s="380" t="s">
        <v>9406</v>
      </c>
      <c r="F326" s="380" t="s">
        <v>14543</v>
      </c>
      <c r="G326" s="380">
        <v>4</v>
      </c>
      <c r="H326" s="380" t="s">
        <v>1478</v>
      </c>
    </row>
    <row r="327" spans="1:9" x14ac:dyDescent="0.25">
      <c r="A327" s="247" t="str">
        <f t="shared" si="5"/>
        <v>下毛ＦＣ_3</v>
      </c>
      <c r="B327" s="238" t="s">
        <v>2505</v>
      </c>
      <c r="C327" s="238" t="str">
        <f>("3")</f>
        <v>3</v>
      </c>
      <c r="D327" s="238" t="s">
        <v>235</v>
      </c>
      <c r="E327" s="380" t="s">
        <v>4355</v>
      </c>
      <c r="F327" s="380" t="s">
        <v>4356</v>
      </c>
      <c r="G327" s="380">
        <v>4</v>
      </c>
      <c r="H327" s="380" t="s">
        <v>1478</v>
      </c>
    </row>
    <row r="328" spans="1:9" x14ac:dyDescent="0.25">
      <c r="A328" s="247" t="str">
        <f t="shared" si="5"/>
        <v>下毛ＦＣ_4</v>
      </c>
      <c r="B328" s="238" t="s">
        <v>2505</v>
      </c>
      <c r="C328" s="238" t="str">
        <f>("4")</f>
        <v>4</v>
      </c>
      <c r="D328" s="238" t="s">
        <v>235</v>
      </c>
      <c r="E328" s="380" t="s">
        <v>4342</v>
      </c>
      <c r="F328" s="380" t="s">
        <v>4343</v>
      </c>
      <c r="G328" s="380">
        <v>6</v>
      </c>
      <c r="H328" s="380" t="s">
        <v>1478</v>
      </c>
    </row>
    <row r="329" spans="1:9" x14ac:dyDescent="0.25">
      <c r="A329" s="247" t="str">
        <f t="shared" si="5"/>
        <v>下毛ＦＣ_5</v>
      </c>
      <c r="B329" s="238" t="s">
        <v>2505</v>
      </c>
      <c r="C329" s="238" t="str">
        <f>("5")</f>
        <v>5</v>
      </c>
      <c r="D329" s="238" t="s">
        <v>798</v>
      </c>
      <c r="E329" s="380" t="s">
        <v>4353</v>
      </c>
      <c r="F329" s="380" t="s">
        <v>4354</v>
      </c>
      <c r="G329" s="380">
        <v>5</v>
      </c>
      <c r="H329" s="380" t="s">
        <v>1478</v>
      </c>
    </row>
    <row r="330" spans="1:9" x14ac:dyDescent="0.25">
      <c r="A330" s="247" t="str">
        <f t="shared" si="5"/>
        <v>下毛ＦＣ_6</v>
      </c>
      <c r="B330" s="238" t="s">
        <v>2505</v>
      </c>
      <c r="C330" s="238" t="str">
        <f>("6")</f>
        <v>6</v>
      </c>
      <c r="D330" s="238" t="s">
        <v>798</v>
      </c>
      <c r="E330" s="380" t="s">
        <v>4344</v>
      </c>
      <c r="F330" s="380" t="s">
        <v>4345</v>
      </c>
      <c r="G330" s="380">
        <v>6</v>
      </c>
      <c r="H330" s="380" t="s">
        <v>1480</v>
      </c>
    </row>
    <row r="331" spans="1:9" x14ac:dyDescent="0.25">
      <c r="A331" s="247" t="str">
        <f t="shared" si="5"/>
        <v>下毛ＦＣ_7</v>
      </c>
      <c r="B331" s="238" t="s">
        <v>2505</v>
      </c>
      <c r="C331" s="238" t="str">
        <f>("7")</f>
        <v>7</v>
      </c>
      <c r="D331" s="238" t="s">
        <v>798</v>
      </c>
      <c r="E331" s="380" t="s">
        <v>5750</v>
      </c>
      <c r="F331" s="380" t="s">
        <v>6401</v>
      </c>
      <c r="G331" s="380">
        <v>4</v>
      </c>
      <c r="H331" s="380" t="s">
        <v>1478</v>
      </c>
    </row>
    <row r="332" spans="1:9" x14ac:dyDescent="0.25">
      <c r="A332" s="247" t="str">
        <f t="shared" si="5"/>
        <v>下毛ＦＣ_8</v>
      </c>
      <c r="B332" s="238" t="s">
        <v>2505</v>
      </c>
      <c r="C332" s="238" t="str">
        <f>("8")</f>
        <v>8</v>
      </c>
      <c r="D332" s="238" t="s">
        <v>280</v>
      </c>
      <c r="E332" s="380" t="s">
        <v>4349</v>
      </c>
      <c r="F332" s="380" t="s">
        <v>4350</v>
      </c>
      <c r="G332" s="380">
        <v>4</v>
      </c>
      <c r="H332" s="380" t="s">
        <v>1478</v>
      </c>
    </row>
    <row r="333" spans="1:9" x14ac:dyDescent="0.25">
      <c r="A333" s="247" t="str">
        <f t="shared" si="5"/>
        <v>下毛ＦＣ_9</v>
      </c>
      <c r="B333" s="238" t="s">
        <v>2505</v>
      </c>
      <c r="C333" s="238" t="str">
        <f>("9")</f>
        <v>9</v>
      </c>
      <c r="D333" s="238" t="s">
        <v>280</v>
      </c>
      <c r="E333" s="380" t="s">
        <v>4346</v>
      </c>
      <c r="F333" s="380" t="s">
        <v>4347</v>
      </c>
      <c r="G333" s="380">
        <v>6</v>
      </c>
      <c r="H333" s="380" t="s">
        <v>1478</v>
      </c>
    </row>
    <row r="334" spans="1:9" x14ac:dyDescent="0.25">
      <c r="A334" s="247" t="str">
        <f t="shared" si="5"/>
        <v>下毛ＦＣ_10</v>
      </c>
      <c r="B334" s="238" t="s">
        <v>2505</v>
      </c>
      <c r="C334" s="238" t="str">
        <f>("10")</f>
        <v>10</v>
      </c>
      <c r="D334" s="238" t="s">
        <v>798</v>
      </c>
      <c r="E334" s="380" t="s">
        <v>3942</v>
      </c>
      <c r="F334" s="380" t="s">
        <v>3943</v>
      </c>
      <c r="G334" s="380">
        <v>6</v>
      </c>
      <c r="H334" s="380" t="s">
        <v>1478</v>
      </c>
      <c r="I334" s="380" t="s">
        <v>408</v>
      </c>
    </row>
    <row r="335" spans="1:9" x14ac:dyDescent="0.25">
      <c r="A335" s="247" t="str">
        <f t="shared" si="5"/>
        <v>下毛ＦＣ_11</v>
      </c>
      <c r="B335" s="238" t="s">
        <v>2505</v>
      </c>
      <c r="C335" s="238" t="str">
        <f>("11")</f>
        <v>11</v>
      </c>
      <c r="D335" s="238" t="s">
        <v>280</v>
      </c>
      <c r="E335" s="380" t="s">
        <v>5749</v>
      </c>
      <c r="F335" s="380" t="s">
        <v>6400</v>
      </c>
      <c r="G335" s="380">
        <v>4</v>
      </c>
      <c r="H335" s="380" t="s">
        <v>1478</v>
      </c>
    </row>
    <row r="336" spans="1:9" x14ac:dyDescent="0.25">
      <c r="A336" s="247" t="str">
        <f t="shared" si="5"/>
        <v>下毛ＦＣ_12</v>
      </c>
      <c r="B336" s="238" t="s">
        <v>2505</v>
      </c>
      <c r="C336" s="238" t="str">
        <f>("12")</f>
        <v>12</v>
      </c>
      <c r="D336" s="238" t="s">
        <v>796</v>
      </c>
      <c r="E336" s="380" t="s">
        <v>9715</v>
      </c>
      <c r="F336" s="380" t="s">
        <v>14544</v>
      </c>
      <c r="G336" s="380">
        <v>3</v>
      </c>
      <c r="H336" s="380" t="s">
        <v>1478</v>
      </c>
    </row>
    <row r="337" spans="1:9" x14ac:dyDescent="0.25">
      <c r="A337" s="247" t="str">
        <f t="shared" si="5"/>
        <v>下毛ＦＣ_13</v>
      </c>
      <c r="B337" s="238" t="s">
        <v>2505</v>
      </c>
      <c r="C337" s="238" t="str">
        <f>("13")</f>
        <v>13</v>
      </c>
      <c r="D337" s="238" t="s">
        <v>798</v>
      </c>
      <c r="E337" s="380" t="s">
        <v>10115</v>
      </c>
      <c r="F337" s="380" t="s">
        <v>14545</v>
      </c>
      <c r="G337" s="380">
        <v>3</v>
      </c>
      <c r="H337" s="380" t="s">
        <v>1478</v>
      </c>
    </row>
    <row r="338" spans="1:9" x14ac:dyDescent="0.25">
      <c r="A338" s="247" t="str">
        <f t="shared" si="5"/>
        <v>下毛ＦＣ_21</v>
      </c>
      <c r="B338" s="238" t="s">
        <v>2505</v>
      </c>
      <c r="C338" s="238" t="str">
        <f>("21")</f>
        <v>21</v>
      </c>
      <c r="D338" s="238" t="s">
        <v>796</v>
      </c>
      <c r="E338" s="380" t="s">
        <v>9952</v>
      </c>
      <c r="F338" s="380" t="s">
        <v>14546</v>
      </c>
      <c r="G338" s="380">
        <v>3</v>
      </c>
      <c r="H338" s="380" t="s">
        <v>1478</v>
      </c>
    </row>
    <row r="339" spans="1:9" x14ac:dyDescent="0.25">
      <c r="A339" s="247" t="str">
        <f t="shared" si="5"/>
        <v>中津豊南ＦＣ_1</v>
      </c>
      <c r="B339" s="238" t="s">
        <v>2023</v>
      </c>
      <c r="C339" s="238" t="str">
        <f>("1")</f>
        <v>1</v>
      </c>
      <c r="D339" s="238" t="s">
        <v>796</v>
      </c>
      <c r="E339" s="380" t="s">
        <v>5757</v>
      </c>
      <c r="F339" s="380" t="s">
        <v>6407</v>
      </c>
      <c r="G339" s="380">
        <v>4</v>
      </c>
      <c r="H339" s="380" t="s">
        <v>1478</v>
      </c>
    </row>
    <row r="340" spans="1:9" x14ac:dyDescent="0.25">
      <c r="A340" s="247" t="str">
        <f t="shared" si="5"/>
        <v>中津豊南ＦＣ_2</v>
      </c>
      <c r="B340" s="238" t="s">
        <v>2023</v>
      </c>
      <c r="C340" s="238" t="str">
        <f>("2")</f>
        <v>2</v>
      </c>
      <c r="D340" s="238" t="s">
        <v>798</v>
      </c>
      <c r="E340" s="380" t="s">
        <v>5753</v>
      </c>
      <c r="F340" s="380" t="s">
        <v>6403</v>
      </c>
      <c r="G340" s="380">
        <v>5</v>
      </c>
      <c r="H340" s="380" t="s">
        <v>1480</v>
      </c>
    </row>
    <row r="341" spans="1:9" x14ac:dyDescent="0.25">
      <c r="A341" s="247" t="str">
        <f t="shared" si="5"/>
        <v>中津豊南ＦＣ_3</v>
      </c>
      <c r="B341" s="238" t="s">
        <v>2023</v>
      </c>
      <c r="C341" s="238" t="str">
        <f>("3")</f>
        <v>3</v>
      </c>
      <c r="D341" s="238" t="s">
        <v>235</v>
      </c>
      <c r="E341" s="380" t="s">
        <v>5752</v>
      </c>
      <c r="F341" s="380" t="s">
        <v>6402</v>
      </c>
      <c r="G341" s="380">
        <v>5</v>
      </c>
      <c r="H341" s="380" t="s">
        <v>1478</v>
      </c>
    </row>
    <row r="342" spans="1:9" x14ac:dyDescent="0.25">
      <c r="A342" s="247" t="str">
        <f t="shared" si="5"/>
        <v>中津豊南ＦＣ_4</v>
      </c>
      <c r="B342" s="238" t="s">
        <v>2023</v>
      </c>
      <c r="C342" s="238" t="str">
        <f>("4")</f>
        <v>4</v>
      </c>
      <c r="D342" s="238" t="s">
        <v>798</v>
      </c>
      <c r="E342" s="380" t="s">
        <v>9277</v>
      </c>
      <c r="F342" s="380" t="s">
        <v>14547</v>
      </c>
      <c r="G342" s="380">
        <v>4</v>
      </c>
      <c r="H342" s="380" t="s">
        <v>1480</v>
      </c>
    </row>
    <row r="343" spans="1:9" x14ac:dyDescent="0.25">
      <c r="A343" s="247" t="str">
        <f t="shared" si="5"/>
        <v>中津豊南ＦＣ_5</v>
      </c>
      <c r="B343" s="238" t="s">
        <v>2023</v>
      </c>
      <c r="C343" s="238" t="str">
        <f>("5")</f>
        <v>5</v>
      </c>
      <c r="D343" s="238" t="s">
        <v>798</v>
      </c>
      <c r="E343" s="380" t="s">
        <v>8636</v>
      </c>
      <c r="F343" s="380" t="s">
        <v>14548</v>
      </c>
      <c r="G343" s="380">
        <v>6</v>
      </c>
      <c r="H343" s="380" t="s">
        <v>1478</v>
      </c>
    </row>
    <row r="344" spans="1:9" x14ac:dyDescent="0.25">
      <c r="A344" s="247" t="str">
        <f t="shared" si="5"/>
        <v>中津豊南ＦＣ_6</v>
      </c>
      <c r="B344" s="238" t="s">
        <v>2023</v>
      </c>
      <c r="C344" s="238" t="str">
        <f>("6")</f>
        <v>6</v>
      </c>
      <c r="D344" s="238" t="s">
        <v>798</v>
      </c>
      <c r="E344" s="380" t="s">
        <v>9731</v>
      </c>
      <c r="F344" s="380" t="s">
        <v>14549</v>
      </c>
      <c r="G344" s="380">
        <v>3</v>
      </c>
      <c r="H344" s="380" t="s">
        <v>1478</v>
      </c>
    </row>
    <row r="345" spans="1:9" x14ac:dyDescent="0.25">
      <c r="A345" s="247" t="str">
        <f t="shared" si="5"/>
        <v>中津豊南ＦＣ_7</v>
      </c>
      <c r="B345" s="238" t="s">
        <v>2023</v>
      </c>
      <c r="C345" s="238" t="str">
        <f>("7")</f>
        <v>7</v>
      </c>
      <c r="D345" s="238" t="s">
        <v>235</v>
      </c>
      <c r="E345" s="380" t="s">
        <v>5755</v>
      </c>
      <c r="F345" s="380" t="s">
        <v>6405</v>
      </c>
      <c r="G345" s="380">
        <v>5</v>
      </c>
      <c r="H345" s="380" t="s">
        <v>1478</v>
      </c>
    </row>
    <row r="346" spans="1:9" x14ac:dyDescent="0.25">
      <c r="A346" s="247" t="str">
        <f t="shared" si="5"/>
        <v>中津豊南ＦＣ_8</v>
      </c>
      <c r="B346" s="238" t="s">
        <v>2023</v>
      </c>
      <c r="C346" s="238" t="str">
        <f>("8")</f>
        <v>8</v>
      </c>
      <c r="D346" s="238" t="s">
        <v>798</v>
      </c>
      <c r="E346" s="380" t="s">
        <v>8980</v>
      </c>
      <c r="F346" s="380" t="s">
        <v>14550</v>
      </c>
      <c r="G346" s="380">
        <v>6</v>
      </c>
      <c r="H346" s="380" t="s">
        <v>1480</v>
      </c>
    </row>
    <row r="347" spans="1:9" x14ac:dyDescent="0.25">
      <c r="A347" s="247" t="str">
        <f t="shared" si="5"/>
        <v>中津豊南ＦＣ_9</v>
      </c>
      <c r="B347" s="238" t="s">
        <v>2023</v>
      </c>
      <c r="C347" s="238" t="str">
        <f>("9")</f>
        <v>9</v>
      </c>
      <c r="D347" s="238" t="s">
        <v>798</v>
      </c>
      <c r="E347" s="380" t="s">
        <v>5756</v>
      </c>
      <c r="F347" s="380" t="s">
        <v>6406</v>
      </c>
      <c r="G347" s="380">
        <v>6</v>
      </c>
      <c r="H347" s="380" t="s">
        <v>1480</v>
      </c>
    </row>
    <row r="348" spans="1:9" x14ac:dyDescent="0.25">
      <c r="A348" s="247" t="str">
        <f t="shared" si="5"/>
        <v>中津豊南ＦＣ_10</v>
      </c>
      <c r="B348" s="238" t="s">
        <v>2023</v>
      </c>
      <c r="C348" s="238" t="str">
        <f>("10")</f>
        <v>10</v>
      </c>
      <c r="D348" s="238" t="s">
        <v>798</v>
      </c>
      <c r="E348" s="380" t="s">
        <v>4358</v>
      </c>
      <c r="F348" s="380" t="s">
        <v>4359</v>
      </c>
      <c r="G348" s="380">
        <v>6</v>
      </c>
      <c r="H348" s="380" t="s">
        <v>1478</v>
      </c>
      <c r="I348" s="380" t="s">
        <v>408</v>
      </c>
    </row>
    <row r="349" spans="1:9" x14ac:dyDescent="0.25">
      <c r="A349" s="247" t="str">
        <f t="shared" si="5"/>
        <v>中津豊南ＦＣ_11</v>
      </c>
      <c r="B349" s="238" t="s">
        <v>2023</v>
      </c>
      <c r="C349" s="238" t="str">
        <f>("11")</f>
        <v>11</v>
      </c>
      <c r="D349" s="238" t="s">
        <v>798</v>
      </c>
      <c r="E349" s="380" t="s">
        <v>5754</v>
      </c>
      <c r="F349" s="380" t="s">
        <v>6404</v>
      </c>
      <c r="G349" s="380">
        <v>6</v>
      </c>
      <c r="H349" s="380" t="s">
        <v>1480</v>
      </c>
    </row>
    <row r="350" spans="1:9" x14ac:dyDescent="0.25">
      <c r="A350" s="247" t="str">
        <f t="shared" si="5"/>
        <v>中津豊南ＦＣ_12</v>
      </c>
      <c r="B350" s="238" t="s">
        <v>2023</v>
      </c>
      <c r="C350" s="238" t="str">
        <f>("12")</f>
        <v>12</v>
      </c>
      <c r="D350" s="238" t="s">
        <v>280</v>
      </c>
      <c r="E350" s="380" t="s">
        <v>9241</v>
      </c>
      <c r="F350" s="380" t="s">
        <v>14551</v>
      </c>
      <c r="G350" s="380">
        <v>4</v>
      </c>
      <c r="H350" s="380" t="s">
        <v>1478</v>
      </c>
    </row>
    <row r="351" spans="1:9" x14ac:dyDescent="0.25">
      <c r="A351" s="247" t="str">
        <f t="shared" si="5"/>
        <v>中津豊南ＦＣ_14</v>
      </c>
      <c r="B351" s="238" t="s">
        <v>2023</v>
      </c>
      <c r="C351" s="238" t="str">
        <f>("14")</f>
        <v>14</v>
      </c>
      <c r="D351" s="238" t="s">
        <v>235</v>
      </c>
      <c r="E351" s="380" t="s">
        <v>9934</v>
      </c>
      <c r="F351" s="380" t="s">
        <v>14552</v>
      </c>
      <c r="G351" s="380">
        <v>3</v>
      </c>
      <c r="H351" s="380" t="s">
        <v>1478</v>
      </c>
    </row>
    <row r="352" spans="1:9" x14ac:dyDescent="0.25">
      <c r="A352" s="247" t="str">
        <f t="shared" si="5"/>
        <v>中津豊南ＦＣ_15</v>
      </c>
      <c r="B352" s="238" t="s">
        <v>2023</v>
      </c>
      <c r="C352" s="238" t="str">
        <f>("15")</f>
        <v>15</v>
      </c>
      <c r="D352" s="238" t="s">
        <v>235</v>
      </c>
      <c r="E352" s="380" t="s">
        <v>9032</v>
      </c>
      <c r="F352" s="380" t="s">
        <v>14553</v>
      </c>
      <c r="G352" s="380">
        <v>4</v>
      </c>
      <c r="H352" s="380" t="s">
        <v>1478</v>
      </c>
    </row>
    <row r="353" spans="1:9" x14ac:dyDescent="0.25">
      <c r="A353" s="247" t="str">
        <f t="shared" si="5"/>
        <v>中津豊南ＦＣ_16</v>
      </c>
      <c r="B353" s="238" t="s">
        <v>2023</v>
      </c>
      <c r="C353" s="238" t="str">
        <f>("16")</f>
        <v>16</v>
      </c>
      <c r="D353" s="238" t="s">
        <v>796</v>
      </c>
      <c r="E353" s="380" t="s">
        <v>10010</v>
      </c>
      <c r="F353" s="380" t="s">
        <v>14554</v>
      </c>
      <c r="G353" s="380">
        <v>3</v>
      </c>
      <c r="H353" s="380" t="s">
        <v>1478</v>
      </c>
    </row>
    <row r="354" spans="1:9" x14ac:dyDescent="0.25">
      <c r="A354" s="247" t="str">
        <f t="shared" si="5"/>
        <v>中津沖代ジュニアサッカークラブ_1</v>
      </c>
      <c r="B354" s="238" t="s">
        <v>3867</v>
      </c>
      <c r="C354" s="238" t="str">
        <f>("1")</f>
        <v>1</v>
      </c>
      <c r="D354" s="238" t="s">
        <v>235</v>
      </c>
      <c r="E354" s="380" t="s">
        <v>4367</v>
      </c>
      <c r="F354" s="380" t="s">
        <v>4368</v>
      </c>
      <c r="G354" s="380">
        <v>6</v>
      </c>
      <c r="H354" s="380" t="s">
        <v>1478</v>
      </c>
    </row>
    <row r="355" spans="1:9" x14ac:dyDescent="0.25">
      <c r="A355" s="247" t="str">
        <f t="shared" si="5"/>
        <v>中津沖代ジュニアサッカークラブ_3</v>
      </c>
      <c r="B355" s="238" t="s">
        <v>3867</v>
      </c>
      <c r="C355" s="238" t="str">
        <f>("3")</f>
        <v>3</v>
      </c>
      <c r="D355" s="238" t="s">
        <v>798</v>
      </c>
      <c r="E355" s="380" t="s">
        <v>8506</v>
      </c>
      <c r="F355" s="380" t="s">
        <v>14555</v>
      </c>
      <c r="G355" s="380">
        <v>5</v>
      </c>
      <c r="H355" s="380" t="s">
        <v>1478</v>
      </c>
    </row>
    <row r="356" spans="1:9" x14ac:dyDescent="0.25">
      <c r="A356" s="247" t="str">
        <f t="shared" si="5"/>
        <v>中津沖代ジュニアサッカークラブ_4</v>
      </c>
      <c r="B356" s="238" t="s">
        <v>3867</v>
      </c>
      <c r="C356" s="238" t="str">
        <f>("4")</f>
        <v>4</v>
      </c>
      <c r="D356" s="238" t="s">
        <v>280</v>
      </c>
      <c r="E356" s="380" t="s">
        <v>8391</v>
      </c>
      <c r="F356" s="380" t="s">
        <v>14556</v>
      </c>
      <c r="G356" s="380">
        <v>5</v>
      </c>
      <c r="H356" s="380" t="s">
        <v>1478</v>
      </c>
    </row>
    <row r="357" spans="1:9" x14ac:dyDescent="0.25">
      <c r="A357" s="247" t="str">
        <f t="shared" si="5"/>
        <v>中津沖代ジュニアサッカークラブ_5</v>
      </c>
      <c r="B357" s="238" t="s">
        <v>3867</v>
      </c>
      <c r="C357" s="238" t="str">
        <f>("5")</f>
        <v>5</v>
      </c>
      <c r="D357" s="238" t="s">
        <v>235</v>
      </c>
      <c r="E357" s="380" t="s">
        <v>5763</v>
      </c>
      <c r="F357" s="380" t="s">
        <v>6412</v>
      </c>
      <c r="G357" s="380">
        <v>5</v>
      </c>
      <c r="H357" s="380" t="s">
        <v>1480</v>
      </c>
    </row>
    <row r="358" spans="1:9" x14ac:dyDescent="0.25">
      <c r="A358" s="247" t="str">
        <f t="shared" si="5"/>
        <v>中津沖代ジュニアサッカークラブ_6</v>
      </c>
      <c r="B358" s="238" t="s">
        <v>3867</v>
      </c>
      <c r="C358" s="238" t="str">
        <f>("6")</f>
        <v>6</v>
      </c>
      <c r="D358" s="238" t="s">
        <v>798</v>
      </c>
      <c r="E358" s="380" t="s">
        <v>5762</v>
      </c>
      <c r="F358" s="380" t="s">
        <v>6411</v>
      </c>
      <c r="G358" s="380">
        <v>5</v>
      </c>
      <c r="H358" s="380" t="s">
        <v>1480</v>
      </c>
    </row>
    <row r="359" spans="1:9" x14ac:dyDescent="0.25">
      <c r="A359" s="247" t="str">
        <f t="shared" si="5"/>
        <v>中津沖代ジュニアサッカークラブ_7</v>
      </c>
      <c r="B359" s="238" t="s">
        <v>3867</v>
      </c>
      <c r="C359" s="238" t="str">
        <f>("7")</f>
        <v>7</v>
      </c>
      <c r="D359" s="238" t="s">
        <v>280</v>
      </c>
      <c r="E359" s="380" t="s">
        <v>4373</v>
      </c>
      <c r="F359" s="380" t="s">
        <v>4374</v>
      </c>
      <c r="G359" s="380">
        <v>6</v>
      </c>
      <c r="H359" s="380" t="s">
        <v>1478</v>
      </c>
    </row>
    <row r="360" spans="1:9" x14ac:dyDescent="0.25">
      <c r="A360" s="247" t="str">
        <f t="shared" si="5"/>
        <v>中津沖代ジュニアサッカークラブ_8</v>
      </c>
      <c r="B360" s="238" t="s">
        <v>3867</v>
      </c>
      <c r="C360" s="238" t="str">
        <f>("8")</f>
        <v>8</v>
      </c>
      <c r="D360" s="238" t="s">
        <v>235</v>
      </c>
      <c r="E360" s="380" t="s">
        <v>4369</v>
      </c>
      <c r="F360" s="380" t="s">
        <v>4370</v>
      </c>
      <c r="G360" s="380">
        <v>6</v>
      </c>
      <c r="H360" s="380" t="s">
        <v>1480</v>
      </c>
      <c r="I360" s="380" t="s">
        <v>408</v>
      </c>
    </row>
    <row r="361" spans="1:9" x14ac:dyDescent="0.25">
      <c r="A361" s="247" t="str">
        <f t="shared" si="5"/>
        <v>中津沖代ジュニアサッカークラブ_9</v>
      </c>
      <c r="B361" s="238" t="s">
        <v>3867</v>
      </c>
      <c r="C361" s="238" t="str">
        <f>("9")</f>
        <v>9</v>
      </c>
      <c r="D361" s="238" t="s">
        <v>235</v>
      </c>
      <c r="E361" s="380" t="s">
        <v>5760</v>
      </c>
      <c r="F361" s="380" t="s">
        <v>6410</v>
      </c>
      <c r="G361" s="380">
        <v>5</v>
      </c>
      <c r="H361" s="380" t="s">
        <v>1478</v>
      </c>
    </row>
    <row r="362" spans="1:9" x14ac:dyDescent="0.25">
      <c r="A362" s="247" t="str">
        <f t="shared" si="5"/>
        <v>中津沖代ジュニアサッカークラブ_10</v>
      </c>
      <c r="B362" s="238" t="s">
        <v>3867</v>
      </c>
      <c r="C362" s="238" t="str">
        <f>("10")</f>
        <v>10</v>
      </c>
      <c r="D362" s="238" t="s">
        <v>235</v>
      </c>
      <c r="E362" s="380" t="s">
        <v>4371</v>
      </c>
      <c r="F362" s="380" t="s">
        <v>4372</v>
      </c>
      <c r="G362" s="380">
        <v>6</v>
      </c>
      <c r="H362" s="380" t="s">
        <v>1478</v>
      </c>
    </row>
    <row r="363" spans="1:9" x14ac:dyDescent="0.25">
      <c r="A363" s="247" t="str">
        <f t="shared" si="5"/>
        <v>中津沖代ジュニアサッカークラブ_11</v>
      </c>
      <c r="B363" s="238" t="s">
        <v>3867</v>
      </c>
      <c r="C363" s="238" t="str">
        <f>("11")</f>
        <v>11</v>
      </c>
      <c r="D363" s="238" t="s">
        <v>280</v>
      </c>
      <c r="E363" s="380" t="s">
        <v>5758</v>
      </c>
      <c r="F363" s="380" t="s">
        <v>6408</v>
      </c>
      <c r="G363" s="380">
        <v>6</v>
      </c>
      <c r="H363" s="380" t="s">
        <v>1478</v>
      </c>
    </row>
    <row r="364" spans="1:9" x14ac:dyDescent="0.25">
      <c r="A364" s="247" t="str">
        <f t="shared" si="5"/>
        <v>中津沖代ジュニアサッカークラブ_13</v>
      </c>
      <c r="B364" s="238" t="s">
        <v>3867</v>
      </c>
      <c r="C364" s="238" t="str">
        <f>("13")</f>
        <v>13</v>
      </c>
      <c r="D364" s="238" t="s">
        <v>796</v>
      </c>
      <c r="E364" s="380" t="s">
        <v>5764</v>
      </c>
      <c r="F364" s="380" t="s">
        <v>6413</v>
      </c>
      <c r="G364" s="380">
        <v>5</v>
      </c>
      <c r="H364" s="380" t="s">
        <v>1478</v>
      </c>
    </row>
    <row r="365" spans="1:9" x14ac:dyDescent="0.25">
      <c r="A365" s="247" t="str">
        <f t="shared" si="5"/>
        <v>中津沖代ジュニアサッカークラブ_14</v>
      </c>
      <c r="B365" s="238" t="s">
        <v>3867</v>
      </c>
      <c r="C365" s="238" t="str">
        <f>("14")</f>
        <v>14</v>
      </c>
      <c r="D365" s="238" t="s">
        <v>235</v>
      </c>
      <c r="E365" s="380" t="s">
        <v>9178</v>
      </c>
      <c r="F365" s="380" t="s">
        <v>14557</v>
      </c>
      <c r="G365" s="380">
        <v>4</v>
      </c>
      <c r="H365" s="380" t="s">
        <v>1478</v>
      </c>
    </row>
    <row r="366" spans="1:9" x14ac:dyDescent="0.25">
      <c r="A366" s="247" t="str">
        <f t="shared" si="5"/>
        <v>中津沖代ジュニアサッカークラブ_15</v>
      </c>
      <c r="B366" s="238" t="s">
        <v>3867</v>
      </c>
      <c r="C366" s="238" t="str">
        <f>("15")</f>
        <v>15</v>
      </c>
      <c r="D366" s="238" t="s">
        <v>280</v>
      </c>
      <c r="E366" s="380" t="s">
        <v>9338</v>
      </c>
      <c r="F366" s="380" t="s">
        <v>14558</v>
      </c>
      <c r="G366" s="380">
        <v>4</v>
      </c>
      <c r="H366" s="380" t="s">
        <v>1478</v>
      </c>
    </row>
    <row r="367" spans="1:9" x14ac:dyDescent="0.25">
      <c r="A367" s="247" t="str">
        <f t="shared" si="5"/>
        <v>中津沖代ジュニアサッカークラブ_16</v>
      </c>
      <c r="B367" s="238" t="s">
        <v>3867</v>
      </c>
      <c r="C367" s="238" t="str">
        <f>("16")</f>
        <v>16</v>
      </c>
      <c r="D367" s="238" t="s">
        <v>280</v>
      </c>
      <c r="E367" s="380" t="s">
        <v>9448</v>
      </c>
      <c r="F367" s="380" t="s">
        <v>14559</v>
      </c>
      <c r="G367" s="380">
        <v>4</v>
      </c>
      <c r="H367" s="380" t="s">
        <v>1478</v>
      </c>
    </row>
    <row r="368" spans="1:9" x14ac:dyDescent="0.25">
      <c r="A368" s="247" t="str">
        <f t="shared" si="5"/>
        <v>中津沖代ジュニアサッカークラブ_17</v>
      </c>
      <c r="B368" s="238" t="s">
        <v>3867</v>
      </c>
      <c r="C368" s="238" t="str">
        <f>("17")</f>
        <v>17</v>
      </c>
      <c r="D368" s="238" t="s">
        <v>235</v>
      </c>
      <c r="E368" s="380" t="s">
        <v>9109</v>
      </c>
      <c r="F368" s="380" t="s">
        <v>14560</v>
      </c>
      <c r="G368" s="380">
        <v>4</v>
      </c>
      <c r="H368" s="380" t="s">
        <v>1480</v>
      </c>
    </row>
    <row r="369" spans="1:9" x14ac:dyDescent="0.25">
      <c r="A369" s="247" t="str">
        <f t="shared" si="5"/>
        <v>中津沖代ジュニアサッカークラブ_21</v>
      </c>
      <c r="B369" s="238" t="s">
        <v>3867</v>
      </c>
      <c r="C369" s="238" t="str">
        <f>("21")</f>
        <v>21</v>
      </c>
      <c r="D369" s="238" t="s">
        <v>280</v>
      </c>
      <c r="E369" s="380" t="s">
        <v>9078</v>
      </c>
      <c r="F369" s="380" t="s">
        <v>14561</v>
      </c>
      <c r="G369" s="380">
        <v>4</v>
      </c>
      <c r="H369" s="380" t="s">
        <v>1478</v>
      </c>
    </row>
    <row r="370" spans="1:9" x14ac:dyDescent="0.25">
      <c r="A370" s="247" t="str">
        <f t="shared" si="5"/>
        <v>千怒サッカースポーツ少年団_1</v>
      </c>
      <c r="B370" s="238" t="s">
        <v>156</v>
      </c>
      <c r="C370" s="238" t="str">
        <f>("1")</f>
        <v>1</v>
      </c>
      <c r="D370" s="238" t="s">
        <v>796</v>
      </c>
      <c r="E370" s="380" t="s">
        <v>4378</v>
      </c>
      <c r="F370" s="380" t="s">
        <v>4379</v>
      </c>
      <c r="G370" s="380">
        <v>5</v>
      </c>
      <c r="H370" s="380" t="s">
        <v>1478</v>
      </c>
    </row>
    <row r="371" spans="1:9" x14ac:dyDescent="0.25">
      <c r="A371" s="247" t="str">
        <f t="shared" si="5"/>
        <v>千怒サッカースポーツ少年団_2</v>
      </c>
      <c r="B371" s="238" t="s">
        <v>156</v>
      </c>
      <c r="C371" s="238" t="str">
        <f>("2")</f>
        <v>2</v>
      </c>
      <c r="D371" s="238" t="s">
        <v>280</v>
      </c>
      <c r="E371" s="380" t="s">
        <v>5765</v>
      </c>
      <c r="F371" s="380" t="s">
        <v>6414</v>
      </c>
      <c r="G371" s="380">
        <v>6</v>
      </c>
      <c r="H371" s="380" t="s">
        <v>1480</v>
      </c>
    </row>
    <row r="372" spans="1:9" x14ac:dyDescent="0.25">
      <c r="A372" s="247" t="str">
        <f t="shared" si="5"/>
        <v>千怒サッカースポーツ少年団_3</v>
      </c>
      <c r="B372" s="238" t="s">
        <v>156</v>
      </c>
      <c r="C372" s="238" t="str">
        <f>("3")</f>
        <v>3</v>
      </c>
      <c r="D372" s="238" t="s">
        <v>280</v>
      </c>
      <c r="E372" s="380" t="s">
        <v>10027</v>
      </c>
      <c r="F372" s="380" t="s">
        <v>14562</v>
      </c>
      <c r="G372" s="380">
        <v>3</v>
      </c>
      <c r="H372" s="380" t="s">
        <v>1478</v>
      </c>
    </row>
    <row r="373" spans="1:9" x14ac:dyDescent="0.25">
      <c r="A373" s="247" t="str">
        <f t="shared" si="5"/>
        <v>千怒サッカースポーツ少年団_5</v>
      </c>
      <c r="B373" s="238" t="s">
        <v>156</v>
      </c>
      <c r="C373" s="238" t="str">
        <f>("5")</f>
        <v>5</v>
      </c>
      <c r="D373" s="238" t="s">
        <v>798</v>
      </c>
      <c r="E373" s="380" t="s">
        <v>5767</v>
      </c>
      <c r="F373" s="380" t="s">
        <v>6415</v>
      </c>
      <c r="G373" s="380">
        <v>4</v>
      </c>
      <c r="H373" s="380" t="s">
        <v>1478</v>
      </c>
    </row>
    <row r="374" spans="1:9" x14ac:dyDescent="0.25">
      <c r="A374" s="247" t="str">
        <f t="shared" si="5"/>
        <v>千怒サッカースポーツ少年団_6</v>
      </c>
      <c r="B374" s="238" t="s">
        <v>156</v>
      </c>
      <c r="C374" s="238" t="str">
        <f>("6")</f>
        <v>6</v>
      </c>
      <c r="D374" s="238" t="s">
        <v>235</v>
      </c>
      <c r="E374" s="380" t="s">
        <v>5766</v>
      </c>
      <c r="F374" s="380" t="s">
        <v>4375</v>
      </c>
      <c r="G374" s="380">
        <v>6</v>
      </c>
      <c r="H374" s="380" t="s">
        <v>1480</v>
      </c>
      <c r="I374" s="380" t="s">
        <v>408</v>
      </c>
    </row>
    <row r="375" spans="1:9" x14ac:dyDescent="0.25">
      <c r="A375" s="247" t="str">
        <f t="shared" si="5"/>
        <v>千怒サッカースポーツ少年団_7</v>
      </c>
      <c r="B375" s="238" t="s">
        <v>156</v>
      </c>
      <c r="C375" s="238" t="str">
        <f>("7")</f>
        <v>7</v>
      </c>
      <c r="D375" s="238" t="s">
        <v>235</v>
      </c>
      <c r="E375" s="380" t="s">
        <v>4376</v>
      </c>
      <c r="F375" s="380" t="s">
        <v>4377</v>
      </c>
      <c r="G375" s="380">
        <v>5</v>
      </c>
      <c r="H375" s="380" t="s">
        <v>1478</v>
      </c>
    </row>
    <row r="376" spans="1:9" x14ac:dyDescent="0.25">
      <c r="A376" s="247" t="str">
        <f t="shared" si="5"/>
        <v>千怒サッカースポーツ少年団_8</v>
      </c>
      <c r="B376" s="238" t="s">
        <v>156</v>
      </c>
      <c r="C376" s="238" t="str">
        <f>("8")</f>
        <v>8</v>
      </c>
      <c r="D376" s="238" t="s">
        <v>798</v>
      </c>
      <c r="E376" s="380" t="s">
        <v>4380</v>
      </c>
      <c r="F376" s="380" t="s">
        <v>4381</v>
      </c>
      <c r="G376" s="380">
        <v>5</v>
      </c>
      <c r="H376" s="380" t="s">
        <v>1478</v>
      </c>
    </row>
    <row r="377" spans="1:9" x14ac:dyDescent="0.25">
      <c r="A377" s="247" t="str">
        <f t="shared" si="5"/>
        <v>千怒サッカースポーツ少年団_10</v>
      </c>
      <c r="B377" s="238" t="s">
        <v>156</v>
      </c>
      <c r="C377" s="238" t="str">
        <f>("10")</f>
        <v>10</v>
      </c>
      <c r="D377" s="238" t="s">
        <v>235</v>
      </c>
      <c r="E377" s="380" t="s">
        <v>3949</v>
      </c>
      <c r="F377" s="380" t="s">
        <v>3950</v>
      </c>
      <c r="G377" s="380">
        <v>6</v>
      </c>
      <c r="H377" s="380" t="s">
        <v>1478</v>
      </c>
    </row>
    <row r="378" spans="1:9" x14ac:dyDescent="0.25">
      <c r="A378" s="247" t="str">
        <f t="shared" si="5"/>
        <v>千怒サッカースポーツ少年団_11</v>
      </c>
      <c r="B378" s="238" t="s">
        <v>156</v>
      </c>
      <c r="C378" s="238" t="str">
        <f>("11")</f>
        <v>11</v>
      </c>
      <c r="D378" s="238" t="s">
        <v>280</v>
      </c>
      <c r="E378" s="380" t="s">
        <v>4382</v>
      </c>
      <c r="F378" s="380" t="s">
        <v>4383</v>
      </c>
      <c r="G378" s="380">
        <v>5</v>
      </c>
      <c r="H378" s="380" t="s">
        <v>1480</v>
      </c>
    </row>
    <row r="379" spans="1:9" x14ac:dyDescent="0.25">
      <c r="A379" s="247" t="str">
        <f t="shared" si="5"/>
        <v>千怒サッカースポーツ少年団_12</v>
      </c>
      <c r="B379" s="238" t="s">
        <v>156</v>
      </c>
      <c r="C379" s="238" t="str">
        <f>("12")</f>
        <v>12</v>
      </c>
      <c r="D379" s="238" t="s">
        <v>235</v>
      </c>
      <c r="E379" s="380" t="s">
        <v>9937</v>
      </c>
      <c r="F379" s="380" t="s">
        <v>14563</v>
      </c>
      <c r="G379" s="380">
        <v>3</v>
      </c>
      <c r="H379" s="380" t="s">
        <v>1478</v>
      </c>
    </row>
    <row r="380" spans="1:9" x14ac:dyDescent="0.25">
      <c r="A380" s="247" t="str">
        <f t="shared" si="5"/>
        <v>千怒サッカースポーツ少年団_13</v>
      </c>
      <c r="B380" s="238" t="s">
        <v>156</v>
      </c>
      <c r="C380" s="238" t="str">
        <f>("13")</f>
        <v>13</v>
      </c>
      <c r="D380" s="238" t="s">
        <v>280</v>
      </c>
      <c r="E380" s="380" t="s">
        <v>10159</v>
      </c>
      <c r="F380" s="380" t="s">
        <v>14564</v>
      </c>
      <c r="G380" s="380">
        <v>3</v>
      </c>
      <c r="H380" s="380" t="s">
        <v>1478</v>
      </c>
    </row>
    <row r="381" spans="1:9" x14ac:dyDescent="0.25">
      <c r="A381" s="247" t="str">
        <f t="shared" si="5"/>
        <v>千怒サッカースポーツ少年団_14</v>
      </c>
      <c r="B381" s="238" t="s">
        <v>156</v>
      </c>
      <c r="C381" s="238" t="str">
        <f>("14")</f>
        <v>14</v>
      </c>
      <c r="D381" s="238" t="s">
        <v>796</v>
      </c>
      <c r="E381" s="380" t="s">
        <v>9869</v>
      </c>
      <c r="F381" s="380" t="s">
        <v>14565</v>
      </c>
      <c r="G381" s="380">
        <v>3</v>
      </c>
      <c r="H381" s="380" t="s">
        <v>1478</v>
      </c>
    </row>
    <row r="382" spans="1:9" x14ac:dyDescent="0.25">
      <c r="A382" s="247" t="str">
        <f t="shared" si="5"/>
        <v>千怒サッカースポーツ少年団_17</v>
      </c>
      <c r="B382" s="238" t="s">
        <v>156</v>
      </c>
      <c r="C382" s="238" t="str">
        <f>("17")</f>
        <v>17</v>
      </c>
      <c r="D382" s="238" t="s">
        <v>280</v>
      </c>
      <c r="E382" s="380" t="s">
        <v>9889</v>
      </c>
      <c r="F382" s="380" t="s">
        <v>14566</v>
      </c>
      <c r="G382" s="380">
        <v>3</v>
      </c>
      <c r="H382" s="380" t="s">
        <v>1478</v>
      </c>
    </row>
    <row r="383" spans="1:9" x14ac:dyDescent="0.25">
      <c r="A383" s="247" t="str">
        <f t="shared" si="5"/>
        <v>千怒サッカースポーツ少年団_18</v>
      </c>
      <c r="B383" s="238" t="s">
        <v>156</v>
      </c>
      <c r="C383" s="238" t="str">
        <f>("18")</f>
        <v>18</v>
      </c>
      <c r="D383" s="238" t="s">
        <v>798</v>
      </c>
      <c r="E383" s="380" t="s">
        <v>5769</v>
      </c>
      <c r="F383" s="380" t="s">
        <v>6416</v>
      </c>
      <c r="G383" s="380">
        <v>4</v>
      </c>
      <c r="H383" s="380" t="s">
        <v>1478</v>
      </c>
    </row>
    <row r="384" spans="1:9" x14ac:dyDescent="0.25">
      <c r="A384" s="247" t="str">
        <f t="shared" si="5"/>
        <v>千怒サッカースポーツ少年団_19</v>
      </c>
      <c r="B384" s="238" t="s">
        <v>156</v>
      </c>
      <c r="C384" s="238" t="str">
        <f>("19")</f>
        <v>19</v>
      </c>
      <c r="D384" s="238" t="s">
        <v>798</v>
      </c>
      <c r="E384" s="380" t="s">
        <v>9945</v>
      </c>
      <c r="F384" s="380" t="s">
        <v>14567</v>
      </c>
      <c r="G384" s="380">
        <v>3</v>
      </c>
      <c r="H384" s="380" t="s">
        <v>1478</v>
      </c>
    </row>
    <row r="385" spans="1:9" x14ac:dyDescent="0.25">
      <c r="A385" s="247" t="str">
        <f t="shared" ref="A385:A448" si="6">CONCATENATE(B385,"_",C385)</f>
        <v>千怒サッカースポーツ少年団_21</v>
      </c>
      <c r="B385" s="238" t="s">
        <v>156</v>
      </c>
      <c r="C385" s="238" t="str">
        <f>("21")</f>
        <v>21</v>
      </c>
      <c r="D385" s="238" t="s">
        <v>280</v>
      </c>
      <c r="E385" s="380" t="s">
        <v>5770</v>
      </c>
      <c r="F385" s="380" t="s">
        <v>6417</v>
      </c>
      <c r="G385" s="380">
        <v>4</v>
      </c>
      <c r="H385" s="380" t="s">
        <v>1478</v>
      </c>
    </row>
    <row r="386" spans="1:9" x14ac:dyDescent="0.25">
      <c r="A386" s="247" t="str">
        <f t="shared" si="6"/>
        <v>千怒サッカースポーツ少年団_22</v>
      </c>
      <c r="B386" s="238" t="s">
        <v>156</v>
      </c>
      <c r="C386" s="238" t="str">
        <f>("22")</f>
        <v>22</v>
      </c>
      <c r="D386" s="238" t="s">
        <v>798</v>
      </c>
      <c r="E386" s="380" t="s">
        <v>10348</v>
      </c>
      <c r="F386" s="380" t="s">
        <v>14568</v>
      </c>
      <c r="G386" s="380">
        <v>2</v>
      </c>
      <c r="H386" s="380" t="s">
        <v>1478</v>
      </c>
    </row>
    <row r="387" spans="1:9" x14ac:dyDescent="0.25">
      <c r="A387" s="247" t="str">
        <f t="shared" si="6"/>
        <v>弥生少年サッカークラブ_1</v>
      </c>
      <c r="B387" s="238" t="s">
        <v>2138</v>
      </c>
      <c r="C387" s="238" t="str">
        <f>("1")</f>
        <v>1</v>
      </c>
      <c r="D387" s="238" t="s">
        <v>796</v>
      </c>
      <c r="E387" s="380" t="s">
        <v>5779</v>
      </c>
      <c r="F387" s="380" t="s">
        <v>6425</v>
      </c>
      <c r="G387" s="380">
        <v>6</v>
      </c>
      <c r="H387" s="380" t="s">
        <v>1478</v>
      </c>
    </row>
    <row r="388" spans="1:9" x14ac:dyDescent="0.25">
      <c r="A388" s="247" t="str">
        <f t="shared" si="6"/>
        <v>弥生少年サッカークラブ_2</v>
      </c>
      <c r="B388" s="238" t="s">
        <v>2138</v>
      </c>
      <c r="C388" s="238" t="str">
        <f>("2")</f>
        <v>2</v>
      </c>
      <c r="D388" s="238" t="s">
        <v>235</v>
      </c>
      <c r="E388" s="380" t="s">
        <v>5777</v>
      </c>
      <c r="F388" s="380" t="s">
        <v>6423</v>
      </c>
      <c r="G388" s="380">
        <v>5</v>
      </c>
      <c r="H388" s="380" t="s">
        <v>1478</v>
      </c>
    </row>
    <row r="389" spans="1:9" x14ac:dyDescent="0.25">
      <c r="A389" s="247" t="str">
        <f t="shared" si="6"/>
        <v>弥生少年サッカークラブ_3</v>
      </c>
      <c r="B389" s="238" t="s">
        <v>2138</v>
      </c>
      <c r="C389" s="238" t="str">
        <f>("3")</f>
        <v>3</v>
      </c>
      <c r="D389" s="238" t="s">
        <v>235</v>
      </c>
      <c r="E389" s="380" t="s">
        <v>5778</v>
      </c>
      <c r="F389" s="380" t="s">
        <v>6424</v>
      </c>
      <c r="G389" s="380">
        <v>5</v>
      </c>
      <c r="H389" s="380" t="s">
        <v>1478</v>
      </c>
    </row>
    <row r="390" spans="1:9" x14ac:dyDescent="0.25">
      <c r="A390" s="247" t="str">
        <f t="shared" si="6"/>
        <v>弥生少年サッカークラブ_4</v>
      </c>
      <c r="B390" s="238" t="s">
        <v>2138</v>
      </c>
      <c r="C390" s="238" t="str">
        <f>("4")</f>
        <v>4</v>
      </c>
      <c r="D390" s="238" t="s">
        <v>280</v>
      </c>
      <c r="E390" s="380" t="s">
        <v>5775</v>
      </c>
      <c r="F390" s="380" t="s">
        <v>6421</v>
      </c>
      <c r="G390" s="380">
        <v>5</v>
      </c>
      <c r="H390" s="380" t="s">
        <v>1478</v>
      </c>
    </row>
    <row r="391" spans="1:9" x14ac:dyDescent="0.25">
      <c r="A391" s="247" t="str">
        <f t="shared" si="6"/>
        <v>弥生少年サッカークラブ_5</v>
      </c>
      <c r="B391" s="238" t="s">
        <v>2138</v>
      </c>
      <c r="C391" s="238" t="str">
        <f>("5")</f>
        <v>5</v>
      </c>
      <c r="D391" s="238" t="s">
        <v>280</v>
      </c>
      <c r="E391" s="380" t="s">
        <v>5772</v>
      </c>
      <c r="F391" s="380" t="s">
        <v>6418</v>
      </c>
      <c r="G391" s="380">
        <v>5</v>
      </c>
      <c r="H391" s="380" t="s">
        <v>1478</v>
      </c>
    </row>
    <row r="392" spans="1:9" x14ac:dyDescent="0.25">
      <c r="A392" s="247" t="str">
        <f t="shared" si="6"/>
        <v>弥生少年サッカークラブ_6</v>
      </c>
      <c r="B392" s="238" t="s">
        <v>2138</v>
      </c>
      <c r="C392" s="238" t="str">
        <f>("6")</f>
        <v>6</v>
      </c>
      <c r="D392" s="238" t="s">
        <v>235</v>
      </c>
      <c r="E392" s="380" t="s">
        <v>5776</v>
      </c>
      <c r="F392" s="380" t="s">
        <v>6422</v>
      </c>
      <c r="G392" s="380">
        <v>5</v>
      </c>
      <c r="H392" s="380" t="s">
        <v>1478</v>
      </c>
    </row>
    <row r="393" spans="1:9" x14ac:dyDescent="0.25">
      <c r="A393" s="247" t="str">
        <f t="shared" si="6"/>
        <v>弥生少年サッカークラブ_7</v>
      </c>
      <c r="B393" s="238" t="s">
        <v>2138</v>
      </c>
      <c r="C393" s="238" t="str">
        <f>("7")</f>
        <v>7</v>
      </c>
      <c r="D393" s="238" t="s">
        <v>235</v>
      </c>
      <c r="E393" s="380" t="s">
        <v>3957</v>
      </c>
      <c r="F393" s="380" t="s">
        <v>3958</v>
      </c>
      <c r="G393" s="380">
        <v>6</v>
      </c>
      <c r="H393" s="380" t="s">
        <v>1478</v>
      </c>
    </row>
    <row r="394" spans="1:9" x14ac:dyDescent="0.25">
      <c r="A394" s="247" t="str">
        <f t="shared" si="6"/>
        <v>弥生少年サッカークラブ_8</v>
      </c>
      <c r="B394" s="238" t="s">
        <v>2138</v>
      </c>
      <c r="C394" s="238" t="str">
        <f>("8")</f>
        <v>8</v>
      </c>
      <c r="D394" s="238" t="s">
        <v>798</v>
      </c>
      <c r="E394" s="380" t="s">
        <v>3959</v>
      </c>
      <c r="F394" s="380" t="s">
        <v>3960</v>
      </c>
      <c r="G394" s="380">
        <v>6</v>
      </c>
      <c r="H394" s="380" t="s">
        <v>1478</v>
      </c>
    </row>
    <row r="395" spans="1:9" x14ac:dyDescent="0.25">
      <c r="A395" s="247" t="str">
        <f t="shared" si="6"/>
        <v>弥生少年サッカークラブ_9</v>
      </c>
      <c r="B395" s="238" t="s">
        <v>2138</v>
      </c>
      <c r="C395" s="238" t="str">
        <f>("9")</f>
        <v>9</v>
      </c>
      <c r="D395" s="238" t="s">
        <v>798</v>
      </c>
      <c r="E395" s="380" t="s">
        <v>3968</v>
      </c>
      <c r="F395" s="380" t="s">
        <v>3969</v>
      </c>
      <c r="G395" s="380">
        <v>6</v>
      </c>
      <c r="H395" s="380" t="s">
        <v>1478</v>
      </c>
    </row>
    <row r="396" spans="1:9" x14ac:dyDescent="0.25">
      <c r="A396" s="247" t="str">
        <f t="shared" si="6"/>
        <v>弥生少年サッカークラブ_10</v>
      </c>
      <c r="B396" s="238" t="s">
        <v>2138</v>
      </c>
      <c r="C396" s="238" t="str">
        <f>("10")</f>
        <v>10</v>
      </c>
      <c r="D396" s="238" t="s">
        <v>280</v>
      </c>
      <c r="E396" s="380" t="s">
        <v>3954</v>
      </c>
      <c r="F396" s="380" t="s">
        <v>3955</v>
      </c>
      <c r="G396" s="380">
        <v>6</v>
      </c>
      <c r="H396" s="380" t="s">
        <v>1478</v>
      </c>
    </row>
    <row r="397" spans="1:9" x14ac:dyDescent="0.25">
      <c r="A397" s="247" t="str">
        <f t="shared" si="6"/>
        <v>弥生少年サッカークラブ_11</v>
      </c>
      <c r="B397" s="238" t="s">
        <v>2138</v>
      </c>
      <c r="C397" s="238" t="str">
        <f>("11")</f>
        <v>11</v>
      </c>
      <c r="D397" s="238" t="s">
        <v>798</v>
      </c>
      <c r="E397" s="380" t="s">
        <v>5774</v>
      </c>
      <c r="F397" s="380" t="s">
        <v>6420</v>
      </c>
      <c r="G397" s="380">
        <v>6</v>
      </c>
      <c r="H397" s="380" t="s">
        <v>1478</v>
      </c>
      <c r="I397" s="380" t="s">
        <v>408</v>
      </c>
    </row>
    <row r="398" spans="1:9" x14ac:dyDescent="0.25">
      <c r="A398" s="247" t="str">
        <f t="shared" si="6"/>
        <v>弥生少年サッカークラブ_12</v>
      </c>
      <c r="B398" s="238" t="s">
        <v>2138</v>
      </c>
      <c r="C398" s="238" t="str">
        <f>("12")</f>
        <v>12</v>
      </c>
      <c r="D398" s="238" t="s">
        <v>798</v>
      </c>
      <c r="E398" s="380" t="s">
        <v>5780</v>
      </c>
      <c r="F398" s="380" t="s">
        <v>6426</v>
      </c>
      <c r="G398" s="380">
        <v>5</v>
      </c>
      <c r="H398" s="380" t="s">
        <v>1478</v>
      </c>
    </row>
    <row r="399" spans="1:9" x14ac:dyDescent="0.25">
      <c r="A399" s="247" t="str">
        <f t="shared" si="6"/>
        <v>弥生少年サッカークラブ_13</v>
      </c>
      <c r="B399" s="238" t="s">
        <v>2138</v>
      </c>
      <c r="C399" s="238" t="str">
        <f>("13")</f>
        <v>13</v>
      </c>
      <c r="D399" s="238" t="s">
        <v>235</v>
      </c>
      <c r="E399" s="380" t="s">
        <v>8387</v>
      </c>
      <c r="F399" s="380" t="s">
        <v>14569</v>
      </c>
      <c r="G399" s="380">
        <v>5</v>
      </c>
      <c r="H399" s="380" t="s">
        <v>1478</v>
      </c>
    </row>
    <row r="400" spans="1:9" x14ac:dyDescent="0.25">
      <c r="A400" s="247" t="str">
        <f t="shared" si="6"/>
        <v>弥生少年サッカークラブ_14</v>
      </c>
      <c r="B400" s="238" t="s">
        <v>2138</v>
      </c>
      <c r="C400" s="238" t="str">
        <f>("14")</f>
        <v>14</v>
      </c>
      <c r="D400" s="238" t="s">
        <v>798</v>
      </c>
      <c r="E400" s="380" t="s">
        <v>8473</v>
      </c>
      <c r="F400" s="380" t="s">
        <v>14570</v>
      </c>
      <c r="G400" s="380">
        <v>5</v>
      </c>
      <c r="H400" s="380" t="s">
        <v>1478</v>
      </c>
    </row>
    <row r="401" spans="1:9" x14ac:dyDescent="0.25">
      <c r="A401" s="247" t="str">
        <f t="shared" si="6"/>
        <v>弥生少年サッカークラブ_15</v>
      </c>
      <c r="B401" s="238" t="s">
        <v>2138</v>
      </c>
      <c r="C401" s="238" t="str">
        <f>("15")</f>
        <v>15</v>
      </c>
      <c r="D401" s="238" t="s">
        <v>235</v>
      </c>
      <c r="E401" s="380" t="s">
        <v>9081</v>
      </c>
      <c r="F401" s="380" t="s">
        <v>4118</v>
      </c>
      <c r="G401" s="380">
        <v>4</v>
      </c>
      <c r="H401" s="380" t="s">
        <v>1478</v>
      </c>
    </row>
    <row r="402" spans="1:9" x14ac:dyDescent="0.25">
      <c r="A402" s="247" t="str">
        <f t="shared" si="6"/>
        <v>弥生少年サッカークラブ_16</v>
      </c>
      <c r="B402" s="238" t="s">
        <v>2138</v>
      </c>
      <c r="C402" s="238" t="str">
        <f>("16")</f>
        <v>16</v>
      </c>
      <c r="D402" s="238" t="s">
        <v>235</v>
      </c>
      <c r="E402" s="380" t="s">
        <v>5773</v>
      </c>
      <c r="F402" s="380" t="s">
        <v>6419</v>
      </c>
      <c r="G402" s="380">
        <v>6</v>
      </c>
      <c r="H402" s="380" t="s">
        <v>1478</v>
      </c>
    </row>
    <row r="403" spans="1:9" x14ac:dyDescent="0.25">
      <c r="A403" s="247" t="str">
        <f t="shared" si="6"/>
        <v>弥生少年サッカークラブ_17</v>
      </c>
      <c r="B403" s="238" t="s">
        <v>2138</v>
      </c>
      <c r="C403" s="238" t="str">
        <f>("17")</f>
        <v>17</v>
      </c>
      <c r="D403" s="238" t="s">
        <v>798</v>
      </c>
      <c r="E403" s="380" t="s">
        <v>9210</v>
      </c>
      <c r="F403" s="380" t="s">
        <v>14571</v>
      </c>
      <c r="G403" s="380">
        <v>4</v>
      </c>
      <c r="H403" s="380" t="s">
        <v>1478</v>
      </c>
    </row>
    <row r="404" spans="1:9" x14ac:dyDescent="0.25">
      <c r="A404" s="247" t="str">
        <f t="shared" si="6"/>
        <v>弥生少年サッカークラブ_18</v>
      </c>
      <c r="B404" s="238" t="s">
        <v>2138</v>
      </c>
      <c r="C404" s="238" t="str">
        <f>("18")</f>
        <v>18</v>
      </c>
      <c r="D404" s="238" t="s">
        <v>798</v>
      </c>
      <c r="E404" s="380" t="s">
        <v>9207</v>
      </c>
      <c r="F404" s="380" t="s">
        <v>14572</v>
      </c>
      <c r="G404" s="380">
        <v>4</v>
      </c>
      <c r="H404" s="380" t="s">
        <v>1478</v>
      </c>
    </row>
    <row r="405" spans="1:9" x14ac:dyDescent="0.25">
      <c r="A405" s="247" t="str">
        <f t="shared" si="6"/>
        <v>上堅田少年サッカークラブ_1</v>
      </c>
      <c r="B405" s="238" t="s">
        <v>2514</v>
      </c>
      <c r="C405" s="238" t="str">
        <f>("1")</f>
        <v>1</v>
      </c>
      <c r="D405" s="238" t="s">
        <v>796</v>
      </c>
      <c r="E405" s="380" t="s">
        <v>5784</v>
      </c>
      <c r="F405" s="380" t="s">
        <v>6429</v>
      </c>
      <c r="G405" s="380">
        <v>4</v>
      </c>
      <c r="H405" s="380" t="s">
        <v>1478</v>
      </c>
    </row>
    <row r="406" spans="1:9" x14ac:dyDescent="0.25">
      <c r="A406" s="247" t="str">
        <f t="shared" si="6"/>
        <v>上堅田少年サッカークラブ_2</v>
      </c>
      <c r="B406" s="238" t="s">
        <v>2514</v>
      </c>
      <c r="C406" s="238" t="str">
        <f>("2")</f>
        <v>2</v>
      </c>
      <c r="D406" s="238" t="s">
        <v>235</v>
      </c>
      <c r="E406" s="380" t="s">
        <v>4386</v>
      </c>
      <c r="F406" s="380" t="s">
        <v>4387</v>
      </c>
      <c r="G406" s="380">
        <v>6</v>
      </c>
      <c r="H406" s="380" t="s">
        <v>1480</v>
      </c>
    </row>
    <row r="407" spans="1:9" x14ac:dyDescent="0.25">
      <c r="A407" s="247" t="str">
        <f t="shared" si="6"/>
        <v>上堅田少年サッカークラブ_3</v>
      </c>
      <c r="B407" s="238" t="s">
        <v>2514</v>
      </c>
      <c r="C407" s="238" t="str">
        <f>("3")</f>
        <v>3</v>
      </c>
      <c r="D407" s="238" t="s">
        <v>235</v>
      </c>
      <c r="E407" s="380" t="s">
        <v>5783</v>
      </c>
      <c r="F407" s="380" t="s">
        <v>6428</v>
      </c>
      <c r="G407" s="380">
        <v>5</v>
      </c>
      <c r="H407" s="380" t="s">
        <v>1478</v>
      </c>
    </row>
    <row r="408" spans="1:9" x14ac:dyDescent="0.25">
      <c r="A408" s="247" t="str">
        <f t="shared" si="6"/>
        <v>上堅田少年サッカークラブ_5</v>
      </c>
      <c r="B408" s="238" t="s">
        <v>2514</v>
      </c>
      <c r="C408" s="238" t="str">
        <f>("5")</f>
        <v>5</v>
      </c>
      <c r="D408" s="238" t="s">
        <v>798</v>
      </c>
      <c r="E408" s="380" t="s">
        <v>4392</v>
      </c>
      <c r="F408" s="380" t="s">
        <v>4393</v>
      </c>
      <c r="G408" s="380">
        <v>5</v>
      </c>
      <c r="H408" s="380" t="s">
        <v>1480</v>
      </c>
    </row>
    <row r="409" spans="1:9" x14ac:dyDescent="0.25">
      <c r="A409" s="247" t="str">
        <f t="shared" si="6"/>
        <v>上堅田少年サッカークラブ_6</v>
      </c>
      <c r="B409" s="238" t="s">
        <v>2514</v>
      </c>
      <c r="C409" s="238" t="str">
        <f>("6")</f>
        <v>6</v>
      </c>
      <c r="D409" s="238" t="s">
        <v>280</v>
      </c>
      <c r="E409" s="380" t="s">
        <v>10456</v>
      </c>
      <c r="F409" s="380" t="s">
        <v>14573</v>
      </c>
      <c r="G409" s="380" t="s">
        <v>2136</v>
      </c>
      <c r="H409" s="380" t="s">
        <v>1478</v>
      </c>
    </row>
    <row r="410" spans="1:9" x14ac:dyDescent="0.25">
      <c r="A410" s="247" t="str">
        <f t="shared" si="6"/>
        <v>上堅田少年サッカークラブ_7</v>
      </c>
      <c r="B410" s="238" t="s">
        <v>2514</v>
      </c>
      <c r="C410" s="238" t="str">
        <f>("7")</f>
        <v>7</v>
      </c>
      <c r="D410" s="238" t="s">
        <v>798</v>
      </c>
      <c r="E410" s="380" t="s">
        <v>4388</v>
      </c>
      <c r="F410" s="380" t="s">
        <v>4389</v>
      </c>
      <c r="G410" s="380">
        <v>5</v>
      </c>
      <c r="H410" s="380" t="s">
        <v>1478</v>
      </c>
    </row>
    <row r="411" spans="1:9" x14ac:dyDescent="0.25">
      <c r="A411" s="247" t="str">
        <f t="shared" si="6"/>
        <v>上堅田少年サッカークラブ_8</v>
      </c>
      <c r="B411" s="238" t="s">
        <v>2514</v>
      </c>
      <c r="C411" s="238" t="str">
        <f>("8")</f>
        <v>8</v>
      </c>
      <c r="D411" s="238" t="s">
        <v>235</v>
      </c>
      <c r="E411" s="380" t="s">
        <v>4390</v>
      </c>
      <c r="F411" s="380" t="s">
        <v>4391</v>
      </c>
      <c r="G411" s="380">
        <v>5</v>
      </c>
      <c r="H411" s="380" t="s">
        <v>1478</v>
      </c>
    </row>
    <row r="412" spans="1:9" x14ac:dyDescent="0.25">
      <c r="A412" s="247" t="str">
        <f t="shared" si="6"/>
        <v>上堅田少年サッカークラブ_9</v>
      </c>
      <c r="B412" s="238" t="s">
        <v>2514</v>
      </c>
      <c r="C412" s="238" t="str">
        <f>("9")</f>
        <v>9</v>
      </c>
      <c r="D412" s="238" t="s">
        <v>798</v>
      </c>
      <c r="E412" s="380" t="s">
        <v>9461</v>
      </c>
      <c r="F412" s="380" t="s">
        <v>14574</v>
      </c>
      <c r="G412" s="380">
        <v>4</v>
      </c>
      <c r="H412" s="380" t="s">
        <v>1478</v>
      </c>
    </row>
    <row r="413" spans="1:9" x14ac:dyDescent="0.25">
      <c r="A413" s="247" t="str">
        <f t="shared" si="6"/>
        <v>上堅田少年サッカークラブ_10</v>
      </c>
      <c r="B413" s="238" t="s">
        <v>2514</v>
      </c>
      <c r="C413" s="238" t="str">
        <f>("10")</f>
        <v>10</v>
      </c>
      <c r="D413" s="238" t="s">
        <v>798</v>
      </c>
      <c r="E413" s="380" t="s">
        <v>3972</v>
      </c>
      <c r="F413" s="380" t="s">
        <v>3973</v>
      </c>
      <c r="G413" s="380">
        <v>6</v>
      </c>
      <c r="H413" s="380" t="s">
        <v>1478</v>
      </c>
      <c r="I413" s="380" t="s">
        <v>408</v>
      </c>
    </row>
    <row r="414" spans="1:9" x14ac:dyDescent="0.25">
      <c r="A414" s="247" t="str">
        <f t="shared" si="6"/>
        <v>上堅田少年サッカークラブ_11</v>
      </c>
      <c r="B414" s="238" t="s">
        <v>2514</v>
      </c>
      <c r="C414" s="238" t="str">
        <f>("11")</f>
        <v>11</v>
      </c>
      <c r="D414" s="238" t="s">
        <v>280</v>
      </c>
      <c r="E414" s="380" t="s">
        <v>5787</v>
      </c>
      <c r="F414" s="380" t="s">
        <v>6431</v>
      </c>
      <c r="G414" s="380">
        <v>3</v>
      </c>
      <c r="H414" s="380" t="s">
        <v>1478</v>
      </c>
    </row>
    <row r="415" spans="1:9" x14ac:dyDescent="0.25">
      <c r="A415" s="247" t="str">
        <f t="shared" si="6"/>
        <v>上堅田少年サッカークラブ_12</v>
      </c>
      <c r="B415" s="238" t="s">
        <v>2514</v>
      </c>
      <c r="C415" s="238" t="str">
        <f>("12")</f>
        <v>12</v>
      </c>
      <c r="D415" s="238" t="s">
        <v>280</v>
      </c>
      <c r="E415" s="380" t="s">
        <v>5786</v>
      </c>
      <c r="F415" s="380" t="s">
        <v>6430</v>
      </c>
      <c r="G415" s="380">
        <v>4</v>
      </c>
      <c r="H415" s="380" t="s">
        <v>1480</v>
      </c>
    </row>
    <row r="416" spans="1:9" x14ac:dyDescent="0.25">
      <c r="A416" s="247" t="str">
        <f t="shared" si="6"/>
        <v>上堅田少年サッカークラブ_13</v>
      </c>
      <c r="B416" s="238" t="s">
        <v>2514</v>
      </c>
      <c r="C416" s="238" t="str">
        <f>("13")</f>
        <v>13</v>
      </c>
      <c r="D416" s="238" t="s">
        <v>798</v>
      </c>
      <c r="E416" s="380" t="s">
        <v>5782</v>
      </c>
      <c r="F416" s="380" t="s">
        <v>6427</v>
      </c>
      <c r="G416" s="380">
        <v>4</v>
      </c>
      <c r="H416" s="380" t="s">
        <v>1478</v>
      </c>
    </row>
    <row r="417" spans="1:9" x14ac:dyDescent="0.25">
      <c r="A417" s="247" t="str">
        <f t="shared" si="6"/>
        <v>上堅田少年サッカークラブ_14</v>
      </c>
      <c r="B417" s="238" t="s">
        <v>2514</v>
      </c>
      <c r="C417" s="238" t="str">
        <f>("14")</f>
        <v>14</v>
      </c>
      <c r="D417" s="238" t="s">
        <v>280</v>
      </c>
      <c r="E417" s="380" t="s">
        <v>10368</v>
      </c>
      <c r="F417" s="380" t="s">
        <v>14575</v>
      </c>
      <c r="G417" s="380">
        <v>2</v>
      </c>
      <c r="H417" s="380" t="s">
        <v>1480</v>
      </c>
    </row>
    <row r="418" spans="1:9" x14ac:dyDescent="0.25">
      <c r="A418" s="247" t="str">
        <f t="shared" si="6"/>
        <v>鶴岡Ｓ―ｐｌａｙ・ＭＩＮＡＭＩ_1</v>
      </c>
      <c r="B418" s="238" t="s">
        <v>2516</v>
      </c>
      <c r="C418" s="238" t="str">
        <f>("1")</f>
        <v>1</v>
      </c>
      <c r="D418" s="238" t="s">
        <v>796</v>
      </c>
      <c r="E418" s="380" t="s">
        <v>5788</v>
      </c>
      <c r="F418" s="380" t="s">
        <v>6432</v>
      </c>
      <c r="G418" s="380">
        <v>5</v>
      </c>
      <c r="H418" s="380" t="s">
        <v>1478</v>
      </c>
    </row>
    <row r="419" spans="1:9" x14ac:dyDescent="0.25">
      <c r="A419" s="247" t="str">
        <f t="shared" si="6"/>
        <v>鶴岡Ｓ―ｐｌａｙ・ＭＩＮＡＭＩ_2</v>
      </c>
      <c r="B419" s="238" t="s">
        <v>2516</v>
      </c>
      <c r="C419" s="238" t="str">
        <f>("2")</f>
        <v>2</v>
      </c>
      <c r="D419" s="238" t="s">
        <v>798</v>
      </c>
      <c r="E419" s="380" t="s">
        <v>8499</v>
      </c>
      <c r="F419" s="380" t="s">
        <v>14576</v>
      </c>
      <c r="G419" s="380">
        <v>5</v>
      </c>
      <c r="H419" s="380" t="s">
        <v>1480</v>
      </c>
    </row>
    <row r="420" spans="1:9" x14ac:dyDescent="0.25">
      <c r="A420" s="247" t="str">
        <f t="shared" si="6"/>
        <v>鶴岡Ｓ―ｐｌａｙ・ＭＩＮＡＭＩ_3</v>
      </c>
      <c r="B420" s="238" t="s">
        <v>2516</v>
      </c>
      <c r="C420" s="238" t="str">
        <f>("3")</f>
        <v>3</v>
      </c>
      <c r="D420" s="238" t="s">
        <v>798</v>
      </c>
      <c r="E420" s="380" t="s">
        <v>8501</v>
      </c>
      <c r="F420" s="380" t="s">
        <v>14577</v>
      </c>
      <c r="G420" s="380">
        <v>5</v>
      </c>
      <c r="H420" s="380" t="s">
        <v>1480</v>
      </c>
    </row>
    <row r="421" spans="1:9" x14ac:dyDescent="0.25">
      <c r="A421" s="247" t="str">
        <f t="shared" si="6"/>
        <v>鶴岡Ｓ―ｐｌａｙ・ＭＩＮＡＭＩ_4</v>
      </c>
      <c r="B421" s="238" t="s">
        <v>2516</v>
      </c>
      <c r="C421" s="238" t="str">
        <f>("4")</f>
        <v>4</v>
      </c>
      <c r="D421" s="238" t="s">
        <v>235</v>
      </c>
      <c r="E421" s="380" t="s">
        <v>5789</v>
      </c>
      <c r="F421" s="380" t="s">
        <v>6433</v>
      </c>
      <c r="G421" s="380">
        <v>5</v>
      </c>
      <c r="H421" s="380" t="s">
        <v>1478</v>
      </c>
    </row>
    <row r="422" spans="1:9" x14ac:dyDescent="0.25">
      <c r="A422" s="247" t="str">
        <f t="shared" si="6"/>
        <v>鶴岡Ｓ―ｐｌａｙ・ＭＩＮＡＭＩ_5</v>
      </c>
      <c r="B422" s="238" t="s">
        <v>2516</v>
      </c>
      <c r="C422" s="238" t="str">
        <f>("5")</f>
        <v>5</v>
      </c>
      <c r="D422" s="238" t="s">
        <v>280</v>
      </c>
      <c r="E422" s="380" t="s">
        <v>8076</v>
      </c>
      <c r="F422" s="380" t="s">
        <v>14578</v>
      </c>
      <c r="G422" s="380">
        <v>5</v>
      </c>
      <c r="H422" s="380" t="s">
        <v>1478</v>
      </c>
    </row>
    <row r="423" spans="1:9" x14ac:dyDescent="0.25">
      <c r="A423" s="247" t="str">
        <f t="shared" si="6"/>
        <v>鶴岡Ｓ―ｐｌａｙ・ＭＩＮＡＭＩ_6</v>
      </c>
      <c r="B423" s="238" t="s">
        <v>2516</v>
      </c>
      <c r="C423" s="238" t="str">
        <f>("6")</f>
        <v>6</v>
      </c>
      <c r="D423" s="238" t="s">
        <v>280</v>
      </c>
      <c r="E423" s="380" t="s">
        <v>8654</v>
      </c>
      <c r="F423" s="380" t="s">
        <v>14579</v>
      </c>
      <c r="G423" s="380">
        <v>6</v>
      </c>
      <c r="H423" s="380" t="s">
        <v>1478</v>
      </c>
    </row>
    <row r="424" spans="1:9" x14ac:dyDescent="0.25">
      <c r="A424" s="247" t="str">
        <f t="shared" si="6"/>
        <v>鶴岡Ｓ―ｐｌａｙ・ＭＩＮＡＭＩ_7</v>
      </c>
      <c r="B424" s="238" t="s">
        <v>2516</v>
      </c>
      <c r="C424" s="238" t="str">
        <f>("7")</f>
        <v>7</v>
      </c>
      <c r="D424" s="238" t="s">
        <v>798</v>
      </c>
      <c r="E424" s="380" t="s">
        <v>5792</v>
      </c>
      <c r="F424" s="380" t="s">
        <v>6436</v>
      </c>
      <c r="G424" s="380">
        <v>5</v>
      </c>
      <c r="H424" s="380" t="s">
        <v>1478</v>
      </c>
    </row>
    <row r="425" spans="1:9" x14ac:dyDescent="0.25">
      <c r="A425" s="247" t="str">
        <f t="shared" si="6"/>
        <v>鶴岡Ｓ―ｐｌａｙ・ＭＩＮＡＭＩ_8</v>
      </c>
      <c r="B425" s="238" t="s">
        <v>2516</v>
      </c>
      <c r="C425" s="238" t="str">
        <f>("8")</f>
        <v>8</v>
      </c>
      <c r="D425" s="238" t="s">
        <v>235</v>
      </c>
      <c r="E425" s="380" t="s">
        <v>5791</v>
      </c>
      <c r="F425" s="380" t="s">
        <v>6435</v>
      </c>
      <c r="G425" s="380">
        <v>6</v>
      </c>
      <c r="H425" s="380" t="s">
        <v>1478</v>
      </c>
    </row>
    <row r="426" spans="1:9" x14ac:dyDescent="0.25">
      <c r="A426" s="247" t="str">
        <f t="shared" si="6"/>
        <v>鶴岡Ｓ―ｐｌａｙ・ＭＩＮＡＭＩ_9</v>
      </c>
      <c r="B426" s="238" t="s">
        <v>2516</v>
      </c>
      <c r="C426" s="238" t="str">
        <f>("9")</f>
        <v>9</v>
      </c>
      <c r="D426" s="238" t="s">
        <v>798</v>
      </c>
      <c r="E426" s="380" t="s">
        <v>5790</v>
      </c>
      <c r="F426" s="380" t="s">
        <v>6434</v>
      </c>
      <c r="G426" s="380">
        <v>5</v>
      </c>
      <c r="H426" s="380" t="s">
        <v>1478</v>
      </c>
    </row>
    <row r="427" spans="1:9" x14ac:dyDescent="0.25">
      <c r="A427" s="247" t="str">
        <f t="shared" si="6"/>
        <v>鶴岡Ｓ―ｐｌａｙ・ＭＩＮＡＭＩ_10</v>
      </c>
      <c r="B427" s="238" t="s">
        <v>2516</v>
      </c>
      <c r="C427" s="238" t="str">
        <f>("10")</f>
        <v>10</v>
      </c>
      <c r="D427" s="238" t="s">
        <v>798</v>
      </c>
      <c r="E427" s="380" t="s">
        <v>4397</v>
      </c>
      <c r="F427" s="380" t="s">
        <v>4398</v>
      </c>
      <c r="G427" s="380">
        <v>6</v>
      </c>
      <c r="H427" s="380" t="s">
        <v>1478</v>
      </c>
      <c r="I427" s="380" t="s">
        <v>408</v>
      </c>
    </row>
    <row r="428" spans="1:9" x14ac:dyDescent="0.25">
      <c r="A428" s="247" t="str">
        <f t="shared" si="6"/>
        <v>鶴岡Ｓ―ｐｌａｙ・ＭＩＮＡＭＩ_11</v>
      </c>
      <c r="B428" s="238" t="s">
        <v>2516</v>
      </c>
      <c r="C428" s="238" t="str">
        <f>("11")</f>
        <v>11</v>
      </c>
      <c r="D428" s="238" t="s">
        <v>280</v>
      </c>
      <c r="E428" s="380" t="s">
        <v>5793</v>
      </c>
      <c r="F428" s="380" t="s">
        <v>6437</v>
      </c>
      <c r="G428" s="380">
        <v>6</v>
      </c>
      <c r="H428" s="380" t="s">
        <v>1478</v>
      </c>
    </row>
    <row r="429" spans="1:9" x14ac:dyDescent="0.25">
      <c r="A429" s="247" t="str">
        <f t="shared" si="6"/>
        <v>鶴岡Ｓ―ｐｌａｙ・ＭＩＮＡＭＩ_12</v>
      </c>
      <c r="B429" s="238" t="s">
        <v>2516</v>
      </c>
      <c r="C429" s="238" t="str">
        <f>("12")</f>
        <v>12</v>
      </c>
      <c r="D429" s="238" t="s">
        <v>235</v>
      </c>
      <c r="E429" s="380" t="s">
        <v>9243</v>
      </c>
      <c r="F429" s="380" t="s">
        <v>14580</v>
      </c>
      <c r="G429" s="380">
        <v>4</v>
      </c>
      <c r="H429" s="380" t="s">
        <v>1478</v>
      </c>
    </row>
    <row r="430" spans="1:9" x14ac:dyDescent="0.25">
      <c r="A430" s="247" t="str">
        <f t="shared" si="6"/>
        <v>鶴岡Ｓ―ｐｌａｙ・ＭＩＮＡＭＩ_13</v>
      </c>
      <c r="B430" s="238" t="s">
        <v>2516</v>
      </c>
      <c r="C430" s="238" t="str">
        <f>("13")</f>
        <v>13</v>
      </c>
      <c r="D430" s="238" t="s">
        <v>280</v>
      </c>
      <c r="E430" s="380" t="s">
        <v>9284</v>
      </c>
      <c r="F430" s="380" t="s">
        <v>14581</v>
      </c>
      <c r="G430" s="380">
        <v>4</v>
      </c>
      <c r="H430" s="380" t="s">
        <v>1478</v>
      </c>
    </row>
    <row r="431" spans="1:9" x14ac:dyDescent="0.25">
      <c r="A431" s="247" t="str">
        <f t="shared" si="6"/>
        <v>鶴岡Ｓ―ｐｌａｙ・ＭＩＮＡＭＩ_14</v>
      </c>
      <c r="B431" s="238" t="s">
        <v>2516</v>
      </c>
      <c r="C431" s="238" t="str">
        <f>("14")</f>
        <v>14</v>
      </c>
      <c r="D431" s="238" t="s">
        <v>798</v>
      </c>
      <c r="E431" s="380" t="s">
        <v>9064</v>
      </c>
      <c r="F431" s="380" t="s">
        <v>14582</v>
      </c>
      <c r="G431" s="380">
        <v>4</v>
      </c>
      <c r="H431" s="380" t="s">
        <v>1478</v>
      </c>
    </row>
    <row r="432" spans="1:9" x14ac:dyDescent="0.25">
      <c r="A432" s="247" t="str">
        <f t="shared" si="6"/>
        <v>鶴岡Ｓ―ｐｌａｙ・ＭＩＮＡＭＩ_15</v>
      </c>
      <c r="B432" s="238" t="s">
        <v>2516</v>
      </c>
      <c r="C432" s="238" t="str">
        <f>("15")</f>
        <v>15</v>
      </c>
      <c r="D432" s="238" t="s">
        <v>235</v>
      </c>
      <c r="E432" s="380" t="s">
        <v>9084</v>
      </c>
      <c r="F432" s="380" t="s">
        <v>14583</v>
      </c>
      <c r="G432" s="380">
        <v>4</v>
      </c>
      <c r="H432" s="380" t="s">
        <v>1478</v>
      </c>
    </row>
    <row r="433" spans="1:9" x14ac:dyDescent="0.25">
      <c r="A433" s="247" t="str">
        <f t="shared" si="6"/>
        <v>鶴岡Ｓ―ｐｌａｙ・ＭＩＮＡＭＩ_23</v>
      </c>
      <c r="B433" s="238" t="s">
        <v>2516</v>
      </c>
      <c r="C433" s="238" t="str">
        <f>("23")</f>
        <v>23</v>
      </c>
      <c r="D433" s="238" t="s">
        <v>235</v>
      </c>
      <c r="E433" s="380" t="s">
        <v>5794</v>
      </c>
      <c r="F433" s="380" t="s">
        <v>6438</v>
      </c>
      <c r="G433" s="380">
        <v>6</v>
      </c>
      <c r="H433" s="380" t="s">
        <v>1478</v>
      </c>
    </row>
    <row r="434" spans="1:9" x14ac:dyDescent="0.25">
      <c r="A434" s="247" t="str">
        <f t="shared" si="6"/>
        <v>佐伯リベロフットボールクラブ_1</v>
      </c>
      <c r="B434" s="238" t="s">
        <v>856</v>
      </c>
      <c r="C434" s="238" t="str">
        <f>("1")</f>
        <v>1</v>
      </c>
      <c r="D434" s="238" t="s">
        <v>796</v>
      </c>
      <c r="E434" s="380" t="s">
        <v>4411</v>
      </c>
      <c r="F434" s="380" t="s">
        <v>4412</v>
      </c>
      <c r="G434" s="380">
        <v>6</v>
      </c>
      <c r="H434" s="380" t="s">
        <v>1478</v>
      </c>
    </row>
    <row r="435" spans="1:9" x14ac:dyDescent="0.25">
      <c r="A435" s="247" t="str">
        <f t="shared" si="6"/>
        <v>佐伯リベロフットボールクラブ_2</v>
      </c>
      <c r="B435" s="238" t="s">
        <v>856</v>
      </c>
      <c r="C435" s="238" t="str">
        <f>("2")</f>
        <v>2</v>
      </c>
      <c r="D435" s="238" t="s">
        <v>798</v>
      </c>
      <c r="E435" s="380" t="s">
        <v>5799</v>
      </c>
      <c r="F435" s="380" t="s">
        <v>6441</v>
      </c>
      <c r="G435" s="380">
        <v>5</v>
      </c>
      <c r="H435" s="380" t="s">
        <v>1478</v>
      </c>
    </row>
    <row r="436" spans="1:9" x14ac:dyDescent="0.25">
      <c r="A436" s="247" t="str">
        <f t="shared" si="6"/>
        <v>佐伯リベロフットボールクラブ_3</v>
      </c>
      <c r="B436" s="238" t="s">
        <v>856</v>
      </c>
      <c r="C436" s="238" t="str">
        <f>("3")</f>
        <v>3</v>
      </c>
      <c r="D436" s="238" t="s">
        <v>798</v>
      </c>
      <c r="E436" s="380" t="s">
        <v>5800</v>
      </c>
      <c r="F436" s="380" t="s">
        <v>6442</v>
      </c>
      <c r="G436" s="380">
        <v>5</v>
      </c>
      <c r="H436" s="380" t="s">
        <v>1478</v>
      </c>
    </row>
    <row r="437" spans="1:9" x14ac:dyDescent="0.25">
      <c r="A437" s="247" t="str">
        <f t="shared" si="6"/>
        <v>佐伯リベロフットボールクラブ_4</v>
      </c>
      <c r="B437" s="238" t="s">
        <v>856</v>
      </c>
      <c r="C437" s="238" t="str">
        <f>("4")</f>
        <v>4</v>
      </c>
      <c r="D437" s="238" t="s">
        <v>235</v>
      </c>
      <c r="E437" s="380" t="s">
        <v>4403</v>
      </c>
      <c r="F437" s="380" t="s">
        <v>4404</v>
      </c>
      <c r="G437" s="380">
        <v>6</v>
      </c>
      <c r="H437" s="380" t="s">
        <v>1478</v>
      </c>
    </row>
    <row r="438" spans="1:9" x14ac:dyDescent="0.25">
      <c r="A438" s="247" t="str">
        <f t="shared" si="6"/>
        <v>佐伯リベロフットボールクラブ_5</v>
      </c>
      <c r="B438" s="238" t="s">
        <v>856</v>
      </c>
      <c r="C438" s="238" t="str">
        <f>("5")</f>
        <v>5</v>
      </c>
      <c r="D438" s="238" t="s">
        <v>235</v>
      </c>
      <c r="E438" s="380" t="s">
        <v>4384</v>
      </c>
      <c r="F438" s="380" t="s">
        <v>4385</v>
      </c>
      <c r="G438" s="380">
        <v>6</v>
      </c>
      <c r="H438" s="380" t="s">
        <v>1478</v>
      </c>
    </row>
    <row r="439" spans="1:9" x14ac:dyDescent="0.25">
      <c r="A439" s="247" t="str">
        <f t="shared" si="6"/>
        <v>佐伯リベロフットボールクラブ_6</v>
      </c>
      <c r="B439" s="238" t="s">
        <v>856</v>
      </c>
      <c r="C439" s="238" t="str">
        <f>("6")</f>
        <v>6</v>
      </c>
      <c r="D439" s="238" t="s">
        <v>235</v>
      </c>
      <c r="E439" s="380" t="s">
        <v>4409</v>
      </c>
      <c r="F439" s="380" t="s">
        <v>4410</v>
      </c>
      <c r="G439" s="380">
        <v>6</v>
      </c>
      <c r="H439" s="380" t="s">
        <v>1478</v>
      </c>
    </row>
    <row r="440" spans="1:9" x14ac:dyDescent="0.25">
      <c r="A440" s="247" t="str">
        <f t="shared" si="6"/>
        <v>佐伯リベロフットボールクラブ_7</v>
      </c>
      <c r="B440" s="238" t="s">
        <v>856</v>
      </c>
      <c r="C440" s="238" t="str">
        <f>("7")</f>
        <v>7</v>
      </c>
      <c r="D440" s="238" t="s">
        <v>798</v>
      </c>
      <c r="E440" s="380" t="s">
        <v>4401</v>
      </c>
      <c r="F440" s="380" t="s">
        <v>4402</v>
      </c>
      <c r="G440" s="380">
        <v>6</v>
      </c>
      <c r="H440" s="380" t="s">
        <v>1478</v>
      </c>
    </row>
    <row r="441" spans="1:9" x14ac:dyDescent="0.25">
      <c r="A441" s="247" t="str">
        <f t="shared" si="6"/>
        <v>佐伯リベロフットボールクラブ_8</v>
      </c>
      <c r="B441" s="238" t="s">
        <v>856</v>
      </c>
      <c r="C441" s="238" t="str">
        <f>("8")</f>
        <v>8</v>
      </c>
      <c r="D441" s="238" t="s">
        <v>798</v>
      </c>
      <c r="E441" s="380" t="s">
        <v>5797</v>
      </c>
      <c r="F441" s="380" t="s">
        <v>6439</v>
      </c>
      <c r="G441" s="380">
        <v>6</v>
      </c>
      <c r="H441" s="380" t="s">
        <v>1478</v>
      </c>
    </row>
    <row r="442" spans="1:9" x14ac:dyDescent="0.25">
      <c r="A442" s="247" t="str">
        <f t="shared" si="6"/>
        <v>佐伯リベロフットボールクラブ_9</v>
      </c>
      <c r="B442" s="238" t="s">
        <v>856</v>
      </c>
      <c r="C442" s="238" t="str">
        <f>("9")</f>
        <v>9</v>
      </c>
      <c r="D442" s="238" t="s">
        <v>280</v>
      </c>
      <c r="E442" s="380" t="s">
        <v>4405</v>
      </c>
      <c r="F442" s="380" t="s">
        <v>4406</v>
      </c>
      <c r="G442" s="380">
        <v>6</v>
      </c>
      <c r="H442" s="380" t="s">
        <v>1478</v>
      </c>
    </row>
    <row r="443" spans="1:9" x14ac:dyDescent="0.25">
      <c r="A443" s="247" t="str">
        <f t="shared" si="6"/>
        <v>佐伯リベロフットボールクラブ_10</v>
      </c>
      <c r="B443" s="238" t="s">
        <v>856</v>
      </c>
      <c r="C443" s="238" t="str">
        <f>("10")</f>
        <v>10</v>
      </c>
      <c r="D443" s="238" t="s">
        <v>280</v>
      </c>
      <c r="E443" s="380" t="s">
        <v>4407</v>
      </c>
      <c r="F443" s="380" t="s">
        <v>4408</v>
      </c>
      <c r="G443" s="380">
        <v>6</v>
      </c>
      <c r="H443" s="380" t="s">
        <v>1478</v>
      </c>
    </row>
    <row r="444" spans="1:9" x14ac:dyDescent="0.25">
      <c r="A444" s="247" t="str">
        <f t="shared" si="6"/>
        <v>佐伯リベロフットボールクラブ_11</v>
      </c>
      <c r="B444" s="238" t="s">
        <v>856</v>
      </c>
      <c r="C444" s="238" t="str">
        <f>("11")</f>
        <v>11</v>
      </c>
      <c r="D444" s="238" t="s">
        <v>798</v>
      </c>
      <c r="E444" s="380" t="s">
        <v>4399</v>
      </c>
      <c r="F444" s="380" t="s">
        <v>4400</v>
      </c>
      <c r="G444" s="380">
        <v>6</v>
      </c>
      <c r="H444" s="380" t="s">
        <v>1480</v>
      </c>
      <c r="I444" s="380" t="s">
        <v>408</v>
      </c>
    </row>
    <row r="445" spans="1:9" x14ac:dyDescent="0.25">
      <c r="A445" s="247" t="str">
        <f t="shared" si="6"/>
        <v>佐伯リベロフットボールクラブ_13</v>
      </c>
      <c r="B445" s="238" t="s">
        <v>856</v>
      </c>
      <c r="C445" s="238" t="str">
        <f>("13")</f>
        <v>13</v>
      </c>
      <c r="D445" s="238" t="s">
        <v>798</v>
      </c>
      <c r="E445" s="380" t="s">
        <v>3952</v>
      </c>
      <c r="F445" s="380" t="s">
        <v>3953</v>
      </c>
      <c r="G445" s="380">
        <v>5</v>
      </c>
      <c r="H445" s="380" t="s">
        <v>1478</v>
      </c>
    </row>
    <row r="446" spans="1:9" x14ac:dyDescent="0.25">
      <c r="A446" s="247" t="str">
        <f t="shared" si="6"/>
        <v>佐伯リベロフットボールクラブ_15</v>
      </c>
      <c r="B446" s="238" t="s">
        <v>856</v>
      </c>
      <c r="C446" s="238" t="str">
        <f>("15")</f>
        <v>15</v>
      </c>
      <c r="D446" s="238" t="s">
        <v>235</v>
      </c>
      <c r="E446" s="380" t="s">
        <v>9061</v>
      </c>
      <c r="F446" s="380" t="s">
        <v>14584</v>
      </c>
      <c r="G446" s="380">
        <v>4</v>
      </c>
      <c r="H446" s="380" t="s">
        <v>1478</v>
      </c>
    </row>
    <row r="447" spans="1:9" x14ac:dyDescent="0.25">
      <c r="A447" s="247" t="str">
        <f t="shared" si="6"/>
        <v>佐伯リベロフットボールクラブ_16</v>
      </c>
      <c r="B447" s="238" t="s">
        <v>856</v>
      </c>
      <c r="C447" s="238" t="str">
        <f>("16")</f>
        <v>16</v>
      </c>
      <c r="D447" s="238" t="s">
        <v>235</v>
      </c>
      <c r="E447" s="380" t="s">
        <v>5798</v>
      </c>
      <c r="F447" s="380" t="s">
        <v>6440</v>
      </c>
      <c r="G447" s="380">
        <v>4</v>
      </c>
      <c r="H447" s="380" t="s">
        <v>1478</v>
      </c>
    </row>
    <row r="448" spans="1:9" x14ac:dyDescent="0.25">
      <c r="A448" s="247" t="str">
        <f t="shared" si="6"/>
        <v>別府フットボールクラブ．ミネルバＵ－１２_1</v>
      </c>
      <c r="B448" s="238" t="s">
        <v>947</v>
      </c>
      <c r="C448" s="238" t="str">
        <f>("1")</f>
        <v>1</v>
      </c>
      <c r="D448" s="238" t="s">
        <v>796</v>
      </c>
      <c r="E448" s="380" t="s">
        <v>8735</v>
      </c>
      <c r="F448" s="380" t="s">
        <v>14585</v>
      </c>
      <c r="G448" s="380">
        <v>6</v>
      </c>
      <c r="H448" s="380" t="s">
        <v>1478</v>
      </c>
    </row>
    <row r="449" spans="1:9" x14ac:dyDescent="0.25">
      <c r="A449" s="247" t="str">
        <f t="shared" ref="A449:A512" si="7">CONCATENATE(B449,"_",C449)</f>
        <v>別府フットボールクラブ．ミネルバＵ－１２_2</v>
      </c>
      <c r="B449" s="238" t="s">
        <v>947</v>
      </c>
      <c r="C449" s="238" t="str">
        <f>("2")</f>
        <v>2</v>
      </c>
      <c r="D449" s="238" t="s">
        <v>235</v>
      </c>
      <c r="E449" s="380" t="s">
        <v>7898</v>
      </c>
      <c r="F449" s="380" t="s">
        <v>14586</v>
      </c>
      <c r="G449" s="380">
        <v>5</v>
      </c>
      <c r="H449" s="380" t="s">
        <v>1478</v>
      </c>
    </row>
    <row r="450" spans="1:9" x14ac:dyDescent="0.25">
      <c r="A450" s="247" t="str">
        <f t="shared" si="7"/>
        <v>別府フットボールクラブ．ミネルバＵ－１２_3</v>
      </c>
      <c r="B450" s="238" t="s">
        <v>947</v>
      </c>
      <c r="C450" s="238" t="str">
        <f>("3")</f>
        <v>3</v>
      </c>
      <c r="D450" s="238" t="s">
        <v>235</v>
      </c>
      <c r="E450" s="380" t="s">
        <v>8333</v>
      </c>
      <c r="F450" s="380" t="s">
        <v>14587</v>
      </c>
      <c r="G450" s="380">
        <v>5</v>
      </c>
      <c r="H450" s="380" t="s">
        <v>1478</v>
      </c>
    </row>
    <row r="451" spans="1:9" x14ac:dyDescent="0.25">
      <c r="A451" s="247" t="str">
        <f t="shared" si="7"/>
        <v>別府フットボールクラブ．ミネルバＵ－１２_4</v>
      </c>
      <c r="B451" s="238" t="s">
        <v>947</v>
      </c>
      <c r="C451" s="238" t="str">
        <f>("4")</f>
        <v>4</v>
      </c>
      <c r="D451" s="238" t="s">
        <v>798</v>
      </c>
      <c r="E451" s="380" t="s">
        <v>8331</v>
      </c>
      <c r="F451" s="380" t="s">
        <v>14588</v>
      </c>
      <c r="G451" s="380">
        <v>5</v>
      </c>
      <c r="H451" s="380" t="s">
        <v>1478</v>
      </c>
    </row>
    <row r="452" spans="1:9" x14ac:dyDescent="0.25">
      <c r="A452" s="247" t="str">
        <f t="shared" si="7"/>
        <v>別府フットボールクラブ．ミネルバＵ－１２_5</v>
      </c>
      <c r="B452" s="238" t="s">
        <v>947</v>
      </c>
      <c r="C452" s="238" t="str">
        <f>("5")</f>
        <v>5</v>
      </c>
      <c r="D452" s="238" t="s">
        <v>798</v>
      </c>
      <c r="E452" s="380" t="s">
        <v>8677</v>
      </c>
      <c r="F452" s="380" t="s">
        <v>14589</v>
      </c>
      <c r="G452" s="380">
        <v>6</v>
      </c>
      <c r="H452" s="380" t="s">
        <v>1478</v>
      </c>
    </row>
    <row r="453" spans="1:9" x14ac:dyDescent="0.25">
      <c r="A453" s="247" t="str">
        <f t="shared" si="7"/>
        <v>別府フットボールクラブ．ミネルバＵ－１２_6</v>
      </c>
      <c r="B453" s="238" t="s">
        <v>947</v>
      </c>
      <c r="C453" s="238" t="str">
        <f>("6")</f>
        <v>6</v>
      </c>
      <c r="D453" s="238" t="s">
        <v>798</v>
      </c>
      <c r="E453" s="380" t="s">
        <v>8906</v>
      </c>
      <c r="F453" s="380" t="s">
        <v>14590</v>
      </c>
      <c r="G453" s="380">
        <v>6</v>
      </c>
      <c r="H453" s="380" t="s">
        <v>1478</v>
      </c>
    </row>
    <row r="454" spans="1:9" x14ac:dyDescent="0.25">
      <c r="A454" s="247" t="str">
        <f t="shared" si="7"/>
        <v>別府フットボールクラブ．ミネルバＵ－１２_7</v>
      </c>
      <c r="B454" s="238" t="s">
        <v>947</v>
      </c>
      <c r="C454" s="238" t="str">
        <f>("7")</f>
        <v>7</v>
      </c>
      <c r="D454" s="238" t="s">
        <v>798</v>
      </c>
      <c r="E454" s="380" t="s">
        <v>8658</v>
      </c>
      <c r="F454" s="380" t="s">
        <v>14591</v>
      </c>
      <c r="G454" s="380">
        <v>6</v>
      </c>
      <c r="H454" s="380" t="s">
        <v>1478</v>
      </c>
      <c r="I454" s="380" t="s">
        <v>408</v>
      </c>
    </row>
    <row r="455" spans="1:9" x14ac:dyDescent="0.25">
      <c r="A455" s="247" t="str">
        <f t="shared" si="7"/>
        <v>別府フットボールクラブ．ミネルバＵ－１２_8</v>
      </c>
      <c r="B455" s="238" t="s">
        <v>947</v>
      </c>
      <c r="C455" s="238" t="str">
        <f>("8")</f>
        <v>8</v>
      </c>
      <c r="D455" s="238" t="s">
        <v>798</v>
      </c>
      <c r="E455" s="380" t="s">
        <v>8849</v>
      </c>
      <c r="F455" s="380" t="s">
        <v>14592</v>
      </c>
      <c r="G455" s="380">
        <v>6</v>
      </c>
      <c r="H455" s="380" t="s">
        <v>1480</v>
      </c>
    </row>
    <row r="456" spans="1:9" x14ac:dyDescent="0.25">
      <c r="A456" s="247" t="str">
        <f t="shared" si="7"/>
        <v>別府フットボールクラブ．ミネルバＵ－１２_9</v>
      </c>
      <c r="B456" s="238" t="s">
        <v>947</v>
      </c>
      <c r="C456" s="238" t="str">
        <f>("9")</f>
        <v>9</v>
      </c>
      <c r="D456" s="238" t="s">
        <v>280</v>
      </c>
      <c r="E456" s="380" t="s">
        <v>8856</v>
      </c>
      <c r="F456" s="380" t="s">
        <v>14593</v>
      </c>
      <c r="G456" s="380">
        <v>6</v>
      </c>
      <c r="H456" s="380" t="s">
        <v>1478</v>
      </c>
    </row>
    <row r="457" spans="1:9" x14ac:dyDescent="0.25">
      <c r="A457" s="247" t="str">
        <f t="shared" si="7"/>
        <v>別府フットボールクラブ．ミネルバＵ－１２_10</v>
      </c>
      <c r="B457" s="238" t="s">
        <v>947</v>
      </c>
      <c r="C457" s="238" t="str">
        <f>("10")</f>
        <v>10</v>
      </c>
      <c r="D457" s="238" t="s">
        <v>798</v>
      </c>
      <c r="E457" s="380" t="s">
        <v>8597</v>
      </c>
      <c r="F457" s="380" t="s">
        <v>14594</v>
      </c>
      <c r="G457" s="380">
        <v>6</v>
      </c>
      <c r="H457" s="380" t="s">
        <v>1478</v>
      </c>
    </row>
    <row r="458" spans="1:9" x14ac:dyDescent="0.25">
      <c r="A458" s="247" t="str">
        <f t="shared" si="7"/>
        <v>別府フットボールクラブ．ミネルバＵ－１２_11</v>
      </c>
      <c r="B458" s="238" t="s">
        <v>947</v>
      </c>
      <c r="C458" s="238" t="str">
        <f>("11")</f>
        <v>11</v>
      </c>
      <c r="D458" s="238" t="s">
        <v>280</v>
      </c>
      <c r="E458" s="380" t="s">
        <v>8764</v>
      </c>
      <c r="F458" s="380" t="s">
        <v>14595</v>
      </c>
      <c r="G458" s="380">
        <v>6</v>
      </c>
      <c r="H458" s="380" t="s">
        <v>1478</v>
      </c>
    </row>
    <row r="459" spans="1:9" x14ac:dyDescent="0.25">
      <c r="A459" s="247" t="str">
        <f t="shared" si="7"/>
        <v>別府フットボールクラブ．ミネルバＵ－１２_12</v>
      </c>
      <c r="B459" s="238" t="s">
        <v>947</v>
      </c>
      <c r="C459" s="238" t="str">
        <f>("12")</f>
        <v>12</v>
      </c>
      <c r="D459" s="238" t="s">
        <v>798</v>
      </c>
      <c r="E459" s="380" t="s">
        <v>8079</v>
      </c>
      <c r="F459" s="380" t="s">
        <v>14596</v>
      </c>
      <c r="G459" s="380">
        <v>5</v>
      </c>
      <c r="H459" s="380" t="s">
        <v>1478</v>
      </c>
    </row>
    <row r="460" spans="1:9" x14ac:dyDescent="0.25">
      <c r="A460" s="247" t="str">
        <f t="shared" si="7"/>
        <v>別府フットボールクラブ．ミネルバＵ－１２_13</v>
      </c>
      <c r="B460" s="238" t="s">
        <v>947</v>
      </c>
      <c r="C460" s="238" t="str">
        <f>("13")</f>
        <v>13</v>
      </c>
      <c r="D460" s="238" t="s">
        <v>798</v>
      </c>
      <c r="E460" s="380" t="s">
        <v>6088</v>
      </c>
      <c r="F460" s="380" t="s">
        <v>6648</v>
      </c>
      <c r="G460" s="380">
        <v>5</v>
      </c>
      <c r="H460" s="380" t="s">
        <v>1478</v>
      </c>
    </row>
    <row r="461" spans="1:9" x14ac:dyDescent="0.25">
      <c r="A461" s="247" t="str">
        <f t="shared" si="7"/>
        <v>別府フットボールクラブ．ミネルバＵ－１２_14</v>
      </c>
      <c r="B461" s="238" t="s">
        <v>947</v>
      </c>
      <c r="C461" s="238" t="str">
        <f>("14")</f>
        <v>14</v>
      </c>
      <c r="D461" s="238" t="s">
        <v>798</v>
      </c>
      <c r="E461" s="380" t="s">
        <v>8482</v>
      </c>
      <c r="F461" s="380" t="s">
        <v>14597</v>
      </c>
      <c r="G461" s="380">
        <v>5</v>
      </c>
      <c r="H461" s="380" t="s">
        <v>1478</v>
      </c>
    </row>
    <row r="462" spans="1:9" x14ac:dyDescent="0.25">
      <c r="A462" s="247" t="str">
        <f t="shared" si="7"/>
        <v>別府フットボールクラブ．ミネルバＵ－１２_15</v>
      </c>
      <c r="B462" s="238" t="s">
        <v>947</v>
      </c>
      <c r="C462" s="238" t="str">
        <f>("15")</f>
        <v>15</v>
      </c>
      <c r="D462" s="238" t="s">
        <v>796</v>
      </c>
      <c r="E462" s="380" t="s">
        <v>8733</v>
      </c>
      <c r="F462" s="380" t="s">
        <v>14598</v>
      </c>
      <c r="G462" s="380">
        <v>6</v>
      </c>
      <c r="H462" s="380" t="s">
        <v>1478</v>
      </c>
    </row>
    <row r="463" spans="1:9" x14ac:dyDescent="0.25">
      <c r="A463" s="247" t="str">
        <f t="shared" si="7"/>
        <v>別府フットボールクラブ．ミネルバＵ－１２_16</v>
      </c>
      <c r="B463" s="238" t="s">
        <v>947</v>
      </c>
      <c r="C463" s="238" t="str">
        <f>("16")</f>
        <v>16</v>
      </c>
      <c r="D463" s="238" t="s">
        <v>280</v>
      </c>
      <c r="E463" s="380" t="s">
        <v>8926</v>
      </c>
      <c r="F463" s="380" t="s">
        <v>14599</v>
      </c>
      <c r="G463" s="380">
        <v>6</v>
      </c>
      <c r="H463" s="380" t="s">
        <v>1478</v>
      </c>
    </row>
    <row r="464" spans="1:9" x14ac:dyDescent="0.25">
      <c r="A464" s="247" t="str">
        <f t="shared" si="7"/>
        <v>別保ＳＦＣ_1</v>
      </c>
      <c r="B464" s="238" t="s">
        <v>2342</v>
      </c>
      <c r="C464" s="238" t="str">
        <f>("1")</f>
        <v>1</v>
      </c>
      <c r="D464" s="238" t="s">
        <v>796</v>
      </c>
      <c r="E464" s="380" t="s">
        <v>5802</v>
      </c>
      <c r="F464" s="380" t="s">
        <v>6444</v>
      </c>
      <c r="G464" s="380">
        <v>6</v>
      </c>
      <c r="H464" s="380" t="s">
        <v>1478</v>
      </c>
    </row>
    <row r="465" spans="1:9" x14ac:dyDescent="0.25">
      <c r="A465" s="247" t="str">
        <f t="shared" si="7"/>
        <v>別保ＳＦＣ_2</v>
      </c>
      <c r="B465" s="238" t="s">
        <v>2342</v>
      </c>
      <c r="C465" s="238" t="str">
        <f>("2")</f>
        <v>2</v>
      </c>
      <c r="D465" s="238" t="s">
        <v>235</v>
      </c>
      <c r="E465" s="380" t="s">
        <v>9998</v>
      </c>
      <c r="F465" s="380" t="s">
        <v>14600</v>
      </c>
      <c r="G465" s="380">
        <v>3</v>
      </c>
      <c r="H465" s="380" t="s">
        <v>1478</v>
      </c>
    </row>
    <row r="466" spans="1:9" x14ac:dyDescent="0.25">
      <c r="A466" s="247" t="str">
        <f t="shared" si="7"/>
        <v>別保ＳＦＣ_3</v>
      </c>
      <c r="B466" s="238" t="s">
        <v>2342</v>
      </c>
      <c r="C466" s="238" t="str">
        <f>("3")</f>
        <v>3</v>
      </c>
      <c r="D466" s="238" t="s">
        <v>798</v>
      </c>
      <c r="E466" s="380" t="s">
        <v>9962</v>
      </c>
      <c r="F466" s="380" t="s">
        <v>14601</v>
      </c>
      <c r="G466" s="380">
        <v>3</v>
      </c>
      <c r="H466" s="380" t="s">
        <v>1478</v>
      </c>
    </row>
    <row r="467" spans="1:9" x14ac:dyDescent="0.25">
      <c r="A467" s="247" t="str">
        <f t="shared" si="7"/>
        <v>別保ＳＦＣ_4</v>
      </c>
      <c r="B467" s="238" t="s">
        <v>2342</v>
      </c>
      <c r="C467" s="238" t="str">
        <f>("4")</f>
        <v>4</v>
      </c>
      <c r="D467" s="238" t="s">
        <v>235</v>
      </c>
      <c r="E467" s="380" t="s">
        <v>9129</v>
      </c>
      <c r="F467" s="380" t="s">
        <v>14602</v>
      </c>
      <c r="G467" s="380">
        <v>4</v>
      </c>
      <c r="H467" s="380" t="s">
        <v>1478</v>
      </c>
    </row>
    <row r="468" spans="1:9" x14ac:dyDescent="0.25">
      <c r="A468" s="247" t="str">
        <f t="shared" si="7"/>
        <v>別保ＳＦＣ_5</v>
      </c>
      <c r="B468" s="238" t="s">
        <v>2342</v>
      </c>
      <c r="C468" s="238" t="str">
        <f>("5")</f>
        <v>5</v>
      </c>
      <c r="D468" s="238" t="s">
        <v>235</v>
      </c>
      <c r="E468" s="380" t="s">
        <v>5801</v>
      </c>
      <c r="F468" s="380" t="s">
        <v>6443</v>
      </c>
      <c r="G468" s="380">
        <v>5</v>
      </c>
      <c r="H468" s="380" t="s">
        <v>1478</v>
      </c>
    </row>
    <row r="469" spans="1:9" x14ac:dyDescent="0.25">
      <c r="A469" s="247" t="str">
        <f t="shared" si="7"/>
        <v>別保ＳＦＣ_6</v>
      </c>
      <c r="B469" s="238" t="s">
        <v>2342</v>
      </c>
      <c r="C469" s="238" t="str">
        <f>("6")</f>
        <v>6</v>
      </c>
      <c r="D469" s="238" t="s">
        <v>798</v>
      </c>
      <c r="E469" s="380" t="s">
        <v>5803</v>
      </c>
      <c r="F469" s="380" t="s">
        <v>6445</v>
      </c>
      <c r="G469" s="380">
        <v>5</v>
      </c>
      <c r="H469" s="380" t="s">
        <v>1478</v>
      </c>
    </row>
    <row r="470" spans="1:9" x14ac:dyDescent="0.25">
      <c r="A470" s="247" t="str">
        <f t="shared" si="7"/>
        <v>別保ＳＦＣ_7</v>
      </c>
      <c r="B470" s="238" t="s">
        <v>2342</v>
      </c>
      <c r="C470" s="238" t="str">
        <f>("7")</f>
        <v>7</v>
      </c>
      <c r="D470" s="238" t="s">
        <v>798</v>
      </c>
      <c r="E470" s="380" t="s">
        <v>4424</v>
      </c>
      <c r="F470" s="380" t="s">
        <v>4425</v>
      </c>
      <c r="G470" s="380">
        <v>6</v>
      </c>
      <c r="H470" s="380" t="s">
        <v>1478</v>
      </c>
    </row>
    <row r="471" spans="1:9" x14ac:dyDescent="0.25">
      <c r="A471" s="247" t="str">
        <f t="shared" si="7"/>
        <v>別保ＳＦＣ_8</v>
      </c>
      <c r="B471" s="238" t="s">
        <v>2342</v>
      </c>
      <c r="C471" s="238" t="str">
        <f>("8")</f>
        <v>8</v>
      </c>
      <c r="D471" s="238" t="s">
        <v>235</v>
      </c>
      <c r="E471" s="380" t="s">
        <v>5804</v>
      </c>
      <c r="F471" s="380" t="s">
        <v>6446</v>
      </c>
      <c r="G471" s="380">
        <v>5</v>
      </c>
      <c r="H471" s="380" t="s">
        <v>1478</v>
      </c>
    </row>
    <row r="472" spans="1:9" x14ac:dyDescent="0.25">
      <c r="A472" s="247" t="str">
        <f t="shared" si="7"/>
        <v>別保ＳＦＣ_9</v>
      </c>
      <c r="B472" s="238" t="s">
        <v>2342</v>
      </c>
      <c r="C472" s="238" t="str">
        <f>("9")</f>
        <v>9</v>
      </c>
      <c r="D472" s="238" t="s">
        <v>798</v>
      </c>
      <c r="E472" s="380" t="s">
        <v>5806</v>
      </c>
      <c r="F472" s="380" t="s">
        <v>6448</v>
      </c>
      <c r="G472" s="380">
        <v>5</v>
      </c>
      <c r="H472" s="380" t="s">
        <v>1478</v>
      </c>
    </row>
    <row r="473" spans="1:9" x14ac:dyDescent="0.25">
      <c r="A473" s="247" t="str">
        <f t="shared" si="7"/>
        <v>別保ＳＦＣ_10</v>
      </c>
      <c r="B473" s="238" t="s">
        <v>2342</v>
      </c>
      <c r="C473" s="238" t="str">
        <f>("10")</f>
        <v>10</v>
      </c>
      <c r="D473" s="238" t="s">
        <v>798</v>
      </c>
      <c r="E473" s="380" t="s">
        <v>4422</v>
      </c>
      <c r="F473" s="380" t="s">
        <v>4423</v>
      </c>
      <c r="G473" s="380">
        <v>6</v>
      </c>
      <c r="H473" s="380" t="s">
        <v>1478</v>
      </c>
      <c r="I473" s="380" t="s">
        <v>408</v>
      </c>
    </row>
    <row r="474" spans="1:9" x14ac:dyDescent="0.25">
      <c r="A474" s="247" t="str">
        <f t="shared" si="7"/>
        <v>別保ＳＦＣ_11</v>
      </c>
      <c r="B474" s="238" t="s">
        <v>2342</v>
      </c>
      <c r="C474" s="238" t="str">
        <f>("11")</f>
        <v>11</v>
      </c>
      <c r="D474" s="238" t="s">
        <v>798</v>
      </c>
      <c r="E474" s="380" t="s">
        <v>5805</v>
      </c>
      <c r="F474" s="380" t="s">
        <v>6447</v>
      </c>
      <c r="G474" s="380">
        <v>5</v>
      </c>
      <c r="H474" s="380" t="s">
        <v>1478</v>
      </c>
    </row>
    <row r="475" spans="1:9" x14ac:dyDescent="0.25">
      <c r="A475" s="247" t="str">
        <f t="shared" si="7"/>
        <v>別保ＳＦＣ_12</v>
      </c>
      <c r="B475" s="238" t="s">
        <v>2342</v>
      </c>
      <c r="C475" s="238" t="str">
        <f>("12")</f>
        <v>12</v>
      </c>
      <c r="D475" s="238" t="s">
        <v>798</v>
      </c>
      <c r="E475" s="380" t="s">
        <v>10138</v>
      </c>
      <c r="F475" s="380" t="s">
        <v>14603</v>
      </c>
      <c r="G475" s="380">
        <v>3</v>
      </c>
      <c r="H475" s="380" t="s">
        <v>1478</v>
      </c>
    </row>
    <row r="476" spans="1:9" x14ac:dyDescent="0.25">
      <c r="A476" s="247" t="str">
        <f t="shared" si="7"/>
        <v>別保ＳＦＣ_13</v>
      </c>
      <c r="B476" s="238" t="s">
        <v>2342</v>
      </c>
      <c r="C476" s="238" t="str">
        <f>("13")</f>
        <v>13</v>
      </c>
      <c r="D476" s="238" t="s">
        <v>280</v>
      </c>
      <c r="E476" s="380" t="s">
        <v>8164</v>
      </c>
      <c r="F476" s="380" t="s">
        <v>14604</v>
      </c>
      <c r="G476" s="380">
        <v>5</v>
      </c>
      <c r="H476" s="380" t="s">
        <v>1478</v>
      </c>
    </row>
    <row r="477" spans="1:9" x14ac:dyDescent="0.25">
      <c r="A477" s="247" t="str">
        <f t="shared" si="7"/>
        <v>別保ＳＦＣ_14</v>
      </c>
      <c r="B477" s="238" t="s">
        <v>2342</v>
      </c>
      <c r="C477" s="238" t="str">
        <f>("14")</f>
        <v>14</v>
      </c>
      <c r="D477" s="238" t="s">
        <v>280</v>
      </c>
      <c r="E477" s="380" t="s">
        <v>8408</v>
      </c>
      <c r="F477" s="380" t="s">
        <v>14605</v>
      </c>
      <c r="G477" s="380">
        <v>5</v>
      </c>
      <c r="H477" s="380" t="s">
        <v>1478</v>
      </c>
    </row>
    <row r="478" spans="1:9" x14ac:dyDescent="0.25">
      <c r="A478" s="247" t="str">
        <f t="shared" si="7"/>
        <v>別保ＳＦＣ_15</v>
      </c>
      <c r="B478" s="238" t="s">
        <v>2342</v>
      </c>
      <c r="C478" s="238" t="str">
        <f>("15")</f>
        <v>15</v>
      </c>
      <c r="D478" s="238" t="s">
        <v>798</v>
      </c>
      <c r="E478" s="380" t="s">
        <v>7908</v>
      </c>
      <c r="F478" s="380" t="s">
        <v>14606</v>
      </c>
      <c r="G478" s="380">
        <v>5</v>
      </c>
      <c r="H478" s="380" t="s">
        <v>1478</v>
      </c>
    </row>
    <row r="479" spans="1:9" x14ac:dyDescent="0.25">
      <c r="A479" s="247" t="str">
        <f t="shared" si="7"/>
        <v>別保ＳＦＣ_16</v>
      </c>
      <c r="B479" s="238" t="s">
        <v>2342</v>
      </c>
      <c r="C479" s="238" t="str">
        <f>("16")</f>
        <v>16</v>
      </c>
      <c r="D479" s="238" t="s">
        <v>796</v>
      </c>
      <c r="E479" s="380" t="s">
        <v>9858</v>
      </c>
      <c r="F479" s="380" t="s">
        <v>14607</v>
      </c>
      <c r="G479" s="380">
        <v>3</v>
      </c>
      <c r="H479" s="380" t="s">
        <v>1478</v>
      </c>
    </row>
    <row r="480" spans="1:9" x14ac:dyDescent="0.25">
      <c r="A480" s="247" t="str">
        <f t="shared" si="7"/>
        <v>大在サッカースポーツ少年団_1</v>
      </c>
      <c r="B480" s="238" t="s">
        <v>1158</v>
      </c>
      <c r="C480" s="238" t="str">
        <f>("1")</f>
        <v>1</v>
      </c>
      <c r="D480" s="238" t="s">
        <v>796</v>
      </c>
      <c r="E480" s="380" t="s">
        <v>8807</v>
      </c>
      <c r="F480" s="380" t="s">
        <v>14608</v>
      </c>
      <c r="G480" s="380">
        <v>6</v>
      </c>
      <c r="H480" s="380" t="s">
        <v>1478</v>
      </c>
    </row>
    <row r="481" spans="1:9" x14ac:dyDescent="0.25">
      <c r="A481" s="247" t="str">
        <f t="shared" si="7"/>
        <v>大在サッカースポーツ少年団_2</v>
      </c>
      <c r="B481" s="238" t="s">
        <v>1158</v>
      </c>
      <c r="C481" s="238" t="str">
        <f>("2")</f>
        <v>2</v>
      </c>
      <c r="D481" s="238" t="s">
        <v>235</v>
      </c>
      <c r="E481" s="380" t="s">
        <v>8462</v>
      </c>
      <c r="F481" s="380" t="s">
        <v>14609</v>
      </c>
      <c r="G481" s="380">
        <v>5</v>
      </c>
      <c r="H481" s="380" t="s">
        <v>1478</v>
      </c>
    </row>
    <row r="482" spans="1:9" x14ac:dyDescent="0.25">
      <c r="A482" s="247" t="str">
        <f t="shared" si="7"/>
        <v>大在サッカースポーツ少年団_3</v>
      </c>
      <c r="B482" s="238" t="s">
        <v>1158</v>
      </c>
      <c r="C482" s="238" t="str">
        <f>("3")</f>
        <v>3</v>
      </c>
      <c r="D482" s="238" t="s">
        <v>280</v>
      </c>
      <c r="E482" s="380" t="s">
        <v>8380</v>
      </c>
      <c r="F482" s="380" t="s">
        <v>14610</v>
      </c>
      <c r="G482" s="380">
        <v>5</v>
      </c>
      <c r="H482" s="380" t="s">
        <v>1478</v>
      </c>
    </row>
    <row r="483" spans="1:9" x14ac:dyDescent="0.25">
      <c r="A483" s="247" t="str">
        <f t="shared" si="7"/>
        <v>大在サッカースポーツ少年団_4</v>
      </c>
      <c r="B483" s="238" t="s">
        <v>1158</v>
      </c>
      <c r="C483" s="238" t="str">
        <f>("4")</f>
        <v>4</v>
      </c>
      <c r="D483" s="238" t="s">
        <v>235</v>
      </c>
      <c r="E483" s="380" t="s">
        <v>8689</v>
      </c>
      <c r="F483" s="380" t="s">
        <v>14611</v>
      </c>
      <c r="G483" s="380">
        <v>6</v>
      </c>
      <c r="H483" s="380" t="s">
        <v>1478</v>
      </c>
    </row>
    <row r="484" spans="1:9" x14ac:dyDescent="0.25">
      <c r="A484" s="247" t="str">
        <f t="shared" si="7"/>
        <v>大在サッカースポーツ少年団_5</v>
      </c>
      <c r="B484" s="238" t="s">
        <v>1158</v>
      </c>
      <c r="C484" s="238" t="str">
        <f>("5")</f>
        <v>5</v>
      </c>
      <c r="D484" s="238" t="s">
        <v>280</v>
      </c>
      <c r="E484" s="380" t="s">
        <v>7983</v>
      </c>
      <c r="F484" s="380" t="s">
        <v>14612</v>
      </c>
      <c r="G484" s="380">
        <v>5</v>
      </c>
      <c r="H484" s="380" t="s">
        <v>1478</v>
      </c>
    </row>
    <row r="485" spans="1:9" x14ac:dyDescent="0.25">
      <c r="A485" s="247" t="str">
        <f t="shared" si="7"/>
        <v>大在サッカースポーツ少年団_6</v>
      </c>
      <c r="B485" s="238" t="s">
        <v>1158</v>
      </c>
      <c r="C485" s="238" t="str">
        <f>("6")</f>
        <v>6</v>
      </c>
      <c r="D485" s="238" t="s">
        <v>235</v>
      </c>
      <c r="E485" s="380" t="s">
        <v>8968</v>
      </c>
      <c r="F485" s="380" t="s">
        <v>14613</v>
      </c>
      <c r="G485" s="380">
        <v>6</v>
      </c>
      <c r="H485" s="380" t="s">
        <v>1480</v>
      </c>
    </row>
    <row r="486" spans="1:9" x14ac:dyDescent="0.25">
      <c r="A486" s="247" t="str">
        <f t="shared" si="7"/>
        <v>大在サッカースポーツ少年団_7</v>
      </c>
      <c r="B486" s="238" t="s">
        <v>1158</v>
      </c>
      <c r="C486" s="238" t="str">
        <f>("7")</f>
        <v>7</v>
      </c>
      <c r="D486" s="238" t="s">
        <v>798</v>
      </c>
      <c r="E486" s="380" t="s">
        <v>9011</v>
      </c>
      <c r="F486" s="380" t="s">
        <v>14614</v>
      </c>
      <c r="G486" s="380">
        <v>6</v>
      </c>
      <c r="H486" s="380" t="s">
        <v>1478</v>
      </c>
    </row>
    <row r="487" spans="1:9" x14ac:dyDescent="0.25">
      <c r="A487" s="247" t="str">
        <f t="shared" si="7"/>
        <v>大在サッカースポーツ少年団_8</v>
      </c>
      <c r="B487" s="238" t="s">
        <v>1158</v>
      </c>
      <c r="C487" s="238" t="str">
        <f>("8")</f>
        <v>8</v>
      </c>
      <c r="D487" s="238" t="s">
        <v>798</v>
      </c>
      <c r="E487" s="380" t="s">
        <v>8725</v>
      </c>
      <c r="F487" s="380" t="s">
        <v>14615</v>
      </c>
      <c r="G487" s="380">
        <v>6</v>
      </c>
      <c r="H487" s="380" t="s">
        <v>1478</v>
      </c>
    </row>
    <row r="488" spans="1:9" x14ac:dyDescent="0.25">
      <c r="A488" s="247" t="str">
        <f t="shared" si="7"/>
        <v>大在サッカースポーツ少年団_9</v>
      </c>
      <c r="B488" s="238" t="s">
        <v>1158</v>
      </c>
      <c r="C488" s="238" t="str">
        <f>("9")</f>
        <v>9</v>
      </c>
      <c r="D488" s="238" t="s">
        <v>798</v>
      </c>
      <c r="E488" s="380" t="s">
        <v>8727</v>
      </c>
      <c r="F488" s="380" t="s">
        <v>14616</v>
      </c>
      <c r="G488" s="380">
        <v>6</v>
      </c>
      <c r="H488" s="380" t="s">
        <v>1478</v>
      </c>
    </row>
    <row r="489" spans="1:9" x14ac:dyDescent="0.25">
      <c r="A489" s="247" t="str">
        <f t="shared" si="7"/>
        <v>大在サッカースポーツ少年団_10</v>
      </c>
      <c r="B489" s="238" t="s">
        <v>1158</v>
      </c>
      <c r="C489" s="238" t="str">
        <f>("10")</f>
        <v>10</v>
      </c>
      <c r="D489" s="238" t="s">
        <v>798</v>
      </c>
      <c r="E489" s="380" t="s">
        <v>8923</v>
      </c>
      <c r="F489" s="380" t="s">
        <v>14617</v>
      </c>
      <c r="G489" s="380">
        <v>6</v>
      </c>
      <c r="H489" s="380" t="s">
        <v>1478</v>
      </c>
      <c r="I489" s="380" t="s">
        <v>408</v>
      </c>
    </row>
    <row r="490" spans="1:9" x14ac:dyDescent="0.25">
      <c r="A490" s="247" t="str">
        <f t="shared" si="7"/>
        <v>大在サッカースポーツ少年団_11</v>
      </c>
      <c r="B490" s="238" t="s">
        <v>1158</v>
      </c>
      <c r="C490" s="238" t="str">
        <f>("11")</f>
        <v>11</v>
      </c>
      <c r="D490" s="238" t="s">
        <v>235</v>
      </c>
      <c r="E490" s="380" t="s">
        <v>8976</v>
      </c>
      <c r="F490" s="380" t="s">
        <v>14618</v>
      </c>
      <c r="G490" s="380">
        <v>6</v>
      </c>
      <c r="H490" s="380" t="s">
        <v>1478</v>
      </c>
    </row>
    <row r="491" spans="1:9" x14ac:dyDescent="0.25">
      <c r="A491" s="247" t="str">
        <f t="shared" si="7"/>
        <v>大在サッカースポーツ少年団_12</v>
      </c>
      <c r="B491" s="238" t="s">
        <v>1158</v>
      </c>
      <c r="C491" s="238" t="str">
        <f>("12")</f>
        <v>12</v>
      </c>
      <c r="D491" s="238" t="s">
        <v>235</v>
      </c>
      <c r="E491" s="380" t="s">
        <v>9313</v>
      </c>
      <c r="F491" s="380" t="s">
        <v>14619</v>
      </c>
      <c r="G491" s="380">
        <v>4</v>
      </c>
      <c r="H491" s="380" t="s">
        <v>1478</v>
      </c>
    </row>
    <row r="492" spans="1:9" x14ac:dyDescent="0.25">
      <c r="A492" s="247" t="str">
        <f t="shared" si="7"/>
        <v>大分トリニータＵ－１２_1</v>
      </c>
      <c r="B492" s="238" t="s">
        <v>2022</v>
      </c>
      <c r="C492" s="238" t="str">
        <f>("1")</f>
        <v>1</v>
      </c>
      <c r="D492" s="238" t="s">
        <v>796</v>
      </c>
      <c r="E492" s="380" t="s">
        <v>8822</v>
      </c>
      <c r="F492" s="380" t="s">
        <v>14620</v>
      </c>
      <c r="G492" s="380">
        <v>6</v>
      </c>
      <c r="H492" s="380" t="s">
        <v>1478</v>
      </c>
    </row>
    <row r="493" spans="1:9" x14ac:dyDescent="0.25">
      <c r="A493" s="247" t="str">
        <f t="shared" si="7"/>
        <v>大分トリニータＵ－１２_2</v>
      </c>
      <c r="B493" s="238" t="s">
        <v>2022</v>
      </c>
      <c r="C493" s="238" t="str">
        <f>("2")</f>
        <v>2</v>
      </c>
      <c r="D493" s="238" t="s">
        <v>235</v>
      </c>
      <c r="E493" s="380" t="s">
        <v>5817</v>
      </c>
      <c r="F493" s="380" t="s">
        <v>6452</v>
      </c>
      <c r="G493" s="380">
        <v>6</v>
      </c>
      <c r="H493" s="380" t="s">
        <v>1478</v>
      </c>
    </row>
    <row r="494" spans="1:9" x14ac:dyDescent="0.25">
      <c r="A494" s="247" t="str">
        <f t="shared" si="7"/>
        <v>大分トリニータＵ－１２_3</v>
      </c>
      <c r="B494" s="238" t="s">
        <v>2022</v>
      </c>
      <c r="C494" s="238" t="str">
        <f>("3")</f>
        <v>3</v>
      </c>
      <c r="D494" s="238" t="s">
        <v>798</v>
      </c>
      <c r="E494" s="380" t="s">
        <v>8718</v>
      </c>
      <c r="F494" s="380" t="s">
        <v>14621</v>
      </c>
      <c r="G494" s="380">
        <v>6</v>
      </c>
      <c r="H494" s="380" t="s">
        <v>1478</v>
      </c>
    </row>
    <row r="495" spans="1:9" x14ac:dyDescent="0.25">
      <c r="A495" s="247" t="str">
        <f t="shared" si="7"/>
        <v>大分トリニータＵ－１２_4</v>
      </c>
      <c r="B495" s="238" t="s">
        <v>2022</v>
      </c>
      <c r="C495" s="238" t="str">
        <f>("4")</f>
        <v>4</v>
      </c>
      <c r="D495" s="238" t="s">
        <v>235</v>
      </c>
      <c r="E495" s="380" t="s">
        <v>5855</v>
      </c>
      <c r="F495" s="380" t="s">
        <v>6469</v>
      </c>
      <c r="G495" s="380">
        <v>5</v>
      </c>
      <c r="H495" s="380" t="s">
        <v>1478</v>
      </c>
    </row>
    <row r="496" spans="1:9" x14ac:dyDescent="0.25">
      <c r="A496" s="247" t="str">
        <f t="shared" si="7"/>
        <v>大分トリニータＵ－１２_5</v>
      </c>
      <c r="B496" s="238" t="s">
        <v>2022</v>
      </c>
      <c r="C496" s="238" t="str">
        <f>("5")</f>
        <v>5</v>
      </c>
      <c r="D496" s="238" t="s">
        <v>798</v>
      </c>
      <c r="E496" s="380" t="s">
        <v>8307</v>
      </c>
      <c r="F496" s="380" t="s">
        <v>14622</v>
      </c>
      <c r="G496" s="380">
        <v>5</v>
      </c>
      <c r="H496" s="380" t="s">
        <v>1478</v>
      </c>
    </row>
    <row r="497" spans="1:9" x14ac:dyDescent="0.25">
      <c r="A497" s="247" t="str">
        <f t="shared" si="7"/>
        <v>大分トリニータＵ－１２_6</v>
      </c>
      <c r="B497" s="238" t="s">
        <v>2022</v>
      </c>
      <c r="C497" s="238" t="str">
        <f>("6")</f>
        <v>6</v>
      </c>
      <c r="D497" s="238" t="s">
        <v>798</v>
      </c>
      <c r="E497" s="380" t="s">
        <v>8811</v>
      </c>
      <c r="F497" s="380" t="s">
        <v>14623</v>
      </c>
      <c r="G497" s="380">
        <v>6</v>
      </c>
      <c r="H497" s="380" t="s">
        <v>1478</v>
      </c>
    </row>
    <row r="498" spans="1:9" x14ac:dyDescent="0.25">
      <c r="A498" s="247" t="str">
        <f t="shared" si="7"/>
        <v>大分トリニータＵ－１２_7</v>
      </c>
      <c r="B498" s="238" t="s">
        <v>2022</v>
      </c>
      <c r="C498" s="238" t="str">
        <f>("7")</f>
        <v>7</v>
      </c>
      <c r="D498" s="238" t="s">
        <v>280</v>
      </c>
      <c r="E498" s="380" t="s">
        <v>8732</v>
      </c>
      <c r="F498" s="380" t="s">
        <v>14624</v>
      </c>
      <c r="G498" s="380">
        <v>6</v>
      </c>
      <c r="H498" s="380" t="s">
        <v>1478</v>
      </c>
    </row>
    <row r="499" spans="1:9" x14ac:dyDescent="0.25">
      <c r="A499" s="247" t="str">
        <f t="shared" si="7"/>
        <v>大分トリニータＵ－１２_8</v>
      </c>
      <c r="B499" s="238" t="s">
        <v>2022</v>
      </c>
      <c r="C499" s="238" t="str">
        <f>("8")</f>
        <v>8</v>
      </c>
      <c r="D499" s="238" t="s">
        <v>798</v>
      </c>
      <c r="E499" s="380" t="s">
        <v>5816</v>
      </c>
      <c r="F499" s="380" t="s">
        <v>6451</v>
      </c>
      <c r="G499" s="380">
        <v>6</v>
      </c>
      <c r="H499" s="380" t="s">
        <v>1478</v>
      </c>
    </row>
    <row r="500" spans="1:9" x14ac:dyDescent="0.25">
      <c r="A500" s="247" t="str">
        <f t="shared" si="7"/>
        <v>大分トリニータＵ－１２_9</v>
      </c>
      <c r="B500" s="238" t="s">
        <v>2022</v>
      </c>
      <c r="C500" s="238" t="str">
        <f>("9")</f>
        <v>9</v>
      </c>
      <c r="D500" s="238" t="s">
        <v>798</v>
      </c>
      <c r="E500" s="380" t="s">
        <v>4585</v>
      </c>
      <c r="F500" s="380" t="s">
        <v>4586</v>
      </c>
      <c r="G500" s="380">
        <v>6</v>
      </c>
      <c r="H500" s="380" t="s">
        <v>1478</v>
      </c>
    </row>
    <row r="501" spans="1:9" x14ac:dyDescent="0.25">
      <c r="A501" s="247" t="str">
        <f t="shared" si="7"/>
        <v>大分トリニータＵ－１２_10</v>
      </c>
      <c r="B501" s="238" t="s">
        <v>2022</v>
      </c>
      <c r="C501" s="238" t="str">
        <f>("10")</f>
        <v>10</v>
      </c>
      <c r="D501" s="238" t="s">
        <v>280</v>
      </c>
      <c r="E501" s="380" t="s">
        <v>8802</v>
      </c>
      <c r="F501" s="380" t="s">
        <v>14625</v>
      </c>
      <c r="G501" s="380">
        <v>6</v>
      </c>
      <c r="H501" s="380" t="s">
        <v>1478</v>
      </c>
    </row>
    <row r="502" spans="1:9" x14ac:dyDescent="0.25">
      <c r="A502" s="247" t="str">
        <f t="shared" si="7"/>
        <v>大分トリニータＵ－１２_11</v>
      </c>
      <c r="B502" s="238" t="s">
        <v>2022</v>
      </c>
      <c r="C502" s="238" t="str">
        <f>("11")</f>
        <v>11</v>
      </c>
      <c r="D502" s="238" t="s">
        <v>280</v>
      </c>
      <c r="E502" s="380" t="s">
        <v>5812</v>
      </c>
      <c r="F502" s="380" t="s">
        <v>6450</v>
      </c>
      <c r="G502" s="380">
        <v>6</v>
      </c>
      <c r="H502" s="380" t="s">
        <v>1478</v>
      </c>
    </row>
    <row r="503" spans="1:9" x14ac:dyDescent="0.25">
      <c r="A503" s="247" t="str">
        <f t="shared" si="7"/>
        <v>大分トリニータＵ－１２_12</v>
      </c>
      <c r="B503" s="238" t="s">
        <v>2022</v>
      </c>
      <c r="C503" s="238" t="str">
        <f>("12")</f>
        <v>12</v>
      </c>
      <c r="D503" s="238" t="s">
        <v>235</v>
      </c>
      <c r="E503" s="380" t="s">
        <v>5809</v>
      </c>
      <c r="F503" s="380" t="s">
        <v>6449</v>
      </c>
      <c r="G503" s="380">
        <v>6</v>
      </c>
      <c r="H503" s="380" t="s">
        <v>1478</v>
      </c>
      <c r="I503" s="380" t="s">
        <v>408</v>
      </c>
    </row>
    <row r="504" spans="1:9" x14ac:dyDescent="0.25">
      <c r="A504" s="247" t="str">
        <f t="shared" si="7"/>
        <v>大分トリニータＵ－１２_13</v>
      </c>
      <c r="B504" s="238" t="s">
        <v>2022</v>
      </c>
      <c r="C504" s="238" t="str">
        <f>("13")</f>
        <v>13</v>
      </c>
      <c r="D504" s="238" t="s">
        <v>798</v>
      </c>
      <c r="E504" s="380" t="s">
        <v>5813</v>
      </c>
      <c r="F504" s="380" t="s">
        <v>4292</v>
      </c>
      <c r="G504" s="380">
        <v>6</v>
      </c>
      <c r="H504" s="380" t="s">
        <v>1478</v>
      </c>
    </row>
    <row r="505" spans="1:9" x14ac:dyDescent="0.25">
      <c r="A505" s="247" t="str">
        <f t="shared" si="7"/>
        <v>大分トリニータＵ－１２_14</v>
      </c>
      <c r="B505" s="238" t="s">
        <v>2022</v>
      </c>
      <c r="C505" s="238" t="str">
        <f>("14")</f>
        <v>14</v>
      </c>
      <c r="D505" s="238" t="s">
        <v>798</v>
      </c>
      <c r="E505" s="380" t="s">
        <v>7850</v>
      </c>
      <c r="F505" s="380" t="s">
        <v>14626</v>
      </c>
      <c r="G505" s="380">
        <v>5</v>
      </c>
      <c r="H505" s="380" t="s">
        <v>1478</v>
      </c>
    </row>
    <row r="506" spans="1:9" x14ac:dyDescent="0.25">
      <c r="A506" s="247" t="str">
        <f t="shared" si="7"/>
        <v>大分トリニータＵ－１２_15</v>
      </c>
      <c r="B506" s="238" t="s">
        <v>2022</v>
      </c>
      <c r="C506" s="238" t="str">
        <f>("15")</f>
        <v>15</v>
      </c>
      <c r="D506" s="238" t="s">
        <v>280</v>
      </c>
      <c r="E506" s="380" t="s">
        <v>8140</v>
      </c>
      <c r="F506" s="380" t="s">
        <v>14627</v>
      </c>
      <c r="G506" s="380">
        <v>5</v>
      </c>
      <c r="H506" s="380" t="s">
        <v>1478</v>
      </c>
    </row>
    <row r="507" spans="1:9" x14ac:dyDescent="0.25">
      <c r="A507" s="247" t="str">
        <f t="shared" si="7"/>
        <v>大分トリニータＵ－１２_16</v>
      </c>
      <c r="B507" s="238" t="s">
        <v>2022</v>
      </c>
      <c r="C507" s="238" t="str">
        <f>("16")</f>
        <v>16</v>
      </c>
      <c r="D507" s="238" t="s">
        <v>796</v>
      </c>
      <c r="E507" s="380" t="s">
        <v>8335</v>
      </c>
      <c r="F507" s="380" t="s">
        <v>14628</v>
      </c>
      <c r="G507" s="380">
        <v>5</v>
      </c>
      <c r="H507" s="380" t="s">
        <v>1478</v>
      </c>
    </row>
    <row r="508" spans="1:9" x14ac:dyDescent="0.25">
      <c r="A508" s="247" t="str">
        <f t="shared" si="7"/>
        <v>大分トリニータＵ－１２_17</v>
      </c>
      <c r="B508" s="238" t="s">
        <v>2022</v>
      </c>
      <c r="C508" s="238" t="str">
        <f>("17")</f>
        <v>17</v>
      </c>
      <c r="D508" s="238" t="s">
        <v>798</v>
      </c>
      <c r="E508" s="380" t="s">
        <v>8059</v>
      </c>
      <c r="F508" s="380" t="s">
        <v>14629</v>
      </c>
      <c r="G508" s="380">
        <v>5</v>
      </c>
      <c r="H508" s="380" t="s">
        <v>1478</v>
      </c>
    </row>
    <row r="509" spans="1:9" x14ac:dyDescent="0.25">
      <c r="A509" s="247" t="str">
        <f t="shared" si="7"/>
        <v>大分トリニータＵ－１２_18</v>
      </c>
      <c r="B509" s="238" t="s">
        <v>2022</v>
      </c>
      <c r="C509" s="238" t="str">
        <f>("18")</f>
        <v>18</v>
      </c>
      <c r="D509" s="238" t="s">
        <v>798</v>
      </c>
      <c r="E509" s="380" t="s">
        <v>7892</v>
      </c>
      <c r="F509" s="380" t="s">
        <v>14630</v>
      </c>
      <c r="G509" s="380">
        <v>5</v>
      </c>
      <c r="H509" s="380" t="s">
        <v>1478</v>
      </c>
    </row>
    <row r="510" spans="1:9" x14ac:dyDescent="0.25">
      <c r="A510" s="247" t="str">
        <f t="shared" si="7"/>
        <v>碩田サッカースポーツ少年団_1</v>
      </c>
      <c r="B510" s="238" t="s">
        <v>1912</v>
      </c>
      <c r="C510" s="238" t="str">
        <f>("1")</f>
        <v>1</v>
      </c>
      <c r="D510" s="238" t="s">
        <v>280</v>
      </c>
      <c r="E510" s="380" t="s">
        <v>4451</v>
      </c>
      <c r="F510" s="380" t="s">
        <v>4452</v>
      </c>
      <c r="G510" s="380">
        <v>6</v>
      </c>
      <c r="H510" s="380" t="s">
        <v>1478</v>
      </c>
    </row>
    <row r="511" spans="1:9" x14ac:dyDescent="0.25">
      <c r="A511" s="247" t="str">
        <f t="shared" si="7"/>
        <v>碩田サッカースポーツ少年団_2</v>
      </c>
      <c r="B511" s="238" t="s">
        <v>1912</v>
      </c>
      <c r="C511" s="238" t="str">
        <f>("2")</f>
        <v>2</v>
      </c>
      <c r="D511" s="238" t="s">
        <v>280</v>
      </c>
      <c r="E511" s="380" t="s">
        <v>4449</v>
      </c>
      <c r="F511" s="380" t="s">
        <v>4450</v>
      </c>
      <c r="G511" s="380">
        <v>6</v>
      </c>
      <c r="H511" s="380" t="s">
        <v>1480</v>
      </c>
    </row>
    <row r="512" spans="1:9" x14ac:dyDescent="0.25">
      <c r="A512" s="247" t="str">
        <f t="shared" si="7"/>
        <v>碩田サッカースポーツ少年団_3</v>
      </c>
      <c r="B512" s="238" t="s">
        <v>1912</v>
      </c>
      <c r="C512" s="238" t="str">
        <f>("3")</f>
        <v>3</v>
      </c>
      <c r="D512" s="238" t="s">
        <v>798</v>
      </c>
      <c r="E512" s="380" t="s">
        <v>4441</v>
      </c>
      <c r="F512" s="380" t="s">
        <v>4442</v>
      </c>
      <c r="G512" s="380">
        <v>6</v>
      </c>
      <c r="H512" s="380" t="s">
        <v>1480</v>
      </c>
    </row>
    <row r="513" spans="1:9" x14ac:dyDescent="0.25">
      <c r="A513" s="247" t="str">
        <f t="shared" ref="A513:A576" si="8">CONCATENATE(B513,"_",C513)</f>
        <v>碩田サッカースポーツ少年団_4</v>
      </c>
      <c r="B513" s="238" t="s">
        <v>1912</v>
      </c>
      <c r="C513" s="238" t="str">
        <f>("4")</f>
        <v>4</v>
      </c>
      <c r="D513" s="238" t="s">
        <v>798</v>
      </c>
      <c r="E513" s="380" t="s">
        <v>4453</v>
      </c>
      <c r="F513" s="380" t="s">
        <v>4454</v>
      </c>
      <c r="G513" s="380">
        <v>6</v>
      </c>
      <c r="H513" s="380" t="s">
        <v>1478</v>
      </c>
    </row>
    <row r="514" spans="1:9" x14ac:dyDescent="0.25">
      <c r="A514" s="247" t="str">
        <f t="shared" si="8"/>
        <v>碩田サッカースポーツ少年団_5</v>
      </c>
      <c r="B514" s="238" t="s">
        <v>1912</v>
      </c>
      <c r="C514" s="238" t="str">
        <f>("5")</f>
        <v>5</v>
      </c>
      <c r="D514" s="238" t="s">
        <v>280</v>
      </c>
      <c r="E514" s="380" t="s">
        <v>5820</v>
      </c>
      <c r="F514" s="380" t="s">
        <v>6454</v>
      </c>
      <c r="G514" s="380">
        <v>6</v>
      </c>
      <c r="H514" s="380" t="s">
        <v>1478</v>
      </c>
    </row>
    <row r="515" spans="1:9" x14ac:dyDescent="0.25">
      <c r="A515" s="247" t="str">
        <f t="shared" si="8"/>
        <v>碩田サッカースポーツ少年団_6</v>
      </c>
      <c r="B515" s="238" t="s">
        <v>1912</v>
      </c>
      <c r="C515" s="238" t="str">
        <f>("6")</f>
        <v>6</v>
      </c>
      <c r="D515" s="238" t="s">
        <v>798</v>
      </c>
      <c r="E515" s="380" t="s">
        <v>5819</v>
      </c>
      <c r="F515" s="380" t="s">
        <v>6453</v>
      </c>
      <c r="G515" s="380">
        <v>6</v>
      </c>
      <c r="H515" s="380" t="s">
        <v>1478</v>
      </c>
    </row>
    <row r="516" spans="1:9" x14ac:dyDescent="0.25">
      <c r="A516" s="247" t="str">
        <f t="shared" si="8"/>
        <v>碩田サッカースポーツ少年団_7</v>
      </c>
      <c r="B516" s="238" t="s">
        <v>1912</v>
      </c>
      <c r="C516" s="238" t="str">
        <f>("7")</f>
        <v>7</v>
      </c>
      <c r="D516" s="238" t="s">
        <v>798</v>
      </c>
      <c r="E516" s="380" t="s">
        <v>4445</v>
      </c>
      <c r="F516" s="380" t="s">
        <v>4446</v>
      </c>
      <c r="G516" s="380">
        <v>6</v>
      </c>
      <c r="H516" s="380" t="s">
        <v>1478</v>
      </c>
    </row>
    <row r="517" spans="1:9" x14ac:dyDescent="0.25">
      <c r="A517" s="247" t="str">
        <f t="shared" si="8"/>
        <v>碩田サッカースポーツ少年団_8</v>
      </c>
      <c r="B517" s="238" t="s">
        <v>1912</v>
      </c>
      <c r="C517" s="238" t="str">
        <f>("8")</f>
        <v>8</v>
      </c>
      <c r="D517" s="238" t="s">
        <v>235</v>
      </c>
      <c r="E517" s="380" t="s">
        <v>4443</v>
      </c>
      <c r="F517" s="380" t="s">
        <v>4444</v>
      </c>
      <c r="G517" s="380">
        <v>6</v>
      </c>
      <c r="H517" s="380" t="s">
        <v>1480</v>
      </c>
      <c r="I517" s="380" t="s">
        <v>408</v>
      </c>
    </row>
    <row r="518" spans="1:9" x14ac:dyDescent="0.25">
      <c r="A518" s="247" t="str">
        <f t="shared" si="8"/>
        <v>碩田サッカースポーツ少年団_9</v>
      </c>
      <c r="B518" s="238" t="s">
        <v>1912</v>
      </c>
      <c r="C518" s="238" t="str">
        <f>("9")</f>
        <v>9</v>
      </c>
      <c r="D518" s="238" t="s">
        <v>798</v>
      </c>
      <c r="E518" s="380" t="s">
        <v>4447</v>
      </c>
      <c r="F518" s="380" t="s">
        <v>4448</v>
      </c>
      <c r="G518" s="380">
        <v>6</v>
      </c>
      <c r="H518" s="380" t="s">
        <v>1480</v>
      </c>
    </row>
    <row r="519" spans="1:9" x14ac:dyDescent="0.25">
      <c r="A519" s="247" t="str">
        <f t="shared" si="8"/>
        <v>碩田サッカースポーツ少年団_10</v>
      </c>
      <c r="B519" s="238" t="s">
        <v>1912</v>
      </c>
      <c r="C519" s="238" t="str">
        <f>("10")</f>
        <v>10</v>
      </c>
      <c r="D519" s="238" t="s">
        <v>798</v>
      </c>
      <c r="E519" s="380" t="s">
        <v>8876</v>
      </c>
      <c r="F519" s="380" t="s">
        <v>14631</v>
      </c>
      <c r="G519" s="380">
        <v>6</v>
      </c>
      <c r="H519" s="380" t="s">
        <v>1478</v>
      </c>
    </row>
    <row r="520" spans="1:9" x14ac:dyDescent="0.25">
      <c r="A520" s="247" t="str">
        <f t="shared" si="8"/>
        <v>碩田サッカースポーツ少年団_11</v>
      </c>
      <c r="B520" s="238" t="s">
        <v>1912</v>
      </c>
      <c r="C520" s="238" t="str">
        <f>("11")</f>
        <v>11</v>
      </c>
      <c r="D520" s="238" t="s">
        <v>280</v>
      </c>
      <c r="E520" s="380" t="s">
        <v>3993</v>
      </c>
      <c r="F520" s="380" t="s">
        <v>3994</v>
      </c>
      <c r="G520" s="380">
        <v>6</v>
      </c>
      <c r="H520" s="380" t="s">
        <v>1478</v>
      </c>
    </row>
    <row r="521" spans="1:9" x14ac:dyDescent="0.25">
      <c r="A521" s="247" t="str">
        <f t="shared" si="8"/>
        <v>碩田サッカースポーツ少年団_12</v>
      </c>
      <c r="B521" s="238" t="s">
        <v>1912</v>
      </c>
      <c r="C521" s="238" t="str">
        <f>("12")</f>
        <v>12</v>
      </c>
      <c r="D521" s="238" t="s">
        <v>235</v>
      </c>
      <c r="E521" s="380" t="s">
        <v>8300</v>
      </c>
      <c r="F521" s="380" t="s">
        <v>14632</v>
      </c>
      <c r="G521" s="380">
        <v>5</v>
      </c>
      <c r="H521" s="380" t="s">
        <v>1478</v>
      </c>
    </row>
    <row r="522" spans="1:9" x14ac:dyDescent="0.25">
      <c r="A522" s="247" t="str">
        <f t="shared" si="8"/>
        <v>碩田サッカースポーツ少年団_13</v>
      </c>
      <c r="B522" s="238" t="s">
        <v>1912</v>
      </c>
      <c r="C522" s="238" t="str">
        <f>("13")</f>
        <v>13</v>
      </c>
      <c r="D522" s="238" t="s">
        <v>235</v>
      </c>
      <c r="E522" s="380" t="s">
        <v>7925</v>
      </c>
      <c r="F522" s="380" t="s">
        <v>4258</v>
      </c>
      <c r="G522" s="380">
        <v>5</v>
      </c>
      <c r="H522" s="380" t="s">
        <v>1478</v>
      </c>
    </row>
    <row r="523" spans="1:9" x14ac:dyDescent="0.25">
      <c r="A523" s="247" t="str">
        <f t="shared" si="8"/>
        <v>碩田サッカースポーツ少年団_14</v>
      </c>
      <c r="B523" s="238" t="s">
        <v>1912</v>
      </c>
      <c r="C523" s="238" t="str">
        <f>("14")</f>
        <v>14</v>
      </c>
      <c r="D523" s="238" t="s">
        <v>798</v>
      </c>
      <c r="E523" s="380" t="s">
        <v>8292</v>
      </c>
      <c r="F523" s="380" t="s">
        <v>14633</v>
      </c>
      <c r="G523" s="380">
        <v>5</v>
      </c>
      <c r="H523" s="380" t="s">
        <v>1478</v>
      </c>
    </row>
    <row r="524" spans="1:9" x14ac:dyDescent="0.25">
      <c r="A524" s="247" t="str">
        <f t="shared" si="8"/>
        <v>碩田サッカースポーツ少年団_15</v>
      </c>
      <c r="B524" s="238" t="s">
        <v>1912</v>
      </c>
      <c r="C524" s="238" t="str">
        <f>("15")</f>
        <v>15</v>
      </c>
      <c r="D524" s="238" t="s">
        <v>280</v>
      </c>
      <c r="E524" s="380" t="s">
        <v>8103</v>
      </c>
      <c r="F524" s="380" t="s">
        <v>14634</v>
      </c>
      <c r="G524" s="380">
        <v>5</v>
      </c>
      <c r="H524" s="380" t="s">
        <v>1478</v>
      </c>
    </row>
    <row r="525" spans="1:9" x14ac:dyDescent="0.25">
      <c r="A525" s="247" t="str">
        <f t="shared" si="8"/>
        <v>碩田サッカースポーツ少年団_16</v>
      </c>
      <c r="B525" s="238" t="s">
        <v>1912</v>
      </c>
      <c r="C525" s="238" t="str">
        <f>("16")</f>
        <v>16</v>
      </c>
      <c r="D525" s="238" t="s">
        <v>796</v>
      </c>
      <c r="E525" s="380" t="s">
        <v>5822</v>
      </c>
      <c r="F525" s="380" t="s">
        <v>6456</v>
      </c>
      <c r="G525" s="380">
        <v>5</v>
      </c>
      <c r="H525" s="380" t="s">
        <v>1478</v>
      </c>
    </row>
    <row r="526" spans="1:9" x14ac:dyDescent="0.25">
      <c r="A526" s="247" t="str">
        <f t="shared" si="8"/>
        <v>碩田サッカースポーツ少年団_17</v>
      </c>
      <c r="B526" s="238" t="s">
        <v>1912</v>
      </c>
      <c r="C526" s="238" t="str">
        <f>("17")</f>
        <v>17</v>
      </c>
      <c r="D526" s="238" t="s">
        <v>235</v>
      </c>
      <c r="E526" s="380" t="s">
        <v>5821</v>
      </c>
      <c r="F526" s="380" t="s">
        <v>6455</v>
      </c>
      <c r="G526" s="380">
        <v>5</v>
      </c>
      <c r="H526" s="380" t="s">
        <v>1480</v>
      </c>
    </row>
    <row r="527" spans="1:9" x14ac:dyDescent="0.25">
      <c r="A527" s="247" t="str">
        <f t="shared" si="8"/>
        <v>碩田サッカースポーツ少年団_18</v>
      </c>
      <c r="B527" s="238" t="s">
        <v>1912</v>
      </c>
      <c r="C527" s="238" t="str">
        <f>("18")</f>
        <v>18</v>
      </c>
      <c r="D527" s="238" t="s">
        <v>280</v>
      </c>
      <c r="E527" s="380" t="s">
        <v>9233</v>
      </c>
      <c r="F527" s="380" t="s">
        <v>14635</v>
      </c>
      <c r="G527" s="380">
        <v>4</v>
      </c>
      <c r="H527" s="380" t="s">
        <v>1478</v>
      </c>
    </row>
    <row r="528" spans="1:9" x14ac:dyDescent="0.25">
      <c r="A528" s="247" t="str">
        <f t="shared" si="8"/>
        <v>南大分サッカー少年団_1</v>
      </c>
      <c r="B528" s="238" t="s">
        <v>2531</v>
      </c>
      <c r="C528" s="238" t="str">
        <f>("1")</f>
        <v>1</v>
      </c>
      <c r="D528" s="238" t="s">
        <v>796</v>
      </c>
      <c r="E528" s="380" t="s">
        <v>4460</v>
      </c>
      <c r="F528" s="380" t="s">
        <v>4461</v>
      </c>
      <c r="G528" s="380">
        <v>6</v>
      </c>
      <c r="H528" s="380" t="s">
        <v>1478</v>
      </c>
    </row>
    <row r="529" spans="1:9" x14ac:dyDescent="0.25">
      <c r="A529" s="247" t="str">
        <f t="shared" si="8"/>
        <v>南大分サッカー少年団_2</v>
      </c>
      <c r="B529" s="238" t="s">
        <v>2531</v>
      </c>
      <c r="C529" s="238" t="str">
        <f>("2")</f>
        <v>2</v>
      </c>
      <c r="D529" s="238" t="s">
        <v>280</v>
      </c>
      <c r="E529" s="380" t="s">
        <v>8433</v>
      </c>
      <c r="F529" s="380" t="s">
        <v>4594</v>
      </c>
      <c r="G529" s="380">
        <v>5</v>
      </c>
      <c r="H529" s="380" t="s">
        <v>1478</v>
      </c>
    </row>
    <row r="530" spans="1:9" x14ac:dyDescent="0.25">
      <c r="A530" s="247" t="str">
        <f t="shared" si="8"/>
        <v>南大分サッカー少年団_3</v>
      </c>
      <c r="B530" s="238" t="s">
        <v>2531</v>
      </c>
      <c r="C530" s="238" t="str">
        <f>("3")</f>
        <v>3</v>
      </c>
      <c r="D530" s="238" t="s">
        <v>798</v>
      </c>
      <c r="E530" s="380" t="s">
        <v>5839</v>
      </c>
      <c r="F530" s="380" t="s">
        <v>6457</v>
      </c>
      <c r="G530" s="380">
        <v>5</v>
      </c>
      <c r="H530" s="380" t="s">
        <v>1478</v>
      </c>
    </row>
    <row r="531" spans="1:9" x14ac:dyDescent="0.25">
      <c r="A531" s="247" t="str">
        <f t="shared" si="8"/>
        <v>南大分サッカー少年団_4</v>
      </c>
      <c r="B531" s="238" t="s">
        <v>2531</v>
      </c>
      <c r="C531" s="238" t="str">
        <f>("4")</f>
        <v>4</v>
      </c>
      <c r="D531" s="238" t="s">
        <v>798</v>
      </c>
      <c r="E531" s="380" t="s">
        <v>5840</v>
      </c>
      <c r="F531" s="380" t="s">
        <v>6458</v>
      </c>
      <c r="G531" s="380">
        <v>5</v>
      </c>
      <c r="H531" s="380" t="s">
        <v>1478</v>
      </c>
    </row>
    <row r="532" spans="1:9" x14ac:dyDescent="0.25">
      <c r="A532" s="247" t="str">
        <f t="shared" si="8"/>
        <v>南大分サッカー少年団_5</v>
      </c>
      <c r="B532" s="238" t="s">
        <v>2531</v>
      </c>
      <c r="C532" s="238" t="str">
        <f>("5")</f>
        <v>5</v>
      </c>
      <c r="D532" s="238" t="s">
        <v>235</v>
      </c>
      <c r="E532" s="380" t="s">
        <v>5841</v>
      </c>
      <c r="F532" s="380" t="s">
        <v>3989</v>
      </c>
      <c r="G532" s="380">
        <v>5</v>
      </c>
      <c r="H532" s="380" t="s">
        <v>1478</v>
      </c>
    </row>
    <row r="533" spans="1:9" x14ac:dyDescent="0.25">
      <c r="A533" s="247" t="str">
        <f t="shared" si="8"/>
        <v>南大分サッカー少年団_6</v>
      </c>
      <c r="B533" s="238" t="s">
        <v>2531</v>
      </c>
      <c r="C533" s="238" t="str">
        <f>("6")</f>
        <v>6</v>
      </c>
      <c r="D533" s="238" t="s">
        <v>280</v>
      </c>
      <c r="E533" s="380" t="s">
        <v>5842</v>
      </c>
      <c r="F533" s="380" t="s">
        <v>4835</v>
      </c>
      <c r="G533" s="380">
        <v>5</v>
      </c>
      <c r="H533" s="380" t="s">
        <v>1478</v>
      </c>
    </row>
    <row r="534" spans="1:9" x14ac:dyDescent="0.25">
      <c r="A534" s="247" t="str">
        <f t="shared" si="8"/>
        <v>南大分サッカー少年団_7</v>
      </c>
      <c r="B534" s="238" t="s">
        <v>2531</v>
      </c>
      <c r="C534" s="238" t="str">
        <f>("7")</f>
        <v>7</v>
      </c>
      <c r="D534" s="238" t="s">
        <v>280</v>
      </c>
      <c r="E534" s="380" t="s">
        <v>4456</v>
      </c>
      <c r="F534" s="380" t="s">
        <v>4457</v>
      </c>
      <c r="G534" s="380">
        <v>6</v>
      </c>
      <c r="H534" s="380" t="s">
        <v>1478</v>
      </c>
    </row>
    <row r="535" spans="1:9" x14ac:dyDescent="0.25">
      <c r="A535" s="247" t="str">
        <f t="shared" si="8"/>
        <v>南大分サッカー少年団_9</v>
      </c>
      <c r="B535" s="238" t="s">
        <v>2531</v>
      </c>
      <c r="C535" s="238" t="str">
        <f>("9")</f>
        <v>9</v>
      </c>
      <c r="D535" s="238" t="s">
        <v>280</v>
      </c>
      <c r="E535" s="380" t="s">
        <v>5843</v>
      </c>
      <c r="F535" s="380" t="s">
        <v>6459</v>
      </c>
      <c r="G535" s="380">
        <v>5</v>
      </c>
      <c r="H535" s="380" t="s">
        <v>1478</v>
      </c>
    </row>
    <row r="536" spans="1:9" x14ac:dyDescent="0.25">
      <c r="A536" s="247" t="str">
        <f t="shared" si="8"/>
        <v>南大分サッカー少年団_10</v>
      </c>
      <c r="B536" s="238" t="s">
        <v>2531</v>
      </c>
      <c r="C536" s="238" t="str">
        <f>("10")</f>
        <v>10</v>
      </c>
      <c r="D536" s="238" t="s">
        <v>798</v>
      </c>
      <c r="E536" s="380" t="s">
        <v>4458</v>
      </c>
      <c r="F536" s="380" t="s">
        <v>4459</v>
      </c>
      <c r="G536" s="380">
        <v>6</v>
      </c>
      <c r="H536" s="380" t="s">
        <v>1478</v>
      </c>
    </row>
    <row r="537" spans="1:9" x14ac:dyDescent="0.25">
      <c r="A537" s="247" t="str">
        <f t="shared" si="8"/>
        <v>南大分サッカー少年団_11</v>
      </c>
      <c r="B537" s="238" t="s">
        <v>2531</v>
      </c>
      <c r="C537" s="238" t="str">
        <f>("11")</f>
        <v>11</v>
      </c>
      <c r="D537" s="238" t="s">
        <v>798</v>
      </c>
      <c r="E537" s="380" t="s">
        <v>5844</v>
      </c>
      <c r="F537" s="380" t="s">
        <v>6460</v>
      </c>
      <c r="G537" s="380">
        <v>6</v>
      </c>
      <c r="H537" s="380" t="s">
        <v>1478</v>
      </c>
      <c r="I537" s="380" t="s">
        <v>408</v>
      </c>
    </row>
    <row r="538" spans="1:9" x14ac:dyDescent="0.25">
      <c r="A538" s="247" t="str">
        <f t="shared" si="8"/>
        <v>南大分サッカー少年団_15</v>
      </c>
      <c r="B538" s="238" t="s">
        <v>2531</v>
      </c>
      <c r="C538" s="238" t="str">
        <f>("15")</f>
        <v>15</v>
      </c>
      <c r="D538" s="238" t="s">
        <v>235</v>
      </c>
      <c r="E538" s="380" t="s">
        <v>4462</v>
      </c>
      <c r="F538" s="380" t="s">
        <v>4463</v>
      </c>
      <c r="G538" s="380">
        <v>6</v>
      </c>
      <c r="H538" s="380" t="s">
        <v>1478</v>
      </c>
    </row>
    <row r="539" spans="1:9" x14ac:dyDescent="0.25">
      <c r="A539" s="247" t="str">
        <f t="shared" si="8"/>
        <v>南大分サッカー少年団_16</v>
      </c>
      <c r="B539" s="238" t="s">
        <v>2531</v>
      </c>
      <c r="C539" s="238" t="str">
        <f>("16")</f>
        <v>16</v>
      </c>
      <c r="D539" s="238" t="s">
        <v>235</v>
      </c>
      <c r="E539" s="380" t="s">
        <v>4464</v>
      </c>
      <c r="F539" s="380" t="s">
        <v>4465</v>
      </c>
      <c r="G539" s="380">
        <v>6</v>
      </c>
      <c r="H539" s="380" t="s">
        <v>1480</v>
      </c>
    </row>
    <row r="540" spans="1:9" x14ac:dyDescent="0.25">
      <c r="A540" s="247" t="str">
        <f t="shared" si="8"/>
        <v>南大分サッカー少年団_17</v>
      </c>
      <c r="B540" s="238" t="s">
        <v>2531</v>
      </c>
      <c r="C540" s="238" t="str">
        <f>("17")</f>
        <v>17</v>
      </c>
      <c r="D540" s="238" t="s">
        <v>235</v>
      </c>
      <c r="E540" s="380" t="s">
        <v>4466</v>
      </c>
      <c r="F540" s="380" t="s">
        <v>4467</v>
      </c>
      <c r="G540" s="380">
        <v>6</v>
      </c>
      <c r="H540" s="380" t="s">
        <v>1478</v>
      </c>
    </row>
    <row r="541" spans="1:9" x14ac:dyDescent="0.25">
      <c r="A541" s="247" t="str">
        <f t="shared" si="8"/>
        <v>南大分サッカー少年団_18</v>
      </c>
      <c r="B541" s="238" t="s">
        <v>2531</v>
      </c>
      <c r="C541" s="238" t="str">
        <f>("18")</f>
        <v>18</v>
      </c>
      <c r="D541" s="238" t="s">
        <v>798</v>
      </c>
      <c r="E541" s="380" t="s">
        <v>5845</v>
      </c>
      <c r="F541" s="380" t="s">
        <v>6461</v>
      </c>
      <c r="G541" s="380">
        <v>5</v>
      </c>
      <c r="H541" s="380" t="s">
        <v>1478</v>
      </c>
    </row>
    <row r="542" spans="1:9" x14ac:dyDescent="0.25">
      <c r="A542" s="247" t="str">
        <f t="shared" si="8"/>
        <v>南大分サッカー少年団_20</v>
      </c>
      <c r="B542" s="238" t="s">
        <v>2531</v>
      </c>
      <c r="C542" s="238" t="str">
        <f>("20")</f>
        <v>20</v>
      </c>
      <c r="D542" s="238" t="s">
        <v>798</v>
      </c>
      <c r="E542" s="380" t="s">
        <v>5846</v>
      </c>
      <c r="F542" s="380" t="s">
        <v>3932</v>
      </c>
      <c r="G542" s="380">
        <v>5</v>
      </c>
      <c r="H542" s="380" t="s">
        <v>1478</v>
      </c>
    </row>
    <row r="543" spans="1:9" x14ac:dyDescent="0.25">
      <c r="A543" s="247" t="str">
        <f t="shared" si="8"/>
        <v>南大分サッカー少年団_22</v>
      </c>
      <c r="B543" s="238" t="s">
        <v>2531</v>
      </c>
      <c r="C543" s="238" t="str">
        <f>("22")</f>
        <v>22</v>
      </c>
      <c r="D543" s="238" t="s">
        <v>235</v>
      </c>
      <c r="E543" s="380" t="s">
        <v>5847</v>
      </c>
      <c r="F543" s="380" t="s">
        <v>6462</v>
      </c>
      <c r="G543" s="380">
        <v>5</v>
      </c>
      <c r="H543" s="380" t="s">
        <v>1478</v>
      </c>
    </row>
    <row r="544" spans="1:9" x14ac:dyDescent="0.25">
      <c r="A544" s="247" t="str">
        <f t="shared" si="8"/>
        <v>アトレチコエラン横瀬_1</v>
      </c>
      <c r="B544" s="238" t="s">
        <v>2033</v>
      </c>
      <c r="C544" s="238" t="str">
        <f>("1")</f>
        <v>1</v>
      </c>
      <c r="D544" s="238" t="s">
        <v>796</v>
      </c>
      <c r="E544" s="380" t="s">
        <v>4472</v>
      </c>
      <c r="F544" s="380" t="s">
        <v>3059</v>
      </c>
      <c r="G544" s="380">
        <v>6</v>
      </c>
      <c r="H544" s="380" t="s">
        <v>1478</v>
      </c>
    </row>
    <row r="545" spans="1:9" x14ac:dyDescent="0.25">
      <c r="A545" s="247" t="str">
        <f t="shared" si="8"/>
        <v>アトレチコエラン横瀬_2</v>
      </c>
      <c r="B545" s="238" t="s">
        <v>2033</v>
      </c>
      <c r="C545" s="238" t="str">
        <f>("2")</f>
        <v>2</v>
      </c>
      <c r="D545" s="238" t="s">
        <v>235</v>
      </c>
      <c r="E545" s="380" t="s">
        <v>8155</v>
      </c>
      <c r="F545" s="380" t="s">
        <v>14636</v>
      </c>
      <c r="G545" s="380">
        <v>5</v>
      </c>
      <c r="H545" s="380" t="s">
        <v>1478</v>
      </c>
    </row>
    <row r="546" spans="1:9" x14ac:dyDescent="0.25">
      <c r="A546" s="247" t="str">
        <f t="shared" si="8"/>
        <v>アトレチコエラン横瀬_3</v>
      </c>
      <c r="B546" s="238" t="s">
        <v>2033</v>
      </c>
      <c r="C546" s="238" t="str">
        <f>("3")</f>
        <v>3</v>
      </c>
      <c r="D546" s="238" t="s">
        <v>235</v>
      </c>
      <c r="E546" s="380" t="s">
        <v>5849</v>
      </c>
      <c r="F546" s="380" t="s">
        <v>6463</v>
      </c>
      <c r="G546" s="380">
        <v>6</v>
      </c>
      <c r="H546" s="380" t="s">
        <v>1478</v>
      </c>
    </row>
    <row r="547" spans="1:9" x14ac:dyDescent="0.25">
      <c r="A547" s="247" t="str">
        <f t="shared" si="8"/>
        <v>アトレチコエラン横瀬_4</v>
      </c>
      <c r="B547" s="238" t="s">
        <v>2033</v>
      </c>
      <c r="C547" s="238" t="str">
        <f>("4")</f>
        <v>4</v>
      </c>
      <c r="D547" s="238" t="s">
        <v>798</v>
      </c>
      <c r="E547" s="380" t="s">
        <v>9334</v>
      </c>
      <c r="F547" s="380" t="s">
        <v>14637</v>
      </c>
      <c r="G547" s="380">
        <v>4</v>
      </c>
      <c r="H547" s="380" t="s">
        <v>1478</v>
      </c>
    </row>
    <row r="548" spans="1:9" x14ac:dyDescent="0.25">
      <c r="A548" s="247" t="str">
        <f t="shared" si="8"/>
        <v>アトレチコエラン横瀬_5</v>
      </c>
      <c r="B548" s="238" t="s">
        <v>2033</v>
      </c>
      <c r="C548" s="238" t="str">
        <f>("5")</f>
        <v>5</v>
      </c>
      <c r="D548" s="238" t="s">
        <v>235</v>
      </c>
      <c r="E548" s="380" t="s">
        <v>4469</v>
      </c>
      <c r="F548" s="380" t="s">
        <v>4470</v>
      </c>
      <c r="G548" s="380">
        <v>6</v>
      </c>
      <c r="H548" s="380" t="s">
        <v>1478</v>
      </c>
    </row>
    <row r="549" spans="1:9" x14ac:dyDescent="0.25">
      <c r="A549" s="247" t="str">
        <f t="shared" si="8"/>
        <v>アトレチコエラン横瀬_6</v>
      </c>
      <c r="B549" s="238" t="s">
        <v>2033</v>
      </c>
      <c r="C549" s="238" t="str">
        <f>("6")</f>
        <v>6</v>
      </c>
      <c r="D549" s="238" t="s">
        <v>235</v>
      </c>
      <c r="E549" s="380" t="s">
        <v>4478</v>
      </c>
      <c r="F549" s="380" t="s">
        <v>4479</v>
      </c>
      <c r="G549" s="380">
        <v>6</v>
      </c>
      <c r="H549" s="380" t="s">
        <v>1478</v>
      </c>
    </row>
    <row r="550" spans="1:9" x14ac:dyDescent="0.25">
      <c r="A550" s="247" t="str">
        <f t="shared" si="8"/>
        <v>アトレチコエラン横瀬_7</v>
      </c>
      <c r="B550" s="238" t="s">
        <v>2033</v>
      </c>
      <c r="C550" s="238" t="str">
        <f>("7")</f>
        <v>7</v>
      </c>
      <c r="D550" s="238" t="s">
        <v>798</v>
      </c>
      <c r="E550" s="380" t="s">
        <v>5851</v>
      </c>
      <c r="F550" s="380" t="s">
        <v>6465</v>
      </c>
      <c r="G550" s="380">
        <v>6</v>
      </c>
      <c r="H550" s="380" t="s">
        <v>1478</v>
      </c>
    </row>
    <row r="551" spans="1:9" x14ac:dyDescent="0.25">
      <c r="A551" s="247" t="str">
        <f t="shared" si="8"/>
        <v>アトレチコエラン横瀬_8</v>
      </c>
      <c r="B551" s="238" t="s">
        <v>2033</v>
      </c>
      <c r="C551" s="238" t="str">
        <f>("8")</f>
        <v>8</v>
      </c>
      <c r="D551" s="238" t="s">
        <v>798</v>
      </c>
      <c r="E551" s="380" t="s">
        <v>4476</v>
      </c>
      <c r="F551" s="380" t="s">
        <v>4477</v>
      </c>
      <c r="G551" s="380">
        <v>6</v>
      </c>
      <c r="H551" s="380" t="s">
        <v>1478</v>
      </c>
    </row>
    <row r="552" spans="1:9" x14ac:dyDescent="0.25">
      <c r="A552" s="247" t="str">
        <f t="shared" si="8"/>
        <v>アトレチコエラン横瀬_9</v>
      </c>
      <c r="B552" s="238" t="s">
        <v>2033</v>
      </c>
      <c r="C552" s="238" t="str">
        <f>("9")</f>
        <v>9</v>
      </c>
      <c r="D552" s="238" t="s">
        <v>235</v>
      </c>
      <c r="E552" s="380" t="s">
        <v>4597</v>
      </c>
      <c r="F552" s="380" t="s">
        <v>4598</v>
      </c>
      <c r="G552" s="380">
        <v>6</v>
      </c>
      <c r="H552" s="380" t="s">
        <v>1478</v>
      </c>
    </row>
    <row r="553" spans="1:9" x14ac:dyDescent="0.25">
      <c r="A553" s="247" t="str">
        <f t="shared" si="8"/>
        <v>アトレチコエラン横瀬_10</v>
      </c>
      <c r="B553" s="238" t="s">
        <v>2033</v>
      </c>
      <c r="C553" s="238" t="str">
        <f>("10")</f>
        <v>10</v>
      </c>
      <c r="D553" s="238" t="s">
        <v>280</v>
      </c>
      <c r="E553" s="380" t="s">
        <v>4474</v>
      </c>
      <c r="F553" s="380" t="s">
        <v>4475</v>
      </c>
      <c r="G553" s="380">
        <v>6</v>
      </c>
      <c r="H553" s="380" t="s">
        <v>1478</v>
      </c>
      <c r="I553" s="380" t="s">
        <v>408</v>
      </c>
    </row>
    <row r="554" spans="1:9" x14ac:dyDescent="0.25">
      <c r="A554" s="247" t="str">
        <f t="shared" si="8"/>
        <v>アトレチコエラン横瀬_11</v>
      </c>
      <c r="B554" s="238" t="s">
        <v>2033</v>
      </c>
      <c r="C554" s="238" t="str">
        <f>("11")</f>
        <v>11</v>
      </c>
      <c r="D554" s="238" t="s">
        <v>798</v>
      </c>
      <c r="E554" s="380" t="s">
        <v>5852</v>
      </c>
      <c r="F554" s="380" t="s">
        <v>6466</v>
      </c>
      <c r="G554" s="380">
        <v>6</v>
      </c>
      <c r="H554" s="380" t="s">
        <v>1478</v>
      </c>
    </row>
    <row r="555" spans="1:9" x14ac:dyDescent="0.25">
      <c r="A555" s="247" t="str">
        <f t="shared" si="8"/>
        <v>アトレチコエラン横瀬_12</v>
      </c>
      <c r="B555" s="238" t="s">
        <v>2033</v>
      </c>
      <c r="C555" s="238" t="str">
        <f>("12")</f>
        <v>12</v>
      </c>
      <c r="D555" s="238" t="s">
        <v>798</v>
      </c>
      <c r="E555" s="380" t="s">
        <v>8116</v>
      </c>
      <c r="F555" s="380" t="s">
        <v>14638</v>
      </c>
      <c r="G555" s="380">
        <v>5</v>
      </c>
      <c r="H555" s="380" t="s">
        <v>1478</v>
      </c>
    </row>
    <row r="556" spans="1:9" x14ac:dyDescent="0.25">
      <c r="A556" s="247" t="str">
        <f t="shared" si="8"/>
        <v>アトレチコエラン横瀬_13</v>
      </c>
      <c r="B556" s="238" t="s">
        <v>2033</v>
      </c>
      <c r="C556" s="238" t="str">
        <f>("13")</f>
        <v>13</v>
      </c>
      <c r="D556" s="238" t="s">
        <v>798</v>
      </c>
      <c r="E556" s="380" t="s">
        <v>9368</v>
      </c>
      <c r="F556" s="380" t="s">
        <v>14639</v>
      </c>
      <c r="G556" s="380">
        <v>4</v>
      </c>
      <c r="H556" s="380" t="s">
        <v>1478</v>
      </c>
    </row>
    <row r="557" spans="1:9" x14ac:dyDescent="0.25">
      <c r="A557" s="247" t="str">
        <f t="shared" si="8"/>
        <v>アトレチコエラン横瀬_14</v>
      </c>
      <c r="B557" s="238" t="s">
        <v>2033</v>
      </c>
      <c r="C557" s="238" t="str">
        <f>("14")</f>
        <v>14</v>
      </c>
      <c r="D557" s="238" t="s">
        <v>280</v>
      </c>
      <c r="E557" s="380" t="s">
        <v>5850</v>
      </c>
      <c r="F557" s="380" t="s">
        <v>6464</v>
      </c>
      <c r="G557" s="380">
        <v>5</v>
      </c>
      <c r="H557" s="380" t="s">
        <v>1478</v>
      </c>
    </row>
    <row r="558" spans="1:9" x14ac:dyDescent="0.25">
      <c r="A558" s="247" t="str">
        <f t="shared" si="8"/>
        <v>アトレチコエラン横瀬_15</v>
      </c>
      <c r="B558" s="238" t="s">
        <v>2033</v>
      </c>
      <c r="C558" s="238" t="str">
        <f>("15")</f>
        <v>15</v>
      </c>
      <c r="D558" s="238" t="s">
        <v>798</v>
      </c>
      <c r="E558" s="380" t="s">
        <v>6142</v>
      </c>
      <c r="F558" s="380" t="s">
        <v>6689</v>
      </c>
      <c r="G558" s="380">
        <v>4</v>
      </c>
      <c r="H558" s="380" t="s">
        <v>1478</v>
      </c>
    </row>
    <row r="559" spans="1:9" x14ac:dyDescent="0.25">
      <c r="A559" s="247" t="str">
        <f t="shared" si="8"/>
        <v>アトレチコエラン横瀬_16</v>
      </c>
      <c r="B559" s="238" t="s">
        <v>2033</v>
      </c>
      <c r="C559" s="238" t="str">
        <f>("16")</f>
        <v>16</v>
      </c>
      <c r="D559" s="238" t="s">
        <v>798</v>
      </c>
      <c r="E559" s="380" t="s">
        <v>9620</v>
      </c>
      <c r="F559" s="380" t="s">
        <v>14640</v>
      </c>
      <c r="G559" s="380">
        <v>4</v>
      </c>
      <c r="H559" s="380" t="s">
        <v>1478</v>
      </c>
    </row>
    <row r="560" spans="1:9" x14ac:dyDescent="0.25">
      <c r="A560" s="247" t="str">
        <f t="shared" si="8"/>
        <v>アトレチコエラン横瀬_18</v>
      </c>
      <c r="B560" s="238" t="s">
        <v>2033</v>
      </c>
      <c r="C560" s="238" t="str">
        <f>("18")</f>
        <v>18</v>
      </c>
      <c r="D560" s="238" t="s">
        <v>798</v>
      </c>
      <c r="E560" s="380" t="s">
        <v>8428</v>
      </c>
      <c r="F560" s="380" t="s">
        <v>14641</v>
      </c>
      <c r="G560" s="380">
        <v>5</v>
      </c>
      <c r="H560" s="380" t="s">
        <v>1478</v>
      </c>
    </row>
    <row r="561" spans="1:9" x14ac:dyDescent="0.25">
      <c r="A561" s="247" t="str">
        <f t="shared" si="8"/>
        <v>アトレチコエラン横瀬_20</v>
      </c>
      <c r="B561" s="238" t="s">
        <v>2033</v>
      </c>
      <c r="C561" s="238" t="str">
        <f>("20")</f>
        <v>20</v>
      </c>
      <c r="D561" s="238" t="s">
        <v>798</v>
      </c>
      <c r="E561" s="380" t="s">
        <v>6141</v>
      </c>
      <c r="F561" s="380" t="s">
        <v>6688</v>
      </c>
      <c r="G561" s="380">
        <v>5</v>
      </c>
      <c r="H561" s="380" t="s">
        <v>1478</v>
      </c>
    </row>
    <row r="562" spans="1:9" x14ac:dyDescent="0.25">
      <c r="A562" s="247" t="str">
        <f t="shared" si="8"/>
        <v>明野北フットボールクラブ_1</v>
      </c>
      <c r="B562" s="238" t="s">
        <v>1751</v>
      </c>
      <c r="C562" s="238" t="str">
        <f>("1")</f>
        <v>1</v>
      </c>
      <c r="D562" s="238" t="s">
        <v>796</v>
      </c>
      <c r="E562" s="380" t="s">
        <v>5853</v>
      </c>
      <c r="F562" s="380" t="s">
        <v>6467</v>
      </c>
      <c r="G562" s="380">
        <v>5</v>
      </c>
      <c r="H562" s="380" t="s">
        <v>1478</v>
      </c>
    </row>
    <row r="563" spans="1:9" x14ac:dyDescent="0.25">
      <c r="A563" s="247" t="str">
        <f t="shared" si="8"/>
        <v>明野北フットボールクラブ_2</v>
      </c>
      <c r="B563" s="238" t="s">
        <v>1751</v>
      </c>
      <c r="C563" s="238" t="str">
        <f>("2")</f>
        <v>2</v>
      </c>
      <c r="D563" s="238" t="s">
        <v>235</v>
      </c>
      <c r="E563" s="380" t="s">
        <v>5857</v>
      </c>
      <c r="F563" s="380" t="s">
        <v>6471</v>
      </c>
      <c r="G563" s="380">
        <v>5</v>
      </c>
      <c r="H563" s="380" t="s">
        <v>1478</v>
      </c>
    </row>
    <row r="564" spans="1:9" x14ac:dyDescent="0.25">
      <c r="A564" s="247" t="str">
        <f t="shared" si="8"/>
        <v>明野北フットボールクラブ_3</v>
      </c>
      <c r="B564" s="238" t="s">
        <v>1751</v>
      </c>
      <c r="C564" s="238" t="str">
        <f>("3")</f>
        <v>3</v>
      </c>
      <c r="D564" s="238" t="s">
        <v>798</v>
      </c>
      <c r="E564" s="380" t="s">
        <v>7922</v>
      </c>
      <c r="F564" s="380" t="s">
        <v>14642</v>
      </c>
      <c r="G564" s="380">
        <v>5</v>
      </c>
      <c r="H564" s="380" t="s">
        <v>1478</v>
      </c>
    </row>
    <row r="565" spans="1:9" x14ac:dyDescent="0.25">
      <c r="A565" s="247" t="str">
        <f t="shared" si="8"/>
        <v>明野北フットボールクラブ_4</v>
      </c>
      <c r="B565" s="238" t="s">
        <v>1751</v>
      </c>
      <c r="C565" s="238" t="str">
        <f>("4")</f>
        <v>4</v>
      </c>
      <c r="D565" s="238" t="s">
        <v>798</v>
      </c>
      <c r="E565" s="380" t="s">
        <v>5854</v>
      </c>
      <c r="F565" s="380" t="s">
        <v>6468</v>
      </c>
      <c r="G565" s="380">
        <v>5</v>
      </c>
      <c r="H565" s="380" t="s">
        <v>1478</v>
      </c>
    </row>
    <row r="566" spans="1:9" x14ac:dyDescent="0.25">
      <c r="A566" s="247" t="str">
        <f t="shared" si="8"/>
        <v>明野北フットボールクラブ_5</v>
      </c>
      <c r="B566" s="238" t="s">
        <v>1751</v>
      </c>
      <c r="C566" s="238" t="str">
        <f>("5")</f>
        <v>5</v>
      </c>
      <c r="D566" s="238" t="s">
        <v>798</v>
      </c>
      <c r="E566" s="380" t="s">
        <v>5859</v>
      </c>
      <c r="F566" s="380" t="s">
        <v>6473</v>
      </c>
      <c r="G566" s="380">
        <v>4</v>
      </c>
      <c r="H566" s="380" t="s">
        <v>1478</v>
      </c>
    </row>
    <row r="567" spans="1:9" x14ac:dyDescent="0.25">
      <c r="A567" s="247" t="str">
        <f t="shared" si="8"/>
        <v>明野北フットボールクラブ_6</v>
      </c>
      <c r="B567" s="238" t="s">
        <v>1751</v>
      </c>
      <c r="C567" s="238" t="str">
        <f>("6")</f>
        <v>6</v>
      </c>
      <c r="D567" s="238" t="s">
        <v>796</v>
      </c>
      <c r="E567" s="380" t="s">
        <v>5858</v>
      </c>
      <c r="F567" s="380" t="s">
        <v>6472</v>
      </c>
      <c r="G567" s="380">
        <v>5</v>
      </c>
      <c r="H567" s="380" t="s">
        <v>1478</v>
      </c>
    </row>
    <row r="568" spans="1:9" x14ac:dyDescent="0.25">
      <c r="A568" s="247" t="str">
        <f t="shared" si="8"/>
        <v>明野北フットボールクラブ_7</v>
      </c>
      <c r="B568" s="238" t="s">
        <v>1751</v>
      </c>
      <c r="C568" s="238" t="str">
        <f>("7")</f>
        <v>7</v>
      </c>
      <c r="D568" s="238" t="s">
        <v>798</v>
      </c>
      <c r="E568" s="380" t="s">
        <v>8470</v>
      </c>
      <c r="F568" s="380" t="s">
        <v>14643</v>
      </c>
      <c r="G568" s="380">
        <v>5</v>
      </c>
      <c r="H568" s="380" t="s">
        <v>1478</v>
      </c>
    </row>
    <row r="569" spans="1:9" x14ac:dyDescent="0.25">
      <c r="A569" s="247" t="str">
        <f t="shared" si="8"/>
        <v>明野北フットボールクラブ_8</v>
      </c>
      <c r="B569" s="238" t="s">
        <v>1751</v>
      </c>
      <c r="C569" s="238" t="str">
        <f>("8")</f>
        <v>8</v>
      </c>
      <c r="D569" s="238" t="s">
        <v>798</v>
      </c>
      <c r="E569" s="380" t="s">
        <v>8192</v>
      </c>
      <c r="F569" s="380" t="s">
        <v>14644</v>
      </c>
      <c r="G569" s="380">
        <v>5</v>
      </c>
      <c r="H569" s="380" t="s">
        <v>1478</v>
      </c>
    </row>
    <row r="570" spans="1:9" x14ac:dyDescent="0.25">
      <c r="A570" s="247" t="str">
        <f t="shared" si="8"/>
        <v>明野北フットボールクラブ_9</v>
      </c>
      <c r="B570" s="238" t="s">
        <v>1751</v>
      </c>
      <c r="C570" s="238" t="str">
        <f>("9")</f>
        <v>9</v>
      </c>
      <c r="D570" s="238" t="s">
        <v>798</v>
      </c>
      <c r="E570" s="380" t="s">
        <v>8468</v>
      </c>
      <c r="F570" s="380" t="s">
        <v>14645</v>
      </c>
      <c r="G570" s="380">
        <v>5</v>
      </c>
      <c r="H570" s="380" t="s">
        <v>1478</v>
      </c>
    </row>
    <row r="571" spans="1:9" x14ac:dyDescent="0.25">
      <c r="A571" s="247" t="str">
        <f t="shared" si="8"/>
        <v>明野北フットボールクラブ_10</v>
      </c>
      <c r="B571" s="238" t="s">
        <v>1751</v>
      </c>
      <c r="C571" s="238" t="str">
        <f>("10")</f>
        <v>10</v>
      </c>
      <c r="D571" s="238" t="s">
        <v>235</v>
      </c>
      <c r="E571" s="380" t="s">
        <v>5856</v>
      </c>
      <c r="F571" s="380" t="s">
        <v>6470</v>
      </c>
      <c r="G571" s="380">
        <v>5</v>
      </c>
      <c r="H571" s="380" t="s">
        <v>1478</v>
      </c>
      <c r="I571" s="380" t="s">
        <v>408</v>
      </c>
    </row>
    <row r="572" spans="1:9" x14ac:dyDescent="0.25">
      <c r="A572" s="247" t="str">
        <f t="shared" si="8"/>
        <v>明野北フットボールクラブ_11</v>
      </c>
      <c r="B572" s="238" t="s">
        <v>1751</v>
      </c>
      <c r="C572" s="238" t="str">
        <f>("11")</f>
        <v>11</v>
      </c>
      <c r="D572" s="238" t="s">
        <v>798</v>
      </c>
      <c r="E572" s="380" t="s">
        <v>9818</v>
      </c>
      <c r="F572" s="380" t="s">
        <v>14646</v>
      </c>
      <c r="G572" s="380">
        <v>3</v>
      </c>
      <c r="H572" s="380" t="s">
        <v>1478</v>
      </c>
    </row>
    <row r="573" spans="1:9" x14ac:dyDescent="0.25">
      <c r="A573" s="247" t="str">
        <f t="shared" si="8"/>
        <v>明野北フットボールクラブ_12</v>
      </c>
      <c r="B573" s="238" t="s">
        <v>1751</v>
      </c>
      <c r="C573" s="238" t="str">
        <f>("12")</f>
        <v>12</v>
      </c>
      <c r="D573" s="238" t="s">
        <v>798</v>
      </c>
      <c r="E573" s="380" t="s">
        <v>9412</v>
      </c>
      <c r="F573" s="380" t="s">
        <v>14647</v>
      </c>
      <c r="G573" s="380">
        <v>4</v>
      </c>
      <c r="H573" s="380" t="s">
        <v>1478</v>
      </c>
    </row>
    <row r="574" spans="1:9" x14ac:dyDescent="0.25">
      <c r="A574" s="247" t="str">
        <f t="shared" si="8"/>
        <v>明野北フットボールクラブ_13</v>
      </c>
      <c r="B574" s="238" t="s">
        <v>1751</v>
      </c>
      <c r="C574" s="238" t="str">
        <f>("13")</f>
        <v>13</v>
      </c>
      <c r="D574" s="238" t="s">
        <v>798</v>
      </c>
      <c r="E574" s="380" t="s">
        <v>9528</v>
      </c>
      <c r="F574" s="380" t="s">
        <v>14648</v>
      </c>
      <c r="G574" s="380">
        <v>4</v>
      </c>
      <c r="H574" s="380" t="s">
        <v>1478</v>
      </c>
    </row>
    <row r="575" spans="1:9" x14ac:dyDescent="0.25">
      <c r="A575" s="247" t="str">
        <f t="shared" si="8"/>
        <v>明野北フットボールクラブ_14</v>
      </c>
      <c r="B575" s="238" t="s">
        <v>1751</v>
      </c>
      <c r="C575" s="238" t="str">
        <f>("14")</f>
        <v>14</v>
      </c>
      <c r="D575" s="238" t="s">
        <v>235</v>
      </c>
      <c r="E575" s="380" t="s">
        <v>8093</v>
      </c>
      <c r="F575" s="380" t="s">
        <v>14649</v>
      </c>
      <c r="G575" s="380">
        <v>5</v>
      </c>
      <c r="H575" s="380" t="s">
        <v>1478</v>
      </c>
    </row>
    <row r="576" spans="1:9" x14ac:dyDescent="0.25">
      <c r="A576" s="247" t="str">
        <f t="shared" si="8"/>
        <v>明野北フットボールクラブ_15</v>
      </c>
      <c r="B576" s="238" t="s">
        <v>1751</v>
      </c>
      <c r="C576" s="238" t="str">
        <f>("15")</f>
        <v>15</v>
      </c>
      <c r="D576" s="238" t="s">
        <v>798</v>
      </c>
      <c r="E576" s="380" t="s">
        <v>9598</v>
      </c>
      <c r="F576" s="380" t="s">
        <v>14650</v>
      </c>
      <c r="G576" s="380">
        <v>4</v>
      </c>
      <c r="H576" s="380" t="s">
        <v>1478</v>
      </c>
    </row>
    <row r="577" spans="1:9" x14ac:dyDescent="0.25">
      <c r="A577" s="247" t="str">
        <f t="shared" ref="A577:A640" si="9">CONCATENATE(B577,"_",C577)</f>
        <v>明野北フットボールクラブ_16</v>
      </c>
      <c r="B577" s="238" t="s">
        <v>1751</v>
      </c>
      <c r="C577" s="238" t="str">
        <f>("16")</f>
        <v>16</v>
      </c>
      <c r="D577" s="238" t="s">
        <v>235</v>
      </c>
      <c r="E577" s="380" t="s">
        <v>8158</v>
      </c>
      <c r="F577" s="380" t="s">
        <v>14651</v>
      </c>
      <c r="G577" s="380">
        <v>5</v>
      </c>
      <c r="H577" s="380" t="s">
        <v>1478</v>
      </c>
    </row>
    <row r="578" spans="1:9" x14ac:dyDescent="0.25">
      <c r="A578" s="247" t="str">
        <f t="shared" si="9"/>
        <v>明治北ＳＳＣ_1</v>
      </c>
      <c r="B578" s="238" t="s">
        <v>2024</v>
      </c>
      <c r="C578" s="238" t="str">
        <f>("1")</f>
        <v>1</v>
      </c>
      <c r="D578" s="238" t="s">
        <v>796</v>
      </c>
      <c r="E578" s="380" t="s">
        <v>4499</v>
      </c>
      <c r="F578" s="380" t="s">
        <v>4500</v>
      </c>
      <c r="G578" s="380">
        <v>6</v>
      </c>
      <c r="H578" s="380" t="s">
        <v>1478</v>
      </c>
    </row>
    <row r="579" spans="1:9" x14ac:dyDescent="0.25">
      <c r="A579" s="247" t="str">
        <f t="shared" si="9"/>
        <v>明治北ＳＳＣ_2</v>
      </c>
      <c r="B579" s="238" t="s">
        <v>2024</v>
      </c>
      <c r="C579" s="238" t="str">
        <f>("2")</f>
        <v>2</v>
      </c>
      <c r="D579" s="238" t="s">
        <v>235</v>
      </c>
      <c r="E579" s="380" t="s">
        <v>5863</v>
      </c>
      <c r="F579" s="380" t="s">
        <v>6476</v>
      </c>
      <c r="G579" s="380">
        <v>5</v>
      </c>
      <c r="H579" s="380" t="s">
        <v>1478</v>
      </c>
    </row>
    <row r="580" spans="1:9" x14ac:dyDescent="0.25">
      <c r="A580" s="247" t="str">
        <f t="shared" si="9"/>
        <v>明治北ＳＳＣ_3</v>
      </c>
      <c r="B580" s="238" t="s">
        <v>2024</v>
      </c>
      <c r="C580" s="238" t="str">
        <f>("3")</f>
        <v>3</v>
      </c>
      <c r="D580" s="238" t="s">
        <v>798</v>
      </c>
      <c r="E580" s="380" t="s">
        <v>8534</v>
      </c>
      <c r="F580" s="380" t="s">
        <v>14652</v>
      </c>
      <c r="G580" s="380">
        <v>5</v>
      </c>
      <c r="H580" s="380" t="s">
        <v>1478</v>
      </c>
    </row>
    <row r="581" spans="1:9" x14ac:dyDescent="0.25">
      <c r="A581" s="247" t="str">
        <f t="shared" si="9"/>
        <v>明治北ＳＳＣ_4</v>
      </c>
      <c r="B581" s="238" t="s">
        <v>2024</v>
      </c>
      <c r="C581" s="238" t="str">
        <f>("4")</f>
        <v>4</v>
      </c>
      <c r="D581" s="238" t="s">
        <v>235</v>
      </c>
      <c r="E581" s="380" t="s">
        <v>8172</v>
      </c>
      <c r="F581" s="380" t="s">
        <v>14653</v>
      </c>
      <c r="G581" s="380">
        <v>5</v>
      </c>
      <c r="H581" s="380" t="s">
        <v>1478</v>
      </c>
    </row>
    <row r="582" spans="1:9" x14ac:dyDescent="0.25">
      <c r="A582" s="247" t="str">
        <f t="shared" si="9"/>
        <v>明治北ＳＳＣ_5</v>
      </c>
      <c r="B582" s="238" t="s">
        <v>2024</v>
      </c>
      <c r="C582" s="238" t="str">
        <f>("5")</f>
        <v>5</v>
      </c>
      <c r="D582" s="238" t="s">
        <v>235</v>
      </c>
      <c r="E582" s="380" t="s">
        <v>8125</v>
      </c>
      <c r="F582" s="380" t="s">
        <v>14654</v>
      </c>
      <c r="G582" s="380">
        <v>5</v>
      </c>
      <c r="H582" s="380" t="s">
        <v>1478</v>
      </c>
    </row>
    <row r="583" spans="1:9" x14ac:dyDescent="0.25">
      <c r="A583" s="247" t="str">
        <f t="shared" si="9"/>
        <v>明治北ＳＳＣ_6</v>
      </c>
      <c r="B583" s="238" t="s">
        <v>2024</v>
      </c>
      <c r="C583" s="238" t="str">
        <f>("6")</f>
        <v>6</v>
      </c>
      <c r="D583" s="238" t="s">
        <v>235</v>
      </c>
      <c r="E583" s="380" t="s">
        <v>8185</v>
      </c>
      <c r="F583" s="380" t="s">
        <v>14655</v>
      </c>
      <c r="G583" s="380">
        <v>5</v>
      </c>
      <c r="H583" s="380" t="s">
        <v>1478</v>
      </c>
    </row>
    <row r="584" spans="1:9" x14ac:dyDescent="0.25">
      <c r="A584" s="247" t="str">
        <f t="shared" si="9"/>
        <v>明治北ＳＳＣ_7</v>
      </c>
      <c r="B584" s="238" t="s">
        <v>2024</v>
      </c>
      <c r="C584" s="238" t="str">
        <f>("7")</f>
        <v>7</v>
      </c>
      <c r="D584" s="238" t="s">
        <v>798</v>
      </c>
      <c r="E584" s="380" t="s">
        <v>4496</v>
      </c>
      <c r="F584" s="380" t="s">
        <v>4497</v>
      </c>
      <c r="G584" s="380">
        <v>6</v>
      </c>
      <c r="H584" s="380" t="s">
        <v>1478</v>
      </c>
      <c r="I584" s="380" t="s">
        <v>408</v>
      </c>
    </row>
    <row r="585" spans="1:9" x14ac:dyDescent="0.25">
      <c r="A585" s="247" t="str">
        <f t="shared" si="9"/>
        <v>明治北ＳＳＣ_8</v>
      </c>
      <c r="B585" s="238" t="s">
        <v>2024</v>
      </c>
      <c r="C585" s="238" t="str">
        <f>("8")</f>
        <v>8</v>
      </c>
      <c r="D585" s="238" t="s">
        <v>235</v>
      </c>
      <c r="E585" s="380" t="s">
        <v>4492</v>
      </c>
      <c r="F585" s="380" t="s">
        <v>4493</v>
      </c>
      <c r="G585" s="380">
        <v>6</v>
      </c>
      <c r="H585" s="380" t="s">
        <v>1478</v>
      </c>
    </row>
    <row r="586" spans="1:9" x14ac:dyDescent="0.25">
      <c r="A586" s="247" t="str">
        <f t="shared" si="9"/>
        <v>明治北ＳＳＣ_9</v>
      </c>
      <c r="B586" s="238" t="s">
        <v>2024</v>
      </c>
      <c r="C586" s="238" t="str">
        <f>("9")</f>
        <v>9</v>
      </c>
      <c r="D586" s="238" t="s">
        <v>798</v>
      </c>
      <c r="E586" s="380" t="s">
        <v>5864</v>
      </c>
      <c r="F586" s="380" t="s">
        <v>6477</v>
      </c>
      <c r="G586" s="380">
        <v>5</v>
      </c>
      <c r="H586" s="380" t="s">
        <v>1478</v>
      </c>
    </row>
    <row r="587" spans="1:9" x14ac:dyDescent="0.25">
      <c r="A587" s="247" t="str">
        <f t="shared" si="9"/>
        <v>明治北ＳＳＣ_10</v>
      </c>
      <c r="B587" s="238" t="s">
        <v>2024</v>
      </c>
      <c r="C587" s="238" t="str">
        <f>("10")</f>
        <v>10</v>
      </c>
      <c r="D587" s="238" t="s">
        <v>798</v>
      </c>
      <c r="E587" s="380" t="s">
        <v>4486</v>
      </c>
      <c r="F587" s="380" t="s">
        <v>4487</v>
      </c>
      <c r="G587" s="380">
        <v>6</v>
      </c>
      <c r="H587" s="380" t="s">
        <v>1478</v>
      </c>
    </row>
    <row r="588" spans="1:9" x14ac:dyDescent="0.25">
      <c r="A588" s="247" t="str">
        <f t="shared" si="9"/>
        <v>明治北ＳＳＣ_11</v>
      </c>
      <c r="B588" s="238" t="s">
        <v>2024</v>
      </c>
      <c r="C588" s="238" t="str">
        <f>("11")</f>
        <v>11</v>
      </c>
      <c r="D588" s="238" t="s">
        <v>280</v>
      </c>
      <c r="E588" s="380" t="s">
        <v>4490</v>
      </c>
      <c r="F588" s="380" t="s">
        <v>4491</v>
      </c>
      <c r="G588" s="380">
        <v>6</v>
      </c>
      <c r="H588" s="380" t="s">
        <v>1478</v>
      </c>
    </row>
    <row r="589" spans="1:9" x14ac:dyDescent="0.25">
      <c r="A589" s="247" t="str">
        <f t="shared" si="9"/>
        <v>明治北ＳＳＣ_12</v>
      </c>
      <c r="B589" s="238" t="s">
        <v>2024</v>
      </c>
      <c r="C589" s="238" t="str">
        <f>("12")</f>
        <v>12</v>
      </c>
      <c r="D589" s="238" t="s">
        <v>796</v>
      </c>
      <c r="E589" s="380" t="s">
        <v>4494</v>
      </c>
      <c r="F589" s="380" t="s">
        <v>4495</v>
      </c>
      <c r="G589" s="380">
        <v>5</v>
      </c>
      <c r="H589" s="380" t="s">
        <v>1478</v>
      </c>
    </row>
    <row r="590" spans="1:9" x14ac:dyDescent="0.25">
      <c r="A590" s="247" t="str">
        <f t="shared" si="9"/>
        <v>明治北ＳＳＣ_13</v>
      </c>
      <c r="B590" s="238" t="s">
        <v>2024</v>
      </c>
      <c r="C590" s="238" t="str">
        <f>("13")</f>
        <v>13</v>
      </c>
      <c r="D590" s="238" t="s">
        <v>280</v>
      </c>
      <c r="E590" s="380" t="s">
        <v>4488</v>
      </c>
      <c r="F590" s="380" t="s">
        <v>4489</v>
      </c>
      <c r="G590" s="380">
        <v>6</v>
      </c>
      <c r="H590" s="380" t="s">
        <v>1478</v>
      </c>
    </row>
    <row r="591" spans="1:9" x14ac:dyDescent="0.25">
      <c r="A591" s="247" t="str">
        <f t="shared" si="9"/>
        <v>明治北ＳＳＣ_14</v>
      </c>
      <c r="B591" s="238" t="s">
        <v>2024</v>
      </c>
      <c r="C591" s="238" t="str">
        <f>("14")</f>
        <v>14</v>
      </c>
      <c r="D591" s="238" t="s">
        <v>235</v>
      </c>
      <c r="E591" s="380" t="s">
        <v>5861</v>
      </c>
      <c r="F591" s="380" t="s">
        <v>6474</v>
      </c>
      <c r="G591" s="380">
        <v>6</v>
      </c>
      <c r="H591" s="380" t="s">
        <v>1478</v>
      </c>
    </row>
    <row r="592" spans="1:9" x14ac:dyDescent="0.25">
      <c r="A592" s="247" t="str">
        <f t="shared" si="9"/>
        <v>明治北ＳＳＣ_15</v>
      </c>
      <c r="B592" s="238" t="s">
        <v>2024</v>
      </c>
      <c r="C592" s="238" t="str">
        <f>("15")</f>
        <v>15</v>
      </c>
      <c r="D592" s="238" t="s">
        <v>235</v>
      </c>
      <c r="E592" s="380" t="s">
        <v>8137</v>
      </c>
      <c r="F592" s="380" t="s">
        <v>14656</v>
      </c>
      <c r="G592" s="380">
        <v>5</v>
      </c>
      <c r="H592" s="380" t="s">
        <v>1480</v>
      </c>
    </row>
    <row r="593" spans="1:9" x14ac:dyDescent="0.25">
      <c r="A593" s="247" t="str">
        <f t="shared" si="9"/>
        <v>明治北ＳＳＣ_16</v>
      </c>
      <c r="B593" s="238" t="s">
        <v>2024</v>
      </c>
      <c r="C593" s="238" t="str">
        <f>("16")</f>
        <v>16</v>
      </c>
      <c r="D593" s="238" t="s">
        <v>280</v>
      </c>
      <c r="E593" s="380" t="s">
        <v>7866</v>
      </c>
      <c r="F593" s="380" t="s">
        <v>14657</v>
      </c>
      <c r="G593" s="380">
        <v>5</v>
      </c>
      <c r="H593" s="380" t="s">
        <v>1478</v>
      </c>
    </row>
    <row r="594" spans="1:9" x14ac:dyDescent="0.25">
      <c r="A594" s="247" t="str">
        <f t="shared" si="9"/>
        <v>明治北ＳＳＣ_17</v>
      </c>
      <c r="B594" s="238" t="s">
        <v>2024</v>
      </c>
      <c r="C594" s="238" t="str">
        <f>("17")</f>
        <v>17</v>
      </c>
      <c r="D594" s="238" t="s">
        <v>798</v>
      </c>
      <c r="E594" s="380" t="s">
        <v>8310</v>
      </c>
      <c r="F594" s="380" t="s">
        <v>14658</v>
      </c>
      <c r="G594" s="380">
        <v>5</v>
      </c>
      <c r="H594" s="380" t="s">
        <v>1478</v>
      </c>
    </row>
    <row r="595" spans="1:9" x14ac:dyDescent="0.25">
      <c r="A595" s="247" t="str">
        <f t="shared" si="9"/>
        <v>明治北ＳＳＣ_18</v>
      </c>
      <c r="B595" s="238" t="s">
        <v>2024</v>
      </c>
      <c r="C595" s="238" t="str">
        <f>("18")</f>
        <v>18</v>
      </c>
      <c r="D595" s="238" t="s">
        <v>235</v>
      </c>
      <c r="E595" s="380" t="s">
        <v>9287</v>
      </c>
      <c r="F595" s="380" t="s">
        <v>14659</v>
      </c>
      <c r="G595" s="380">
        <v>4</v>
      </c>
      <c r="H595" s="380" t="s">
        <v>1478</v>
      </c>
    </row>
    <row r="596" spans="1:9" x14ac:dyDescent="0.25">
      <c r="A596" s="247" t="str">
        <f t="shared" si="9"/>
        <v>明野東サッカースポーツ少年団_1</v>
      </c>
      <c r="B596" s="238" t="s">
        <v>2324</v>
      </c>
      <c r="C596" s="238" t="str">
        <f>("1")</f>
        <v>1</v>
      </c>
      <c r="D596" s="238" t="s">
        <v>796</v>
      </c>
      <c r="E596" s="380" t="s">
        <v>4502</v>
      </c>
      <c r="F596" s="380" t="s">
        <v>4503</v>
      </c>
      <c r="G596" s="380">
        <v>6</v>
      </c>
      <c r="H596" s="380" t="s">
        <v>1478</v>
      </c>
    </row>
    <row r="597" spans="1:9" x14ac:dyDescent="0.25">
      <c r="A597" s="247" t="str">
        <f t="shared" si="9"/>
        <v>明野東サッカースポーツ少年団_2</v>
      </c>
      <c r="B597" s="238" t="s">
        <v>2324</v>
      </c>
      <c r="C597" s="238" t="str">
        <f>("2")</f>
        <v>2</v>
      </c>
      <c r="D597" s="238" t="s">
        <v>798</v>
      </c>
      <c r="E597" s="380" t="s">
        <v>4514</v>
      </c>
      <c r="F597" s="380" t="s">
        <v>4515</v>
      </c>
      <c r="G597" s="380">
        <v>6</v>
      </c>
      <c r="H597" s="380" t="s">
        <v>1478</v>
      </c>
    </row>
    <row r="598" spans="1:9" x14ac:dyDescent="0.25">
      <c r="A598" s="247" t="str">
        <f t="shared" si="9"/>
        <v>明野東サッカースポーツ少年団_3</v>
      </c>
      <c r="B598" s="238" t="s">
        <v>2324</v>
      </c>
      <c r="C598" s="238" t="str">
        <f>("3")</f>
        <v>3</v>
      </c>
      <c r="D598" s="238" t="s">
        <v>798</v>
      </c>
      <c r="E598" s="380" t="s">
        <v>4510</v>
      </c>
      <c r="F598" s="380" t="s">
        <v>4511</v>
      </c>
      <c r="G598" s="380">
        <v>6</v>
      </c>
      <c r="H598" s="380" t="s">
        <v>1480</v>
      </c>
    </row>
    <row r="599" spans="1:9" x14ac:dyDescent="0.25">
      <c r="A599" s="247" t="str">
        <f t="shared" si="9"/>
        <v>明野東サッカースポーツ少年団_4</v>
      </c>
      <c r="B599" s="238" t="s">
        <v>2324</v>
      </c>
      <c r="C599" s="238" t="str">
        <f>("4")</f>
        <v>4</v>
      </c>
      <c r="D599" s="238" t="s">
        <v>235</v>
      </c>
      <c r="E599" s="380" t="s">
        <v>5865</v>
      </c>
      <c r="F599" s="380" t="s">
        <v>4501</v>
      </c>
      <c r="G599" s="380">
        <v>6</v>
      </c>
      <c r="H599" s="380" t="s">
        <v>1478</v>
      </c>
    </row>
    <row r="600" spans="1:9" x14ac:dyDescent="0.25">
      <c r="A600" s="247" t="str">
        <f t="shared" si="9"/>
        <v>明野東サッカースポーツ少年団_5</v>
      </c>
      <c r="B600" s="238" t="s">
        <v>2324</v>
      </c>
      <c r="C600" s="238" t="str">
        <f>("5")</f>
        <v>5</v>
      </c>
      <c r="D600" s="238" t="s">
        <v>280</v>
      </c>
      <c r="E600" s="380" t="s">
        <v>5866</v>
      </c>
      <c r="F600" s="380" t="s">
        <v>6478</v>
      </c>
      <c r="G600" s="380">
        <v>4</v>
      </c>
      <c r="H600" s="380" t="s">
        <v>1478</v>
      </c>
    </row>
    <row r="601" spans="1:9" x14ac:dyDescent="0.25">
      <c r="A601" s="247" t="str">
        <f t="shared" si="9"/>
        <v>明野東サッカースポーツ少年団_6</v>
      </c>
      <c r="B601" s="238" t="s">
        <v>2324</v>
      </c>
      <c r="C601" s="238" t="str">
        <f>("6")</f>
        <v>6</v>
      </c>
      <c r="D601" s="238" t="s">
        <v>798</v>
      </c>
      <c r="E601" s="380" t="s">
        <v>5867</v>
      </c>
      <c r="F601" s="380" t="s">
        <v>6479</v>
      </c>
      <c r="G601" s="380">
        <v>4</v>
      </c>
      <c r="H601" s="380" t="s">
        <v>1478</v>
      </c>
    </row>
    <row r="602" spans="1:9" x14ac:dyDescent="0.25">
      <c r="A602" s="247" t="str">
        <f t="shared" si="9"/>
        <v>明野東サッカースポーツ少年団_7</v>
      </c>
      <c r="B602" s="238" t="s">
        <v>2324</v>
      </c>
      <c r="C602" s="238" t="str">
        <f>("7")</f>
        <v>7</v>
      </c>
      <c r="D602" s="238" t="s">
        <v>280</v>
      </c>
      <c r="E602" s="380" t="s">
        <v>4508</v>
      </c>
      <c r="F602" s="380" t="s">
        <v>4509</v>
      </c>
      <c r="G602" s="380">
        <v>6</v>
      </c>
      <c r="H602" s="380" t="s">
        <v>1480</v>
      </c>
    </row>
    <row r="603" spans="1:9" x14ac:dyDescent="0.25">
      <c r="A603" s="247" t="str">
        <f t="shared" si="9"/>
        <v>明野東サッカースポーツ少年団_8</v>
      </c>
      <c r="B603" s="238" t="s">
        <v>2324</v>
      </c>
      <c r="C603" s="238" t="str">
        <f>("8")</f>
        <v>8</v>
      </c>
      <c r="D603" s="238" t="s">
        <v>798</v>
      </c>
      <c r="E603" s="380" t="s">
        <v>4512</v>
      </c>
      <c r="F603" s="380" t="s">
        <v>4513</v>
      </c>
      <c r="G603" s="380">
        <v>6</v>
      </c>
      <c r="H603" s="380" t="s">
        <v>1478</v>
      </c>
    </row>
    <row r="604" spans="1:9" x14ac:dyDescent="0.25">
      <c r="A604" s="247" t="str">
        <f t="shared" si="9"/>
        <v>明野東サッカースポーツ少年団_9</v>
      </c>
      <c r="B604" s="238" t="s">
        <v>2324</v>
      </c>
      <c r="C604" s="238" t="str">
        <f>("9")</f>
        <v>9</v>
      </c>
      <c r="D604" s="238" t="s">
        <v>798</v>
      </c>
      <c r="E604" s="380" t="s">
        <v>4504</v>
      </c>
      <c r="F604" s="380" t="s">
        <v>4505</v>
      </c>
      <c r="G604" s="380">
        <v>6</v>
      </c>
      <c r="H604" s="380" t="s">
        <v>1478</v>
      </c>
      <c r="I604" s="380" t="s">
        <v>408</v>
      </c>
    </row>
    <row r="605" spans="1:9" x14ac:dyDescent="0.25">
      <c r="A605" s="247" t="str">
        <f t="shared" si="9"/>
        <v>明野東サッカースポーツ少年団_10</v>
      </c>
      <c r="B605" s="238" t="s">
        <v>2324</v>
      </c>
      <c r="C605" s="238" t="str">
        <f>("10")</f>
        <v>10</v>
      </c>
      <c r="D605" s="238" t="s">
        <v>280</v>
      </c>
      <c r="E605" s="380" t="s">
        <v>5868</v>
      </c>
      <c r="F605" s="380" t="s">
        <v>6480</v>
      </c>
      <c r="G605" s="380">
        <v>4</v>
      </c>
      <c r="H605" s="380" t="s">
        <v>1478</v>
      </c>
    </row>
    <row r="606" spans="1:9" x14ac:dyDescent="0.25">
      <c r="A606" s="247" t="str">
        <f t="shared" si="9"/>
        <v>明野東サッカースポーツ少年団_11</v>
      </c>
      <c r="B606" s="238" t="s">
        <v>2324</v>
      </c>
      <c r="C606" s="238" t="str">
        <f>("11")</f>
        <v>11</v>
      </c>
      <c r="D606" s="238" t="s">
        <v>235</v>
      </c>
      <c r="E606" s="380" t="s">
        <v>4506</v>
      </c>
      <c r="F606" s="380" t="s">
        <v>4507</v>
      </c>
      <c r="G606" s="380">
        <v>6</v>
      </c>
      <c r="H606" s="380" t="s">
        <v>1480</v>
      </c>
    </row>
    <row r="607" spans="1:9" x14ac:dyDescent="0.25">
      <c r="A607" s="247" t="str">
        <f t="shared" si="9"/>
        <v>明野東サッカースポーツ少年団_12</v>
      </c>
      <c r="B607" s="238" t="s">
        <v>2324</v>
      </c>
      <c r="C607" s="238" t="str">
        <f>("12")</f>
        <v>12</v>
      </c>
      <c r="D607" s="238" t="s">
        <v>235</v>
      </c>
      <c r="E607" s="380" t="s">
        <v>8951</v>
      </c>
      <c r="F607" s="380" t="s">
        <v>14660</v>
      </c>
      <c r="G607" s="380">
        <v>6</v>
      </c>
      <c r="H607" s="380" t="s">
        <v>1478</v>
      </c>
    </row>
    <row r="608" spans="1:9" x14ac:dyDescent="0.25">
      <c r="A608" s="247" t="str">
        <f t="shared" si="9"/>
        <v>明野東サッカースポーツ少年団_13</v>
      </c>
      <c r="B608" s="238" t="s">
        <v>2324</v>
      </c>
      <c r="C608" s="238" t="str">
        <f>("13")</f>
        <v>13</v>
      </c>
      <c r="D608" s="238" t="s">
        <v>235</v>
      </c>
      <c r="E608" s="380" t="s">
        <v>8584</v>
      </c>
      <c r="F608" s="380" t="s">
        <v>14661</v>
      </c>
      <c r="G608" s="380">
        <v>6</v>
      </c>
      <c r="H608" s="380" t="s">
        <v>1478</v>
      </c>
    </row>
    <row r="609" spans="1:9" x14ac:dyDescent="0.25">
      <c r="A609" s="247" t="str">
        <f t="shared" si="9"/>
        <v>明野東サッカースポーツ少年団_14</v>
      </c>
      <c r="B609" s="238" t="s">
        <v>2324</v>
      </c>
      <c r="C609" s="238" t="str">
        <f>("14")</f>
        <v>14</v>
      </c>
      <c r="D609" s="238" t="s">
        <v>798</v>
      </c>
      <c r="E609" s="380" t="s">
        <v>8466</v>
      </c>
      <c r="F609" s="380" t="s">
        <v>14662</v>
      </c>
      <c r="G609" s="380">
        <v>5</v>
      </c>
      <c r="H609" s="380" t="s">
        <v>1478</v>
      </c>
    </row>
    <row r="610" spans="1:9" x14ac:dyDescent="0.25">
      <c r="A610" s="247" t="str">
        <f t="shared" si="9"/>
        <v>明野東サッカースポーツ少年団_15</v>
      </c>
      <c r="B610" s="238" t="s">
        <v>2324</v>
      </c>
      <c r="C610" s="238" t="str">
        <f>("15")</f>
        <v>15</v>
      </c>
      <c r="D610" s="238" t="s">
        <v>280</v>
      </c>
      <c r="E610" s="380" t="s">
        <v>9417</v>
      </c>
      <c r="F610" s="380" t="s">
        <v>14663</v>
      </c>
      <c r="G610" s="380">
        <v>4</v>
      </c>
      <c r="H610" s="380" t="s">
        <v>1478</v>
      </c>
    </row>
    <row r="611" spans="1:9" x14ac:dyDescent="0.25">
      <c r="A611" s="247" t="str">
        <f t="shared" si="9"/>
        <v>戸次吉野ＳＳＳ_1</v>
      </c>
      <c r="B611" s="238" t="s">
        <v>2533</v>
      </c>
      <c r="C611" s="238" t="str">
        <f>("1")</f>
        <v>1</v>
      </c>
      <c r="D611" s="238" t="s">
        <v>796</v>
      </c>
      <c r="E611" s="380" t="s">
        <v>4524</v>
      </c>
      <c r="F611" s="380" t="s">
        <v>4525</v>
      </c>
      <c r="G611" s="380">
        <v>6</v>
      </c>
      <c r="H611" s="380" t="s">
        <v>1478</v>
      </c>
    </row>
    <row r="612" spans="1:9" x14ac:dyDescent="0.25">
      <c r="A612" s="247" t="str">
        <f t="shared" si="9"/>
        <v>戸次吉野ＳＳＳ_2</v>
      </c>
      <c r="B612" s="238" t="s">
        <v>2533</v>
      </c>
      <c r="C612" s="238" t="str">
        <f>("2")</f>
        <v>2</v>
      </c>
      <c r="D612" s="238" t="s">
        <v>235</v>
      </c>
      <c r="E612" s="380" t="s">
        <v>5869</v>
      </c>
      <c r="F612" s="380" t="s">
        <v>6481</v>
      </c>
      <c r="G612" s="380">
        <v>5</v>
      </c>
      <c r="H612" s="380" t="s">
        <v>1478</v>
      </c>
    </row>
    <row r="613" spans="1:9" x14ac:dyDescent="0.25">
      <c r="A613" s="247" t="str">
        <f t="shared" si="9"/>
        <v>戸次吉野ＳＳＳ_3</v>
      </c>
      <c r="B613" s="238" t="s">
        <v>2533</v>
      </c>
      <c r="C613" s="238" t="str">
        <f>("3")</f>
        <v>3</v>
      </c>
      <c r="D613" s="238" t="s">
        <v>235</v>
      </c>
      <c r="E613" s="380" t="s">
        <v>4526</v>
      </c>
      <c r="F613" s="380" t="s">
        <v>4527</v>
      </c>
      <c r="G613" s="380">
        <v>6</v>
      </c>
      <c r="H613" s="380" t="s">
        <v>1478</v>
      </c>
    </row>
    <row r="614" spans="1:9" x14ac:dyDescent="0.25">
      <c r="A614" s="247" t="str">
        <f t="shared" si="9"/>
        <v>戸次吉野ＳＳＳ_4</v>
      </c>
      <c r="B614" s="238" t="s">
        <v>2533</v>
      </c>
      <c r="C614" s="238" t="str">
        <f>("4")</f>
        <v>4</v>
      </c>
      <c r="D614" s="238" t="s">
        <v>235</v>
      </c>
      <c r="E614" s="380" t="s">
        <v>4516</v>
      </c>
      <c r="F614" s="380" t="s">
        <v>4517</v>
      </c>
      <c r="G614" s="380">
        <v>6</v>
      </c>
      <c r="H614" s="380" t="s">
        <v>1478</v>
      </c>
    </row>
    <row r="615" spans="1:9" x14ac:dyDescent="0.25">
      <c r="A615" s="247" t="str">
        <f t="shared" si="9"/>
        <v>戸次吉野ＳＳＳ_7</v>
      </c>
      <c r="B615" s="238" t="s">
        <v>2533</v>
      </c>
      <c r="C615" s="238" t="str">
        <f>("7")</f>
        <v>7</v>
      </c>
      <c r="D615" s="238" t="s">
        <v>798</v>
      </c>
      <c r="E615" s="380" t="s">
        <v>4522</v>
      </c>
      <c r="F615" s="380" t="s">
        <v>4523</v>
      </c>
      <c r="G615" s="380">
        <v>6</v>
      </c>
      <c r="H615" s="380" t="s">
        <v>1478</v>
      </c>
      <c r="I615" s="380" t="s">
        <v>408</v>
      </c>
    </row>
    <row r="616" spans="1:9" x14ac:dyDescent="0.25">
      <c r="A616" s="247" t="str">
        <f t="shared" si="9"/>
        <v>戸次吉野ＳＳＳ_10</v>
      </c>
      <c r="B616" s="238" t="s">
        <v>2533</v>
      </c>
      <c r="C616" s="238" t="str">
        <f>("10")</f>
        <v>10</v>
      </c>
      <c r="D616" s="238" t="s">
        <v>798</v>
      </c>
      <c r="E616" s="380" t="s">
        <v>4520</v>
      </c>
      <c r="F616" s="380" t="s">
        <v>4521</v>
      </c>
      <c r="G616" s="380">
        <v>6</v>
      </c>
      <c r="H616" s="380" t="s">
        <v>1478</v>
      </c>
    </row>
    <row r="617" spans="1:9" x14ac:dyDescent="0.25">
      <c r="A617" s="247" t="str">
        <f t="shared" si="9"/>
        <v>戸次吉野ＳＳＳ_12</v>
      </c>
      <c r="B617" s="238" t="s">
        <v>2533</v>
      </c>
      <c r="C617" s="238" t="str">
        <f>("12")</f>
        <v>12</v>
      </c>
      <c r="D617" s="238" t="s">
        <v>235</v>
      </c>
      <c r="E617" s="380" t="s">
        <v>9280</v>
      </c>
      <c r="F617" s="380" t="s">
        <v>14664</v>
      </c>
      <c r="G617" s="380">
        <v>4</v>
      </c>
      <c r="H617" s="380" t="s">
        <v>1478</v>
      </c>
    </row>
    <row r="618" spans="1:9" x14ac:dyDescent="0.25">
      <c r="A618" s="247" t="str">
        <f t="shared" si="9"/>
        <v>戸次吉野ＳＳＳ_13</v>
      </c>
      <c r="B618" s="238" t="s">
        <v>2533</v>
      </c>
      <c r="C618" s="238" t="str">
        <f>("13")</f>
        <v>13</v>
      </c>
      <c r="D618" s="238" t="s">
        <v>798</v>
      </c>
      <c r="E618" s="380" t="s">
        <v>9675</v>
      </c>
      <c r="F618" s="380" t="s">
        <v>14665</v>
      </c>
      <c r="G618" s="380">
        <v>4</v>
      </c>
      <c r="H618" s="380" t="s">
        <v>1478</v>
      </c>
    </row>
    <row r="619" spans="1:9" x14ac:dyDescent="0.25">
      <c r="A619" s="247" t="str">
        <f t="shared" si="9"/>
        <v>戸次吉野ＳＳＳ_14</v>
      </c>
      <c r="B619" s="238" t="s">
        <v>2533</v>
      </c>
      <c r="C619" s="238" t="str">
        <f>("14")</f>
        <v>14</v>
      </c>
      <c r="D619" s="238" t="s">
        <v>798</v>
      </c>
      <c r="E619" s="380" t="s">
        <v>9209</v>
      </c>
      <c r="F619" s="380" t="s">
        <v>14666</v>
      </c>
      <c r="G619" s="380">
        <v>4</v>
      </c>
      <c r="H619" s="380" t="s">
        <v>1478</v>
      </c>
    </row>
    <row r="620" spans="1:9" x14ac:dyDescent="0.25">
      <c r="A620" s="247" t="str">
        <f t="shared" si="9"/>
        <v>戸次吉野ＳＳＳ_15</v>
      </c>
      <c r="B620" s="238" t="s">
        <v>2533</v>
      </c>
      <c r="C620" s="238" t="str">
        <f>("15")</f>
        <v>15</v>
      </c>
      <c r="D620" s="238" t="s">
        <v>280</v>
      </c>
      <c r="E620" s="380" t="s">
        <v>9227</v>
      </c>
      <c r="F620" s="380" t="s">
        <v>14667</v>
      </c>
      <c r="G620" s="380">
        <v>4</v>
      </c>
      <c r="H620" s="380" t="s">
        <v>1478</v>
      </c>
    </row>
    <row r="621" spans="1:9" x14ac:dyDescent="0.25">
      <c r="A621" s="247" t="str">
        <f t="shared" si="9"/>
        <v>戸次吉野ＳＳＳ_16</v>
      </c>
      <c r="B621" s="238" t="s">
        <v>2533</v>
      </c>
      <c r="C621" s="238" t="str">
        <f>("16")</f>
        <v>16</v>
      </c>
      <c r="D621" s="238" t="s">
        <v>280</v>
      </c>
      <c r="E621" s="380" t="s">
        <v>5871</v>
      </c>
      <c r="F621" s="380" t="s">
        <v>6483</v>
      </c>
      <c r="G621" s="380">
        <v>4</v>
      </c>
      <c r="H621" s="380" t="s">
        <v>1478</v>
      </c>
    </row>
    <row r="622" spans="1:9" x14ac:dyDescent="0.25">
      <c r="A622" s="247" t="str">
        <f t="shared" si="9"/>
        <v>戸次吉野ＳＳＳ_17</v>
      </c>
      <c r="B622" s="238" t="s">
        <v>2533</v>
      </c>
      <c r="C622" s="238" t="str">
        <f>("17")</f>
        <v>17</v>
      </c>
      <c r="D622" s="238" t="s">
        <v>280</v>
      </c>
      <c r="E622" s="380" t="s">
        <v>5870</v>
      </c>
      <c r="F622" s="380" t="s">
        <v>6482</v>
      </c>
      <c r="G622" s="380">
        <v>4</v>
      </c>
      <c r="H622" s="380" t="s">
        <v>1478</v>
      </c>
    </row>
    <row r="623" spans="1:9" x14ac:dyDescent="0.25">
      <c r="A623" s="247" t="str">
        <f t="shared" si="9"/>
        <v>戸次吉野ＳＳＳ_18</v>
      </c>
      <c r="B623" s="238" t="s">
        <v>2533</v>
      </c>
      <c r="C623" s="238" t="str">
        <f>("18")</f>
        <v>18</v>
      </c>
      <c r="D623" s="238" t="s">
        <v>798</v>
      </c>
      <c r="E623" s="380" t="s">
        <v>9307</v>
      </c>
      <c r="F623" s="380" t="s">
        <v>14668</v>
      </c>
      <c r="G623" s="380">
        <v>4</v>
      </c>
      <c r="H623" s="380" t="s">
        <v>1478</v>
      </c>
    </row>
    <row r="624" spans="1:9" x14ac:dyDescent="0.25">
      <c r="A624" s="247" t="str">
        <f t="shared" si="9"/>
        <v>戸次吉野ＳＳＳ_19</v>
      </c>
      <c r="B624" s="238" t="s">
        <v>2533</v>
      </c>
      <c r="C624" s="238" t="str">
        <f>("19")</f>
        <v>19</v>
      </c>
      <c r="D624" s="238" t="s">
        <v>798</v>
      </c>
      <c r="E624" s="380" t="s">
        <v>9519</v>
      </c>
      <c r="F624" s="380" t="s">
        <v>14669</v>
      </c>
      <c r="G624" s="380">
        <v>4</v>
      </c>
      <c r="H624" s="380" t="s">
        <v>1478</v>
      </c>
    </row>
    <row r="625" spans="1:9" x14ac:dyDescent="0.25">
      <c r="A625" s="247" t="str">
        <f t="shared" si="9"/>
        <v>戸次吉野ＳＳＳ_20</v>
      </c>
      <c r="B625" s="238" t="s">
        <v>2533</v>
      </c>
      <c r="C625" s="238" t="str">
        <f>("20")</f>
        <v>20</v>
      </c>
      <c r="D625" s="238" t="s">
        <v>798</v>
      </c>
      <c r="E625" s="380" t="s">
        <v>5872</v>
      </c>
      <c r="F625" s="380" t="s">
        <v>6484</v>
      </c>
      <c r="G625" s="380">
        <v>4</v>
      </c>
      <c r="H625" s="380" t="s">
        <v>1478</v>
      </c>
    </row>
    <row r="626" spans="1:9" x14ac:dyDescent="0.25">
      <c r="A626" s="247" t="str">
        <f t="shared" si="9"/>
        <v>大道サッカースポーツ少年団_1</v>
      </c>
      <c r="B626" s="238" t="s">
        <v>2137</v>
      </c>
      <c r="C626" s="238" t="str">
        <f>("1")</f>
        <v>1</v>
      </c>
      <c r="D626" s="238" t="s">
        <v>796</v>
      </c>
      <c r="E626" s="380" t="s">
        <v>5875</v>
      </c>
      <c r="F626" s="380" t="s">
        <v>6487</v>
      </c>
      <c r="G626" s="380">
        <v>5</v>
      </c>
      <c r="H626" s="380" t="s">
        <v>1478</v>
      </c>
    </row>
    <row r="627" spans="1:9" x14ac:dyDescent="0.25">
      <c r="A627" s="247" t="str">
        <f t="shared" si="9"/>
        <v>大道サッカースポーツ少年団_2</v>
      </c>
      <c r="B627" s="238" t="s">
        <v>2137</v>
      </c>
      <c r="C627" s="238" t="str">
        <f>("2")</f>
        <v>2</v>
      </c>
      <c r="D627" s="238" t="s">
        <v>235</v>
      </c>
      <c r="E627" s="380" t="s">
        <v>4528</v>
      </c>
      <c r="F627" s="380" t="s">
        <v>4529</v>
      </c>
      <c r="G627" s="380">
        <v>6</v>
      </c>
      <c r="H627" s="380" t="s">
        <v>1478</v>
      </c>
      <c r="I627" s="380" t="s">
        <v>408</v>
      </c>
    </row>
    <row r="628" spans="1:9" x14ac:dyDescent="0.25">
      <c r="A628" s="247" t="str">
        <f t="shared" si="9"/>
        <v>大道サッカースポーツ少年団_3</v>
      </c>
      <c r="B628" s="238" t="s">
        <v>2137</v>
      </c>
      <c r="C628" s="238" t="str">
        <f>("3")</f>
        <v>3</v>
      </c>
      <c r="D628" s="238" t="s">
        <v>235</v>
      </c>
      <c r="E628" s="380" t="s">
        <v>5874</v>
      </c>
      <c r="F628" s="380" t="s">
        <v>6486</v>
      </c>
      <c r="G628" s="380">
        <v>6</v>
      </c>
      <c r="H628" s="380" t="s">
        <v>1478</v>
      </c>
    </row>
    <row r="629" spans="1:9" x14ac:dyDescent="0.25">
      <c r="A629" s="247" t="str">
        <f t="shared" si="9"/>
        <v>大道サッカースポーツ少年団_4</v>
      </c>
      <c r="B629" s="238" t="s">
        <v>2137</v>
      </c>
      <c r="C629" s="238" t="str">
        <f>("4")</f>
        <v>4</v>
      </c>
      <c r="D629" s="238" t="s">
        <v>280</v>
      </c>
      <c r="E629" s="380" t="s">
        <v>4530</v>
      </c>
      <c r="F629" s="380" t="s">
        <v>4531</v>
      </c>
      <c r="G629" s="380">
        <v>6</v>
      </c>
      <c r="H629" s="380" t="s">
        <v>1478</v>
      </c>
    </row>
    <row r="630" spans="1:9" x14ac:dyDescent="0.25">
      <c r="A630" s="247" t="str">
        <f t="shared" si="9"/>
        <v>大道サッカースポーツ少年団_5</v>
      </c>
      <c r="B630" s="238" t="s">
        <v>2137</v>
      </c>
      <c r="C630" s="238" t="str">
        <f>("5")</f>
        <v>5</v>
      </c>
      <c r="D630" s="238" t="s">
        <v>798</v>
      </c>
      <c r="E630" s="380" t="s">
        <v>4532</v>
      </c>
      <c r="F630" s="380" t="s">
        <v>4178</v>
      </c>
      <c r="G630" s="380">
        <v>6</v>
      </c>
      <c r="H630" s="380" t="s">
        <v>1478</v>
      </c>
    </row>
    <row r="631" spans="1:9" x14ac:dyDescent="0.25">
      <c r="A631" s="247" t="str">
        <f t="shared" si="9"/>
        <v>大道サッカースポーツ少年団_6</v>
      </c>
      <c r="B631" s="238" t="s">
        <v>2137</v>
      </c>
      <c r="C631" s="238" t="str">
        <f>("6")</f>
        <v>6</v>
      </c>
      <c r="D631" s="238" t="s">
        <v>280</v>
      </c>
      <c r="E631" s="380" t="s">
        <v>5873</v>
      </c>
      <c r="F631" s="380" t="s">
        <v>6485</v>
      </c>
      <c r="G631" s="380">
        <v>6</v>
      </c>
      <c r="H631" s="380" t="s">
        <v>1478</v>
      </c>
    </row>
    <row r="632" spans="1:9" x14ac:dyDescent="0.25">
      <c r="A632" s="247" t="str">
        <f t="shared" si="9"/>
        <v>大道サッカースポーツ少年団_7</v>
      </c>
      <c r="B632" s="238" t="s">
        <v>2137</v>
      </c>
      <c r="C632" s="238" t="str">
        <f>("7")</f>
        <v>7</v>
      </c>
      <c r="D632" s="238" t="s">
        <v>280</v>
      </c>
      <c r="E632" s="380" t="s">
        <v>5878</v>
      </c>
      <c r="F632" s="380" t="s">
        <v>6489</v>
      </c>
      <c r="G632" s="380">
        <v>5</v>
      </c>
      <c r="H632" s="380" t="s">
        <v>1478</v>
      </c>
    </row>
    <row r="633" spans="1:9" x14ac:dyDescent="0.25">
      <c r="A633" s="247" t="str">
        <f t="shared" si="9"/>
        <v>大道サッカースポーツ少年団_8</v>
      </c>
      <c r="B633" s="238" t="s">
        <v>2137</v>
      </c>
      <c r="C633" s="238" t="str">
        <f>("8")</f>
        <v>8</v>
      </c>
      <c r="D633" s="238" t="s">
        <v>280</v>
      </c>
      <c r="E633" s="380" t="s">
        <v>4533</v>
      </c>
      <c r="F633" s="380" t="s">
        <v>4534</v>
      </c>
      <c r="G633" s="380">
        <v>6</v>
      </c>
      <c r="H633" s="380" t="s">
        <v>1478</v>
      </c>
    </row>
    <row r="634" spans="1:9" x14ac:dyDescent="0.25">
      <c r="A634" s="247" t="str">
        <f t="shared" si="9"/>
        <v>大道サッカースポーツ少年団_9</v>
      </c>
      <c r="B634" s="238" t="s">
        <v>2137</v>
      </c>
      <c r="C634" s="238" t="str">
        <f>("9")</f>
        <v>9</v>
      </c>
      <c r="D634" s="238" t="s">
        <v>280</v>
      </c>
      <c r="E634" s="380" t="s">
        <v>7946</v>
      </c>
      <c r="F634" s="380" t="s">
        <v>14670</v>
      </c>
      <c r="G634" s="380">
        <v>5</v>
      </c>
      <c r="H634" s="380" t="s">
        <v>1478</v>
      </c>
    </row>
    <row r="635" spans="1:9" x14ac:dyDescent="0.25">
      <c r="A635" s="247" t="str">
        <f t="shared" si="9"/>
        <v>大道サッカースポーツ少年団_10</v>
      </c>
      <c r="B635" s="238" t="s">
        <v>2137</v>
      </c>
      <c r="C635" s="238" t="str">
        <f>("10")</f>
        <v>10</v>
      </c>
      <c r="D635" s="238" t="s">
        <v>798</v>
      </c>
      <c r="E635" s="380" t="s">
        <v>8374</v>
      </c>
      <c r="F635" s="380" t="s">
        <v>4720</v>
      </c>
      <c r="G635" s="380">
        <v>5</v>
      </c>
      <c r="H635" s="380" t="s">
        <v>1478</v>
      </c>
    </row>
    <row r="636" spans="1:9" x14ac:dyDescent="0.25">
      <c r="A636" s="247" t="str">
        <f t="shared" si="9"/>
        <v>大道サッカースポーツ少年団_11</v>
      </c>
      <c r="B636" s="238" t="s">
        <v>2137</v>
      </c>
      <c r="C636" s="238" t="str">
        <f>("11")</f>
        <v>11</v>
      </c>
      <c r="D636" s="238" t="s">
        <v>798</v>
      </c>
      <c r="E636" s="380" t="s">
        <v>8321</v>
      </c>
      <c r="F636" s="380" t="s">
        <v>14671</v>
      </c>
      <c r="G636" s="380">
        <v>5</v>
      </c>
      <c r="H636" s="380" t="s">
        <v>1478</v>
      </c>
    </row>
    <row r="637" spans="1:9" x14ac:dyDescent="0.25">
      <c r="A637" s="247" t="str">
        <f t="shared" si="9"/>
        <v>大道サッカースポーツ少年団_12</v>
      </c>
      <c r="B637" s="238" t="s">
        <v>2137</v>
      </c>
      <c r="C637" s="238" t="str">
        <f>("12")</f>
        <v>12</v>
      </c>
      <c r="D637" s="238" t="s">
        <v>796</v>
      </c>
      <c r="E637" s="380" t="s">
        <v>5877</v>
      </c>
      <c r="F637" s="380" t="s">
        <v>6488</v>
      </c>
      <c r="G637" s="380">
        <v>5</v>
      </c>
      <c r="H637" s="380" t="s">
        <v>1478</v>
      </c>
    </row>
    <row r="638" spans="1:9" x14ac:dyDescent="0.25">
      <c r="A638" s="247" t="str">
        <f t="shared" si="9"/>
        <v>大道サッカースポーツ少年団_13</v>
      </c>
      <c r="B638" s="238" t="s">
        <v>2137</v>
      </c>
      <c r="C638" s="238" t="str">
        <f>("13")</f>
        <v>13</v>
      </c>
      <c r="D638" s="238" t="s">
        <v>280</v>
      </c>
      <c r="E638" s="380" t="s">
        <v>8154</v>
      </c>
      <c r="F638" s="380" t="s">
        <v>14672</v>
      </c>
      <c r="G638" s="380">
        <v>5</v>
      </c>
      <c r="H638" s="380" t="s">
        <v>1478</v>
      </c>
    </row>
    <row r="639" spans="1:9" x14ac:dyDescent="0.25">
      <c r="A639" s="247" t="str">
        <f t="shared" si="9"/>
        <v>大道サッカースポーツ少年団_14</v>
      </c>
      <c r="B639" s="238" t="s">
        <v>2137</v>
      </c>
      <c r="C639" s="238" t="str">
        <f>("14")</f>
        <v>14</v>
      </c>
      <c r="D639" s="238" t="s">
        <v>280</v>
      </c>
      <c r="E639" s="380" t="s">
        <v>7931</v>
      </c>
      <c r="F639" s="380" t="s">
        <v>14673</v>
      </c>
      <c r="G639" s="380">
        <v>5</v>
      </c>
      <c r="H639" s="380" t="s">
        <v>1478</v>
      </c>
    </row>
    <row r="640" spans="1:9" x14ac:dyDescent="0.25">
      <c r="A640" s="247" t="str">
        <f t="shared" si="9"/>
        <v>大道サッカースポーツ少年団_15</v>
      </c>
      <c r="B640" s="238" t="s">
        <v>2137</v>
      </c>
      <c r="C640" s="238" t="str">
        <f>("15")</f>
        <v>15</v>
      </c>
      <c r="D640" s="238" t="s">
        <v>798</v>
      </c>
      <c r="E640" s="380" t="s">
        <v>8460</v>
      </c>
      <c r="F640" s="380" t="s">
        <v>14674</v>
      </c>
      <c r="G640" s="380">
        <v>5</v>
      </c>
      <c r="H640" s="380" t="s">
        <v>1478</v>
      </c>
    </row>
    <row r="641" spans="1:9" x14ac:dyDescent="0.25">
      <c r="A641" s="247" t="str">
        <f t="shared" ref="A641:A704" si="10">CONCATENATE(B641,"_",C641)</f>
        <v>大道サッカースポーツ少年団_16</v>
      </c>
      <c r="B641" s="238" t="s">
        <v>2137</v>
      </c>
      <c r="C641" s="238" t="str">
        <f>("16")</f>
        <v>16</v>
      </c>
      <c r="D641" s="238" t="s">
        <v>280</v>
      </c>
      <c r="E641" s="380" t="s">
        <v>9151</v>
      </c>
      <c r="F641" s="380" t="s">
        <v>14675</v>
      </c>
      <c r="G641" s="380">
        <v>4</v>
      </c>
      <c r="H641" s="380" t="s">
        <v>1478</v>
      </c>
    </row>
    <row r="642" spans="1:9" x14ac:dyDescent="0.25">
      <c r="A642" s="247" t="str">
        <f t="shared" si="10"/>
        <v>東稙田サッカースポーツ少年団_2</v>
      </c>
      <c r="B642" s="238" t="s">
        <v>928</v>
      </c>
      <c r="C642" s="238" t="str">
        <f>("2")</f>
        <v>2</v>
      </c>
      <c r="D642" s="238" t="s">
        <v>235</v>
      </c>
      <c r="E642" s="380" t="s">
        <v>9108</v>
      </c>
      <c r="F642" s="380" t="s">
        <v>14676</v>
      </c>
      <c r="G642" s="380">
        <v>4</v>
      </c>
      <c r="H642" s="380" t="s">
        <v>1478</v>
      </c>
    </row>
    <row r="643" spans="1:9" x14ac:dyDescent="0.25">
      <c r="A643" s="247" t="str">
        <f t="shared" si="10"/>
        <v>東稙田サッカースポーツ少年団_3</v>
      </c>
      <c r="B643" s="238" t="s">
        <v>928</v>
      </c>
      <c r="C643" s="238" t="str">
        <f>("3")</f>
        <v>3</v>
      </c>
      <c r="D643" s="238" t="s">
        <v>235</v>
      </c>
      <c r="E643" s="380" t="s">
        <v>9256</v>
      </c>
      <c r="F643" s="380" t="s">
        <v>14677</v>
      </c>
      <c r="G643" s="380">
        <v>4</v>
      </c>
      <c r="H643" s="380" t="s">
        <v>1478</v>
      </c>
    </row>
    <row r="644" spans="1:9" x14ac:dyDescent="0.25">
      <c r="A644" s="247" t="str">
        <f t="shared" si="10"/>
        <v>東稙田サッカースポーツ少年団_5</v>
      </c>
      <c r="B644" s="238" t="s">
        <v>928</v>
      </c>
      <c r="C644" s="238" t="str">
        <f>("5")</f>
        <v>5</v>
      </c>
      <c r="D644" s="238" t="s">
        <v>235</v>
      </c>
      <c r="E644" s="380" t="s">
        <v>9458</v>
      </c>
      <c r="F644" s="380" t="s">
        <v>14678</v>
      </c>
      <c r="G644" s="380">
        <v>4</v>
      </c>
      <c r="H644" s="380" t="s">
        <v>1478</v>
      </c>
    </row>
    <row r="645" spans="1:9" x14ac:dyDescent="0.25">
      <c r="A645" s="247" t="str">
        <f t="shared" si="10"/>
        <v>東稙田サッカースポーツ少年団_6</v>
      </c>
      <c r="B645" s="238" t="s">
        <v>928</v>
      </c>
      <c r="C645" s="238" t="str">
        <f>("6")</f>
        <v>6</v>
      </c>
      <c r="D645" s="238" t="s">
        <v>798</v>
      </c>
      <c r="E645" s="380" t="s">
        <v>9087</v>
      </c>
      <c r="F645" s="380" t="s">
        <v>14679</v>
      </c>
      <c r="G645" s="380">
        <v>4</v>
      </c>
      <c r="H645" s="380" t="s">
        <v>1478</v>
      </c>
    </row>
    <row r="646" spans="1:9" x14ac:dyDescent="0.25">
      <c r="A646" s="247" t="str">
        <f t="shared" si="10"/>
        <v>東稙田サッカースポーツ少年団_7</v>
      </c>
      <c r="B646" s="238" t="s">
        <v>928</v>
      </c>
      <c r="C646" s="238" t="str">
        <f>("7")</f>
        <v>7</v>
      </c>
      <c r="D646" s="238" t="s">
        <v>798</v>
      </c>
      <c r="E646" s="380" t="s">
        <v>5949</v>
      </c>
      <c r="F646" s="380" t="s">
        <v>6528</v>
      </c>
      <c r="G646" s="380">
        <v>4</v>
      </c>
      <c r="H646" s="380" t="s">
        <v>1478</v>
      </c>
    </row>
    <row r="647" spans="1:9" x14ac:dyDescent="0.25">
      <c r="A647" s="247" t="str">
        <f t="shared" si="10"/>
        <v>東稙田サッカースポーツ少年団_8</v>
      </c>
      <c r="B647" s="238" t="s">
        <v>928</v>
      </c>
      <c r="C647" s="238" t="str">
        <f>("8")</f>
        <v>8</v>
      </c>
      <c r="D647" s="238" t="s">
        <v>280</v>
      </c>
      <c r="E647" s="380" t="s">
        <v>5879</v>
      </c>
      <c r="F647" s="380" t="s">
        <v>4293</v>
      </c>
      <c r="G647" s="380">
        <v>4</v>
      </c>
      <c r="H647" s="380" t="s">
        <v>1478</v>
      </c>
    </row>
    <row r="648" spans="1:9" x14ac:dyDescent="0.25">
      <c r="A648" s="247" t="str">
        <f t="shared" si="10"/>
        <v>東稙田サッカースポーツ少年団_9</v>
      </c>
      <c r="B648" s="238" t="s">
        <v>928</v>
      </c>
      <c r="C648" s="238" t="str">
        <f>("9")</f>
        <v>9</v>
      </c>
      <c r="D648" s="238" t="s">
        <v>798</v>
      </c>
      <c r="E648" s="380" t="s">
        <v>5880</v>
      </c>
      <c r="F648" s="380" t="s">
        <v>6490</v>
      </c>
      <c r="G648" s="380">
        <v>6</v>
      </c>
      <c r="H648" s="380" t="s">
        <v>1478</v>
      </c>
      <c r="I648" s="380" t="s">
        <v>408</v>
      </c>
    </row>
    <row r="649" spans="1:9" x14ac:dyDescent="0.25">
      <c r="A649" s="247" t="str">
        <f t="shared" si="10"/>
        <v>東稙田サッカースポーツ少年団_11</v>
      </c>
      <c r="B649" s="238" t="s">
        <v>928</v>
      </c>
      <c r="C649" s="238" t="str">
        <f>("11")</f>
        <v>11</v>
      </c>
      <c r="D649" s="238" t="s">
        <v>798</v>
      </c>
      <c r="E649" s="380" t="s">
        <v>9188</v>
      </c>
      <c r="F649" s="380" t="s">
        <v>14680</v>
      </c>
      <c r="G649" s="380">
        <v>4</v>
      </c>
      <c r="H649" s="380" t="s">
        <v>1478</v>
      </c>
    </row>
    <row r="650" spans="1:9" x14ac:dyDescent="0.25">
      <c r="A650" s="247" t="str">
        <f t="shared" si="10"/>
        <v>東稙田サッカースポーツ少年団_12</v>
      </c>
      <c r="B650" s="238" t="s">
        <v>928</v>
      </c>
      <c r="C650" s="238" t="str">
        <f>("12")</f>
        <v>12</v>
      </c>
      <c r="D650" s="238" t="s">
        <v>796</v>
      </c>
      <c r="E650" s="380" t="s">
        <v>9632</v>
      </c>
      <c r="F650" s="380" t="s">
        <v>14681</v>
      </c>
      <c r="G650" s="380">
        <v>4</v>
      </c>
      <c r="H650" s="380" t="s">
        <v>1478</v>
      </c>
    </row>
    <row r="651" spans="1:9" x14ac:dyDescent="0.25">
      <c r="A651" s="247" t="str">
        <f t="shared" si="10"/>
        <v>東稙田サッカースポーツ少年団_13</v>
      </c>
      <c r="B651" s="238" t="s">
        <v>928</v>
      </c>
      <c r="C651" s="238" t="str">
        <f>("13")</f>
        <v>13</v>
      </c>
      <c r="D651" s="238" t="s">
        <v>280</v>
      </c>
      <c r="E651" s="380" t="s">
        <v>10064</v>
      </c>
      <c r="F651" s="380" t="s">
        <v>14682</v>
      </c>
      <c r="G651" s="380">
        <v>3</v>
      </c>
      <c r="H651" s="380" t="s">
        <v>1478</v>
      </c>
    </row>
    <row r="652" spans="1:9" x14ac:dyDescent="0.25">
      <c r="A652" s="247" t="str">
        <f t="shared" si="10"/>
        <v>東稙田サッカースポーツ少年団_15</v>
      </c>
      <c r="B652" s="238" t="s">
        <v>928</v>
      </c>
      <c r="C652" s="238" t="str">
        <f>("15")</f>
        <v>15</v>
      </c>
      <c r="D652" s="238" t="s">
        <v>280</v>
      </c>
      <c r="E652" s="380" t="s">
        <v>10086</v>
      </c>
      <c r="F652" s="380" t="s">
        <v>14683</v>
      </c>
      <c r="G652" s="380">
        <v>3</v>
      </c>
      <c r="H652" s="380" t="s">
        <v>1478</v>
      </c>
    </row>
    <row r="653" spans="1:9" x14ac:dyDescent="0.25">
      <c r="A653" s="247" t="str">
        <f t="shared" si="10"/>
        <v>東稙田サッカースポーツ少年団_17</v>
      </c>
      <c r="B653" s="238" t="s">
        <v>928</v>
      </c>
      <c r="C653" s="238" t="str">
        <f>("17")</f>
        <v>17</v>
      </c>
      <c r="D653" s="238" t="s">
        <v>798</v>
      </c>
      <c r="E653" s="380" t="s">
        <v>7937</v>
      </c>
      <c r="F653" s="380" t="s">
        <v>14684</v>
      </c>
      <c r="G653" s="380">
        <v>4</v>
      </c>
      <c r="H653" s="380" t="s">
        <v>1478</v>
      </c>
    </row>
    <row r="654" spans="1:9" x14ac:dyDescent="0.25">
      <c r="A654" s="247" t="str">
        <f t="shared" si="10"/>
        <v>東稙田サッカースポーツ少年団_18</v>
      </c>
      <c r="B654" s="238" t="s">
        <v>928</v>
      </c>
      <c r="C654" s="238" t="str">
        <f>("18")</f>
        <v>18</v>
      </c>
      <c r="D654" s="238" t="s">
        <v>798</v>
      </c>
      <c r="E654" s="380" t="s">
        <v>9125</v>
      </c>
      <c r="F654" s="380" t="s">
        <v>14685</v>
      </c>
      <c r="G654" s="380">
        <v>4</v>
      </c>
      <c r="H654" s="380" t="s">
        <v>1478</v>
      </c>
    </row>
    <row r="655" spans="1:9" x14ac:dyDescent="0.25">
      <c r="A655" s="247" t="str">
        <f t="shared" si="10"/>
        <v>寒田．敷戸ＦＣ_2</v>
      </c>
      <c r="B655" s="238" t="s">
        <v>4220</v>
      </c>
      <c r="C655" s="238" t="str">
        <f>("2")</f>
        <v>2</v>
      </c>
      <c r="D655" s="238" t="s">
        <v>280</v>
      </c>
      <c r="E655" s="380" t="s">
        <v>10242</v>
      </c>
      <c r="F655" s="380" t="s">
        <v>14686</v>
      </c>
      <c r="G655" s="380">
        <v>2</v>
      </c>
      <c r="H655" s="380" t="s">
        <v>1478</v>
      </c>
    </row>
    <row r="656" spans="1:9" x14ac:dyDescent="0.25">
      <c r="A656" s="247" t="str">
        <f t="shared" si="10"/>
        <v>寒田．敷戸ＦＣ_4</v>
      </c>
      <c r="B656" s="238" t="s">
        <v>4220</v>
      </c>
      <c r="C656" s="238" t="str">
        <f>("4")</f>
        <v>4</v>
      </c>
      <c r="D656" s="238" t="s">
        <v>280</v>
      </c>
      <c r="E656" s="380" t="s">
        <v>5883</v>
      </c>
      <c r="F656" s="380" t="s">
        <v>6493</v>
      </c>
      <c r="G656" s="380">
        <v>3</v>
      </c>
      <c r="H656" s="380" t="s">
        <v>1478</v>
      </c>
    </row>
    <row r="657" spans="1:9" x14ac:dyDescent="0.25">
      <c r="A657" s="247" t="str">
        <f t="shared" si="10"/>
        <v>寒田．敷戸ＦＣ_5</v>
      </c>
      <c r="B657" s="238" t="s">
        <v>4220</v>
      </c>
      <c r="C657" s="238" t="str">
        <f>("5")</f>
        <v>5</v>
      </c>
      <c r="D657" s="238" t="s">
        <v>235</v>
      </c>
      <c r="E657" s="380" t="s">
        <v>8003</v>
      </c>
      <c r="F657" s="380" t="s">
        <v>14687</v>
      </c>
      <c r="G657" s="380">
        <v>5</v>
      </c>
      <c r="H657" s="380" t="s">
        <v>1478</v>
      </c>
    </row>
    <row r="658" spans="1:9" x14ac:dyDescent="0.25">
      <c r="A658" s="247" t="str">
        <f t="shared" si="10"/>
        <v>寒田．敷戸ＦＣ_6</v>
      </c>
      <c r="B658" s="238" t="s">
        <v>4220</v>
      </c>
      <c r="C658" s="238" t="str">
        <f>("6")</f>
        <v>6</v>
      </c>
      <c r="D658" s="238" t="s">
        <v>235</v>
      </c>
      <c r="E658" s="380" t="s">
        <v>5882</v>
      </c>
      <c r="F658" s="380" t="s">
        <v>6492</v>
      </c>
      <c r="G658" s="380">
        <v>5</v>
      </c>
      <c r="H658" s="380" t="s">
        <v>1478</v>
      </c>
    </row>
    <row r="659" spans="1:9" x14ac:dyDescent="0.25">
      <c r="A659" s="247" t="str">
        <f t="shared" si="10"/>
        <v>寒田．敷戸ＦＣ_7</v>
      </c>
      <c r="B659" s="238" t="s">
        <v>4220</v>
      </c>
      <c r="C659" s="238" t="str">
        <f>("7")</f>
        <v>7</v>
      </c>
      <c r="D659" s="238" t="s">
        <v>280</v>
      </c>
      <c r="E659" s="380" t="s">
        <v>5888</v>
      </c>
      <c r="F659" s="380" t="s">
        <v>6498</v>
      </c>
      <c r="G659" s="380">
        <v>5</v>
      </c>
      <c r="H659" s="380" t="s">
        <v>1478</v>
      </c>
    </row>
    <row r="660" spans="1:9" x14ac:dyDescent="0.25">
      <c r="A660" s="247" t="str">
        <f t="shared" si="10"/>
        <v>寒田．敷戸ＦＣ_8</v>
      </c>
      <c r="B660" s="238" t="s">
        <v>4220</v>
      </c>
      <c r="C660" s="238" t="str">
        <f>("8")</f>
        <v>8</v>
      </c>
      <c r="D660" s="238" t="s">
        <v>798</v>
      </c>
      <c r="E660" s="380" t="s">
        <v>5889</v>
      </c>
      <c r="F660" s="380" t="s">
        <v>6499</v>
      </c>
      <c r="G660" s="380">
        <v>3</v>
      </c>
      <c r="H660" s="380" t="s">
        <v>1478</v>
      </c>
    </row>
    <row r="661" spans="1:9" x14ac:dyDescent="0.25">
      <c r="A661" s="247" t="str">
        <f t="shared" si="10"/>
        <v>寒田．敷戸ＦＣ_9</v>
      </c>
      <c r="B661" s="238" t="s">
        <v>4220</v>
      </c>
      <c r="C661" s="238" t="str">
        <f>("9")</f>
        <v>9</v>
      </c>
      <c r="D661" s="238" t="s">
        <v>798</v>
      </c>
      <c r="E661" s="380" t="s">
        <v>5886</v>
      </c>
      <c r="F661" s="380" t="s">
        <v>6496</v>
      </c>
      <c r="G661" s="380">
        <v>6</v>
      </c>
      <c r="H661" s="380" t="s">
        <v>1480</v>
      </c>
      <c r="I661" s="380" t="s">
        <v>408</v>
      </c>
    </row>
    <row r="662" spans="1:9" x14ac:dyDescent="0.25">
      <c r="A662" s="247" t="str">
        <f t="shared" si="10"/>
        <v>寒田．敷戸ＦＣ_10</v>
      </c>
      <c r="B662" s="238" t="s">
        <v>4220</v>
      </c>
      <c r="C662" s="238" t="str">
        <f>("10")</f>
        <v>10</v>
      </c>
      <c r="D662" s="238" t="s">
        <v>798</v>
      </c>
      <c r="E662" s="380" t="s">
        <v>5885</v>
      </c>
      <c r="F662" s="380" t="s">
        <v>6495</v>
      </c>
      <c r="G662" s="380">
        <v>6</v>
      </c>
      <c r="H662" s="380" t="s">
        <v>1478</v>
      </c>
    </row>
    <row r="663" spans="1:9" x14ac:dyDescent="0.25">
      <c r="A663" s="247" t="str">
        <f t="shared" si="10"/>
        <v>寒田．敷戸ＦＣ_11</v>
      </c>
      <c r="B663" s="238" t="s">
        <v>4220</v>
      </c>
      <c r="C663" s="238" t="str">
        <f>("11")</f>
        <v>11</v>
      </c>
      <c r="D663" s="238" t="s">
        <v>798</v>
      </c>
      <c r="E663" s="380" t="s">
        <v>5887</v>
      </c>
      <c r="F663" s="380" t="s">
        <v>6497</v>
      </c>
      <c r="G663" s="380">
        <v>6</v>
      </c>
      <c r="H663" s="380" t="s">
        <v>1480</v>
      </c>
    </row>
    <row r="664" spans="1:9" x14ac:dyDescent="0.25">
      <c r="A664" s="247" t="str">
        <f t="shared" si="10"/>
        <v>寒田．敷戸ＦＣ_12</v>
      </c>
      <c r="B664" s="238" t="s">
        <v>4220</v>
      </c>
      <c r="C664" s="238" t="str">
        <f>("12")</f>
        <v>12</v>
      </c>
      <c r="D664" s="238" t="s">
        <v>280</v>
      </c>
      <c r="E664" s="380" t="s">
        <v>10235</v>
      </c>
      <c r="F664" s="380" t="s">
        <v>14688</v>
      </c>
      <c r="G664" s="380">
        <v>2</v>
      </c>
      <c r="H664" s="380" t="s">
        <v>1478</v>
      </c>
    </row>
    <row r="665" spans="1:9" x14ac:dyDescent="0.25">
      <c r="A665" s="247" t="str">
        <f t="shared" si="10"/>
        <v>寒田．敷戸ＦＣ_14</v>
      </c>
      <c r="B665" s="238" t="s">
        <v>4220</v>
      </c>
      <c r="C665" s="238" t="str">
        <f>("14")</f>
        <v>14</v>
      </c>
      <c r="D665" s="238" t="s">
        <v>798</v>
      </c>
      <c r="E665" s="380" t="s">
        <v>9756</v>
      </c>
      <c r="F665" s="380" t="s">
        <v>14689</v>
      </c>
      <c r="G665" s="380">
        <v>3</v>
      </c>
      <c r="H665" s="380" t="s">
        <v>1478</v>
      </c>
    </row>
    <row r="666" spans="1:9" x14ac:dyDescent="0.25">
      <c r="A666" s="247" t="str">
        <f t="shared" si="10"/>
        <v>寒田．敷戸ＦＣ_15</v>
      </c>
      <c r="B666" s="238" t="s">
        <v>4220</v>
      </c>
      <c r="C666" s="238" t="str">
        <f>("15")</f>
        <v>15</v>
      </c>
      <c r="D666" s="238" t="s">
        <v>796</v>
      </c>
      <c r="E666" s="380" t="s">
        <v>5884</v>
      </c>
      <c r="F666" s="380" t="s">
        <v>6494</v>
      </c>
      <c r="G666" s="380">
        <v>3</v>
      </c>
      <c r="H666" s="380" t="s">
        <v>1478</v>
      </c>
    </row>
    <row r="667" spans="1:9" x14ac:dyDescent="0.25">
      <c r="A667" s="247" t="str">
        <f t="shared" si="10"/>
        <v>寒田．敷戸ＦＣ_17</v>
      </c>
      <c r="B667" s="238" t="s">
        <v>4220</v>
      </c>
      <c r="C667" s="238" t="str">
        <f>("17")</f>
        <v>17</v>
      </c>
      <c r="D667" s="238" t="s">
        <v>235</v>
      </c>
      <c r="E667" s="380" t="s">
        <v>5881</v>
      </c>
      <c r="F667" s="380" t="s">
        <v>6491</v>
      </c>
      <c r="G667" s="380">
        <v>5</v>
      </c>
      <c r="H667" s="380" t="s">
        <v>1478</v>
      </c>
    </row>
    <row r="668" spans="1:9" x14ac:dyDescent="0.25">
      <c r="A668" s="247" t="str">
        <f t="shared" si="10"/>
        <v>滝尾下郡サッカースポーツ少年団_1</v>
      </c>
      <c r="B668" s="238" t="s">
        <v>1190</v>
      </c>
      <c r="C668" s="238" t="str">
        <f>("1")</f>
        <v>1</v>
      </c>
      <c r="D668" s="238" t="s">
        <v>796</v>
      </c>
      <c r="E668" s="380" t="s">
        <v>4540</v>
      </c>
      <c r="F668" s="380" t="s">
        <v>4541</v>
      </c>
      <c r="G668" s="380">
        <v>6</v>
      </c>
      <c r="H668" s="380" t="s">
        <v>1478</v>
      </c>
    </row>
    <row r="669" spans="1:9" x14ac:dyDescent="0.25">
      <c r="A669" s="247" t="str">
        <f t="shared" si="10"/>
        <v>滝尾下郡サッカースポーツ少年団_2</v>
      </c>
      <c r="B669" s="238" t="s">
        <v>1190</v>
      </c>
      <c r="C669" s="238" t="str">
        <f>("2")</f>
        <v>2</v>
      </c>
      <c r="D669" s="238" t="s">
        <v>235</v>
      </c>
      <c r="E669" s="380" t="s">
        <v>5893</v>
      </c>
      <c r="F669" s="380" t="s">
        <v>6502</v>
      </c>
      <c r="G669" s="380">
        <v>6</v>
      </c>
      <c r="H669" s="380" t="s">
        <v>1478</v>
      </c>
    </row>
    <row r="670" spans="1:9" x14ac:dyDescent="0.25">
      <c r="A670" s="247" t="str">
        <f t="shared" si="10"/>
        <v>滝尾下郡サッカースポーツ少年団_3</v>
      </c>
      <c r="B670" s="238" t="s">
        <v>1190</v>
      </c>
      <c r="C670" s="238" t="str">
        <f>("3")</f>
        <v>3</v>
      </c>
      <c r="D670" s="238" t="s">
        <v>798</v>
      </c>
      <c r="E670" s="380" t="s">
        <v>4538</v>
      </c>
      <c r="F670" s="380" t="s">
        <v>4539</v>
      </c>
      <c r="G670" s="380">
        <v>6</v>
      </c>
      <c r="H670" s="380" t="s">
        <v>1478</v>
      </c>
      <c r="I670" s="380" t="s">
        <v>408</v>
      </c>
    </row>
    <row r="671" spans="1:9" x14ac:dyDescent="0.25">
      <c r="A671" s="247" t="str">
        <f t="shared" si="10"/>
        <v>滝尾下郡サッカースポーツ少年団_4</v>
      </c>
      <c r="B671" s="238" t="s">
        <v>1190</v>
      </c>
      <c r="C671" s="238" t="str">
        <f>("4")</f>
        <v>4</v>
      </c>
      <c r="D671" s="238" t="s">
        <v>798</v>
      </c>
      <c r="E671" s="380" t="s">
        <v>5890</v>
      </c>
      <c r="F671" s="380" t="s">
        <v>6500</v>
      </c>
      <c r="G671" s="380">
        <v>6</v>
      </c>
      <c r="H671" s="380" t="s">
        <v>1478</v>
      </c>
    </row>
    <row r="672" spans="1:9" x14ac:dyDescent="0.25">
      <c r="A672" s="247" t="str">
        <f t="shared" si="10"/>
        <v>滝尾下郡サッカースポーツ少年団_6</v>
      </c>
      <c r="B672" s="238" t="s">
        <v>1190</v>
      </c>
      <c r="C672" s="238" t="str">
        <f>("6")</f>
        <v>6</v>
      </c>
      <c r="D672" s="238" t="s">
        <v>798</v>
      </c>
      <c r="E672" s="380" t="s">
        <v>5891</v>
      </c>
      <c r="F672" s="380" t="s">
        <v>6501</v>
      </c>
      <c r="G672" s="380">
        <v>6</v>
      </c>
      <c r="H672" s="380" t="s">
        <v>1478</v>
      </c>
    </row>
    <row r="673" spans="1:8" x14ac:dyDescent="0.25">
      <c r="A673" s="247" t="str">
        <f t="shared" si="10"/>
        <v>滝尾下郡サッカースポーツ少年団_7</v>
      </c>
      <c r="B673" s="238" t="s">
        <v>1190</v>
      </c>
      <c r="C673" s="238" t="str">
        <f>("7")</f>
        <v>7</v>
      </c>
      <c r="D673" s="238" t="s">
        <v>280</v>
      </c>
      <c r="E673" s="380" t="s">
        <v>8413</v>
      </c>
      <c r="F673" s="380" t="s">
        <v>14690</v>
      </c>
      <c r="G673" s="380">
        <v>5</v>
      </c>
      <c r="H673" s="380" t="s">
        <v>1478</v>
      </c>
    </row>
    <row r="674" spans="1:8" x14ac:dyDescent="0.25">
      <c r="A674" s="247" t="str">
        <f t="shared" si="10"/>
        <v>滝尾下郡サッカースポーツ少年団_9</v>
      </c>
      <c r="B674" s="238" t="s">
        <v>1190</v>
      </c>
      <c r="C674" s="238" t="str">
        <f>("9")</f>
        <v>9</v>
      </c>
      <c r="D674" s="238" t="s">
        <v>235</v>
      </c>
      <c r="E674" s="380" t="s">
        <v>8219</v>
      </c>
      <c r="F674" s="380" t="s">
        <v>14691</v>
      </c>
      <c r="G674" s="380">
        <v>5</v>
      </c>
      <c r="H674" s="380" t="s">
        <v>1478</v>
      </c>
    </row>
    <row r="675" spans="1:8" x14ac:dyDescent="0.25">
      <c r="A675" s="247" t="str">
        <f t="shared" si="10"/>
        <v>滝尾下郡サッカースポーツ少年団_10</v>
      </c>
      <c r="B675" s="238" t="s">
        <v>1190</v>
      </c>
      <c r="C675" s="238" t="str">
        <f>("10")</f>
        <v>10</v>
      </c>
      <c r="D675" s="238" t="s">
        <v>280</v>
      </c>
      <c r="E675" s="380" t="s">
        <v>4019</v>
      </c>
      <c r="F675" s="380" t="s">
        <v>4020</v>
      </c>
      <c r="G675" s="380">
        <v>6</v>
      </c>
      <c r="H675" s="380" t="s">
        <v>1478</v>
      </c>
    </row>
    <row r="676" spans="1:8" x14ac:dyDescent="0.25">
      <c r="A676" s="247" t="str">
        <f t="shared" si="10"/>
        <v>滝尾下郡サッカースポーツ少年団_11</v>
      </c>
      <c r="B676" s="238" t="s">
        <v>1190</v>
      </c>
      <c r="C676" s="238" t="str">
        <f>("11")</f>
        <v>11</v>
      </c>
      <c r="D676" s="238" t="s">
        <v>798</v>
      </c>
      <c r="E676" s="380" t="s">
        <v>8627</v>
      </c>
      <c r="F676" s="380" t="s">
        <v>14692</v>
      </c>
      <c r="G676" s="380">
        <v>6</v>
      </c>
      <c r="H676" s="380" t="s">
        <v>1478</v>
      </c>
    </row>
    <row r="677" spans="1:8" x14ac:dyDescent="0.25">
      <c r="A677" s="247" t="str">
        <f t="shared" si="10"/>
        <v>滝尾下郡サッカースポーツ少年団_12</v>
      </c>
      <c r="B677" s="238" t="s">
        <v>1190</v>
      </c>
      <c r="C677" s="238" t="str">
        <f>("12")</f>
        <v>12</v>
      </c>
      <c r="D677" s="238" t="s">
        <v>798</v>
      </c>
      <c r="E677" s="380" t="s">
        <v>7920</v>
      </c>
      <c r="F677" s="380" t="s">
        <v>14693</v>
      </c>
      <c r="G677" s="380">
        <v>5</v>
      </c>
      <c r="H677" s="380" t="s">
        <v>1478</v>
      </c>
    </row>
    <row r="678" spans="1:8" x14ac:dyDescent="0.25">
      <c r="A678" s="247" t="str">
        <f t="shared" si="10"/>
        <v>滝尾下郡サッカースポーツ少年団_13</v>
      </c>
      <c r="B678" s="238" t="s">
        <v>1190</v>
      </c>
      <c r="C678" s="238" t="str">
        <f>("13")</f>
        <v>13</v>
      </c>
      <c r="D678" s="238" t="s">
        <v>235</v>
      </c>
      <c r="E678" s="380" t="s">
        <v>9594</v>
      </c>
      <c r="F678" s="380" t="s">
        <v>14694</v>
      </c>
      <c r="G678" s="380">
        <v>4</v>
      </c>
      <c r="H678" s="380" t="s">
        <v>1478</v>
      </c>
    </row>
    <row r="679" spans="1:8" x14ac:dyDescent="0.25">
      <c r="A679" s="247" t="str">
        <f t="shared" si="10"/>
        <v>滝尾下郡サッカースポーツ少年団_15</v>
      </c>
      <c r="B679" s="238" t="s">
        <v>1190</v>
      </c>
      <c r="C679" s="238" t="str">
        <f>("15")</f>
        <v>15</v>
      </c>
      <c r="D679" s="238" t="s">
        <v>798</v>
      </c>
      <c r="E679" s="380" t="s">
        <v>9028</v>
      </c>
      <c r="F679" s="380" t="s">
        <v>14695</v>
      </c>
      <c r="G679" s="380">
        <v>4</v>
      </c>
      <c r="H679" s="380" t="s">
        <v>1478</v>
      </c>
    </row>
    <row r="680" spans="1:8" x14ac:dyDescent="0.25">
      <c r="A680" s="247" t="str">
        <f t="shared" si="10"/>
        <v>滝尾下郡サッカースポーツ少年団_16</v>
      </c>
      <c r="B680" s="238" t="s">
        <v>1190</v>
      </c>
      <c r="C680" s="238" t="str">
        <f>("16")</f>
        <v>16</v>
      </c>
      <c r="D680" s="238" t="s">
        <v>235</v>
      </c>
      <c r="E680" s="380" t="s">
        <v>9293</v>
      </c>
      <c r="F680" s="380" t="s">
        <v>14696</v>
      </c>
      <c r="G680" s="380">
        <v>4</v>
      </c>
      <c r="H680" s="380" t="s">
        <v>1478</v>
      </c>
    </row>
    <row r="681" spans="1:8" x14ac:dyDescent="0.25">
      <c r="A681" s="247" t="str">
        <f t="shared" si="10"/>
        <v>滝尾下郡サッカースポーツ少年団_30</v>
      </c>
      <c r="B681" s="238" t="s">
        <v>1190</v>
      </c>
      <c r="C681" s="238" t="str">
        <f>("30")</f>
        <v>30</v>
      </c>
      <c r="D681" s="238" t="s">
        <v>796</v>
      </c>
      <c r="E681" s="380" t="s">
        <v>8108</v>
      </c>
      <c r="F681" s="380" t="s">
        <v>14697</v>
      </c>
      <c r="G681" s="380">
        <v>5</v>
      </c>
      <c r="H681" s="380" t="s">
        <v>1478</v>
      </c>
    </row>
    <row r="682" spans="1:8" x14ac:dyDescent="0.25">
      <c r="A682" s="247" t="str">
        <f t="shared" si="10"/>
        <v>豊府サッカースポーツ少年団_1</v>
      </c>
      <c r="B682" s="238" t="s">
        <v>2243</v>
      </c>
      <c r="C682" s="238" t="str">
        <f>("1")</f>
        <v>1</v>
      </c>
      <c r="D682" s="238" t="s">
        <v>796</v>
      </c>
      <c r="E682" s="380" t="s">
        <v>5895</v>
      </c>
      <c r="F682" s="380" t="s">
        <v>6503</v>
      </c>
      <c r="G682" s="380">
        <v>6</v>
      </c>
      <c r="H682" s="380" t="s">
        <v>1478</v>
      </c>
    </row>
    <row r="683" spans="1:8" x14ac:dyDescent="0.25">
      <c r="A683" s="247" t="str">
        <f t="shared" si="10"/>
        <v>豊府サッカースポーツ少年団_2</v>
      </c>
      <c r="B683" s="238" t="s">
        <v>2243</v>
      </c>
      <c r="C683" s="238" t="str">
        <f>("2")</f>
        <v>2</v>
      </c>
      <c r="D683" s="238" t="s">
        <v>280</v>
      </c>
      <c r="E683" s="380" t="s">
        <v>8372</v>
      </c>
      <c r="F683" s="380" t="s">
        <v>14567</v>
      </c>
      <c r="G683" s="380">
        <v>5</v>
      </c>
      <c r="H683" s="380" t="s">
        <v>1478</v>
      </c>
    </row>
    <row r="684" spans="1:8" x14ac:dyDescent="0.25">
      <c r="A684" s="247" t="str">
        <f t="shared" si="10"/>
        <v>豊府サッカースポーツ少年団_3</v>
      </c>
      <c r="B684" s="238" t="s">
        <v>2243</v>
      </c>
      <c r="C684" s="238" t="str">
        <f>("3")</f>
        <v>3</v>
      </c>
      <c r="D684" s="238" t="s">
        <v>235</v>
      </c>
      <c r="E684" s="380" t="s">
        <v>9121</v>
      </c>
      <c r="F684" s="380" t="s">
        <v>14698</v>
      </c>
      <c r="G684" s="380">
        <v>4</v>
      </c>
      <c r="H684" s="380" t="s">
        <v>1478</v>
      </c>
    </row>
    <row r="685" spans="1:8" x14ac:dyDescent="0.25">
      <c r="A685" s="247" t="str">
        <f t="shared" si="10"/>
        <v>豊府サッカースポーツ少年団_4</v>
      </c>
      <c r="B685" s="238" t="s">
        <v>2243</v>
      </c>
      <c r="C685" s="238" t="str">
        <f>("4")</f>
        <v>4</v>
      </c>
      <c r="D685" s="238" t="s">
        <v>235</v>
      </c>
      <c r="E685" s="380" t="s">
        <v>5897</v>
      </c>
      <c r="F685" s="380" t="s">
        <v>6359</v>
      </c>
      <c r="G685" s="380">
        <v>5</v>
      </c>
      <c r="H685" s="380" t="s">
        <v>1478</v>
      </c>
    </row>
    <row r="686" spans="1:8" x14ac:dyDescent="0.25">
      <c r="A686" s="247" t="str">
        <f t="shared" si="10"/>
        <v>豊府サッカースポーツ少年団_5</v>
      </c>
      <c r="B686" s="238" t="s">
        <v>2243</v>
      </c>
      <c r="C686" s="238" t="str">
        <f>("5")</f>
        <v>5</v>
      </c>
      <c r="D686" s="238" t="s">
        <v>235</v>
      </c>
      <c r="E686" s="380" t="s">
        <v>4550</v>
      </c>
      <c r="F686" s="380" t="s">
        <v>4551</v>
      </c>
      <c r="G686" s="380">
        <v>6</v>
      </c>
      <c r="H686" s="380" t="s">
        <v>1478</v>
      </c>
    </row>
    <row r="687" spans="1:8" x14ac:dyDescent="0.25">
      <c r="A687" s="247" t="str">
        <f t="shared" si="10"/>
        <v>豊府サッカースポーツ少年団_6</v>
      </c>
      <c r="B687" s="238" t="s">
        <v>2243</v>
      </c>
      <c r="C687" s="238" t="str">
        <f>("6")</f>
        <v>6</v>
      </c>
      <c r="D687" s="238" t="s">
        <v>798</v>
      </c>
      <c r="E687" s="380" t="s">
        <v>9010</v>
      </c>
      <c r="F687" s="380" t="s">
        <v>14699</v>
      </c>
      <c r="G687" s="380">
        <v>6</v>
      </c>
      <c r="H687" s="380" t="s">
        <v>1478</v>
      </c>
    </row>
    <row r="688" spans="1:8" x14ac:dyDescent="0.25">
      <c r="A688" s="247" t="str">
        <f t="shared" si="10"/>
        <v>豊府サッカースポーツ少年団_7</v>
      </c>
      <c r="B688" s="238" t="s">
        <v>2243</v>
      </c>
      <c r="C688" s="238" t="str">
        <f>("7")</f>
        <v>7</v>
      </c>
      <c r="D688" s="238" t="s">
        <v>798</v>
      </c>
      <c r="E688" s="380" t="s">
        <v>5896</v>
      </c>
      <c r="F688" s="380" t="s">
        <v>6504</v>
      </c>
      <c r="G688" s="380">
        <v>5</v>
      </c>
      <c r="H688" s="380" t="s">
        <v>1478</v>
      </c>
    </row>
    <row r="689" spans="1:9" x14ac:dyDescent="0.25">
      <c r="A689" s="247" t="str">
        <f t="shared" si="10"/>
        <v>豊府サッカースポーツ少年団_8</v>
      </c>
      <c r="B689" s="238" t="s">
        <v>2243</v>
      </c>
      <c r="C689" s="238" t="str">
        <f>("8")</f>
        <v>8</v>
      </c>
      <c r="D689" s="238" t="s">
        <v>280</v>
      </c>
      <c r="E689" s="380" t="s">
        <v>8066</v>
      </c>
      <c r="F689" s="380" t="s">
        <v>14700</v>
      </c>
      <c r="G689" s="380">
        <v>5</v>
      </c>
      <c r="H689" s="380" t="s">
        <v>1478</v>
      </c>
    </row>
    <row r="690" spans="1:9" x14ac:dyDescent="0.25">
      <c r="A690" s="247" t="str">
        <f t="shared" si="10"/>
        <v>豊府サッカースポーツ少年団_9</v>
      </c>
      <c r="B690" s="238" t="s">
        <v>2243</v>
      </c>
      <c r="C690" s="238" t="str">
        <f>("9")</f>
        <v>9</v>
      </c>
      <c r="D690" s="238" t="s">
        <v>280</v>
      </c>
      <c r="E690" s="380" t="s">
        <v>8085</v>
      </c>
      <c r="F690" s="380" t="s">
        <v>14701</v>
      </c>
      <c r="G690" s="380">
        <v>5</v>
      </c>
      <c r="H690" s="380" t="s">
        <v>1478</v>
      </c>
    </row>
    <row r="691" spans="1:9" x14ac:dyDescent="0.25">
      <c r="A691" s="247" t="str">
        <f t="shared" si="10"/>
        <v>豊府サッカースポーツ少年団_10</v>
      </c>
      <c r="B691" s="238" t="s">
        <v>2243</v>
      </c>
      <c r="C691" s="238" t="str">
        <f>("10")</f>
        <v>10</v>
      </c>
      <c r="D691" s="238" t="s">
        <v>798</v>
      </c>
      <c r="E691" s="380" t="s">
        <v>4548</v>
      </c>
      <c r="F691" s="380" t="s">
        <v>4549</v>
      </c>
      <c r="G691" s="380">
        <v>6</v>
      </c>
      <c r="H691" s="380" t="s">
        <v>1478</v>
      </c>
      <c r="I691" s="380" t="s">
        <v>408</v>
      </c>
    </row>
    <row r="692" spans="1:9" x14ac:dyDescent="0.25">
      <c r="A692" s="247" t="str">
        <f t="shared" si="10"/>
        <v>豊府サッカースポーツ少年団_11</v>
      </c>
      <c r="B692" s="238" t="s">
        <v>2243</v>
      </c>
      <c r="C692" s="238" t="str">
        <f>("11")</f>
        <v>11</v>
      </c>
      <c r="D692" s="238" t="s">
        <v>280</v>
      </c>
      <c r="E692" s="380" t="s">
        <v>4552</v>
      </c>
      <c r="F692" s="380" t="s">
        <v>4553</v>
      </c>
      <c r="G692" s="380">
        <v>6</v>
      </c>
      <c r="H692" s="380" t="s">
        <v>1478</v>
      </c>
    </row>
    <row r="693" spans="1:9" x14ac:dyDescent="0.25">
      <c r="A693" s="247" t="str">
        <f t="shared" si="10"/>
        <v>豊府サッカースポーツ少年団_12</v>
      </c>
      <c r="B693" s="238" t="s">
        <v>2243</v>
      </c>
      <c r="C693" s="238" t="str">
        <f>("12")</f>
        <v>12</v>
      </c>
      <c r="D693" s="238" t="s">
        <v>796</v>
      </c>
      <c r="E693" s="380" t="s">
        <v>8027</v>
      </c>
      <c r="F693" s="380" t="s">
        <v>14702</v>
      </c>
      <c r="G693" s="380">
        <v>5</v>
      </c>
      <c r="H693" s="380" t="s">
        <v>1478</v>
      </c>
    </row>
    <row r="694" spans="1:9" x14ac:dyDescent="0.25">
      <c r="A694" s="247" t="str">
        <f t="shared" si="10"/>
        <v>豊府サッカースポーツ少年団_13</v>
      </c>
      <c r="B694" s="238" t="s">
        <v>2243</v>
      </c>
      <c r="C694" s="238" t="str">
        <f>("13")</f>
        <v>13</v>
      </c>
      <c r="D694" s="238" t="s">
        <v>798</v>
      </c>
      <c r="E694" s="380" t="s">
        <v>8456</v>
      </c>
      <c r="F694" s="380" t="s">
        <v>14703</v>
      </c>
      <c r="G694" s="380">
        <v>5</v>
      </c>
      <c r="H694" s="380" t="s">
        <v>1478</v>
      </c>
    </row>
    <row r="695" spans="1:9" x14ac:dyDescent="0.25">
      <c r="A695" s="247" t="str">
        <f t="shared" si="10"/>
        <v>豊府サッカースポーツ少年団_14</v>
      </c>
      <c r="B695" s="238" t="s">
        <v>2243</v>
      </c>
      <c r="C695" s="238" t="str">
        <f>("14")</f>
        <v>14</v>
      </c>
      <c r="D695" s="238" t="s">
        <v>798</v>
      </c>
      <c r="E695" s="380" t="s">
        <v>9563</v>
      </c>
      <c r="F695" s="380" t="s">
        <v>14704</v>
      </c>
      <c r="G695" s="380">
        <v>4</v>
      </c>
      <c r="H695" s="380" t="s">
        <v>1478</v>
      </c>
    </row>
    <row r="696" spans="1:9" x14ac:dyDescent="0.25">
      <c r="A696" s="247" t="str">
        <f t="shared" si="10"/>
        <v>宗方サッカークラブ_1</v>
      </c>
      <c r="B696" s="238" t="s">
        <v>1344</v>
      </c>
      <c r="C696" s="238" t="str">
        <f>("1")</f>
        <v>1</v>
      </c>
      <c r="D696" s="238" t="s">
        <v>796</v>
      </c>
      <c r="E696" s="380" t="s">
        <v>4567</v>
      </c>
      <c r="F696" s="380" t="s">
        <v>4568</v>
      </c>
      <c r="G696" s="380">
        <v>6</v>
      </c>
      <c r="H696" s="380" t="s">
        <v>1478</v>
      </c>
    </row>
    <row r="697" spans="1:9" x14ac:dyDescent="0.25">
      <c r="A697" s="247" t="str">
        <f t="shared" si="10"/>
        <v>宗方サッカークラブ_2</v>
      </c>
      <c r="B697" s="238" t="s">
        <v>1344</v>
      </c>
      <c r="C697" s="238" t="str">
        <f>("2")</f>
        <v>2</v>
      </c>
      <c r="D697" s="238" t="s">
        <v>235</v>
      </c>
      <c r="E697" s="380" t="s">
        <v>8543</v>
      </c>
      <c r="F697" s="380" t="s">
        <v>14705</v>
      </c>
      <c r="G697" s="380">
        <v>5</v>
      </c>
      <c r="H697" s="380" t="s">
        <v>1478</v>
      </c>
    </row>
    <row r="698" spans="1:9" x14ac:dyDescent="0.25">
      <c r="A698" s="247" t="str">
        <f t="shared" si="10"/>
        <v>宗方サッカークラブ_3</v>
      </c>
      <c r="B698" s="238" t="s">
        <v>1344</v>
      </c>
      <c r="C698" s="238" t="str">
        <f>("3")</f>
        <v>3</v>
      </c>
      <c r="D698" s="238" t="s">
        <v>798</v>
      </c>
      <c r="E698" s="380" t="s">
        <v>8509</v>
      </c>
      <c r="F698" s="380" t="s">
        <v>14706</v>
      </c>
      <c r="G698" s="380">
        <v>5</v>
      </c>
      <c r="H698" s="380" t="s">
        <v>1480</v>
      </c>
    </row>
    <row r="699" spans="1:9" x14ac:dyDescent="0.25">
      <c r="A699" s="247" t="str">
        <f t="shared" si="10"/>
        <v>宗方サッカークラブ_4</v>
      </c>
      <c r="B699" s="238" t="s">
        <v>1344</v>
      </c>
      <c r="C699" s="238" t="str">
        <f>("4")</f>
        <v>4</v>
      </c>
      <c r="D699" s="238" t="s">
        <v>235</v>
      </c>
      <c r="E699" s="380" t="s">
        <v>5898</v>
      </c>
      <c r="F699" s="380" t="s">
        <v>6505</v>
      </c>
      <c r="G699" s="380">
        <v>5</v>
      </c>
      <c r="H699" s="380" t="s">
        <v>1480</v>
      </c>
    </row>
    <row r="700" spans="1:9" x14ac:dyDescent="0.25">
      <c r="A700" s="247" t="str">
        <f t="shared" si="10"/>
        <v>宗方サッカークラブ_5</v>
      </c>
      <c r="B700" s="238" t="s">
        <v>1344</v>
      </c>
      <c r="C700" s="238" t="str">
        <f>("5")</f>
        <v>5</v>
      </c>
      <c r="D700" s="238" t="s">
        <v>235</v>
      </c>
      <c r="E700" s="380" t="s">
        <v>4557</v>
      </c>
      <c r="F700" s="380" t="s">
        <v>4558</v>
      </c>
      <c r="G700" s="380">
        <v>6</v>
      </c>
      <c r="H700" s="380" t="s">
        <v>1478</v>
      </c>
      <c r="I700" s="380" t="s">
        <v>408</v>
      </c>
    </row>
    <row r="701" spans="1:9" x14ac:dyDescent="0.25">
      <c r="A701" s="247" t="str">
        <f t="shared" si="10"/>
        <v>宗方サッカークラブ_6</v>
      </c>
      <c r="B701" s="238" t="s">
        <v>1344</v>
      </c>
      <c r="C701" s="238" t="str">
        <f>("6")</f>
        <v>6</v>
      </c>
      <c r="D701" s="238" t="s">
        <v>280</v>
      </c>
      <c r="E701" s="380" t="s">
        <v>8360</v>
      </c>
      <c r="F701" s="380" t="s">
        <v>14707</v>
      </c>
      <c r="G701" s="380">
        <v>5</v>
      </c>
      <c r="H701" s="380" t="s">
        <v>1478</v>
      </c>
    </row>
    <row r="702" spans="1:9" x14ac:dyDescent="0.25">
      <c r="A702" s="247" t="str">
        <f t="shared" si="10"/>
        <v>宗方サッカークラブ_7</v>
      </c>
      <c r="B702" s="238" t="s">
        <v>1344</v>
      </c>
      <c r="C702" s="238" t="str">
        <f>("7")</f>
        <v>7</v>
      </c>
      <c r="D702" s="238" t="s">
        <v>798</v>
      </c>
      <c r="E702" s="380" t="s">
        <v>4559</v>
      </c>
      <c r="F702" s="380" t="s">
        <v>4560</v>
      </c>
      <c r="G702" s="380">
        <v>6</v>
      </c>
      <c r="H702" s="380" t="s">
        <v>1478</v>
      </c>
    </row>
    <row r="703" spans="1:9" x14ac:dyDescent="0.25">
      <c r="A703" s="247" t="str">
        <f t="shared" si="10"/>
        <v>宗方サッカークラブ_8</v>
      </c>
      <c r="B703" s="238" t="s">
        <v>1344</v>
      </c>
      <c r="C703" s="238" t="str">
        <f>("8")</f>
        <v>8</v>
      </c>
      <c r="D703" s="238" t="s">
        <v>235</v>
      </c>
      <c r="E703" s="380" t="s">
        <v>8773</v>
      </c>
      <c r="F703" s="380" t="s">
        <v>14708</v>
      </c>
      <c r="G703" s="380">
        <v>6</v>
      </c>
      <c r="H703" s="380" t="s">
        <v>1478</v>
      </c>
    </row>
    <row r="704" spans="1:9" x14ac:dyDescent="0.25">
      <c r="A704" s="247" t="str">
        <f t="shared" si="10"/>
        <v>宗方サッカークラブ_9</v>
      </c>
      <c r="B704" s="238" t="s">
        <v>1344</v>
      </c>
      <c r="C704" s="238" t="str">
        <f>("9")</f>
        <v>9</v>
      </c>
      <c r="D704" s="238" t="s">
        <v>798</v>
      </c>
      <c r="E704" s="380" t="s">
        <v>4561</v>
      </c>
      <c r="F704" s="380" t="s">
        <v>4562</v>
      </c>
      <c r="G704" s="380">
        <v>6</v>
      </c>
      <c r="H704" s="380" t="s">
        <v>1478</v>
      </c>
    </row>
    <row r="705" spans="1:8" x14ac:dyDescent="0.25">
      <c r="A705" s="247" t="str">
        <f t="shared" ref="A705:A768" si="11">CONCATENATE(B705,"_",C705)</f>
        <v>宗方サッカークラブ_10</v>
      </c>
      <c r="B705" s="238" t="s">
        <v>1344</v>
      </c>
      <c r="C705" s="238" t="str">
        <f>("10")</f>
        <v>10</v>
      </c>
      <c r="D705" s="238" t="s">
        <v>280</v>
      </c>
      <c r="E705" s="380" t="s">
        <v>4563</v>
      </c>
      <c r="F705" s="380" t="s">
        <v>4564</v>
      </c>
      <c r="G705" s="380">
        <v>5</v>
      </c>
      <c r="H705" s="380" t="s">
        <v>1478</v>
      </c>
    </row>
    <row r="706" spans="1:8" x14ac:dyDescent="0.25">
      <c r="A706" s="247" t="str">
        <f t="shared" si="11"/>
        <v>宗方サッカークラブ_11</v>
      </c>
      <c r="B706" s="238" t="s">
        <v>1344</v>
      </c>
      <c r="C706" s="238" t="str">
        <f>("11")</f>
        <v>11</v>
      </c>
      <c r="D706" s="238" t="s">
        <v>798</v>
      </c>
      <c r="E706" s="380" t="s">
        <v>4565</v>
      </c>
      <c r="F706" s="380" t="s">
        <v>4566</v>
      </c>
      <c r="G706" s="380">
        <v>5</v>
      </c>
      <c r="H706" s="380" t="s">
        <v>1478</v>
      </c>
    </row>
    <row r="707" spans="1:8" x14ac:dyDescent="0.25">
      <c r="A707" s="247" t="str">
        <f t="shared" si="11"/>
        <v>宗方サッカークラブ_12</v>
      </c>
      <c r="B707" s="238" t="s">
        <v>1344</v>
      </c>
      <c r="C707" s="238" t="str">
        <f>("12")</f>
        <v>12</v>
      </c>
      <c r="D707" s="238" t="s">
        <v>798</v>
      </c>
      <c r="E707" s="380" t="s">
        <v>8424</v>
      </c>
      <c r="F707" s="380" t="s">
        <v>14709</v>
      </c>
      <c r="G707" s="380">
        <v>5</v>
      </c>
      <c r="H707" s="380" t="s">
        <v>1478</v>
      </c>
    </row>
    <row r="708" spans="1:8" x14ac:dyDescent="0.25">
      <c r="A708" s="247" t="str">
        <f t="shared" si="11"/>
        <v>宗方サッカークラブ_13</v>
      </c>
      <c r="B708" s="238" t="s">
        <v>1344</v>
      </c>
      <c r="C708" s="238" t="str">
        <f>("13")</f>
        <v>13</v>
      </c>
      <c r="D708" s="238" t="s">
        <v>798</v>
      </c>
      <c r="E708" s="380" t="s">
        <v>9331</v>
      </c>
      <c r="F708" s="380" t="s">
        <v>14710</v>
      </c>
      <c r="G708" s="380">
        <v>4</v>
      </c>
      <c r="H708" s="380" t="s">
        <v>1478</v>
      </c>
    </row>
    <row r="709" spans="1:8" x14ac:dyDescent="0.25">
      <c r="A709" s="247" t="str">
        <f t="shared" si="11"/>
        <v>宗方サッカークラブ_14</v>
      </c>
      <c r="B709" s="238" t="s">
        <v>1344</v>
      </c>
      <c r="C709" s="238" t="str">
        <f>("14")</f>
        <v>14</v>
      </c>
      <c r="D709" s="238" t="s">
        <v>798</v>
      </c>
      <c r="E709" s="380" t="s">
        <v>9535</v>
      </c>
      <c r="F709" s="380" t="s">
        <v>14711</v>
      </c>
      <c r="G709" s="380">
        <v>4</v>
      </c>
      <c r="H709" s="380" t="s">
        <v>1478</v>
      </c>
    </row>
    <row r="710" spans="1:8" x14ac:dyDescent="0.25">
      <c r="A710" s="247" t="str">
        <f t="shared" si="11"/>
        <v>宗方サッカークラブ_15</v>
      </c>
      <c r="B710" s="238" t="s">
        <v>1344</v>
      </c>
      <c r="C710" s="238" t="str">
        <f>("15")</f>
        <v>15</v>
      </c>
      <c r="D710" s="238" t="s">
        <v>235</v>
      </c>
      <c r="E710" s="380" t="s">
        <v>9167</v>
      </c>
      <c r="F710" s="380" t="s">
        <v>14712</v>
      </c>
      <c r="G710" s="380">
        <v>4</v>
      </c>
      <c r="H710" s="380" t="s">
        <v>1478</v>
      </c>
    </row>
    <row r="711" spans="1:8" x14ac:dyDescent="0.25">
      <c r="A711" s="247" t="str">
        <f t="shared" si="11"/>
        <v>宗方サッカークラブ_16</v>
      </c>
      <c r="B711" s="238" t="s">
        <v>1344</v>
      </c>
      <c r="C711" s="238" t="str">
        <f>("16")</f>
        <v>16</v>
      </c>
      <c r="D711" s="238" t="s">
        <v>798</v>
      </c>
      <c r="E711" s="380" t="s">
        <v>9319</v>
      </c>
      <c r="F711" s="380" t="s">
        <v>14713</v>
      </c>
      <c r="G711" s="380">
        <v>4</v>
      </c>
      <c r="H711" s="380" t="s">
        <v>1478</v>
      </c>
    </row>
    <row r="712" spans="1:8" x14ac:dyDescent="0.25">
      <c r="A712" s="247" t="str">
        <f t="shared" si="11"/>
        <v>宗方サッカークラブ_17</v>
      </c>
      <c r="B712" s="238" t="s">
        <v>1344</v>
      </c>
      <c r="C712" s="238" t="str">
        <f>("17")</f>
        <v>17</v>
      </c>
      <c r="D712" s="238" t="s">
        <v>280</v>
      </c>
      <c r="E712" s="380" t="s">
        <v>9344</v>
      </c>
      <c r="F712" s="380" t="s">
        <v>14714</v>
      </c>
      <c r="G712" s="380">
        <v>4</v>
      </c>
      <c r="H712" s="380" t="s">
        <v>1478</v>
      </c>
    </row>
    <row r="713" spans="1:8" x14ac:dyDescent="0.25">
      <c r="A713" s="247" t="str">
        <f t="shared" si="11"/>
        <v>宗方サッカークラブ_21</v>
      </c>
      <c r="B713" s="238" t="s">
        <v>1344</v>
      </c>
      <c r="C713" s="238" t="str">
        <f>("21")</f>
        <v>21</v>
      </c>
      <c r="D713" s="238" t="s">
        <v>796</v>
      </c>
      <c r="E713" s="380" t="s">
        <v>5899</v>
      </c>
      <c r="F713" s="380" t="s">
        <v>6506</v>
      </c>
      <c r="G713" s="380">
        <v>5</v>
      </c>
      <c r="H713" s="380" t="s">
        <v>1478</v>
      </c>
    </row>
    <row r="714" spans="1:8" x14ac:dyDescent="0.25">
      <c r="A714" s="247" t="str">
        <f t="shared" si="11"/>
        <v>明治サッカースポーツ少年団_1</v>
      </c>
      <c r="B714" s="238" t="s">
        <v>1330</v>
      </c>
      <c r="C714" s="238" t="str">
        <f>("1")</f>
        <v>1</v>
      </c>
      <c r="D714" s="238" t="s">
        <v>796</v>
      </c>
      <c r="E714" s="380" t="s">
        <v>8010</v>
      </c>
      <c r="F714" s="380" t="s">
        <v>14715</v>
      </c>
      <c r="G714" s="380">
        <v>5</v>
      </c>
      <c r="H714" s="380" t="s">
        <v>1478</v>
      </c>
    </row>
    <row r="715" spans="1:8" x14ac:dyDescent="0.25">
      <c r="A715" s="247" t="str">
        <f t="shared" si="11"/>
        <v>明治サッカースポーツ少年団_2</v>
      </c>
      <c r="B715" s="238" t="s">
        <v>1330</v>
      </c>
      <c r="C715" s="238" t="str">
        <f>("2")</f>
        <v>2</v>
      </c>
      <c r="D715" s="238" t="s">
        <v>280</v>
      </c>
      <c r="E715" s="380" t="s">
        <v>8210</v>
      </c>
      <c r="F715" s="380" t="s">
        <v>14716</v>
      </c>
      <c r="G715" s="380">
        <v>5</v>
      </c>
      <c r="H715" s="380" t="s">
        <v>1478</v>
      </c>
    </row>
    <row r="716" spans="1:8" x14ac:dyDescent="0.25">
      <c r="A716" s="247" t="str">
        <f t="shared" si="11"/>
        <v>明治サッカースポーツ少年団_3</v>
      </c>
      <c r="B716" s="238" t="s">
        <v>1330</v>
      </c>
      <c r="C716" s="238" t="str">
        <f>("3")</f>
        <v>3</v>
      </c>
      <c r="D716" s="238" t="s">
        <v>235</v>
      </c>
      <c r="E716" s="380" t="s">
        <v>8147</v>
      </c>
      <c r="F716" s="380" t="s">
        <v>14717</v>
      </c>
      <c r="G716" s="380">
        <v>5</v>
      </c>
      <c r="H716" s="380" t="s">
        <v>1478</v>
      </c>
    </row>
    <row r="717" spans="1:8" x14ac:dyDescent="0.25">
      <c r="A717" s="247" t="str">
        <f t="shared" si="11"/>
        <v>明治サッカースポーツ少年団_4</v>
      </c>
      <c r="B717" s="238" t="s">
        <v>1330</v>
      </c>
      <c r="C717" s="238" t="str">
        <f>("4")</f>
        <v>4</v>
      </c>
      <c r="D717" s="238" t="s">
        <v>235</v>
      </c>
      <c r="E717" s="380" t="s">
        <v>8111</v>
      </c>
      <c r="F717" s="380" t="s">
        <v>14718</v>
      </c>
      <c r="G717" s="380">
        <v>5</v>
      </c>
      <c r="H717" s="380" t="s">
        <v>1478</v>
      </c>
    </row>
    <row r="718" spans="1:8" x14ac:dyDescent="0.25">
      <c r="A718" s="247" t="str">
        <f t="shared" si="11"/>
        <v>明治サッカースポーツ少年団_5</v>
      </c>
      <c r="B718" s="238" t="s">
        <v>1330</v>
      </c>
      <c r="C718" s="238" t="str">
        <f>("5")</f>
        <v>5</v>
      </c>
      <c r="D718" s="238" t="s">
        <v>798</v>
      </c>
      <c r="E718" s="380" t="s">
        <v>8065</v>
      </c>
      <c r="F718" s="380" t="s">
        <v>14719</v>
      </c>
      <c r="G718" s="380">
        <v>5</v>
      </c>
      <c r="H718" s="380" t="s">
        <v>1478</v>
      </c>
    </row>
    <row r="719" spans="1:8" x14ac:dyDescent="0.25">
      <c r="A719" s="247" t="str">
        <f t="shared" si="11"/>
        <v>明治サッカースポーツ少年団_6</v>
      </c>
      <c r="B719" s="238" t="s">
        <v>1330</v>
      </c>
      <c r="C719" s="238" t="str">
        <f>("6")</f>
        <v>6</v>
      </c>
      <c r="D719" s="238" t="s">
        <v>235</v>
      </c>
      <c r="E719" s="380" t="s">
        <v>4578</v>
      </c>
      <c r="F719" s="380" t="s">
        <v>4579</v>
      </c>
      <c r="G719" s="380">
        <v>5</v>
      </c>
      <c r="H719" s="380" t="s">
        <v>1478</v>
      </c>
    </row>
    <row r="720" spans="1:8" x14ac:dyDescent="0.25">
      <c r="A720" s="247" t="str">
        <f t="shared" si="11"/>
        <v>明治サッカースポーツ少年団_7</v>
      </c>
      <c r="B720" s="238" t="s">
        <v>1330</v>
      </c>
      <c r="C720" s="238" t="str">
        <f>("7")</f>
        <v>7</v>
      </c>
      <c r="D720" s="238" t="s">
        <v>798</v>
      </c>
      <c r="E720" s="380" t="s">
        <v>8260</v>
      </c>
      <c r="F720" s="380" t="s">
        <v>14720</v>
      </c>
      <c r="G720" s="380">
        <v>5</v>
      </c>
      <c r="H720" s="380" t="s">
        <v>1478</v>
      </c>
    </row>
    <row r="721" spans="1:9" x14ac:dyDescent="0.25">
      <c r="A721" s="247" t="str">
        <f t="shared" si="11"/>
        <v>明治サッカースポーツ少年団_8</v>
      </c>
      <c r="B721" s="238" t="s">
        <v>1330</v>
      </c>
      <c r="C721" s="238" t="str">
        <f>("8")</f>
        <v>8</v>
      </c>
      <c r="D721" s="238" t="s">
        <v>235</v>
      </c>
      <c r="E721" s="380" t="s">
        <v>4573</v>
      </c>
      <c r="F721" s="380" t="s">
        <v>4574</v>
      </c>
      <c r="G721" s="380">
        <v>5</v>
      </c>
      <c r="H721" s="380" t="s">
        <v>1478</v>
      </c>
    </row>
    <row r="722" spans="1:9" x14ac:dyDescent="0.25">
      <c r="A722" s="247" t="str">
        <f t="shared" si="11"/>
        <v>明治サッカースポーツ少年団_9</v>
      </c>
      <c r="B722" s="238" t="s">
        <v>1330</v>
      </c>
      <c r="C722" s="238" t="str">
        <f>("9")</f>
        <v>9</v>
      </c>
      <c r="D722" s="238" t="s">
        <v>798</v>
      </c>
      <c r="E722" s="380" t="s">
        <v>5902</v>
      </c>
      <c r="F722" s="380" t="s">
        <v>6508</v>
      </c>
      <c r="G722" s="380">
        <v>5</v>
      </c>
      <c r="H722" s="380" t="s">
        <v>1478</v>
      </c>
    </row>
    <row r="723" spans="1:9" x14ac:dyDescent="0.25">
      <c r="A723" s="247" t="str">
        <f t="shared" si="11"/>
        <v>明治サッカースポーツ少年団_10</v>
      </c>
      <c r="B723" s="238" t="s">
        <v>1330</v>
      </c>
      <c r="C723" s="238" t="str">
        <f>("10")</f>
        <v>10</v>
      </c>
      <c r="D723" s="238" t="s">
        <v>280</v>
      </c>
      <c r="E723" s="380" t="s">
        <v>8762</v>
      </c>
      <c r="F723" s="380" t="s">
        <v>14721</v>
      </c>
      <c r="G723" s="380">
        <v>6</v>
      </c>
      <c r="H723" s="380" t="s">
        <v>1478</v>
      </c>
      <c r="I723" s="380" t="s">
        <v>408</v>
      </c>
    </row>
    <row r="724" spans="1:9" x14ac:dyDescent="0.25">
      <c r="A724" s="247" t="str">
        <f t="shared" si="11"/>
        <v>明治サッカースポーツ少年団_11</v>
      </c>
      <c r="B724" s="238" t="s">
        <v>1330</v>
      </c>
      <c r="C724" s="238" t="str">
        <f>("11")</f>
        <v>11</v>
      </c>
      <c r="D724" s="238" t="s">
        <v>798</v>
      </c>
      <c r="E724" s="380" t="s">
        <v>4580</v>
      </c>
      <c r="F724" s="380" t="s">
        <v>864</v>
      </c>
      <c r="G724" s="380">
        <v>5</v>
      </c>
      <c r="H724" s="380" t="s">
        <v>1478</v>
      </c>
    </row>
    <row r="725" spans="1:9" x14ac:dyDescent="0.25">
      <c r="A725" s="247" t="str">
        <f t="shared" si="11"/>
        <v>明治サッカースポーツ少年団_12</v>
      </c>
      <c r="B725" s="238" t="s">
        <v>1330</v>
      </c>
      <c r="C725" s="238" t="str">
        <f>("12")</f>
        <v>12</v>
      </c>
      <c r="D725" s="238" t="s">
        <v>280</v>
      </c>
      <c r="E725" s="380" t="s">
        <v>8062</v>
      </c>
      <c r="F725" s="380" t="s">
        <v>14722</v>
      </c>
      <c r="G725" s="380">
        <v>5</v>
      </c>
      <c r="H725" s="380" t="s">
        <v>1480</v>
      </c>
    </row>
    <row r="726" spans="1:9" x14ac:dyDescent="0.25">
      <c r="A726" s="247" t="str">
        <f t="shared" si="11"/>
        <v>明治サッカースポーツ少年団_13</v>
      </c>
      <c r="B726" s="238" t="s">
        <v>1330</v>
      </c>
      <c r="C726" s="238" t="str">
        <f>("13")</f>
        <v>13</v>
      </c>
      <c r="D726" s="238" t="s">
        <v>280</v>
      </c>
      <c r="E726" s="380" t="s">
        <v>4576</v>
      </c>
      <c r="F726" s="380" t="s">
        <v>4577</v>
      </c>
      <c r="G726" s="380">
        <v>5</v>
      </c>
      <c r="H726" s="380" t="s">
        <v>1478</v>
      </c>
    </row>
    <row r="727" spans="1:9" x14ac:dyDescent="0.25">
      <c r="A727" s="247" t="str">
        <f t="shared" si="11"/>
        <v>明治サッカースポーツ少年団_14</v>
      </c>
      <c r="B727" s="238" t="s">
        <v>1330</v>
      </c>
      <c r="C727" s="238" t="str">
        <f>("14")</f>
        <v>14</v>
      </c>
      <c r="D727" s="238" t="s">
        <v>798</v>
      </c>
      <c r="E727" s="380" t="s">
        <v>8145</v>
      </c>
      <c r="F727" s="380" t="s">
        <v>14723</v>
      </c>
      <c r="G727" s="380">
        <v>5</v>
      </c>
      <c r="H727" s="380" t="s">
        <v>1478</v>
      </c>
    </row>
    <row r="728" spans="1:9" x14ac:dyDescent="0.25">
      <c r="A728" s="247" t="str">
        <f t="shared" si="11"/>
        <v>明治サッカースポーツ少年団_15</v>
      </c>
      <c r="B728" s="238" t="s">
        <v>1330</v>
      </c>
      <c r="C728" s="238" t="str">
        <f>("15")</f>
        <v>15</v>
      </c>
      <c r="D728" s="238" t="s">
        <v>280</v>
      </c>
      <c r="E728" s="380" t="s">
        <v>8419</v>
      </c>
      <c r="F728" s="380" t="s">
        <v>14724</v>
      </c>
      <c r="G728" s="380">
        <v>5</v>
      </c>
      <c r="H728" s="380" t="s">
        <v>1478</v>
      </c>
    </row>
    <row r="729" spans="1:9" x14ac:dyDescent="0.25">
      <c r="A729" s="247" t="str">
        <f t="shared" si="11"/>
        <v>明治サッカースポーツ少年団_18</v>
      </c>
      <c r="B729" s="238" t="s">
        <v>1330</v>
      </c>
      <c r="C729" s="238" t="str">
        <f>("18")</f>
        <v>18</v>
      </c>
      <c r="D729" s="238" t="s">
        <v>796</v>
      </c>
      <c r="E729" s="380" t="s">
        <v>7919</v>
      </c>
      <c r="F729" s="380" t="s">
        <v>14725</v>
      </c>
      <c r="G729" s="380">
        <v>5</v>
      </c>
      <c r="H729" s="380" t="s">
        <v>1478</v>
      </c>
    </row>
    <row r="730" spans="1:9" x14ac:dyDescent="0.25">
      <c r="A730" s="247" t="str">
        <f t="shared" si="11"/>
        <v>明野西ＪＦＣ_1</v>
      </c>
      <c r="B730" s="238" t="s">
        <v>639</v>
      </c>
      <c r="C730" s="238" t="str">
        <f>("1")</f>
        <v>1</v>
      </c>
      <c r="D730" s="238" t="s">
        <v>796</v>
      </c>
      <c r="E730" s="380" t="s">
        <v>4587</v>
      </c>
      <c r="F730" s="380" t="s">
        <v>4588</v>
      </c>
      <c r="G730" s="380">
        <v>6</v>
      </c>
      <c r="H730" s="380" t="s">
        <v>1478</v>
      </c>
    </row>
    <row r="731" spans="1:9" x14ac:dyDescent="0.25">
      <c r="A731" s="247" t="str">
        <f t="shared" si="11"/>
        <v>明野西ＪＦＣ_2</v>
      </c>
      <c r="B731" s="238" t="s">
        <v>639</v>
      </c>
      <c r="C731" s="238" t="str">
        <f>("2")</f>
        <v>2</v>
      </c>
      <c r="D731" s="238" t="s">
        <v>235</v>
      </c>
      <c r="E731" s="380" t="s">
        <v>8481</v>
      </c>
      <c r="F731" s="380" t="s">
        <v>14726</v>
      </c>
      <c r="G731" s="380">
        <v>5</v>
      </c>
      <c r="H731" s="380" t="s">
        <v>1478</v>
      </c>
    </row>
    <row r="732" spans="1:9" x14ac:dyDescent="0.25">
      <c r="A732" s="247" t="str">
        <f t="shared" si="11"/>
        <v>明野西ＪＦＣ_4</v>
      </c>
      <c r="B732" s="238" t="s">
        <v>639</v>
      </c>
      <c r="C732" s="238" t="str">
        <f>("4")</f>
        <v>4</v>
      </c>
      <c r="D732" s="238" t="s">
        <v>235</v>
      </c>
      <c r="E732" s="380" t="s">
        <v>8480</v>
      </c>
      <c r="F732" s="380" t="s">
        <v>14727</v>
      </c>
      <c r="G732" s="380">
        <v>5</v>
      </c>
      <c r="H732" s="380" t="s">
        <v>1478</v>
      </c>
    </row>
    <row r="733" spans="1:9" x14ac:dyDescent="0.25">
      <c r="A733" s="247" t="str">
        <f t="shared" si="11"/>
        <v>明野西ＪＦＣ_5</v>
      </c>
      <c r="B733" s="238" t="s">
        <v>639</v>
      </c>
      <c r="C733" s="238" t="str">
        <f>("5")</f>
        <v>5</v>
      </c>
      <c r="D733" s="238" t="s">
        <v>235</v>
      </c>
      <c r="E733" s="380" t="s">
        <v>5912</v>
      </c>
      <c r="F733" s="380" t="s">
        <v>6510</v>
      </c>
      <c r="G733" s="380">
        <v>6</v>
      </c>
      <c r="H733" s="380" t="s">
        <v>1478</v>
      </c>
    </row>
    <row r="734" spans="1:9" x14ac:dyDescent="0.25">
      <c r="A734" s="247" t="str">
        <f t="shared" si="11"/>
        <v>明野西ＪＦＣ_6</v>
      </c>
      <c r="B734" s="238" t="s">
        <v>639</v>
      </c>
      <c r="C734" s="238" t="str">
        <f>("6")</f>
        <v>6</v>
      </c>
      <c r="D734" s="238" t="s">
        <v>798</v>
      </c>
      <c r="E734" s="380" t="s">
        <v>4589</v>
      </c>
      <c r="F734" s="380" t="s">
        <v>4590</v>
      </c>
      <c r="G734" s="380">
        <v>6</v>
      </c>
      <c r="H734" s="380" t="s">
        <v>1478</v>
      </c>
    </row>
    <row r="735" spans="1:9" x14ac:dyDescent="0.25">
      <c r="A735" s="247" t="str">
        <f t="shared" si="11"/>
        <v>明野西ＪＦＣ_7</v>
      </c>
      <c r="B735" s="238" t="s">
        <v>639</v>
      </c>
      <c r="C735" s="238" t="str">
        <f>("7")</f>
        <v>7</v>
      </c>
      <c r="D735" s="238" t="s">
        <v>280</v>
      </c>
      <c r="E735" s="380" t="s">
        <v>8886</v>
      </c>
      <c r="F735" s="380" t="s">
        <v>4033</v>
      </c>
      <c r="G735" s="380">
        <v>6</v>
      </c>
      <c r="H735" s="380" t="s">
        <v>1478</v>
      </c>
    </row>
    <row r="736" spans="1:9" x14ac:dyDescent="0.25">
      <c r="A736" s="247" t="str">
        <f t="shared" si="11"/>
        <v>明野西ＪＦＣ_8</v>
      </c>
      <c r="B736" s="238" t="s">
        <v>639</v>
      </c>
      <c r="C736" s="238" t="str">
        <f>("8")</f>
        <v>8</v>
      </c>
      <c r="D736" s="238" t="s">
        <v>235</v>
      </c>
      <c r="E736" s="380" t="s">
        <v>4591</v>
      </c>
      <c r="F736" s="380" t="s">
        <v>4592</v>
      </c>
      <c r="G736" s="380">
        <v>6</v>
      </c>
      <c r="H736" s="380" t="s">
        <v>1478</v>
      </c>
    </row>
    <row r="737" spans="1:9" x14ac:dyDescent="0.25">
      <c r="A737" s="247" t="str">
        <f t="shared" si="11"/>
        <v>明野西ＪＦＣ_9</v>
      </c>
      <c r="B737" s="238" t="s">
        <v>639</v>
      </c>
      <c r="C737" s="238" t="str">
        <f>("9")</f>
        <v>9</v>
      </c>
      <c r="D737" s="238" t="s">
        <v>280</v>
      </c>
      <c r="E737" s="380" t="s">
        <v>8514</v>
      </c>
      <c r="F737" s="380" t="s">
        <v>14728</v>
      </c>
      <c r="G737" s="380">
        <v>5</v>
      </c>
      <c r="H737" s="380" t="s">
        <v>1478</v>
      </c>
    </row>
    <row r="738" spans="1:9" x14ac:dyDescent="0.25">
      <c r="A738" s="247" t="str">
        <f t="shared" si="11"/>
        <v>明野西ＪＦＣ_10</v>
      </c>
      <c r="B738" s="238" t="s">
        <v>639</v>
      </c>
      <c r="C738" s="238" t="str">
        <f>("10")</f>
        <v>10</v>
      </c>
      <c r="D738" s="238" t="s">
        <v>798</v>
      </c>
      <c r="E738" s="380" t="s">
        <v>5911</v>
      </c>
      <c r="F738" s="380" t="s">
        <v>4032</v>
      </c>
      <c r="G738" s="380">
        <v>6</v>
      </c>
      <c r="H738" s="380" t="s">
        <v>1478</v>
      </c>
      <c r="I738" s="380" t="s">
        <v>408</v>
      </c>
    </row>
    <row r="739" spans="1:9" x14ac:dyDescent="0.25">
      <c r="A739" s="247" t="str">
        <f t="shared" si="11"/>
        <v>明野西ＪＦＣ_11</v>
      </c>
      <c r="B739" s="238" t="s">
        <v>639</v>
      </c>
      <c r="C739" s="238" t="str">
        <f>("11")</f>
        <v>11</v>
      </c>
      <c r="D739" s="238" t="s">
        <v>798</v>
      </c>
      <c r="E739" s="380" t="s">
        <v>2335</v>
      </c>
      <c r="F739" s="380" t="s">
        <v>6511</v>
      </c>
      <c r="G739" s="380">
        <v>6</v>
      </c>
      <c r="H739" s="380" t="s">
        <v>1478</v>
      </c>
    </row>
    <row r="740" spans="1:9" x14ac:dyDescent="0.25">
      <c r="A740" s="247" t="str">
        <f t="shared" si="11"/>
        <v>明野西ＪＦＣ_12</v>
      </c>
      <c r="B740" s="238" t="s">
        <v>639</v>
      </c>
      <c r="C740" s="238" t="str">
        <f>("12")</f>
        <v>12</v>
      </c>
      <c r="D740" s="238" t="s">
        <v>796</v>
      </c>
      <c r="E740" s="380" t="s">
        <v>9415</v>
      </c>
      <c r="F740" s="380" t="s">
        <v>14729</v>
      </c>
      <c r="G740" s="380">
        <v>4</v>
      </c>
      <c r="H740" s="380" t="s">
        <v>1478</v>
      </c>
    </row>
    <row r="741" spans="1:9" x14ac:dyDescent="0.25">
      <c r="A741" s="247" t="str">
        <f t="shared" si="11"/>
        <v>明野西ＪＦＣ_13</v>
      </c>
      <c r="B741" s="238" t="s">
        <v>639</v>
      </c>
      <c r="C741" s="238" t="str">
        <f>("13")</f>
        <v>13</v>
      </c>
      <c r="D741" s="238" t="s">
        <v>280</v>
      </c>
      <c r="E741" s="380" t="s">
        <v>9603</v>
      </c>
      <c r="F741" s="380" t="s">
        <v>14730</v>
      </c>
      <c r="G741" s="380">
        <v>4</v>
      </c>
      <c r="H741" s="380" t="s">
        <v>1478</v>
      </c>
    </row>
    <row r="742" spans="1:9" x14ac:dyDescent="0.25">
      <c r="A742" s="247" t="str">
        <f t="shared" si="11"/>
        <v>明野西ＪＦＣ_14</v>
      </c>
      <c r="B742" s="238" t="s">
        <v>639</v>
      </c>
      <c r="C742" s="238" t="str">
        <f>("14")</f>
        <v>14</v>
      </c>
      <c r="D742" s="238" t="s">
        <v>798</v>
      </c>
      <c r="E742" s="380" t="s">
        <v>8406</v>
      </c>
      <c r="F742" s="380" t="s">
        <v>14731</v>
      </c>
      <c r="G742" s="380">
        <v>5</v>
      </c>
      <c r="H742" s="380" t="s">
        <v>1478</v>
      </c>
    </row>
    <row r="743" spans="1:9" x14ac:dyDescent="0.25">
      <c r="A743" s="247" t="str">
        <f t="shared" si="11"/>
        <v>明野西ＪＦＣ_15</v>
      </c>
      <c r="B743" s="238" t="s">
        <v>639</v>
      </c>
      <c r="C743" s="238" t="str">
        <f>("15")</f>
        <v>15</v>
      </c>
      <c r="D743" s="238" t="s">
        <v>235</v>
      </c>
      <c r="E743" s="380" t="s">
        <v>9606</v>
      </c>
      <c r="F743" s="380" t="s">
        <v>14732</v>
      </c>
      <c r="G743" s="380">
        <v>4</v>
      </c>
      <c r="H743" s="380" t="s">
        <v>1478</v>
      </c>
    </row>
    <row r="744" spans="1:9" x14ac:dyDescent="0.25">
      <c r="A744" s="247" t="str">
        <f t="shared" si="11"/>
        <v>金池長浜サッカースポーツ少年団_1</v>
      </c>
      <c r="B744" s="238" t="s">
        <v>2544</v>
      </c>
      <c r="C744" s="238" t="str">
        <f>("1")</f>
        <v>1</v>
      </c>
      <c r="D744" s="238" t="s">
        <v>796</v>
      </c>
      <c r="E744" s="380" t="s">
        <v>4604</v>
      </c>
      <c r="F744" s="380" t="s">
        <v>4605</v>
      </c>
      <c r="G744" s="380">
        <v>6</v>
      </c>
      <c r="H744" s="380" t="s">
        <v>1478</v>
      </c>
      <c r="I744" s="380" t="s">
        <v>408</v>
      </c>
    </row>
    <row r="745" spans="1:9" x14ac:dyDescent="0.25">
      <c r="A745" s="247" t="str">
        <f t="shared" si="11"/>
        <v>金池長浜サッカースポーツ少年団_2</v>
      </c>
      <c r="B745" s="238" t="s">
        <v>2544</v>
      </c>
      <c r="C745" s="238" t="str">
        <f>("2")</f>
        <v>2</v>
      </c>
      <c r="D745" s="238" t="s">
        <v>280</v>
      </c>
      <c r="E745" s="380" t="s">
        <v>8840</v>
      </c>
      <c r="F745" s="380" t="s">
        <v>14733</v>
      </c>
      <c r="G745" s="380">
        <v>6</v>
      </c>
      <c r="H745" s="380" t="s">
        <v>1478</v>
      </c>
    </row>
    <row r="746" spans="1:9" x14ac:dyDescent="0.25">
      <c r="A746" s="247" t="str">
        <f t="shared" si="11"/>
        <v>金池長浜サッカースポーツ少年団_3</v>
      </c>
      <c r="B746" s="238" t="s">
        <v>2544</v>
      </c>
      <c r="C746" s="238" t="str">
        <f>("3")</f>
        <v>3</v>
      </c>
      <c r="D746" s="238" t="s">
        <v>280</v>
      </c>
      <c r="E746" s="380" t="s">
        <v>8881</v>
      </c>
      <c r="F746" s="380" t="s">
        <v>14734</v>
      </c>
      <c r="G746" s="380">
        <v>6</v>
      </c>
      <c r="H746" s="380" t="s">
        <v>1478</v>
      </c>
    </row>
    <row r="747" spans="1:9" x14ac:dyDescent="0.25">
      <c r="A747" s="247" t="str">
        <f t="shared" si="11"/>
        <v>金池長浜サッカースポーツ少年団_4</v>
      </c>
      <c r="B747" s="238" t="s">
        <v>2544</v>
      </c>
      <c r="C747" s="238" t="str">
        <f>("4")</f>
        <v>4</v>
      </c>
      <c r="D747" s="238" t="s">
        <v>798</v>
      </c>
      <c r="E747" s="380" t="s">
        <v>8719</v>
      </c>
      <c r="F747" s="380" t="s">
        <v>14735</v>
      </c>
      <c r="G747" s="380">
        <v>6</v>
      </c>
      <c r="H747" s="380" t="s">
        <v>1478</v>
      </c>
    </row>
    <row r="748" spans="1:9" x14ac:dyDescent="0.25">
      <c r="A748" s="247" t="str">
        <f t="shared" si="11"/>
        <v>金池長浜サッカースポーツ少年団_5</v>
      </c>
      <c r="B748" s="238" t="s">
        <v>2544</v>
      </c>
      <c r="C748" s="238" t="str">
        <f>("5")</f>
        <v>5</v>
      </c>
      <c r="D748" s="238" t="s">
        <v>798</v>
      </c>
      <c r="E748" s="380" t="s">
        <v>8588</v>
      </c>
      <c r="F748" s="380" t="s">
        <v>14736</v>
      </c>
      <c r="G748" s="380">
        <v>6</v>
      </c>
      <c r="H748" s="380" t="s">
        <v>1478</v>
      </c>
    </row>
    <row r="749" spans="1:9" x14ac:dyDescent="0.25">
      <c r="A749" s="247" t="str">
        <f t="shared" si="11"/>
        <v>金池長浜サッカースポーツ少年団_6</v>
      </c>
      <c r="B749" s="238" t="s">
        <v>2544</v>
      </c>
      <c r="C749" s="238" t="str">
        <f>("6")</f>
        <v>6</v>
      </c>
      <c r="D749" s="238" t="s">
        <v>798</v>
      </c>
      <c r="E749" s="380" t="s">
        <v>5913</v>
      </c>
      <c r="F749" s="380" t="s">
        <v>6512</v>
      </c>
      <c r="G749" s="380">
        <v>6</v>
      </c>
      <c r="H749" s="380" t="s">
        <v>1478</v>
      </c>
    </row>
    <row r="750" spans="1:9" x14ac:dyDescent="0.25">
      <c r="A750" s="247" t="str">
        <f t="shared" si="11"/>
        <v>金池長浜サッカースポーツ少年団_7</v>
      </c>
      <c r="B750" s="238" t="s">
        <v>2544</v>
      </c>
      <c r="C750" s="238" t="str">
        <f>("7")</f>
        <v>7</v>
      </c>
      <c r="D750" s="238" t="s">
        <v>235</v>
      </c>
      <c r="E750" s="380" t="s">
        <v>4593</v>
      </c>
      <c r="F750" s="380" t="s">
        <v>4594</v>
      </c>
      <c r="G750" s="380">
        <v>6</v>
      </c>
      <c r="H750" s="380" t="s">
        <v>1478</v>
      </c>
    </row>
    <row r="751" spans="1:9" x14ac:dyDescent="0.25">
      <c r="A751" s="247" t="str">
        <f t="shared" si="11"/>
        <v>金池長浜サッカースポーツ少年団_8</v>
      </c>
      <c r="B751" s="238" t="s">
        <v>2544</v>
      </c>
      <c r="C751" s="238" t="str">
        <f>("8")</f>
        <v>8</v>
      </c>
      <c r="D751" s="238" t="s">
        <v>798</v>
      </c>
      <c r="E751" s="380" t="s">
        <v>8911</v>
      </c>
      <c r="F751" s="380" t="s">
        <v>4603</v>
      </c>
      <c r="G751" s="380">
        <v>6</v>
      </c>
      <c r="H751" s="380" t="s">
        <v>1478</v>
      </c>
    </row>
    <row r="752" spans="1:9" x14ac:dyDescent="0.25">
      <c r="A752" s="247" t="str">
        <f t="shared" si="11"/>
        <v>金池長浜サッカースポーツ少年団_9</v>
      </c>
      <c r="B752" s="238" t="s">
        <v>2544</v>
      </c>
      <c r="C752" s="238" t="str">
        <f>("9")</f>
        <v>9</v>
      </c>
      <c r="D752" s="238" t="s">
        <v>280</v>
      </c>
      <c r="E752" s="380" t="s">
        <v>4601</v>
      </c>
      <c r="F752" s="380" t="s">
        <v>4602</v>
      </c>
      <c r="G752" s="380">
        <v>6</v>
      </c>
      <c r="H752" s="380" t="s">
        <v>1478</v>
      </c>
    </row>
    <row r="753" spans="1:8" x14ac:dyDescent="0.25">
      <c r="A753" s="247" t="str">
        <f t="shared" si="11"/>
        <v>金池長浜サッカースポーツ少年団_10</v>
      </c>
      <c r="B753" s="238" t="s">
        <v>2544</v>
      </c>
      <c r="C753" s="238" t="str">
        <f>("10")</f>
        <v>10</v>
      </c>
      <c r="D753" s="238" t="s">
        <v>235</v>
      </c>
      <c r="E753" s="380" t="s">
        <v>4599</v>
      </c>
      <c r="F753" s="380" t="s">
        <v>4600</v>
      </c>
      <c r="G753" s="380">
        <v>6</v>
      </c>
      <c r="H753" s="380" t="s">
        <v>1478</v>
      </c>
    </row>
    <row r="754" spans="1:8" x14ac:dyDescent="0.25">
      <c r="A754" s="247" t="str">
        <f t="shared" si="11"/>
        <v>金池長浜サッカースポーツ少年団_11</v>
      </c>
      <c r="B754" s="238" t="s">
        <v>2544</v>
      </c>
      <c r="C754" s="238" t="str">
        <f>("11")</f>
        <v>11</v>
      </c>
      <c r="D754" s="238" t="s">
        <v>798</v>
      </c>
      <c r="E754" s="380" t="s">
        <v>5914</v>
      </c>
      <c r="F754" s="380" t="s">
        <v>6513</v>
      </c>
      <c r="G754" s="380">
        <v>5</v>
      </c>
      <c r="H754" s="380" t="s">
        <v>1478</v>
      </c>
    </row>
    <row r="755" spans="1:8" x14ac:dyDescent="0.25">
      <c r="A755" s="247" t="str">
        <f t="shared" si="11"/>
        <v>金池長浜サッカースポーツ少年団_12</v>
      </c>
      <c r="B755" s="238" t="s">
        <v>2544</v>
      </c>
      <c r="C755" s="238" t="str">
        <f>("12")</f>
        <v>12</v>
      </c>
      <c r="D755" s="238" t="s">
        <v>798</v>
      </c>
      <c r="E755" s="380" t="s">
        <v>8143</v>
      </c>
      <c r="F755" s="380" t="s">
        <v>14737</v>
      </c>
      <c r="G755" s="380">
        <v>5</v>
      </c>
      <c r="H755" s="380" t="s">
        <v>1478</v>
      </c>
    </row>
    <row r="756" spans="1:8" x14ac:dyDescent="0.25">
      <c r="A756" s="247" t="str">
        <f t="shared" si="11"/>
        <v>金池長浜サッカースポーツ少年団_13</v>
      </c>
      <c r="B756" s="238" t="s">
        <v>2544</v>
      </c>
      <c r="C756" s="238" t="str">
        <f>("13")</f>
        <v>13</v>
      </c>
      <c r="D756" s="238" t="s">
        <v>798</v>
      </c>
      <c r="E756" s="380" t="s">
        <v>7832</v>
      </c>
      <c r="F756" s="380" t="s">
        <v>14738</v>
      </c>
      <c r="G756" s="380">
        <v>5</v>
      </c>
      <c r="H756" s="380" t="s">
        <v>1478</v>
      </c>
    </row>
    <row r="757" spans="1:8" x14ac:dyDescent="0.25">
      <c r="A757" s="247" t="str">
        <f t="shared" si="11"/>
        <v>金池長浜サッカースポーツ少年団_15</v>
      </c>
      <c r="B757" s="238" t="s">
        <v>2544</v>
      </c>
      <c r="C757" s="238" t="str">
        <f>("15")</f>
        <v>15</v>
      </c>
      <c r="D757" s="238" t="s">
        <v>235</v>
      </c>
      <c r="E757" s="380" t="s">
        <v>8005</v>
      </c>
      <c r="F757" s="380" t="s">
        <v>14739</v>
      </c>
      <c r="G757" s="380">
        <v>5</v>
      </c>
      <c r="H757" s="380" t="s">
        <v>1478</v>
      </c>
    </row>
    <row r="758" spans="1:8" x14ac:dyDescent="0.25">
      <c r="A758" s="247" t="str">
        <f t="shared" si="11"/>
        <v>金池長浜サッカースポーツ少年団_16</v>
      </c>
      <c r="B758" s="238" t="s">
        <v>2544</v>
      </c>
      <c r="C758" s="238" t="str">
        <f>("16")</f>
        <v>16</v>
      </c>
      <c r="D758" s="238" t="s">
        <v>796</v>
      </c>
      <c r="E758" s="380" t="s">
        <v>8301</v>
      </c>
      <c r="F758" s="380" t="s">
        <v>14740</v>
      </c>
      <c r="G758" s="380">
        <v>5</v>
      </c>
      <c r="H758" s="380" t="s">
        <v>1478</v>
      </c>
    </row>
    <row r="759" spans="1:8" x14ac:dyDescent="0.25">
      <c r="A759" s="247" t="str">
        <f t="shared" si="11"/>
        <v>金池長浜サッカースポーツ少年団_17</v>
      </c>
      <c r="B759" s="238" t="s">
        <v>2544</v>
      </c>
      <c r="C759" s="238" t="str">
        <f>("17")</f>
        <v>17</v>
      </c>
      <c r="D759" s="238" t="s">
        <v>235</v>
      </c>
      <c r="E759" s="380" t="s">
        <v>8007</v>
      </c>
      <c r="F759" s="380" t="s">
        <v>14741</v>
      </c>
      <c r="G759" s="380">
        <v>5</v>
      </c>
      <c r="H759" s="380" t="s">
        <v>1478</v>
      </c>
    </row>
    <row r="760" spans="1:8" x14ac:dyDescent="0.25">
      <c r="A760" s="247" t="str">
        <f t="shared" si="11"/>
        <v>日岡サッカースポーツ少年団_1</v>
      </c>
      <c r="B760" s="238" t="s">
        <v>2549</v>
      </c>
      <c r="C760" s="238" t="str">
        <f>("1")</f>
        <v>1</v>
      </c>
      <c r="D760" s="238" t="s">
        <v>796</v>
      </c>
      <c r="E760" s="380" t="s">
        <v>5916</v>
      </c>
      <c r="F760" s="380" t="s">
        <v>6514</v>
      </c>
      <c r="G760" s="380">
        <v>6</v>
      </c>
      <c r="H760" s="380" t="s">
        <v>1478</v>
      </c>
    </row>
    <row r="761" spans="1:8" x14ac:dyDescent="0.25">
      <c r="A761" s="247" t="str">
        <f t="shared" si="11"/>
        <v>日岡サッカースポーツ少年団_2</v>
      </c>
      <c r="B761" s="238" t="s">
        <v>2549</v>
      </c>
      <c r="C761" s="238" t="str">
        <f>("2")</f>
        <v>2</v>
      </c>
      <c r="D761" s="238" t="s">
        <v>798</v>
      </c>
      <c r="E761" s="380" t="s">
        <v>10259</v>
      </c>
      <c r="F761" s="380" t="s">
        <v>14742</v>
      </c>
      <c r="G761" s="380">
        <v>2</v>
      </c>
      <c r="H761" s="380" t="s">
        <v>1478</v>
      </c>
    </row>
    <row r="762" spans="1:8" x14ac:dyDescent="0.25">
      <c r="A762" s="247" t="str">
        <f t="shared" si="11"/>
        <v>日岡サッカースポーツ少年団_3</v>
      </c>
      <c r="B762" s="238" t="s">
        <v>2549</v>
      </c>
      <c r="C762" s="238" t="str">
        <f>("3")</f>
        <v>3</v>
      </c>
      <c r="D762" s="238" t="s">
        <v>235</v>
      </c>
      <c r="E762" s="380" t="s">
        <v>4610</v>
      </c>
      <c r="F762" s="380" t="s">
        <v>4611</v>
      </c>
      <c r="G762" s="380">
        <v>6</v>
      </c>
      <c r="H762" s="380" t="s">
        <v>1478</v>
      </c>
    </row>
    <row r="763" spans="1:8" x14ac:dyDescent="0.25">
      <c r="A763" s="247" t="str">
        <f t="shared" si="11"/>
        <v>日岡サッカースポーツ少年団_4</v>
      </c>
      <c r="B763" s="238" t="s">
        <v>2549</v>
      </c>
      <c r="C763" s="238" t="str">
        <f>("4")</f>
        <v>4</v>
      </c>
      <c r="D763" s="238" t="s">
        <v>280</v>
      </c>
      <c r="E763" s="380" t="s">
        <v>10116</v>
      </c>
      <c r="F763" s="380" t="s">
        <v>4036</v>
      </c>
      <c r="G763" s="380">
        <v>3</v>
      </c>
      <c r="H763" s="380" t="s">
        <v>1478</v>
      </c>
    </row>
    <row r="764" spans="1:8" x14ac:dyDescent="0.25">
      <c r="A764" s="247" t="str">
        <f t="shared" si="11"/>
        <v>日岡サッカースポーツ少年団_5</v>
      </c>
      <c r="B764" s="238" t="s">
        <v>2549</v>
      </c>
      <c r="C764" s="238" t="str">
        <f>("5")</f>
        <v>5</v>
      </c>
      <c r="D764" s="238" t="s">
        <v>280</v>
      </c>
      <c r="E764" s="380" t="s">
        <v>5915</v>
      </c>
      <c r="F764" s="380" t="s">
        <v>3977</v>
      </c>
      <c r="G764" s="380">
        <v>2</v>
      </c>
      <c r="H764" s="380" t="s">
        <v>1478</v>
      </c>
    </row>
    <row r="765" spans="1:8" x14ac:dyDescent="0.25">
      <c r="A765" s="247" t="str">
        <f t="shared" si="11"/>
        <v>日岡サッカースポーツ少年団_6</v>
      </c>
      <c r="B765" s="238" t="s">
        <v>2549</v>
      </c>
      <c r="C765" s="238" t="str">
        <f>("6")</f>
        <v>6</v>
      </c>
      <c r="D765" s="238" t="s">
        <v>280</v>
      </c>
      <c r="E765" s="380" t="s">
        <v>5917</v>
      </c>
      <c r="F765" s="380" t="s">
        <v>6515</v>
      </c>
      <c r="G765" s="380">
        <v>3</v>
      </c>
      <c r="H765" s="380" t="s">
        <v>1478</v>
      </c>
    </row>
    <row r="766" spans="1:8" x14ac:dyDescent="0.25">
      <c r="A766" s="247" t="str">
        <f t="shared" si="11"/>
        <v>日岡サッカースポーツ少年団_7</v>
      </c>
      <c r="B766" s="238" t="s">
        <v>2549</v>
      </c>
      <c r="C766" s="238" t="str">
        <f>("7")</f>
        <v>7</v>
      </c>
      <c r="D766" s="238" t="s">
        <v>798</v>
      </c>
      <c r="E766" s="380" t="s">
        <v>5918</v>
      </c>
      <c r="F766" s="380" t="s">
        <v>6516</v>
      </c>
      <c r="G766" s="380">
        <v>3</v>
      </c>
      <c r="H766" s="380" t="s">
        <v>1478</v>
      </c>
    </row>
    <row r="767" spans="1:8" x14ac:dyDescent="0.25">
      <c r="A767" s="247" t="str">
        <f t="shared" si="11"/>
        <v>日岡サッカースポーツ少年団_8</v>
      </c>
      <c r="B767" s="238" t="s">
        <v>2549</v>
      </c>
      <c r="C767" s="238" t="str">
        <f>("8")</f>
        <v>8</v>
      </c>
      <c r="D767" s="238" t="s">
        <v>798</v>
      </c>
      <c r="E767" s="380" t="s">
        <v>4608</v>
      </c>
      <c r="F767" s="380" t="s">
        <v>4609</v>
      </c>
      <c r="G767" s="380">
        <v>6</v>
      </c>
      <c r="H767" s="380" t="s">
        <v>1478</v>
      </c>
    </row>
    <row r="768" spans="1:8" x14ac:dyDescent="0.25">
      <c r="A768" s="247" t="str">
        <f t="shared" si="11"/>
        <v>日岡サッカースポーツ少年団_9</v>
      </c>
      <c r="B768" s="238" t="s">
        <v>2549</v>
      </c>
      <c r="C768" s="238" t="str">
        <f>("9")</f>
        <v>9</v>
      </c>
      <c r="D768" s="238" t="s">
        <v>235</v>
      </c>
      <c r="E768" s="380" t="s">
        <v>4612</v>
      </c>
      <c r="F768" s="380" t="s">
        <v>4613</v>
      </c>
      <c r="G768" s="380">
        <v>6</v>
      </c>
      <c r="H768" s="380" t="s">
        <v>1478</v>
      </c>
    </row>
    <row r="769" spans="1:9" x14ac:dyDescent="0.25">
      <c r="A769" s="247" t="str">
        <f t="shared" ref="A769:A832" si="12">CONCATENATE(B769,"_",C769)</f>
        <v>日岡サッカースポーツ少年団_10</v>
      </c>
      <c r="B769" s="238" t="s">
        <v>2549</v>
      </c>
      <c r="C769" s="238" t="str">
        <f>("10")</f>
        <v>10</v>
      </c>
      <c r="D769" s="238" t="s">
        <v>798</v>
      </c>
      <c r="E769" s="380" t="s">
        <v>4606</v>
      </c>
      <c r="F769" s="380" t="s">
        <v>4607</v>
      </c>
      <c r="G769" s="380">
        <v>6</v>
      </c>
      <c r="H769" s="380" t="s">
        <v>1478</v>
      </c>
      <c r="I769" s="380" t="s">
        <v>408</v>
      </c>
    </row>
    <row r="770" spans="1:9" x14ac:dyDescent="0.25">
      <c r="A770" s="247" t="str">
        <f t="shared" si="12"/>
        <v>日岡サッカースポーツ少年団_11</v>
      </c>
      <c r="B770" s="238" t="s">
        <v>2549</v>
      </c>
      <c r="C770" s="238" t="str">
        <f>("11")</f>
        <v>11</v>
      </c>
      <c r="D770" s="238" t="s">
        <v>235</v>
      </c>
      <c r="E770" s="380" t="s">
        <v>6021</v>
      </c>
      <c r="F770" s="380" t="s">
        <v>4110</v>
      </c>
      <c r="G770" s="380">
        <v>6</v>
      </c>
      <c r="H770" s="380" t="s">
        <v>1478</v>
      </c>
    </row>
    <row r="771" spans="1:9" x14ac:dyDescent="0.25">
      <c r="A771" s="247" t="str">
        <f t="shared" si="12"/>
        <v>日岡サッカースポーツ少年団_12</v>
      </c>
      <c r="B771" s="238" t="s">
        <v>2549</v>
      </c>
      <c r="C771" s="238" t="str">
        <f>("12")</f>
        <v>12</v>
      </c>
      <c r="D771" s="238" t="s">
        <v>798</v>
      </c>
      <c r="E771" s="380" t="s">
        <v>9600</v>
      </c>
      <c r="F771" s="380" t="s">
        <v>14743</v>
      </c>
      <c r="G771" s="380">
        <v>4</v>
      </c>
      <c r="H771" s="380" t="s">
        <v>1478</v>
      </c>
    </row>
    <row r="772" spans="1:9" x14ac:dyDescent="0.25">
      <c r="A772" s="247" t="str">
        <f t="shared" si="12"/>
        <v>日岡サッカースポーツ少年団_13</v>
      </c>
      <c r="B772" s="238" t="s">
        <v>2549</v>
      </c>
      <c r="C772" s="238" t="str">
        <f>("13")</f>
        <v>13</v>
      </c>
      <c r="D772" s="238" t="s">
        <v>235</v>
      </c>
      <c r="E772" s="380" t="s">
        <v>4040</v>
      </c>
      <c r="F772" s="380" t="s">
        <v>4041</v>
      </c>
      <c r="G772" s="380">
        <v>6</v>
      </c>
      <c r="H772" s="380" t="s">
        <v>1478</v>
      </c>
    </row>
    <row r="773" spans="1:9" x14ac:dyDescent="0.25">
      <c r="A773" s="247" t="str">
        <f t="shared" si="12"/>
        <v>稙田ＦＣサッカースポーツ少年団_1</v>
      </c>
      <c r="B773" s="238" t="s">
        <v>2556</v>
      </c>
      <c r="C773" s="238" t="str">
        <f>("1")</f>
        <v>1</v>
      </c>
      <c r="D773" s="238" t="s">
        <v>796</v>
      </c>
      <c r="E773" s="380" t="s">
        <v>4621</v>
      </c>
      <c r="F773" s="380" t="s">
        <v>4622</v>
      </c>
      <c r="G773" s="380">
        <v>6</v>
      </c>
      <c r="H773" s="380" t="s">
        <v>1478</v>
      </c>
    </row>
    <row r="774" spans="1:9" x14ac:dyDescent="0.25">
      <c r="A774" s="247" t="str">
        <f t="shared" si="12"/>
        <v>稙田ＦＣサッカースポーツ少年団_3</v>
      </c>
      <c r="B774" s="238" t="s">
        <v>2556</v>
      </c>
      <c r="C774" s="238" t="str">
        <f>("3")</f>
        <v>3</v>
      </c>
      <c r="D774" s="238" t="s">
        <v>235</v>
      </c>
      <c r="E774" s="380" t="s">
        <v>5929</v>
      </c>
      <c r="F774" s="380" t="s">
        <v>6517</v>
      </c>
      <c r="G774" s="380">
        <v>6</v>
      </c>
      <c r="H774" s="380" t="s">
        <v>1478</v>
      </c>
    </row>
    <row r="775" spans="1:9" x14ac:dyDescent="0.25">
      <c r="A775" s="247" t="str">
        <f t="shared" si="12"/>
        <v>稙田ＦＣサッカースポーツ少年団_5</v>
      </c>
      <c r="B775" s="238" t="s">
        <v>2556</v>
      </c>
      <c r="C775" s="238" t="str">
        <f>("5")</f>
        <v>5</v>
      </c>
      <c r="D775" s="238" t="s">
        <v>798</v>
      </c>
      <c r="E775" s="380" t="s">
        <v>5932</v>
      </c>
      <c r="F775" s="380" t="s">
        <v>6520</v>
      </c>
      <c r="G775" s="380">
        <v>6</v>
      </c>
      <c r="H775" s="380" t="s">
        <v>1478</v>
      </c>
    </row>
    <row r="776" spans="1:9" x14ac:dyDescent="0.25">
      <c r="A776" s="247" t="str">
        <f t="shared" si="12"/>
        <v>稙田ＦＣサッカースポーツ少年団_6</v>
      </c>
      <c r="B776" s="238" t="s">
        <v>2556</v>
      </c>
      <c r="C776" s="238" t="str">
        <f>("6")</f>
        <v>6</v>
      </c>
      <c r="D776" s="238" t="s">
        <v>280</v>
      </c>
      <c r="E776" s="380" t="s">
        <v>8826</v>
      </c>
      <c r="F776" s="380" t="s">
        <v>14744</v>
      </c>
      <c r="G776" s="380">
        <v>6</v>
      </c>
      <c r="H776" s="380" t="s">
        <v>1478</v>
      </c>
    </row>
    <row r="777" spans="1:9" x14ac:dyDescent="0.25">
      <c r="A777" s="247" t="str">
        <f t="shared" si="12"/>
        <v>稙田ＦＣサッカースポーツ少年団_7</v>
      </c>
      <c r="B777" s="238" t="s">
        <v>2556</v>
      </c>
      <c r="C777" s="238" t="str">
        <f>("7")</f>
        <v>7</v>
      </c>
      <c r="D777" s="238" t="s">
        <v>798</v>
      </c>
      <c r="E777" s="380" t="s">
        <v>4619</v>
      </c>
      <c r="F777" s="380" t="s">
        <v>4620</v>
      </c>
      <c r="G777" s="380">
        <v>6</v>
      </c>
      <c r="H777" s="380" t="s">
        <v>1478</v>
      </c>
      <c r="I777" s="380" t="s">
        <v>408</v>
      </c>
    </row>
    <row r="778" spans="1:9" x14ac:dyDescent="0.25">
      <c r="A778" s="247" t="str">
        <f t="shared" si="12"/>
        <v>稙田ＦＣサッカースポーツ少年団_8</v>
      </c>
      <c r="B778" s="238" t="s">
        <v>2556</v>
      </c>
      <c r="C778" s="238" t="str">
        <f>("8")</f>
        <v>8</v>
      </c>
      <c r="D778" s="238" t="s">
        <v>798</v>
      </c>
      <c r="E778" s="380" t="s">
        <v>5934</v>
      </c>
      <c r="F778" s="380" t="s">
        <v>6521</v>
      </c>
      <c r="G778" s="380">
        <v>6</v>
      </c>
      <c r="H778" s="380" t="s">
        <v>1478</v>
      </c>
    </row>
    <row r="779" spans="1:9" x14ac:dyDescent="0.25">
      <c r="A779" s="247" t="str">
        <f t="shared" si="12"/>
        <v>稙田ＦＣサッカースポーツ少年団_9</v>
      </c>
      <c r="B779" s="238" t="s">
        <v>2556</v>
      </c>
      <c r="C779" s="238" t="str">
        <f>("9")</f>
        <v>9</v>
      </c>
      <c r="D779" s="238" t="s">
        <v>280</v>
      </c>
      <c r="E779" s="380" t="s">
        <v>5930</v>
      </c>
      <c r="F779" s="380" t="s">
        <v>6518</v>
      </c>
      <c r="G779" s="380">
        <v>6</v>
      </c>
      <c r="H779" s="380" t="s">
        <v>1478</v>
      </c>
    </row>
    <row r="780" spans="1:9" x14ac:dyDescent="0.25">
      <c r="A780" s="247" t="str">
        <f t="shared" si="12"/>
        <v>稙田ＦＣサッカースポーツ少年団_11</v>
      </c>
      <c r="B780" s="238" t="s">
        <v>2556</v>
      </c>
      <c r="C780" s="238" t="str">
        <f>("11")</f>
        <v>11</v>
      </c>
      <c r="D780" s="238" t="s">
        <v>235</v>
      </c>
      <c r="E780" s="380" t="s">
        <v>5931</v>
      </c>
      <c r="F780" s="380" t="s">
        <v>6519</v>
      </c>
      <c r="G780" s="380">
        <v>6</v>
      </c>
      <c r="H780" s="380" t="s">
        <v>1478</v>
      </c>
    </row>
    <row r="781" spans="1:9" x14ac:dyDescent="0.25">
      <c r="A781" s="247" t="str">
        <f t="shared" si="12"/>
        <v>稙田ＦＣサッカースポーツ少年団_12</v>
      </c>
      <c r="B781" s="238" t="s">
        <v>2556</v>
      </c>
      <c r="C781" s="238" t="str">
        <f>("12")</f>
        <v>12</v>
      </c>
      <c r="D781" s="238" t="s">
        <v>796</v>
      </c>
      <c r="E781" s="380" t="s">
        <v>7882</v>
      </c>
      <c r="F781" s="380" t="s">
        <v>14745</v>
      </c>
      <c r="G781" s="380">
        <v>5</v>
      </c>
      <c r="H781" s="380" t="s">
        <v>1478</v>
      </c>
    </row>
    <row r="782" spans="1:9" x14ac:dyDescent="0.25">
      <c r="A782" s="247" t="str">
        <f t="shared" si="12"/>
        <v>稙田ＦＣサッカースポーツ少年団_13</v>
      </c>
      <c r="B782" s="238" t="s">
        <v>2556</v>
      </c>
      <c r="C782" s="238" t="str">
        <f>("13")</f>
        <v>13</v>
      </c>
      <c r="D782" s="238" t="s">
        <v>798</v>
      </c>
      <c r="E782" s="380" t="s">
        <v>9299</v>
      </c>
      <c r="F782" s="380" t="s">
        <v>14746</v>
      </c>
      <c r="G782" s="380">
        <v>4</v>
      </c>
      <c r="H782" s="380" t="s">
        <v>1478</v>
      </c>
    </row>
    <row r="783" spans="1:9" x14ac:dyDescent="0.25">
      <c r="A783" s="247" t="str">
        <f t="shared" si="12"/>
        <v>稙田ＦＣサッカースポーツ少年団_14</v>
      </c>
      <c r="B783" s="238" t="s">
        <v>2556</v>
      </c>
      <c r="C783" s="238" t="str">
        <f>("14")</f>
        <v>14</v>
      </c>
      <c r="D783" s="238" t="s">
        <v>235</v>
      </c>
      <c r="E783" s="380" t="s">
        <v>9465</v>
      </c>
      <c r="F783" s="380" t="s">
        <v>14747</v>
      </c>
      <c r="G783" s="380">
        <v>4</v>
      </c>
      <c r="H783" s="380" t="s">
        <v>1478</v>
      </c>
    </row>
    <row r="784" spans="1:9" x14ac:dyDescent="0.25">
      <c r="A784" s="247" t="str">
        <f t="shared" si="12"/>
        <v>稙田ＦＣサッカースポーツ少年団_15</v>
      </c>
      <c r="B784" s="238" t="s">
        <v>2556</v>
      </c>
      <c r="C784" s="238" t="str">
        <f>("15")</f>
        <v>15</v>
      </c>
      <c r="D784" s="238" t="s">
        <v>798</v>
      </c>
      <c r="E784" s="380" t="s">
        <v>9531</v>
      </c>
      <c r="F784" s="380" t="s">
        <v>14748</v>
      </c>
      <c r="G784" s="380">
        <v>4</v>
      </c>
      <c r="H784" s="380" t="s">
        <v>1478</v>
      </c>
    </row>
    <row r="785" spans="1:9" x14ac:dyDescent="0.25">
      <c r="A785" s="247" t="str">
        <f t="shared" si="12"/>
        <v>稙田ＦＣサッカースポーツ少年団_16</v>
      </c>
      <c r="B785" s="238" t="s">
        <v>2556</v>
      </c>
      <c r="C785" s="238" t="str">
        <f>("16")</f>
        <v>16</v>
      </c>
      <c r="D785" s="238" t="s">
        <v>280</v>
      </c>
      <c r="E785" s="380" t="s">
        <v>9516</v>
      </c>
      <c r="F785" s="380" t="s">
        <v>14749</v>
      </c>
      <c r="G785" s="380">
        <v>4</v>
      </c>
      <c r="H785" s="380" t="s">
        <v>1478</v>
      </c>
    </row>
    <row r="786" spans="1:9" x14ac:dyDescent="0.25">
      <c r="A786" s="247" t="str">
        <f t="shared" si="12"/>
        <v>稙田ＦＣサッカースポーツ少年団_17</v>
      </c>
      <c r="B786" s="238" t="s">
        <v>2556</v>
      </c>
      <c r="C786" s="238" t="str">
        <f>("17")</f>
        <v>17</v>
      </c>
      <c r="D786" s="238" t="s">
        <v>798</v>
      </c>
      <c r="E786" s="380" t="s">
        <v>9806</v>
      </c>
      <c r="F786" s="380" t="s">
        <v>14750</v>
      </c>
      <c r="G786" s="380">
        <v>3</v>
      </c>
      <c r="H786" s="380" t="s">
        <v>1478</v>
      </c>
    </row>
    <row r="787" spans="1:9" x14ac:dyDescent="0.25">
      <c r="A787" s="247" t="str">
        <f t="shared" si="12"/>
        <v>稙田ＦＣサッカースポーツ少年団_18</v>
      </c>
      <c r="B787" s="238" t="s">
        <v>2556</v>
      </c>
      <c r="C787" s="238" t="str">
        <f>("18")</f>
        <v>18</v>
      </c>
      <c r="D787" s="238" t="s">
        <v>280</v>
      </c>
      <c r="E787" s="380" t="s">
        <v>10121</v>
      </c>
      <c r="F787" s="380" t="s">
        <v>14751</v>
      </c>
      <c r="G787" s="380">
        <v>3</v>
      </c>
      <c r="H787" s="380" t="s">
        <v>1478</v>
      </c>
    </row>
    <row r="788" spans="1:9" x14ac:dyDescent="0.25">
      <c r="A788" s="247" t="str">
        <f t="shared" si="12"/>
        <v>稙田ＦＣサッカースポーツ少年団_19</v>
      </c>
      <c r="B788" s="238" t="s">
        <v>2556</v>
      </c>
      <c r="C788" s="238" t="str">
        <f>("19")</f>
        <v>19</v>
      </c>
      <c r="D788" s="238" t="s">
        <v>798</v>
      </c>
      <c r="E788" s="380" t="s">
        <v>8722</v>
      </c>
      <c r="F788" s="380" t="s">
        <v>14752</v>
      </c>
      <c r="G788" s="380">
        <v>6</v>
      </c>
      <c r="H788" s="380" t="s">
        <v>1478</v>
      </c>
    </row>
    <row r="789" spans="1:9" x14ac:dyDescent="0.25">
      <c r="A789" s="247" t="str">
        <f t="shared" si="12"/>
        <v>北郡坂ノ市サッカースポーツ少年団_1</v>
      </c>
      <c r="B789" s="238" t="s">
        <v>2557</v>
      </c>
      <c r="C789" s="238" t="str">
        <f>("1")</f>
        <v>1</v>
      </c>
      <c r="D789" s="238" t="s">
        <v>796</v>
      </c>
      <c r="E789" s="380" t="s">
        <v>8970</v>
      </c>
      <c r="F789" s="380" t="s">
        <v>14753</v>
      </c>
      <c r="G789" s="380">
        <v>6</v>
      </c>
      <c r="H789" s="380" t="s">
        <v>1478</v>
      </c>
    </row>
    <row r="790" spans="1:9" x14ac:dyDescent="0.25">
      <c r="A790" s="247" t="str">
        <f t="shared" si="12"/>
        <v>北郡坂ノ市サッカースポーツ少年団_2</v>
      </c>
      <c r="B790" s="238" t="s">
        <v>2557</v>
      </c>
      <c r="C790" s="238" t="str">
        <f>("2")</f>
        <v>2</v>
      </c>
      <c r="D790" s="238" t="s">
        <v>235</v>
      </c>
      <c r="E790" s="380" t="s">
        <v>8599</v>
      </c>
      <c r="F790" s="380" t="s">
        <v>14754</v>
      </c>
      <c r="G790" s="380">
        <v>6</v>
      </c>
      <c r="H790" s="380" t="s">
        <v>1480</v>
      </c>
    </row>
    <row r="791" spans="1:9" x14ac:dyDescent="0.25">
      <c r="A791" s="247" t="str">
        <f t="shared" si="12"/>
        <v>北郡坂ノ市サッカースポーツ少年団_3</v>
      </c>
      <c r="B791" s="238" t="s">
        <v>2557</v>
      </c>
      <c r="C791" s="238" t="str">
        <f>("3")</f>
        <v>3</v>
      </c>
      <c r="D791" s="238" t="s">
        <v>235</v>
      </c>
      <c r="E791" s="380" t="s">
        <v>8981</v>
      </c>
      <c r="F791" s="380" t="s">
        <v>14755</v>
      </c>
      <c r="G791" s="380">
        <v>6</v>
      </c>
      <c r="H791" s="380" t="s">
        <v>1478</v>
      </c>
    </row>
    <row r="792" spans="1:9" x14ac:dyDescent="0.25">
      <c r="A792" s="247" t="str">
        <f t="shared" si="12"/>
        <v>北郡坂ノ市サッカースポーツ少年団_4</v>
      </c>
      <c r="B792" s="238" t="s">
        <v>2557</v>
      </c>
      <c r="C792" s="238" t="str">
        <f>("4")</f>
        <v>4</v>
      </c>
      <c r="D792" s="238" t="s">
        <v>235</v>
      </c>
      <c r="E792" s="380" t="s">
        <v>8151</v>
      </c>
      <c r="F792" s="380" t="s">
        <v>14756</v>
      </c>
      <c r="G792" s="380">
        <v>5</v>
      </c>
      <c r="H792" s="380" t="s">
        <v>1478</v>
      </c>
    </row>
    <row r="793" spans="1:9" x14ac:dyDescent="0.25">
      <c r="A793" s="247" t="str">
        <f t="shared" si="12"/>
        <v>北郡坂ノ市サッカースポーツ少年団_5</v>
      </c>
      <c r="B793" s="238" t="s">
        <v>2557</v>
      </c>
      <c r="C793" s="238" t="str">
        <f>("5")</f>
        <v>5</v>
      </c>
      <c r="D793" s="238" t="s">
        <v>235</v>
      </c>
      <c r="E793" s="380" t="s">
        <v>5942</v>
      </c>
      <c r="F793" s="380" t="s">
        <v>6524</v>
      </c>
      <c r="G793" s="380">
        <v>6</v>
      </c>
      <c r="H793" s="380" t="s">
        <v>1478</v>
      </c>
    </row>
    <row r="794" spans="1:9" x14ac:dyDescent="0.25">
      <c r="A794" s="247" t="str">
        <f t="shared" si="12"/>
        <v>北郡坂ノ市サッカースポーツ少年団_6</v>
      </c>
      <c r="B794" s="238" t="s">
        <v>2557</v>
      </c>
      <c r="C794" s="238" t="str">
        <f>("6")</f>
        <v>6</v>
      </c>
      <c r="D794" s="238" t="s">
        <v>235</v>
      </c>
      <c r="E794" s="380" t="s">
        <v>8332</v>
      </c>
      <c r="F794" s="380" t="s">
        <v>14757</v>
      </c>
      <c r="G794" s="380">
        <v>5</v>
      </c>
      <c r="H794" s="380" t="s">
        <v>1478</v>
      </c>
    </row>
    <row r="795" spans="1:9" x14ac:dyDescent="0.25">
      <c r="A795" s="247" t="str">
        <f t="shared" si="12"/>
        <v>北郡坂ノ市サッカースポーツ少年団_7</v>
      </c>
      <c r="B795" s="238" t="s">
        <v>2557</v>
      </c>
      <c r="C795" s="238" t="str">
        <f>("7")</f>
        <v>7</v>
      </c>
      <c r="D795" s="238" t="s">
        <v>798</v>
      </c>
      <c r="E795" s="380" t="s">
        <v>9004</v>
      </c>
      <c r="F795" s="380" t="s">
        <v>14758</v>
      </c>
      <c r="G795" s="380">
        <v>6</v>
      </c>
      <c r="H795" s="380" t="s">
        <v>1480</v>
      </c>
    </row>
    <row r="796" spans="1:9" x14ac:dyDescent="0.25">
      <c r="A796" s="247" t="str">
        <f t="shared" si="12"/>
        <v>北郡坂ノ市サッカースポーツ少年団_8</v>
      </c>
      <c r="B796" s="238" t="s">
        <v>2557</v>
      </c>
      <c r="C796" s="238" t="str">
        <f>("8")</f>
        <v>8</v>
      </c>
      <c r="D796" s="238" t="s">
        <v>798</v>
      </c>
      <c r="E796" s="380" t="s">
        <v>5940</v>
      </c>
      <c r="F796" s="380" t="s">
        <v>6522</v>
      </c>
      <c r="G796" s="380">
        <v>5</v>
      </c>
      <c r="H796" s="380" t="s">
        <v>1478</v>
      </c>
    </row>
    <row r="797" spans="1:9" x14ac:dyDescent="0.25">
      <c r="A797" s="247" t="str">
        <f t="shared" si="12"/>
        <v>北郡坂ノ市サッカースポーツ少年団_9</v>
      </c>
      <c r="B797" s="238" t="s">
        <v>2557</v>
      </c>
      <c r="C797" s="238" t="str">
        <f>("9")</f>
        <v>9</v>
      </c>
      <c r="D797" s="238" t="s">
        <v>280</v>
      </c>
      <c r="E797" s="380" t="s">
        <v>8293</v>
      </c>
      <c r="F797" s="380" t="s">
        <v>14759</v>
      </c>
      <c r="G797" s="380">
        <v>5</v>
      </c>
      <c r="H797" s="380" t="s">
        <v>1478</v>
      </c>
    </row>
    <row r="798" spans="1:9" x14ac:dyDescent="0.25">
      <c r="A798" s="247" t="str">
        <f t="shared" si="12"/>
        <v>北郡坂ノ市サッカースポーツ少年団_10</v>
      </c>
      <c r="B798" s="238" t="s">
        <v>2557</v>
      </c>
      <c r="C798" s="238" t="str">
        <f>("10")</f>
        <v>10</v>
      </c>
      <c r="D798" s="238" t="s">
        <v>798</v>
      </c>
      <c r="E798" s="380" t="s">
        <v>5941</v>
      </c>
      <c r="F798" s="380" t="s">
        <v>6523</v>
      </c>
      <c r="G798" s="380">
        <v>6</v>
      </c>
      <c r="H798" s="380" t="s">
        <v>1478</v>
      </c>
      <c r="I798" s="380" t="s">
        <v>408</v>
      </c>
    </row>
    <row r="799" spans="1:9" x14ac:dyDescent="0.25">
      <c r="A799" s="247" t="str">
        <f t="shared" si="12"/>
        <v>北郡坂ノ市サッカースポーツ少年団_11</v>
      </c>
      <c r="B799" s="238" t="s">
        <v>2557</v>
      </c>
      <c r="C799" s="238" t="str">
        <f>("11")</f>
        <v>11</v>
      </c>
      <c r="D799" s="238" t="s">
        <v>280</v>
      </c>
      <c r="E799" s="380" t="s">
        <v>8399</v>
      </c>
      <c r="F799" s="380" t="s">
        <v>14760</v>
      </c>
      <c r="G799" s="380">
        <v>5</v>
      </c>
      <c r="H799" s="380" t="s">
        <v>1478</v>
      </c>
    </row>
    <row r="800" spans="1:9" x14ac:dyDescent="0.25">
      <c r="A800" s="247" t="str">
        <f t="shared" si="12"/>
        <v>北郡坂ノ市サッカースポーツ少年団_12</v>
      </c>
      <c r="B800" s="238" t="s">
        <v>2557</v>
      </c>
      <c r="C800" s="238" t="str">
        <f>("12")</f>
        <v>12</v>
      </c>
      <c r="D800" s="238" t="s">
        <v>235</v>
      </c>
      <c r="E800" s="380" t="s">
        <v>9504</v>
      </c>
      <c r="F800" s="380" t="s">
        <v>14761</v>
      </c>
      <c r="G800" s="380">
        <v>4</v>
      </c>
      <c r="H800" s="380" t="s">
        <v>1478</v>
      </c>
    </row>
    <row r="801" spans="1:9" x14ac:dyDescent="0.25">
      <c r="A801" s="247" t="str">
        <f t="shared" si="12"/>
        <v>北郡坂ノ市サッカースポーツ少年団_13</v>
      </c>
      <c r="B801" s="238" t="s">
        <v>2557</v>
      </c>
      <c r="C801" s="238" t="str">
        <f>("13")</f>
        <v>13</v>
      </c>
      <c r="D801" s="238" t="s">
        <v>798</v>
      </c>
      <c r="E801" s="380" t="s">
        <v>7921</v>
      </c>
      <c r="F801" s="380" t="s">
        <v>14762</v>
      </c>
      <c r="G801" s="380">
        <v>5</v>
      </c>
      <c r="H801" s="380" t="s">
        <v>1478</v>
      </c>
    </row>
    <row r="802" spans="1:9" x14ac:dyDescent="0.25">
      <c r="A802" s="247" t="str">
        <f t="shared" si="12"/>
        <v>北郡坂ノ市サッカースポーツ少年団_14</v>
      </c>
      <c r="B802" s="238" t="s">
        <v>2557</v>
      </c>
      <c r="C802" s="238" t="str">
        <f>("14")</f>
        <v>14</v>
      </c>
      <c r="D802" s="238" t="s">
        <v>798</v>
      </c>
      <c r="E802" s="380" t="s">
        <v>9069</v>
      </c>
      <c r="F802" s="380" t="s">
        <v>14763</v>
      </c>
      <c r="G802" s="380">
        <v>4</v>
      </c>
      <c r="H802" s="380" t="s">
        <v>1478</v>
      </c>
    </row>
    <row r="803" spans="1:9" x14ac:dyDescent="0.25">
      <c r="A803" s="247" t="str">
        <f t="shared" si="12"/>
        <v>北郡坂ノ市サッカースポーツ少年団_15</v>
      </c>
      <c r="B803" s="238" t="s">
        <v>2557</v>
      </c>
      <c r="C803" s="238" t="str">
        <f>("15")</f>
        <v>15</v>
      </c>
      <c r="D803" s="238" t="s">
        <v>798</v>
      </c>
      <c r="E803" s="380" t="s">
        <v>9039</v>
      </c>
      <c r="F803" s="380" t="s">
        <v>14764</v>
      </c>
      <c r="G803" s="380">
        <v>4</v>
      </c>
      <c r="H803" s="380" t="s">
        <v>1478</v>
      </c>
    </row>
    <row r="804" spans="1:9" x14ac:dyDescent="0.25">
      <c r="A804" s="247" t="str">
        <f t="shared" si="12"/>
        <v>北郡坂ノ市サッカースポーツ少年団_19</v>
      </c>
      <c r="B804" s="238" t="s">
        <v>2557</v>
      </c>
      <c r="C804" s="238" t="str">
        <f>("19")</f>
        <v>19</v>
      </c>
      <c r="D804" s="238" t="s">
        <v>796</v>
      </c>
      <c r="E804" s="380" t="s">
        <v>9401</v>
      </c>
      <c r="F804" s="380" t="s">
        <v>14765</v>
      </c>
      <c r="G804" s="380">
        <v>4</v>
      </c>
      <c r="H804" s="380" t="s">
        <v>1480</v>
      </c>
    </row>
    <row r="805" spans="1:9" x14ac:dyDescent="0.25">
      <c r="A805" s="247" t="str">
        <f t="shared" si="12"/>
        <v>田尻サッカースポーツ少年団_1</v>
      </c>
      <c r="B805" s="238" t="s">
        <v>188</v>
      </c>
      <c r="C805" s="238" t="str">
        <f>("1")</f>
        <v>1</v>
      </c>
      <c r="D805" s="238" t="s">
        <v>796</v>
      </c>
      <c r="E805" s="380" t="s">
        <v>4066</v>
      </c>
      <c r="F805" s="380" t="s">
        <v>4067</v>
      </c>
      <c r="G805" s="380">
        <v>6</v>
      </c>
      <c r="H805" s="380" t="s">
        <v>1478</v>
      </c>
    </row>
    <row r="806" spans="1:9" x14ac:dyDescent="0.25">
      <c r="A806" s="247" t="str">
        <f t="shared" si="12"/>
        <v>田尻サッカースポーツ少年団_2</v>
      </c>
      <c r="B806" s="238" t="s">
        <v>188</v>
      </c>
      <c r="C806" s="238" t="str">
        <f>("2")</f>
        <v>2</v>
      </c>
      <c r="D806" s="238" t="s">
        <v>798</v>
      </c>
      <c r="E806" s="380" t="s">
        <v>8159</v>
      </c>
      <c r="F806" s="380" t="s">
        <v>14766</v>
      </c>
      <c r="G806" s="380">
        <v>5</v>
      </c>
      <c r="H806" s="380" t="s">
        <v>1480</v>
      </c>
    </row>
    <row r="807" spans="1:9" x14ac:dyDescent="0.25">
      <c r="A807" s="247" t="str">
        <f t="shared" si="12"/>
        <v>田尻サッカースポーツ少年団_3</v>
      </c>
      <c r="B807" s="238" t="s">
        <v>188</v>
      </c>
      <c r="C807" s="238" t="str">
        <f>("3")</f>
        <v>3</v>
      </c>
      <c r="D807" s="238" t="s">
        <v>798</v>
      </c>
      <c r="E807" s="380" t="s">
        <v>8353</v>
      </c>
      <c r="F807" s="380" t="s">
        <v>14767</v>
      </c>
      <c r="G807" s="380">
        <v>5</v>
      </c>
      <c r="H807" s="380" t="s">
        <v>1480</v>
      </c>
    </row>
    <row r="808" spans="1:9" x14ac:dyDescent="0.25">
      <c r="A808" s="247" t="str">
        <f t="shared" si="12"/>
        <v>田尻サッカースポーツ少年団_4</v>
      </c>
      <c r="B808" s="238" t="s">
        <v>188</v>
      </c>
      <c r="C808" s="238" t="str">
        <f>("4")</f>
        <v>4</v>
      </c>
      <c r="D808" s="238" t="s">
        <v>798</v>
      </c>
      <c r="E808" s="380" t="s">
        <v>5947</v>
      </c>
      <c r="F808" s="380" t="s">
        <v>6526</v>
      </c>
      <c r="G808" s="380">
        <v>6</v>
      </c>
      <c r="H808" s="380" t="s">
        <v>1480</v>
      </c>
    </row>
    <row r="809" spans="1:9" x14ac:dyDescent="0.25">
      <c r="A809" s="247" t="str">
        <f t="shared" si="12"/>
        <v>田尻サッカースポーツ少年団_5</v>
      </c>
      <c r="B809" s="238" t="s">
        <v>188</v>
      </c>
      <c r="C809" s="238" t="str">
        <f>("5")</f>
        <v>5</v>
      </c>
      <c r="D809" s="238" t="s">
        <v>798</v>
      </c>
      <c r="E809" s="380" t="s">
        <v>5948</v>
      </c>
      <c r="F809" s="380" t="s">
        <v>6527</v>
      </c>
      <c r="G809" s="380">
        <v>6</v>
      </c>
      <c r="H809" s="380" t="s">
        <v>1480</v>
      </c>
    </row>
    <row r="810" spans="1:9" x14ac:dyDescent="0.25">
      <c r="A810" s="247" t="str">
        <f t="shared" si="12"/>
        <v>田尻サッカースポーツ少年団_6</v>
      </c>
      <c r="B810" s="238" t="s">
        <v>188</v>
      </c>
      <c r="C810" s="238" t="str">
        <f>("6")</f>
        <v>6</v>
      </c>
      <c r="D810" s="238" t="s">
        <v>235</v>
      </c>
      <c r="E810" s="380" t="s">
        <v>5946</v>
      </c>
      <c r="F810" s="380" t="s">
        <v>6525</v>
      </c>
      <c r="G810" s="380">
        <v>6</v>
      </c>
      <c r="H810" s="380" t="s">
        <v>1478</v>
      </c>
    </row>
    <row r="811" spans="1:9" x14ac:dyDescent="0.25">
      <c r="A811" s="247" t="str">
        <f t="shared" si="12"/>
        <v>田尻サッカースポーツ少年団_7</v>
      </c>
      <c r="B811" s="238" t="s">
        <v>188</v>
      </c>
      <c r="C811" s="238" t="str">
        <f>("7")</f>
        <v>7</v>
      </c>
      <c r="D811" s="238" t="s">
        <v>798</v>
      </c>
      <c r="E811" s="380" t="s">
        <v>4064</v>
      </c>
      <c r="F811" s="380" t="s">
        <v>4065</v>
      </c>
      <c r="G811" s="380">
        <v>6</v>
      </c>
      <c r="H811" s="380" t="s">
        <v>1480</v>
      </c>
    </row>
    <row r="812" spans="1:9" x14ac:dyDescent="0.25">
      <c r="A812" s="247" t="str">
        <f t="shared" si="12"/>
        <v>田尻サッカースポーツ少年団_8</v>
      </c>
      <c r="B812" s="238" t="s">
        <v>188</v>
      </c>
      <c r="C812" s="238" t="str">
        <f>("8")</f>
        <v>8</v>
      </c>
      <c r="D812" s="238" t="s">
        <v>798</v>
      </c>
      <c r="E812" s="380" t="s">
        <v>4062</v>
      </c>
      <c r="F812" s="380" t="s">
        <v>4063</v>
      </c>
      <c r="G812" s="380">
        <v>6</v>
      </c>
      <c r="H812" s="380" t="s">
        <v>1478</v>
      </c>
    </row>
    <row r="813" spans="1:9" x14ac:dyDescent="0.25">
      <c r="A813" s="247" t="str">
        <f t="shared" si="12"/>
        <v>田尻サッカースポーツ少年団_10</v>
      </c>
      <c r="B813" s="238" t="s">
        <v>188</v>
      </c>
      <c r="C813" s="238" t="str">
        <f>("10")</f>
        <v>10</v>
      </c>
      <c r="D813" s="238" t="s">
        <v>235</v>
      </c>
      <c r="E813" s="380" t="s">
        <v>4060</v>
      </c>
      <c r="F813" s="380" t="s">
        <v>4061</v>
      </c>
      <c r="G813" s="380">
        <v>6</v>
      </c>
      <c r="H813" s="380" t="s">
        <v>1478</v>
      </c>
      <c r="I813" s="380" t="s">
        <v>408</v>
      </c>
    </row>
    <row r="814" spans="1:9" x14ac:dyDescent="0.25">
      <c r="A814" s="247" t="str">
        <f t="shared" si="12"/>
        <v>田尻サッカースポーツ少年団_11</v>
      </c>
      <c r="B814" s="238" t="s">
        <v>188</v>
      </c>
      <c r="C814" s="238" t="str">
        <f>("11")</f>
        <v>11</v>
      </c>
      <c r="D814" s="238" t="s">
        <v>235</v>
      </c>
      <c r="E814" s="380" t="s">
        <v>4056</v>
      </c>
      <c r="F814" s="380" t="s">
        <v>4057</v>
      </c>
      <c r="G814" s="380">
        <v>6</v>
      </c>
      <c r="H814" s="380" t="s">
        <v>1478</v>
      </c>
    </row>
    <row r="815" spans="1:9" x14ac:dyDescent="0.25">
      <c r="A815" s="247" t="str">
        <f t="shared" si="12"/>
        <v>田尻サッカースポーツ少年団_12</v>
      </c>
      <c r="B815" s="238" t="s">
        <v>188</v>
      </c>
      <c r="C815" s="238" t="str">
        <f>("12")</f>
        <v>12</v>
      </c>
      <c r="D815" s="238" t="s">
        <v>798</v>
      </c>
      <c r="E815" s="380" t="s">
        <v>9760</v>
      </c>
      <c r="F815" s="380" t="s">
        <v>14768</v>
      </c>
      <c r="G815" s="380">
        <v>3</v>
      </c>
      <c r="H815" s="380" t="s">
        <v>1478</v>
      </c>
    </row>
    <row r="816" spans="1:9" x14ac:dyDescent="0.25">
      <c r="A816" s="247" t="str">
        <f t="shared" si="12"/>
        <v>田尻サッカースポーツ少年団_13</v>
      </c>
      <c r="B816" s="238" t="s">
        <v>188</v>
      </c>
      <c r="C816" s="238" t="str">
        <f>("13")</f>
        <v>13</v>
      </c>
      <c r="D816" s="238" t="s">
        <v>798</v>
      </c>
      <c r="E816" s="380" t="s">
        <v>10154</v>
      </c>
      <c r="F816" s="380" t="s">
        <v>14769</v>
      </c>
      <c r="G816" s="380">
        <v>3</v>
      </c>
      <c r="H816" s="380" t="s">
        <v>1478</v>
      </c>
    </row>
    <row r="817" spans="1:9" x14ac:dyDescent="0.25">
      <c r="A817" s="247" t="str">
        <f t="shared" si="12"/>
        <v>田尻サッカースポーツ少年団_14</v>
      </c>
      <c r="B817" s="238" t="s">
        <v>188</v>
      </c>
      <c r="C817" s="238" t="str">
        <f>("14")</f>
        <v>14</v>
      </c>
      <c r="D817" s="238" t="s">
        <v>798</v>
      </c>
      <c r="E817" s="380" t="s">
        <v>10200</v>
      </c>
      <c r="F817" s="380" t="s">
        <v>14770</v>
      </c>
      <c r="G817" s="380">
        <v>3</v>
      </c>
      <c r="H817" s="380" t="s">
        <v>1478</v>
      </c>
    </row>
    <row r="818" spans="1:9" x14ac:dyDescent="0.25">
      <c r="A818" s="247" t="str">
        <f t="shared" si="12"/>
        <v>田尻サッカースポーツ少年団_16</v>
      </c>
      <c r="B818" s="238" t="s">
        <v>188</v>
      </c>
      <c r="C818" s="238" t="str">
        <f>("16")</f>
        <v>16</v>
      </c>
      <c r="D818" s="238" t="s">
        <v>796</v>
      </c>
      <c r="E818" s="380" t="s">
        <v>4053</v>
      </c>
      <c r="F818" s="380" t="s">
        <v>4054</v>
      </c>
      <c r="G818" s="380">
        <v>6</v>
      </c>
      <c r="H818" s="380" t="s">
        <v>1478</v>
      </c>
    </row>
    <row r="819" spans="1:9" x14ac:dyDescent="0.25">
      <c r="A819" s="247" t="str">
        <f t="shared" si="12"/>
        <v>田尻サッカースポーツ少年団_17</v>
      </c>
      <c r="B819" s="238" t="s">
        <v>188</v>
      </c>
      <c r="C819" s="238" t="str">
        <f>("17")</f>
        <v>17</v>
      </c>
      <c r="D819" s="238" t="s">
        <v>798</v>
      </c>
      <c r="E819" s="380" t="s">
        <v>4051</v>
      </c>
      <c r="F819" s="380" t="s">
        <v>4052</v>
      </c>
      <c r="G819" s="380">
        <v>6</v>
      </c>
      <c r="H819" s="380" t="s">
        <v>1478</v>
      </c>
    </row>
    <row r="820" spans="1:9" x14ac:dyDescent="0.25">
      <c r="A820" s="247" t="str">
        <f t="shared" si="12"/>
        <v>判田サッカースポーツ少年団_1</v>
      </c>
      <c r="B820" s="238" t="s">
        <v>686</v>
      </c>
      <c r="C820" s="238" t="str">
        <f>("1")</f>
        <v>1</v>
      </c>
      <c r="D820" s="238" t="s">
        <v>796</v>
      </c>
      <c r="E820" s="380" t="s">
        <v>9910</v>
      </c>
      <c r="F820" s="380" t="s">
        <v>14771</v>
      </c>
      <c r="G820" s="380">
        <v>3</v>
      </c>
      <c r="H820" s="380" t="s">
        <v>1478</v>
      </c>
    </row>
    <row r="821" spans="1:9" x14ac:dyDescent="0.25">
      <c r="A821" s="247" t="str">
        <f t="shared" si="12"/>
        <v>判田サッカースポーツ少年団_2</v>
      </c>
      <c r="B821" s="238" t="s">
        <v>686</v>
      </c>
      <c r="C821" s="238" t="str">
        <f>("2")</f>
        <v>2</v>
      </c>
      <c r="D821" s="238" t="s">
        <v>235</v>
      </c>
      <c r="E821" s="380" t="s">
        <v>9737</v>
      </c>
      <c r="F821" s="380" t="s">
        <v>14772</v>
      </c>
      <c r="G821" s="380">
        <v>3</v>
      </c>
      <c r="H821" s="380" t="s">
        <v>1478</v>
      </c>
    </row>
    <row r="822" spans="1:9" x14ac:dyDescent="0.25">
      <c r="A822" s="247" t="str">
        <f t="shared" si="12"/>
        <v>判田サッカースポーツ少年団_3</v>
      </c>
      <c r="B822" s="238" t="s">
        <v>686</v>
      </c>
      <c r="C822" s="238" t="str">
        <f>("3")</f>
        <v>3</v>
      </c>
      <c r="D822" s="238" t="s">
        <v>798</v>
      </c>
      <c r="E822" s="380" t="s">
        <v>9219</v>
      </c>
      <c r="F822" s="380" t="s">
        <v>14773</v>
      </c>
      <c r="G822" s="380">
        <v>4</v>
      </c>
      <c r="H822" s="380" t="s">
        <v>1478</v>
      </c>
    </row>
    <row r="823" spans="1:9" x14ac:dyDescent="0.25">
      <c r="A823" s="247" t="str">
        <f t="shared" si="12"/>
        <v>判田サッカースポーツ少年団_4</v>
      </c>
      <c r="B823" s="238" t="s">
        <v>686</v>
      </c>
      <c r="C823" s="238" t="str">
        <f>("4")</f>
        <v>4</v>
      </c>
      <c r="D823" s="238" t="s">
        <v>280</v>
      </c>
      <c r="E823" s="380" t="s">
        <v>9580</v>
      </c>
      <c r="F823" s="380" t="s">
        <v>14774</v>
      </c>
      <c r="G823" s="380">
        <v>4</v>
      </c>
      <c r="H823" s="380" t="s">
        <v>1478</v>
      </c>
    </row>
    <row r="824" spans="1:9" x14ac:dyDescent="0.25">
      <c r="A824" s="247" t="str">
        <f t="shared" si="12"/>
        <v>判田サッカースポーツ少年団_6</v>
      </c>
      <c r="B824" s="238" t="s">
        <v>686</v>
      </c>
      <c r="C824" s="238" t="str">
        <f>("6")</f>
        <v>6</v>
      </c>
      <c r="D824" s="238" t="s">
        <v>280</v>
      </c>
      <c r="E824" s="380" t="s">
        <v>245</v>
      </c>
      <c r="F824" s="380" t="s">
        <v>6529</v>
      </c>
      <c r="G824" s="380">
        <v>5</v>
      </c>
      <c r="H824" s="380" t="s">
        <v>1478</v>
      </c>
    </row>
    <row r="825" spans="1:9" x14ac:dyDescent="0.25">
      <c r="A825" s="247" t="str">
        <f t="shared" si="12"/>
        <v>判田サッカースポーツ少年団_7</v>
      </c>
      <c r="B825" s="238" t="s">
        <v>686</v>
      </c>
      <c r="C825" s="238" t="str">
        <f>("7")</f>
        <v>7</v>
      </c>
      <c r="D825" s="238" t="s">
        <v>798</v>
      </c>
      <c r="E825" s="380" t="s">
        <v>8312</v>
      </c>
      <c r="F825" s="380" t="s">
        <v>14775</v>
      </c>
      <c r="G825" s="380">
        <v>5</v>
      </c>
      <c r="H825" s="380" t="s">
        <v>1478</v>
      </c>
    </row>
    <row r="826" spans="1:9" x14ac:dyDescent="0.25">
      <c r="A826" s="247" t="str">
        <f t="shared" si="12"/>
        <v>判田サッカースポーツ少年団_8</v>
      </c>
      <c r="B826" s="238" t="s">
        <v>686</v>
      </c>
      <c r="C826" s="238" t="str">
        <f>("8")</f>
        <v>8</v>
      </c>
      <c r="D826" s="238" t="s">
        <v>280</v>
      </c>
      <c r="E826" s="380" t="s">
        <v>9475</v>
      </c>
      <c r="F826" s="380" t="s">
        <v>14776</v>
      </c>
      <c r="G826" s="380">
        <v>4</v>
      </c>
      <c r="H826" s="380" t="s">
        <v>1478</v>
      </c>
    </row>
    <row r="827" spans="1:9" x14ac:dyDescent="0.25">
      <c r="A827" s="247" t="str">
        <f t="shared" si="12"/>
        <v>判田サッカースポーツ少年団_9</v>
      </c>
      <c r="B827" s="238" t="s">
        <v>686</v>
      </c>
      <c r="C827" s="238" t="str">
        <f>("9")</f>
        <v>9</v>
      </c>
      <c r="D827" s="238" t="s">
        <v>280</v>
      </c>
      <c r="E827" s="380" t="s">
        <v>9117</v>
      </c>
      <c r="F827" s="380" t="s">
        <v>14777</v>
      </c>
      <c r="G827" s="380">
        <v>4</v>
      </c>
      <c r="H827" s="380" t="s">
        <v>1478</v>
      </c>
    </row>
    <row r="828" spans="1:9" x14ac:dyDescent="0.25">
      <c r="A828" s="247" t="str">
        <f t="shared" si="12"/>
        <v>判田サッカースポーツ少年団_10</v>
      </c>
      <c r="B828" s="238" t="s">
        <v>686</v>
      </c>
      <c r="C828" s="238" t="str">
        <f>("10")</f>
        <v>10</v>
      </c>
      <c r="D828" s="238" t="s">
        <v>798</v>
      </c>
      <c r="E828" s="380" t="s">
        <v>4634</v>
      </c>
      <c r="F828" s="380" t="s">
        <v>4635</v>
      </c>
      <c r="G828" s="380">
        <v>6</v>
      </c>
      <c r="H828" s="380" t="s">
        <v>1478</v>
      </c>
      <c r="I828" s="380" t="s">
        <v>408</v>
      </c>
    </row>
    <row r="829" spans="1:9" x14ac:dyDescent="0.25">
      <c r="A829" s="247" t="str">
        <f t="shared" si="12"/>
        <v>判田サッカースポーツ少年団_11</v>
      </c>
      <c r="B829" s="238" t="s">
        <v>686</v>
      </c>
      <c r="C829" s="238" t="str">
        <f>("11")</f>
        <v>11</v>
      </c>
      <c r="D829" s="238" t="s">
        <v>235</v>
      </c>
      <c r="E829" s="380" t="s">
        <v>9854</v>
      </c>
      <c r="F829" s="380" t="s">
        <v>14778</v>
      </c>
      <c r="G829" s="380">
        <v>3</v>
      </c>
      <c r="H829" s="380" t="s">
        <v>1478</v>
      </c>
    </row>
    <row r="830" spans="1:9" x14ac:dyDescent="0.25">
      <c r="A830" s="247" t="str">
        <f t="shared" si="12"/>
        <v>判田サッカースポーツ少年団_12</v>
      </c>
      <c r="B830" s="238" t="s">
        <v>686</v>
      </c>
      <c r="C830" s="238" t="str">
        <f>("12")</f>
        <v>12</v>
      </c>
      <c r="D830" s="238" t="s">
        <v>235</v>
      </c>
      <c r="E830" s="380" t="s">
        <v>9035</v>
      </c>
      <c r="F830" s="380" t="s">
        <v>14779</v>
      </c>
      <c r="G830" s="380">
        <v>4</v>
      </c>
      <c r="H830" s="380" t="s">
        <v>1478</v>
      </c>
    </row>
    <row r="831" spans="1:9" x14ac:dyDescent="0.25">
      <c r="A831" s="247" t="str">
        <f t="shared" si="12"/>
        <v>判田サッカースポーツ少年団_13</v>
      </c>
      <c r="B831" s="238" t="s">
        <v>686</v>
      </c>
      <c r="C831" s="238" t="str">
        <f>("13")</f>
        <v>13</v>
      </c>
      <c r="D831" s="238" t="s">
        <v>798</v>
      </c>
      <c r="E831" s="380" t="s">
        <v>9455</v>
      </c>
      <c r="F831" s="380" t="s">
        <v>14780</v>
      </c>
      <c r="G831" s="380">
        <v>4</v>
      </c>
      <c r="H831" s="380" t="s">
        <v>1478</v>
      </c>
    </row>
    <row r="832" spans="1:9" x14ac:dyDescent="0.25">
      <c r="A832" s="247" t="str">
        <f t="shared" si="12"/>
        <v>判田サッカースポーツ少年団_14</v>
      </c>
      <c r="B832" s="238" t="s">
        <v>686</v>
      </c>
      <c r="C832" s="238" t="str">
        <f>("14")</f>
        <v>14</v>
      </c>
      <c r="D832" s="238" t="s">
        <v>798</v>
      </c>
      <c r="E832" s="380" t="s">
        <v>10020</v>
      </c>
      <c r="F832" s="380" t="s">
        <v>14781</v>
      </c>
      <c r="G832" s="380">
        <v>3</v>
      </c>
      <c r="H832" s="380" t="s">
        <v>1478</v>
      </c>
    </row>
    <row r="833" spans="1:9" x14ac:dyDescent="0.25">
      <c r="A833" s="247" t="str">
        <f t="shared" ref="A833:A896" si="13">CONCATENATE(B833,"_",C833)</f>
        <v>判田サッカースポーツ少年団_16</v>
      </c>
      <c r="B833" s="238" t="s">
        <v>686</v>
      </c>
      <c r="C833" s="238" t="str">
        <f>("16")</f>
        <v>16</v>
      </c>
      <c r="D833" s="238" t="s">
        <v>235</v>
      </c>
      <c r="E833" s="380" t="s">
        <v>9120</v>
      </c>
      <c r="F833" s="380" t="s">
        <v>14782</v>
      </c>
      <c r="G833" s="380">
        <v>4</v>
      </c>
      <c r="H833" s="380" t="s">
        <v>1478</v>
      </c>
    </row>
    <row r="834" spans="1:9" x14ac:dyDescent="0.25">
      <c r="A834" s="247" t="str">
        <f t="shared" si="13"/>
        <v>判田サッカースポーツ少年団_17</v>
      </c>
      <c r="B834" s="238" t="s">
        <v>686</v>
      </c>
      <c r="C834" s="238" t="str">
        <f>("17")</f>
        <v>17</v>
      </c>
      <c r="D834" s="238" t="s">
        <v>796</v>
      </c>
      <c r="E834" s="380" t="s">
        <v>5951</v>
      </c>
      <c r="F834" s="380" t="s">
        <v>6530</v>
      </c>
      <c r="G834" s="380">
        <v>5</v>
      </c>
      <c r="H834" s="380" t="s">
        <v>1478</v>
      </c>
    </row>
    <row r="835" spans="1:9" x14ac:dyDescent="0.25">
      <c r="A835" s="247" t="str">
        <f t="shared" si="13"/>
        <v>賀来ジュニアサッカークラブ_1</v>
      </c>
      <c r="B835" s="238" t="s">
        <v>5617</v>
      </c>
      <c r="C835" s="238" t="str">
        <f>("1")</f>
        <v>1</v>
      </c>
      <c r="D835" s="238" t="s">
        <v>796</v>
      </c>
      <c r="E835" s="380" t="s">
        <v>5952</v>
      </c>
      <c r="F835" s="380" t="s">
        <v>6531</v>
      </c>
      <c r="G835" s="380">
        <v>6</v>
      </c>
      <c r="H835" s="380" t="s">
        <v>1478</v>
      </c>
    </row>
    <row r="836" spans="1:9" x14ac:dyDescent="0.25">
      <c r="A836" s="247" t="str">
        <f t="shared" si="13"/>
        <v>賀来ジュニアサッカークラブ_2</v>
      </c>
      <c r="B836" s="238" t="s">
        <v>5617</v>
      </c>
      <c r="C836" s="238" t="str">
        <f>("2")</f>
        <v>2</v>
      </c>
      <c r="D836" s="238" t="s">
        <v>280</v>
      </c>
      <c r="E836" s="380" t="s">
        <v>5960</v>
      </c>
      <c r="F836" s="380" t="s">
        <v>6539</v>
      </c>
      <c r="G836" s="380">
        <v>5</v>
      </c>
      <c r="H836" s="380" t="s">
        <v>1478</v>
      </c>
    </row>
    <row r="837" spans="1:9" x14ac:dyDescent="0.25">
      <c r="A837" s="247" t="str">
        <f t="shared" si="13"/>
        <v>賀来ジュニアサッカークラブ_3</v>
      </c>
      <c r="B837" s="238" t="s">
        <v>5617</v>
      </c>
      <c r="C837" s="238" t="str">
        <f>("3")</f>
        <v>3</v>
      </c>
      <c r="D837" s="238" t="s">
        <v>280</v>
      </c>
      <c r="E837" s="380" t="s">
        <v>8253</v>
      </c>
      <c r="F837" s="380" t="s">
        <v>14783</v>
      </c>
      <c r="G837" s="380">
        <v>5</v>
      </c>
      <c r="H837" s="380" t="s">
        <v>1478</v>
      </c>
    </row>
    <row r="838" spans="1:9" x14ac:dyDescent="0.25">
      <c r="A838" s="247" t="str">
        <f t="shared" si="13"/>
        <v>賀来ジュニアサッカークラブ_4</v>
      </c>
      <c r="B838" s="238" t="s">
        <v>5617</v>
      </c>
      <c r="C838" s="238" t="str">
        <f>("4")</f>
        <v>4</v>
      </c>
      <c r="D838" s="238" t="s">
        <v>798</v>
      </c>
      <c r="E838" s="380" t="s">
        <v>9304</v>
      </c>
      <c r="F838" s="380" t="s">
        <v>14784</v>
      </c>
      <c r="G838" s="380">
        <v>4</v>
      </c>
      <c r="H838" s="380" t="s">
        <v>1478</v>
      </c>
    </row>
    <row r="839" spans="1:9" x14ac:dyDescent="0.25">
      <c r="A839" s="247" t="str">
        <f t="shared" si="13"/>
        <v>賀来ジュニアサッカークラブ_6</v>
      </c>
      <c r="B839" s="238" t="s">
        <v>5617</v>
      </c>
      <c r="C839" s="238" t="str">
        <f>("6")</f>
        <v>6</v>
      </c>
      <c r="D839" s="238" t="s">
        <v>235</v>
      </c>
      <c r="E839" s="380" t="s">
        <v>5953</v>
      </c>
      <c r="F839" s="380" t="s">
        <v>6532</v>
      </c>
      <c r="G839" s="380">
        <v>6</v>
      </c>
      <c r="H839" s="380" t="s">
        <v>1478</v>
      </c>
    </row>
    <row r="840" spans="1:9" x14ac:dyDescent="0.25">
      <c r="A840" s="247" t="str">
        <f t="shared" si="13"/>
        <v>賀来ジュニアサッカークラブ_7</v>
      </c>
      <c r="B840" s="238" t="s">
        <v>5617</v>
      </c>
      <c r="C840" s="238" t="str">
        <f>("7")</f>
        <v>7</v>
      </c>
      <c r="D840" s="238" t="s">
        <v>798</v>
      </c>
      <c r="E840" s="380" t="s">
        <v>5957</v>
      </c>
      <c r="F840" s="380" t="s">
        <v>6536</v>
      </c>
      <c r="G840" s="380">
        <v>6</v>
      </c>
      <c r="H840" s="380" t="s">
        <v>1478</v>
      </c>
    </row>
    <row r="841" spans="1:9" x14ac:dyDescent="0.25">
      <c r="A841" s="247" t="str">
        <f t="shared" si="13"/>
        <v>賀来ジュニアサッカークラブ_8</v>
      </c>
      <c r="B841" s="238" t="s">
        <v>5617</v>
      </c>
      <c r="C841" s="238" t="str">
        <f>("8")</f>
        <v>8</v>
      </c>
      <c r="D841" s="238" t="s">
        <v>798</v>
      </c>
      <c r="E841" s="380" t="s">
        <v>5954</v>
      </c>
      <c r="F841" s="380" t="s">
        <v>6533</v>
      </c>
      <c r="G841" s="380">
        <v>6</v>
      </c>
      <c r="H841" s="380" t="s">
        <v>1478</v>
      </c>
    </row>
    <row r="842" spans="1:9" x14ac:dyDescent="0.25">
      <c r="A842" s="247" t="str">
        <f t="shared" si="13"/>
        <v>賀来ジュニアサッカークラブ_9</v>
      </c>
      <c r="B842" s="238" t="s">
        <v>5617</v>
      </c>
      <c r="C842" s="238" t="str">
        <f>("9")</f>
        <v>9</v>
      </c>
      <c r="D842" s="238" t="s">
        <v>235</v>
      </c>
      <c r="E842" s="380" t="s">
        <v>5959</v>
      </c>
      <c r="F842" s="380" t="s">
        <v>6538</v>
      </c>
      <c r="G842" s="380">
        <v>6</v>
      </c>
      <c r="H842" s="380" t="s">
        <v>1478</v>
      </c>
    </row>
    <row r="843" spans="1:9" x14ac:dyDescent="0.25">
      <c r="A843" s="247" t="str">
        <f t="shared" si="13"/>
        <v>賀来ジュニアサッカークラブ_10</v>
      </c>
      <c r="B843" s="238" t="s">
        <v>5617</v>
      </c>
      <c r="C843" s="238" t="str">
        <f>("10")</f>
        <v>10</v>
      </c>
      <c r="D843" s="238" t="s">
        <v>798</v>
      </c>
      <c r="E843" s="380" t="s">
        <v>5958</v>
      </c>
      <c r="F843" s="380" t="s">
        <v>6537</v>
      </c>
      <c r="G843" s="380">
        <v>6</v>
      </c>
      <c r="H843" s="380" t="s">
        <v>1478</v>
      </c>
      <c r="I843" s="380" t="s">
        <v>408</v>
      </c>
    </row>
    <row r="844" spans="1:9" x14ac:dyDescent="0.25">
      <c r="A844" s="247" t="str">
        <f t="shared" si="13"/>
        <v>賀来ジュニアサッカークラブ_11</v>
      </c>
      <c r="B844" s="238" t="s">
        <v>5617</v>
      </c>
      <c r="C844" s="238" t="str">
        <f>("11")</f>
        <v>11</v>
      </c>
      <c r="D844" s="238" t="s">
        <v>280</v>
      </c>
      <c r="E844" s="380" t="s">
        <v>5955</v>
      </c>
      <c r="F844" s="380" t="s">
        <v>6534</v>
      </c>
      <c r="G844" s="380">
        <v>6</v>
      </c>
      <c r="H844" s="380" t="s">
        <v>1478</v>
      </c>
    </row>
    <row r="845" spans="1:9" x14ac:dyDescent="0.25">
      <c r="A845" s="247" t="str">
        <f t="shared" si="13"/>
        <v>賀来ジュニアサッカークラブ_14</v>
      </c>
      <c r="B845" s="238" t="s">
        <v>5617</v>
      </c>
      <c r="C845" s="238" t="str">
        <f>("14")</f>
        <v>14</v>
      </c>
      <c r="D845" s="238" t="s">
        <v>235</v>
      </c>
      <c r="E845" s="380" t="s">
        <v>5956</v>
      </c>
      <c r="F845" s="380" t="s">
        <v>6535</v>
      </c>
      <c r="G845" s="380">
        <v>6</v>
      </c>
      <c r="H845" s="380" t="s">
        <v>1480</v>
      </c>
    </row>
    <row r="846" spans="1:9" x14ac:dyDescent="0.25">
      <c r="A846" s="247" t="str">
        <f t="shared" si="13"/>
        <v>桃園サッカースポーツ少年団_1</v>
      </c>
      <c r="B846" s="238" t="s">
        <v>2325</v>
      </c>
      <c r="C846" s="238" t="str">
        <f>("1")</f>
        <v>1</v>
      </c>
      <c r="D846" s="238" t="s">
        <v>796</v>
      </c>
      <c r="E846" s="380" t="s">
        <v>4638</v>
      </c>
      <c r="F846" s="380" t="s">
        <v>4639</v>
      </c>
      <c r="G846" s="380">
        <v>6</v>
      </c>
      <c r="H846" s="380" t="s">
        <v>1478</v>
      </c>
    </row>
    <row r="847" spans="1:9" x14ac:dyDescent="0.25">
      <c r="A847" s="247" t="str">
        <f t="shared" si="13"/>
        <v>桃園サッカースポーツ少年団_2</v>
      </c>
      <c r="B847" s="238" t="s">
        <v>2325</v>
      </c>
      <c r="C847" s="238" t="str">
        <f>("2")</f>
        <v>2</v>
      </c>
      <c r="D847" s="238" t="s">
        <v>798</v>
      </c>
      <c r="E847" s="380" t="s">
        <v>5966</v>
      </c>
      <c r="F847" s="380" t="s">
        <v>6545</v>
      </c>
      <c r="G847" s="380">
        <v>6</v>
      </c>
      <c r="H847" s="380" t="s">
        <v>1478</v>
      </c>
    </row>
    <row r="848" spans="1:9" x14ac:dyDescent="0.25">
      <c r="A848" s="247" t="str">
        <f t="shared" si="13"/>
        <v>桃園サッカースポーツ少年団_3</v>
      </c>
      <c r="B848" s="238" t="s">
        <v>2325</v>
      </c>
      <c r="C848" s="238" t="str">
        <f>("3")</f>
        <v>3</v>
      </c>
      <c r="D848" s="238" t="s">
        <v>798</v>
      </c>
      <c r="E848" s="380" t="s">
        <v>5967</v>
      </c>
      <c r="F848" s="380" t="s">
        <v>4618</v>
      </c>
      <c r="G848" s="380">
        <v>6</v>
      </c>
      <c r="H848" s="380" t="s">
        <v>1478</v>
      </c>
    </row>
    <row r="849" spans="1:9" x14ac:dyDescent="0.25">
      <c r="A849" s="247" t="str">
        <f t="shared" si="13"/>
        <v>桃園サッカースポーツ少年団_4</v>
      </c>
      <c r="B849" s="238" t="s">
        <v>2325</v>
      </c>
      <c r="C849" s="238" t="str">
        <f>("4")</f>
        <v>4</v>
      </c>
      <c r="D849" s="238" t="s">
        <v>235</v>
      </c>
      <c r="E849" s="380" t="s">
        <v>5963</v>
      </c>
      <c r="F849" s="380" t="s">
        <v>6542</v>
      </c>
      <c r="G849" s="380">
        <v>6</v>
      </c>
      <c r="H849" s="380" t="s">
        <v>1478</v>
      </c>
    </row>
    <row r="850" spans="1:9" x14ac:dyDescent="0.25">
      <c r="A850" s="247" t="str">
        <f t="shared" si="13"/>
        <v>桃園サッカースポーツ少年団_5</v>
      </c>
      <c r="B850" s="238" t="s">
        <v>2325</v>
      </c>
      <c r="C850" s="238" t="str">
        <f>("5")</f>
        <v>5</v>
      </c>
      <c r="D850" s="238" t="s">
        <v>798</v>
      </c>
      <c r="E850" s="380" t="s">
        <v>5965</v>
      </c>
      <c r="F850" s="380" t="s">
        <v>6544</v>
      </c>
      <c r="G850" s="380">
        <v>6</v>
      </c>
      <c r="H850" s="380" t="s">
        <v>1478</v>
      </c>
    </row>
    <row r="851" spans="1:9" x14ac:dyDescent="0.25">
      <c r="A851" s="247" t="str">
        <f t="shared" si="13"/>
        <v>桃園サッカースポーツ少年団_6</v>
      </c>
      <c r="B851" s="238" t="s">
        <v>2325</v>
      </c>
      <c r="C851" s="238" t="str">
        <f>("6")</f>
        <v>6</v>
      </c>
      <c r="D851" s="238" t="s">
        <v>235</v>
      </c>
      <c r="E851" s="380" t="s">
        <v>5962</v>
      </c>
      <c r="F851" s="380" t="s">
        <v>6541</v>
      </c>
      <c r="G851" s="380">
        <v>6</v>
      </c>
      <c r="H851" s="380" t="s">
        <v>1478</v>
      </c>
    </row>
    <row r="852" spans="1:9" x14ac:dyDescent="0.25">
      <c r="A852" s="247" t="str">
        <f t="shared" si="13"/>
        <v>桃園サッカースポーツ少年団_7</v>
      </c>
      <c r="B852" s="238" t="s">
        <v>2325</v>
      </c>
      <c r="C852" s="238" t="str">
        <f>("7")</f>
        <v>7</v>
      </c>
      <c r="D852" s="238" t="s">
        <v>798</v>
      </c>
      <c r="E852" s="380" t="s">
        <v>4640</v>
      </c>
      <c r="F852" s="380" t="s">
        <v>4641</v>
      </c>
      <c r="G852" s="380">
        <v>6</v>
      </c>
      <c r="H852" s="380" t="s">
        <v>1478</v>
      </c>
      <c r="I852" s="380" t="s">
        <v>408</v>
      </c>
    </row>
    <row r="853" spans="1:9" x14ac:dyDescent="0.25">
      <c r="A853" s="247" t="str">
        <f t="shared" si="13"/>
        <v>桃園サッカースポーツ少年団_8</v>
      </c>
      <c r="B853" s="238" t="s">
        <v>2325</v>
      </c>
      <c r="C853" s="238" t="str">
        <f>("8")</f>
        <v>8</v>
      </c>
      <c r="D853" s="238" t="s">
        <v>798</v>
      </c>
      <c r="E853" s="380" t="s">
        <v>8541</v>
      </c>
      <c r="F853" s="380" t="s">
        <v>14785</v>
      </c>
      <c r="G853" s="380">
        <v>5</v>
      </c>
      <c r="H853" s="380" t="s">
        <v>1478</v>
      </c>
    </row>
    <row r="854" spans="1:9" x14ac:dyDescent="0.25">
      <c r="A854" s="247" t="str">
        <f t="shared" si="13"/>
        <v>桃園サッカースポーツ少年団_9</v>
      </c>
      <c r="B854" s="238" t="s">
        <v>2325</v>
      </c>
      <c r="C854" s="238" t="str">
        <f>("9")</f>
        <v>9</v>
      </c>
      <c r="D854" s="238" t="s">
        <v>280</v>
      </c>
      <c r="E854" s="380" t="s">
        <v>5968</v>
      </c>
      <c r="F854" s="380" t="s">
        <v>6546</v>
      </c>
      <c r="G854" s="380">
        <v>6</v>
      </c>
      <c r="H854" s="380" t="s">
        <v>1478</v>
      </c>
    </row>
    <row r="855" spans="1:9" x14ac:dyDescent="0.25">
      <c r="A855" s="247" t="str">
        <f t="shared" si="13"/>
        <v>桃園サッカースポーツ少年団_10</v>
      </c>
      <c r="B855" s="238" t="s">
        <v>2325</v>
      </c>
      <c r="C855" s="238" t="str">
        <f>("10")</f>
        <v>10</v>
      </c>
      <c r="D855" s="238" t="s">
        <v>280</v>
      </c>
      <c r="E855" s="380" t="s">
        <v>5964</v>
      </c>
      <c r="F855" s="380" t="s">
        <v>6543</v>
      </c>
      <c r="G855" s="380">
        <v>6</v>
      </c>
      <c r="H855" s="380" t="s">
        <v>1478</v>
      </c>
    </row>
    <row r="856" spans="1:9" x14ac:dyDescent="0.25">
      <c r="A856" s="247" t="str">
        <f t="shared" si="13"/>
        <v>桃園サッカースポーツ少年団_11</v>
      </c>
      <c r="B856" s="238" t="s">
        <v>2325</v>
      </c>
      <c r="C856" s="238" t="str">
        <f>("11")</f>
        <v>11</v>
      </c>
      <c r="D856" s="238" t="s">
        <v>235</v>
      </c>
      <c r="E856" s="380" t="s">
        <v>7928</v>
      </c>
      <c r="F856" s="380" t="s">
        <v>14786</v>
      </c>
      <c r="G856" s="380">
        <v>5</v>
      </c>
      <c r="H856" s="380" t="s">
        <v>1478</v>
      </c>
    </row>
    <row r="857" spans="1:9" x14ac:dyDescent="0.25">
      <c r="A857" s="247" t="str">
        <f t="shared" si="13"/>
        <v>桃園サッカースポーツ少年団_12</v>
      </c>
      <c r="B857" s="238" t="s">
        <v>2325</v>
      </c>
      <c r="C857" s="238" t="str">
        <f>("12")</f>
        <v>12</v>
      </c>
      <c r="D857" s="238" t="s">
        <v>796</v>
      </c>
      <c r="E857" s="380" t="s">
        <v>8289</v>
      </c>
      <c r="F857" s="380" t="s">
        <v>14787</v>
      </c>
      <c r="G857" s="380">
        <v>5</v>
      </c>
      <c r="H857" s="380" t="s">
        <v>1478</v>
      </c>
    </row>
    <row r="858" spans="1:9" x14ac:dyDescent="0.25">
      <c r="A858" s="247" t="str">
        <f t="shared" si="13"/>
        <v>桃園サッカースポーツ少年団_13</v>
      </c>
      <c r="B858" s="238" t="s">
        <v>2325</v>
      </c>
      <c r="C858" s="238" t="str">
        <f>("13")</f>
        <v>13</v>
      </c>
      <c r="D858" s="238" t="s">
        <v>235</v>
      </c>
      <c r="E858" s="380" t="s">
        <v>7854</v>
      </c>
      <c r="F858" s="380" t="s">
        <v>14788</v>
      </c>
      <c r="G858" s="380">
        <v>5</v>
      </c>
      <c r="H858" s="380" t="s">
        <v>1478</v>
      </c>
    </row>
    <row r="859" spans="1:9" x14ac:dyDescent="0.25">
      <c r="A859" s="247" t="str">
        <f t="shared" si="13"/>
        <v>桃園サッカースポーツ少年団_14</v>
      </c>
      <c r="B859" s="238" t="s">
        <v>2325</v>
      </c>
      <c r="C859" s="238" t="str">
        <f>("14")</f>
        <v>14</v>
      </c>
      <c r="D859" s="238" t="s">
        <v>280</v>
      </c>
      <c r="E859" s="380" t="s">
        <v>7904</v>
      </c>
      <c r="F859" s="380" t="s">
        <v>14789</v>
      </c>
      <c r="G859" s="380">
        <v>5</v>
      </c>
      <c r="H859" s="380" t="s">
        <v>1478</v>
      </c>
    </row>
    <row r="860" spans="1:9" x14ac:dyDescent="0.25">
      <c r="A860" s="247" t="str">
        <f t="shared" si="13"/>
        <v>桃園サッカースポーツ少年団_15</v>
      </c>
      <c r="B860" s="238" t="s">
        <v>2325</v>
      </c>
      <c r="C860" s="238" t="str">
        <f>("15")</f>
        <v>15</v>
      </c>
      <c r="D860" s="238" t="s">
        <v>280</v>
      </c>
      <c r="E860" s="380" t="s">
        <v>8025</v>
      </c>
      <c r="F860" s="380" t="s">
        <v>14790</v>
      </c>
      <c r="G860" s="380">
        <v>5</v>
      </c>
      <c r="H860" s="380" t="s">
        <v>1478</v>
      </c>
    </row>
    <row r="861" spans="1:9" x14ac:dyDescent="0.25">
      <c r="A861" s="247" t="str">
        <f t="shared" si="13"/>
        <v>桃園サッカースポーツ少年団_16</v>
      </c>
      <c r="B861" s="238" t="s">
        <v>2325</v>
      </c>
      <c r="C861" s="238" t="str">
        <f>("16")</f>
        <v>16</v>
      </c>
      <c r="D861" s="238" t="s">
        <v>235</v>
      </c>
      <c r="E861" s="380" t="s">
        <v>8283</v>
      </c>
      <c r="F861" s="380" t="s">
        <v>14791</v>
      </c>
      <c r="G861" s="380">
        <v>5</v>
      </c>
      <c r="H861" s="380" t="s">
        <v>1478</v>
      </c>
    </row>
    <row r="862" spans="1:9" x14ac:dyDescent="0.25">
      <c r="A862" s="247" t="str">
        <f t="shared" si="13"/>
        <v>日出サッカースポーツ少年団_1</v>
      </c>
      <c r="B862" s="238" t="s">
        <v>2573</v>
      </c>
      <c r="C862" s="238" t="str">
        <f>("1")</f>
        <v>1</v>
      </c>
      <c r="D862" s="238" t="s">
        <v>796</v>
      </c>
      <c r="E862" s="380" t="s">
        <v>5972</v>
      </c>
      <c r="F862" s="380" t="s">
        <v>6550</v>
      </c>
      <c r="G862" s="380">
        <v>5</v>
      </c>
      <c r="H862" s="380" t="s">
        <v>1478</v>
      </c>
    </row>
    <row r="863" spans="1:9" x14ac:dyDescent="0.25">
      <c r="A863" s="247" t="str">
        <f t="shared" si="13"/>
        <v>日出サッカースポーツ少年団_2</v>
      </c>
      <c r="B863" s="238" t="s">
        <v>2573</v>
      </c>
      <c r="C863" s="238" t="str">
        <f>("2")</f>
        <v>2</v>
      </c>
      <c r="D863" s="238" t="s">
        <v>798</v>
      </c>
      <c r="E863" s="380" t="s">
        <v>4643</v>
      </c>
      <c r="F863" s="380" t="s">
        <v>4644</v>
      </c>
      <c r="G863" s="380">
        <v>6</v>
      </c>
      <c r="H863" s="380" t="s">
        <v>1478</v>
      </c>
    </row>
    <row r="864" spans="1:9" x14ac:dyDescent="0.25">
      <c r="A864" s="247" t="str">
        <f t="shared" si="13"/>
        <v>日出サッカースポーツ少年団_3</v>
      </c>
      <c r="B864" s="238" t="s">
        <v>2573</v>
      </c>
      <c r="C864" s="238" t="str">
        <f>("3")</f>
        <v>3</v>
      </c>
      <c r="D864" s="238" t="s">
        <v>235</v>
      </c>
      <c r="E864" s="380" t="s">
        <v>4647</v>
      </c>
      <c r="F864" s="380" t="s">
        <v>4648</v>
      </c>
      <c r="G864" s="380">
        <v>6</v>
      </c>
      <c r="H864" s="380" t="s">
        <v>1480</v>
      </c>
    </row>
    <row r="865" spans="1:9" x14ac:dyDescent="0.25">
      <c r="A865" s="247" t="str">
        <f t="shared" si="13"/>
        <v>日出サッカースポーツ少年団_4</v>
      </c>
      <c r="B865" s="238" t="s">
        <v>2573</v>
      </c>
      <c r="C865" s="238" t="str">
        <f>("4")</f>
        <v>4</v>
      </c>
      <c r="D865" s="238" t="s">
        <v>798</v>
      </c>
      <c r="E865" s="380" t="s">
        <v>4645</v>
      </c>
      <c r="F865" s="380" t="s">
        <v>4646</v>
      </c>
      <c r="G865" s="380">
        <v>6</v>
      </c>
      <c r="H865" s="380" t="s">
        <v>1480</v>
      </c>
    </row>
    <row r="866" spans="1:9" x14ac:dyDescent="0.25">
      <c r="A866" s="247" t="str">
        <f t="shared" si="13"/>
        <v>日出サッカースポーツ少年団_5</v>
      </c>
      <c r="B866" s="238" t="s">
        <v>2573</v>
      </c>
      <c r="C866" s="238" t="str">
        <f>("5")</f>
        <v>5</v>
      </c>
      <c r="D866" s="238" t="s">
        <v>235</v>
      </c>
      <c r="E866" s="380" t="s">
        <v>8132</v>
      </c>
      <c r="F866" s="380" t="s">
        <v>14792</v>
      </c>
      <c r="G866" s="380">
        <v>5</v>
      </c>
      <c r="H866" s="380" t="s">
        <v>1480</v>
      </c>
    </row>
    <row r="867" spans="1:9" x14ac:dyDescent="0.25">
      <c r="A867" s="247" t="str">
        <f t="shared" si="13"/>
        <v>日出サッカースポーツ少年団_6</v>
      </c>
      <c r="B867" s="238" t="s">
        <v>2573</v>
      </c>
      <c r="C867" s="238" t="str">
        <f>("6")</f>
        <v>6</v>
      </c>
      <c r="D867" s="238" t="s">
        <v>235</v>
      </c>
      <c r="E867" s="380" t="s">
        <v>8112</v>
      </c>
      <c r="F867" s="380" t="s">
        <v>14793</v>
      </c>
      <c r="G867" s="380">
        <v>5</v>
      </c>
      <c r="H867" s="380" t="s">
        <v>1478</v>
      </c>
    </row>
    <row r="868" spans="1:9" x14ac:dyDescent="0.25">
      <c r="A868" s="247" t="str">
        <f t="shared" si="13"/>
        <v>日出サッカースポーツ少年団_7</v>
      </c>
      <c r="B868" s="238" t="s">
        <v>2573</v>
      </c>
      <c r="C868" s="238" t="str">
        <f>("7")</f>
        <v>7</v>
      </c>
      <c r="D868" s="238" t="s">
        <v>798</v>
      </c>
      <c r="E868" s="380" t="s">
        <v>4649</v>
      </c>
      <c r="F868" s="380" t="s">
        <v>4650</v>
      </c>
      <c r="G868" s="380">
        <v>5</v>
      </c>
      <c r="H868" s="380" t="s">
        <v>1478</v>
      </c>
    </row>
    <row r="869" spans="1:9" x14ac:dyDescent="0.25">
      <c r="A869" s="247" t="str">
        <f t="shared" si="13"/>
        <v>日出サッカースポーツ少年団_8</v>
      </c>
      <c r="B869" s="238" t="s">
        <v>2573</v>
      </c>
      <c r="C869" s="238" t="str">
        <f>("8")</f>
        <v>8</v>
      </c>
      <c r="D869" s="238" t="s">
        <v>798</v>
      </c>
      <c r="E869" s="380" t="s">
        <v>5971</v>
      </c>
      <c r="F869" s="380" t="s">
        <v>6549</v>
      </c>
      <c r="G869" s="380">
        <v>5</v>
      </c>
      <c r="H869" s="380" t="s">
        <v>1478</v>
      </c>
    </row>
    <row r="870" spans="1:9" x14ac:dyDescent="0.25">
      <c r="A870" s="247" t="str">
        <f t="shared" si="13"/>
        <v>日出サッカースポーツ少年団_9</v>
      </c>
      <c r="B870" s="238" t="s">
        <v>2573</v>
      </c>
      <c r="C870" s="238" t="str">
        <f>("9")</f>
        <v>9</v>
      </c>
      <c r="D870" s="238" t="s">
        <v>798</v>
      </c>
      <c r="E870" s="380" t="s">
        <v>8330</v>
      </c>
      <c r="F870" s="380" t="s">
        <v>14794</v>
      </c>
      <c r="G870" s="380">
        <v>5</v>
      </c>
      <c r="H870" s="380" t="s">
        <v>1478</v>
      </c>
    </row>
    <row r="871" spans="1:9" x14ac:dyDescent="0.25">
      <c r="A871" s="247" t="str">
        <f t="shared" si="13"/>
        <v>日出サッカースポーツ少年団_10</v>
      </c>
      <c r="B871" s="238" t="s">
        <v>2573</v>
      </c>
      <c r="C871" s="238" t="str">
        <f>("10")</f>
        <v>10</v>
      </c>
      <c r="D871" s="238" t="s">
        <v>235</v>
      </c>
      <c r="E871" s="380" t="s">
        <v>4076</v>
      </c>
      <c r="F871" s="380" t="s">
        <v>4077</v>
      </c>
      <c r="G871" s="380">
        <v>6</v>
      </c>
      <c r="H871" s="380" t="s">
        <v>1478</v>
      </c>
      <c r="I871" s="380" t="s">
        <v>408</v>
      </c>
    </row>
    <row r="872" spans="1:9" x14ac:dyDescent="0.25">
      <c r="A872" s="247" t="str">
        <f t="shared" si="13"/>
        <v>日出サッカースポーツ少年団_11</v>
      </c>
      <c r="B872" s="238" t="s">
        <v>2573</v>
      </c>
      <c r="C872" s="238" t="str">
        <f>("11")</f>
        <v>11</v>
      </c>
      <c r="D872" s="238" t="s">
        <v>280</v>
      </c>
      <c r="E872" s="380" t="s">
        <v>4651</v>
      </c>
      <c r="F872" s="380" t="s">
        <v>4652</v>
      </c>
      <c r="G872" s="380">
        <v>5</v>
      </c>
      <c r="H872" s="380" t="s">
        <v>1478</v>
      </c>
    </row>
    <row r="873" spans="1:9" x14ac:dyDescent="0.25">
      <c r="A873" s="247" t="str">
        <f t="shared" si="13"/>
        <v>日出サッカースポーツ少年団_12</v>
      </c>
      <c r="B873" s="238" t="s">
        <v>2573</v>
      </c>
      <c r="C873" s="238" t="str">
        <f>("12")</f>
        <v>12</v>
      </c>
      <c r="D873" s="238" t="s">
        <v>280</v>
      </c>
      <c r="E873" s="380" t="s">
        <v>7847</v>
      </c>
      <c r="F873" s="380" t="s">
        <v>14795</v>
      </c>
      <c r="G873" s="380">
        <v>5</v>
      </c>
      <c r="H873" s="380" t="s">
        <v>1478</v>
      </c>
    </row>
    <row r="874" spans="1:9" x14ac:dyDescent="0.25">
      <c r="A874" s="247" t="str">
        <f t="shared" si="13"/>
        <v>日出サッカースポーツ少年団_13</v>
      </c>
      <c r="B874" s="238" t="s">
        <v>2573</v>
      </c>
      <c r="C874" s="238" t="str">
        <f>("13")</f>
        <v>13</v>
      </c>
      <c r="D874" s="238" t="s">
        <v>798</v>
      </c>
      <c r="E874" s="380" t="s">
        <v>9547</v>
      </c>
      <c r="F874" s="380" t="s">
        <v>14796</v>
      </c>
      <c r="G874" s="380">
        <v>4</v>
      </c>
      <c r="H874" s="380" t="s">
        <v>1478</v>
      </c>
    </row>
    <row r="875" spans="1:9" x14ac:dyDescent="0.25">
      <c r="A875" s="247" t="str">
        <f t="shared" si="13"/>
        <v>日出サッカースポーツ少年団_14</v>
      </c>
      <c r="B875" s="238" t="s">
        <v>2573</v>
      </c>
      <c r="C875" s="238" t="str">
        <f>("14")</f>
        <v>14</v>
      </c>
      <c r="D875" s="238" t="s">
        <v>280</v>
      </c>
      <c r="E875" s="380" t="s">
        <v>9549</v>
      </c>
      <c r="F875" s="380" t="s">
        <v>14797</v>
      </c>
      <c r="G875" s="380">
        <v>4</v>
      </c>
      <c r="H875" s="380" t="s">
        <v>1478</v>
      </c>
    </row>
    <row r="876" spans="1:9" x14ac:dyDescent="0.25">
      <c r="A876" s="247" t="str">
        <f t="shared" si="13"/>
        <v>日出サッカースポーツ少年団_15</v>
      </c>
      <c r="B876" s="238" t="s">
        <v>2573</v>
      </c>
      <c r="C876" s="238" t="str">
        <f>("15")</f>
        <v>15</v>
      </c>
      <c r="D876" s="238" t="s">
        <v>235</v>
      </c>
      <c r="E876" s="380" t="s">
        <v>5969</v>
      </c>
      <c r="F876" s="380" t="s">
        <v>6547</v>
      </c>
      <c r="G876" s="380">
        <v>5</v>
      </c>
      <c r="H876" s="380" t="s">
        <v>1478</v>
      </c>
    </row>
    <row r="877" spans="1:9" x14ac:dyDescent="0.25">
      <c r="A877" s="247" t="str">
        <f t="shared" si="13"/>
        <v>日出サッカースポーツ少年団_16</v>
      </c>
      <c r="B877" s="238" t="s">
        <v>2573</v>
      </c>
      <c r="C877" s="238" t="str">
        <f>("16")</f>
        <v>16</v>
      </c>
      <c r="D877" s="238" t="s">
        <v>796</v>
      </c>
      <c r="E877" s="380" t="s">
        <v>8448</v>
      </c>
      <c r="F877" s="380" t="s">
        <v>14798</v>
      </c>
      <c r="G877" s="380">
        <v>5</v>
      </c>
      <c r="H877" s="380" t="s">
        <v>1478</v>
      </c>
    </row>
    <row r="878" spans="1:9" x14ac:dyDescent="0.25">
      <c r="A878" s="247" t="str">
        <f t="shared" si="13"/>
        <v>日出サッカースポーツ少年団　ＮＥＸＴ_1</v>
      </c>
      <c r="B878" s="238" t="s">
        <v>14397</v>
      </c>
      <c r="C878" s="238" t="str">
        <f>("1")</f>
        <v>1</v>
      </c>
      <c r="D878" s="238" t="s">
        <v>796</v>
      </c>
      <c r="E878" s="380" t="s">
        <v>8523</v>
      </c>
      <c r="F878" s="380" t="s">
        <v>14799</v>
      </c>
      <c r="G878" s="380">
        <v>5</v>
      </c>
      <c r="H878" s="380" t="s">
        <v>1478</v>
      </c>
    </row>
    <row r="879" spans="1:9" x14ac:dyDescent="0.25">
      <c r="A879" s="247" t="str">
        <f t="shared" si="13"/>
        <v>日出サッカースポーツ少年団　ＮＥＸＴ_2</v>
      </c>
      <c r="B879" s="238" t="s">
        <v>14397</v>
      </c>
      <c r="C879" s="238" t="str">
        <f>("2")</f>
        <v>2</v>
      </c>
      <c r="D879" s="238" t="s">
        <v>235</v>
      </c>
      <c r="E879" s="380" t="s">
        <v>7874</v>
      </c>
      <c r="F879" s="380" t="s">
        <v>14800</v>
      </c>
      <c r="G879" s="380">
        <v>5</v>
      </c>
      <c r="H879" s="380" t="s">
        <v>1478</v>
      </c>
    </row>
    <row r="880" spans="1:9" x14ac:dyDescent="0.25">
      <c r="A880" s="247" t="str">
        <f t="shared" si="13"/>
        <v>日出サッカースポーツ少年団　ＮＥＸＴ_3</v>
      </c>
      <c r="B880" s="238" t="s">
        <v>14397</v>
      </c>
      <c r="C880" s="238" t="str">
        <f>("3")</f>
        <v>3</v>
      </c>
      <c r="D880" s="238" t="s">
        <v>235</v>
      </c>
      <c r="E880" s="380" t="s">
        <v>8388</v>
      </c>
      <c r="F880" s="380" t="s">
        <v>14801</v>
      </c>
      <c r="G880" s="380">
        <v>5</v>
      </c>
      <c r="H880" s="380" t="s">
        <v>1478</v>
      </c>
    </row>
    <row r="881" spans="1:9" x14ac:dyDescent="0.25">
      <c r="A881" s="247" t="str">
        <f t="shared" si="13"/>
        <v>日出サッカースポーツ少年団　ＮＥＸＴ_4</v>
      </c>
      <c r="B881" s="238" t="s">
        <v>14397</v>
      </c>
      <c r="C881" s="238" t="str">
        <f>("4")</f>
        <v>4</v>
      </c>
      <c r="D881" s="238" t="s">
        <v>280</v>
      </c>
      <c r="E881" s="380" t="s">
        <v>8497</v>
      </c>
      <c r="F881" s="380" t="s">
        <v>14802</v>
      </c>
      <c r="G881" s="380">
        <v>5</v>
      </c>
      <c r="H881" s="380" t="s">
        <v>1478</v>
      </c>
    </row>
    <row r="882" spans="1:9" x14ac:dyDescent="0.25">
      <c r="A882" s="247" t="str">
        <f t="shared" si="13"/>
        <v>日出サッカースポーツ少年団　ＮＥＸＴ_5</v>
      </c>
      <c r="B882" s="238" t="s">
        <v>14397</v>
      </c>
      <c r="C882" s="238" t="str">
        <f>("5")</f>
        <v>5</v>
      </c>
      <c r="D882" s="238" t="s">
        <v>235</v>
      </c>
      <c r="E882" s="380" t="s">
        <v>8109</v>
      </c>
      <c r="F882" s="380" t="s">
        <v>14803</v>
      </c>
      <c r="G882" s="380">
        <v>5</v>
      </c>
      <c r="H882" s="380" t="s">
        <v>1480</v>
      </c>
      <c r="I882" s="380" t="s">
        <v>408</v>
      </c>
    </row>
    <row r="883" spans="1:9" x14ac:dyDescent="0.25">
      <c r="A883" s="247" t="str">
        <f t="shared" si="13"/>
        <v>日出サッカースポーツ少年団　ＮＥＸＴ_6</v>
      </c>
      <c r="B883" s="238" t="s">
        <v>14397</v>
      </c>
      <c r="C883" s="238" t="str">
        <f>("6")</f>
        <v>6</v>
      </c>
      <c r="D883" s="238" t="s">
        <v>798</v>
      </c>
      <c r="E883" s="380" t="s">
        <v>8021</v>
      </c>
      <c r="F883" s="380" t="s">
        <v>14804</v>
      </c>
      <c r="G883" s="380">
        <v>5</v>
      </c>
      <c r="H883" s="380" t="s">
        <v>1478</v>
      </c>
    </row>
    <row r="884" spans="1:9" x14ac:dyDescent="0.25">
      <c r="A884" s="247" t="str">
        <f t="shared" si="13"/>
        <v>日出サッカースポーツ少年団　ＮＥＸＴ_7</v>
      </c>
      <c r="B884" s="238" t="s">
        <v>14397</v>
      </c>
      <c r="C884" s="238" t="str">
        <f>("7")</f>
        <v>7</v>
      </c>
      <c r="D884" s="238" t="s">
        <v>798</v>
      </c>
      <c r="E884" s="380" t="s">
        <v>5970</v>
      </c>
      <c r="F884" s="380" t="s">
        <v>6548</v>
      </c>
      <c r="G884" s="380">
        <v>5</v>
      </c>
      <c r="H884" s="380" t="s">
        <v>1478</v>
      </c>
    </row>
    <row r="885" spans="1:9" x14ac:dyDescent="0.25">
      <c r="A885" s="247" t="str">
        <f t="shared" si="13"/>
        <v>日出サッカースポーツ少年団　ＮＥＸＴ_8</v>
      </c>
      <c r="B885" s="238" t="s">
        <v>14397</v>
      </c>
      <c r="C885" s="238" t="str">
        <f>("8")</f>
        <v>8</v>
      </c>
      <c r="D885" s="238" t="s">
        <v>798</v>
      </c>
      <c r="E885" s="380" t="s">
        <v>9143</v>
      </c>
      <c r="F885" s="380" t="s">
        <v>14805</v>
      </c>
      <c r="G885" s="380">
        <v>4</v>
      </c>
      <c r="H885" s="380" t="s">
        <v>1478</v>
      </c>
    </row>
    <row r="886" spans="1:9" x14ac:dyDescent="0.25">
      <c r="A886" s="247" t="str">
        <f t="shared" si="13"/>
        <v>日出サッカースポーツ少年団　ＮＥＸＴ_9</v>
      </c>
      <c r="B886" s="238" t="s">
        <v>14397</v>
      </c>
      <c r="C886" s="238" t="str">
        <f>("9")</f>
        <v>9</v>
      </c>
      <c r="D886" s="238" t="s">
        <v>280</v>
      </c>
      <c r="E886" s="380" t="s">
        <v>8477</v>
      </c>
      <c r="F886" s="380" t="s">
        <v>14806</v>
      </c>
      <c r="G886" s="380">
        <v>5</v>
      </c>
      <c r="H886" s="380" t="s">
        <v>1478</v>
      </c>
    </row>
    <row r="887" spans="1:9" x14ac:dyDescent="0.25">
      <c r="A887" s="247" t="str">
        <f t="shared" si="13"/>
        <v>日出サッカースポーツ少年団　ＮＥＸＴ_10</v>
      </c>
      <c r="B887" s="238" t="s">
        <v>14397</v>
      </c>
      <c r="C887" s="238" t="str">
        <f>("10")</f>
        <v>10</v>
      </c>
      <c r="D887" s="238" t="s">
        <v>280</v>
      </c>
      <c r="E887" s="380" t="s">
        <v>8538</v>
      </c>
      <c r="F887" s="380" t="s">
        <v>14807</v>
      </c>
      <c r="G887" s="380">
        <v>5</v>
      </c>
      <c r="H887" s="380" t="s">
        <v>1478</v>
      </c>
    </row>
    <row r="888" spans="1:9" x14ac:dyDescent="0.25">
      <c r="A888" s="247" t="str">
        <f t="shared" si="13"/>
        <v>日出サッカースポーツ少年団　ＮＥＸＴ_11</v>
      </c>
      <c r="B888" s="238" t="s">
        <v>14397</v>
      </c>
      <c r="C888" s="238" t="str">
        <f>("11")</f>
        <v>11</v>
      </c>
      <c r="D888" s="238" t="s">
        <v>280</v>
      </c>
      <c r="E888" s="380" t="s">
        <v>7881</v>
      </c>
      <c r="F888" s="380" t="s">
        <v>14808</v>
      </c>
      <c r="G888" s="380">
        <v>5</v>
      </c>
      <c r="H888" s="380" t="s">
        <v>1478</v>
      </c>
    </row>
    <row r="889" spans="1:9" x14ac:dyDescent="0.25">
      <c r="A889" s="247" t="str">
        <f t="shared" si="13"/>
        <v>日出サッカースポーツ少年団　ＮＥＸＴ_12</v>
      </c>
      <c r="B889" s="238" t="s">
        <v>14397</v>
      </c>
      <c r="C889" s="238" t="str">
        <f>("12")</f>
        <v>12</v>
      </c>
      <c r="D889" s="238" t="s">
        <v>798</v>
      </c>
      <c r="E889" s="380" t="s">
        <v>8361</v>
      </c>
      <c r="F889" s="380" t="s">
        <v>14809</v>
      </c>
      <c r="G889" s="380">
        <v>5</v>
      </c>
      <c r="H889" s="380" t="s">
        <v>1478</v>
      </c>
    </row>
    <row r="890" spans="1:9" x14ac:dyDescent="0.25">
      <c r="A890" s="247" t="str">
        <f t="shared" si="13"/>
        <v>日出サッカースポーツ少年団　ＮＥＸＴ_13</v>
      </c>
      <c r="B890" s="238" t="s">
        <v>14397</v>
      </c>
      <c r="C890" s="238" t="str">
        <f>("13")</f>
        <v>13</v>
      </c>
      <c r="D890" s="238" t="s">
        <v>798</v>
      </c>
      <c r="E890" s="380" t="s">
        <v>9074</v>
      </c>
      <c r="F890" s="380" t="s">
        <v>14810</v>
      </c>
      <c r="G890" s="380">
        <v>4</v>
      </c>
      <c r="H890" s="380" t="s">
        <v>1478</v>
      </c>
    </row>
    <row r="891" spans="1:9" x14ac:dyDescent="0.25">
      <c r="A891" s="247" t="str">
        <f t="shared" si="13"/>
        <v>日出サッカースポーツ少年団　ＮＥＸＴ_14</v>
      </c>
      <c r="B891" s="238" t="s">
        <v>14397</v>
      </c>
      <c r="C891" s="238" t="str">
        <f>("14")</f>
        <v>14</v>
      </c>
      <c r="D891" s="238" t="s">
        <v>235</v>
      </c>
      <c r="E891" s="380" t="s">
        <v>9622</v>
      </c>
      <c r="F891" s="380" t="s">
        <v>14811</v>
      </c>
      <c r="G891" s="380">
        <v>4</v>
      </c>
      <c r="H891" s="380" t="s">
        <v>1478</v>
      </c>
    </row>
    <row r="892" spans="1:9" x14ac:dyDescent="0.25">
      <c r="A892" s="247" t="str">
        <f t="shared" si="13"/>
        <v>日出サッカースポーツ少年団　ＮＥＸＴ_15</v>
      </c>
      <c r="B892" s="238" t="s">
        <v>14397</v>
      </c>
      <c r="C892" s="238" t="str">
        <f>("15")</f>
        <v>15</v>
      </c>
      <c r="D892" s="238" t="s">
        <v>235</v>
      </c>
      <c r="E892" s="380" t="s">
        <v>9473</v>
      </c>
      <c r="F892" s="380" t="s">
        <v>14812</v>
      </c>
      <c r="G892" s="380">
        <v>4</v>
      </c>
      <c r="H892" s="380" t="s">
        <v>1478</v>
      </c>
    </row>
    <row r="893" spans="1:9" x14ac:dyDescent="0.25">
      <c r="A893" s="247" t="str">
        <f t="shared" si="13"/>
        <v>日出サッカースポーツ少年団　ＮＥＸＴ_16</v>
      </c>
      <c r="B893" s="238" t="s">
        <v>14397</v>
      </c>
      <c r="C893" s="238" t="str">
        <f>("16")</f>
        <v>16</v>
      </c>
      <c r="D893" s="238" t="s">
        <v>796</v>
      </c>
      <c r="E893" s="380" t="s">
        <v>9536</v>
      </c>
      <c r="F893" s="380" t="s">
        <v>14813</v>
      </c>
      <c r="G893" s="380">
        <v>4</v>
      </c>
      <c r="H893" s="380" t="s">
        <v>1478</v>
      </c>
    </row>
    <row r="894" spans="1:9" x14ac:dyDescent="0.25">
      <c r="A894" s="247" t="str">
        <f t="shared" si="13"/>
        <v>渡町台サッカークラブ_1</v>
      </c>
      <c r="B894" s="238" t="s">
        <v>2574</v>
      </c>
      <c r="C894" s="238" t="str">
        <f>("1")</f>
        <v>1</v>
      </c>
      <c r="D894" s="238" t="s">
        <v>796</v>
      </c>
      <c r="E894" s="380" t="s">
        <v>5979</v>
      </c>
      <c r="F894" s="380" t="s">
        <v>6556</v>
      </c>
      <c r="G894" s="380">
        <v>5</v>
      </c>
      <c r="H894" s="380" t="s">
        <v>1478</v>
      </c>
    </row>
    <row r="895" spans="1:9" x14ac:dyDescent="0.25">
      <c r="A895" s="247" t="str">
        <f t="shared" si="13"/>
        <v>渡町台サッカークラブ_2</v>
      </c>
      <c r="B895" s="238" t="s">
        <v>2574</v>
      </c>
      <c r="C895" s="238" t="str">
        <f>("2")</f>
        <v>2</v>
      </c>
      <c r="D895" s="238" t="s">
        <v>235</v>
      </c>
      <c r="E895" s="380" t="s">
        <v>5974</v>
      </c>
      <c r="F895" s="380" t="s">
        <v>6551</v>
      </c>
      <c r="G895" s="380">
        <v>6</v>
      </c>
      <c r="H895" s="380" t="s">
        <v>1478</v>
      </c>
    </row>
    <row r="896" spans="1:9" x14ac:dyDescent="0.25">
      <c r="A896" s="247" t="str">
        <f t="shared" si="13"/>
        <v>渡町台サッカークラブ_3</v>
      </c>
      <c r="B896" s="238" t="s">
        <v>2574</v>
      </c>
      <c r="C896" s="238" t="str">
        <f>("3")</f>
        <v>3</v>
      </c>
      <c r="D896" s="238" t="s">
        <v>235</v>
      </c>
      <c r="E896" s="380" t="s">
        <v>8491</v>
      </c>
      <c r="F896" s="380" t="s">
        <v>14814</v>
      </c>
      <c r="G896" s="380">
        <v>5</v>
      </c>
      <c r="H896" s="380" t="s">
        <v>1478</v>
      </c>
    </row>
    <row r="897" spans="1:9" x14ac:dyDescent="0.25">
      <c r="A897" s="247" t="str">
        <f t="shared" ref="A897:A960" si="14">CONCATENATE(B897,"_",C897)</f>
        <v>渡町台サッカークラブ_4</v>
      </c>
      <c r="B897" s="238" t="s">
        <v>2574</v>
      </c>
      <c r="C897" s="238" t="str">
        <f>("4")</f>
        <v>4</v>
      </c>
      <c r="D897" s="238" t="s">
        <v>798</v>
      </c>
      <c r="E897" s="380" t="s">
        <v>5975</v>
      </c>
      <c r="F897" s="380" t="s">
        <v>6552</v>
      </c>
      <c r="G897" s="380">
        <v>6</v>
      </c>
      <c r="H897" s="380" t="s">
        <v>1478</v>
      </c>
    </row>
    <row r="898" spans="1:9" x14ac:dyDescent="0.25">
      <c r="A898" s="247" t="str">
        <f t="shared" si="14"/>
        <v>渡町台サッカークラブ_5</v>
      </c>
      <c r="B898" s="238" t="s">
        <v>2574</v>
      </c>
      <c r="C898" s="238" t="str">
        <f>("5")</f>
        <v>5</v>
      </c>
      <c r="D898" s="238" t="s">
        <v>235</v>
      </c>
      <c r="E898" s="380" t="s">
        <v>5976</v>
      </c>
      <c r="F898" s="380" t="s">
        <v>6553</v>
      </c>
      <c r="G898" s="380">
        <v>6</v>
      </c>
      <c r="H898" s="380" t="s">
        <v>1478</v>
      </c>
    </row>
    <row r="899" spans="1:9" x14ac:dyDescent="0.25">
      <c r="A899" s="247" t="str">
        <f t="shared" si="14"/>
        <v>渡町台サッカークラブ_6</v>
      </c>
      <c r="B899" s="238" t="s">
        <v>2574</v>
      </c>
      <c r="C899" s="238" t="str">
        <f>("6")</f>
        <v>6</v>
      </c>
      <c r="D899" s="238" t="s">
        <v>798</v>
      </c>
      <c r="E899" s="380" t="s">
        <v>4655</v>
      </c>
      <c r="F899" s="380" t="s">
        <v>6554</v>
      </c>
      <c r="G899" s="380">
        <v>6</v>
      </c>
      <c r="H899" s="380" t="s">
        <v>1478</v>
      </c>
    </row>
    <row r="900" spans="1:9" x14ac:dyDescent="0.25">
      <c r="A900" s="247" t="str">
        <f t="shared" si="14"/>
        <v>渡町台サッカークラブ_7</v>
      </c>
      <c r="B900" s="238" t="s">
        <v>2574</v>
      </c>
      <c r="C900" s="238" t="str">
        <f>("7")</f>
        <v>7</v>
      </c>
      <c r="D900" s="238" t="s">
        <v>798</v>
      </c>
      <c r="E900" s="380" t="s">
        <v>8313</v>
      </c>
      <c r="F900" s="380" t="s">
        <v>14815</v>
      </c>
      <c r="G900" s="380">
        <v>5</v>
      </c>
      <c r="H900" s="380" t="s">
        <v>1478</v>
      </c>
    </row>
    <row r="901" spans="1:9" x14ac:dyDescent="0.25">
      <c r="A901" s="247" t="str">
        <f t="shared" si="14"/>
        <v>渡町台サッカークラブ_8</v>
      </c>
      <c r="B901" s="238" t="s">
        <v>2574</v>
      </c>
      <c r="C901" s="238" t="str">
        <f>("8")</f>
        <v>8</v>
      </c>
      <c r="D901" s="238" t="s">
        <v>798</v>
      </c>
      <c r="E901" s="380" t="s">
        <v>5981</v>
      </c>
      <c r="F901" s="380" t="s">
        <v>6557</v>
      </c>
      <c r="G901" s="380">
        <v>5</v>
      </c>
      <c r="H901" s="380" t="s">
        <v>1478</v>
      </c>
    </row>
    <row r="902" spans="1:9" x14ac:dyDescent="0.25">
      <c r="A902" s="247" t="str">
        <f t="shared" si="14"/>
        <v>渡町台サッカークラブ_9</v>
      </c>
      <c r="B902" s="238" t="s">
        <v>2574</v>
      </c>
      <c r="C902" s="238" t="str">
        <f>("9")</f>
        <v>9</v>
      </c>
      <c r="D902" s="238" t="s">
        <v>280</v>
      </c>
      <c r="E902" s="380" t="s">
        <v>9107</v>
      </c>
      <c r="F902" s="380" t="s">
        <v>14816</v>
      </c>
      <c r="G902" s="380">
        <v>4</v>
      </c>
      <c r="H902" s="380" t="s">
        <v>1478</v>
      </c>
    </row>
    <row r="903" spans="1:9" x14ac:dyDescent="0.25">
      <c r="A903" s="247" t="str">
        <f t="shared" si="14"/>
        <v>渡町台サッカークラブ_10</v>
      </c>
      <c r="B903" s="238" t="s">
        <v>2574</v>
      </c>
      <c r="C903" s="238" t="str">
        <f>("10")</f>
        <v>10</v>
      </c>
      <c r="D903" s="238" t="s">
        <v>235</v>
      </c>
      <c r="E903" s="380" t="s">
        <v>4653</v>
      </c>
      <c r="F903" s="380" t="s">
        <v>4654</v>
      </c>
      <c r="G903" s="380">
        <v>6</v>
      </c>
      <c r="H903" s="380" t="s">
        <v>1478</v>
      </c>
      <c r="I903" s="380" t="s">
        <v>408</v>
      </c>
    </row>
    <row r="904" spans="1:9" x14ac:dyDescent="0.25">
      <c r="A904" s="247" t="str">
        <f t="shared" si="14"/>
        <v>渡町台サッカークラブ_11</v>
      </c>
      <c r="B904" s="238" t="s">
        <v>2574</v>
      </c>
      <c r="C904" s="238" t="str">
        <f>("11")</f>
        <v>11</v>
      </c>
      <c r="D904" s="238" t="s">
        <v>798</v>
      </c>
      <c r="E904" s="380" t="s">
        <v>5978</v>
      </c>
      <c r="F904" s="380" t="s">
        <v>6555</v>
      </c>
      <c r="G904" s="380">
        <v>5</v>
      </c>
      <c r="H904" s="380" t="s">
        <v>1478</v>
      </c>
    </row>
    <row r="905" spans="1:9" x14ac:dyDescent="0.25">
      <c r="A905" s="247" t="str">
        <f t="shared" si="14"/>
        <v>渡町台サッカークラブ_12</v>
      </c>
      <c r="B905" s="238" t="s">
        <v>2574</v>
      </c>
      <c r="C905" s="238" t="str">
        <f>("12")</f>
        <v>12</v>
      </c>
      <c r="D905" s="238" t="s">
        <v>280</v>
      </c>
      <c r="E905" s="380" t="s">
        <v>8069</v>
      </c>
      <c r="F905" s="380" t="s">
        <v>14817</v>
      </c>
      <c r="G905" s="380">
        <v>5</v>
      </c>
      <c r="H905" s="380" t="s">
        <v>1478</v>
      </c>
    </row>
    <row r="906" spans="1:9" x14ac:dyDescent="0.25">
      <c r="A906" s="247" t="str">
        <f t="shared" si="14"/>
        <v>渡町台サッカークラブ_13</v>
      </c>
      <c r="B906" s="238" t="s">
        <v>2574</v>
      </c>
      <c r="C906" s="238" t="str">
        <f>("13")</f>
        <v>13</v>
      </c>
      <c r="D906" s="238" t="s">
        <v>280</v>
      </c>
      <c r="E906" s="380" t="s">
        <v>4657</v>
      </c>
      <c r="F906" s="380" t="s">
        <v>4658</v>
      </c>
      <c r="G906" s="380">
        <v>5</v>
      </c>
      <c r="H906" s="380" t="s">
        <v>1478</v>
      </c>
    </row>
    <row r="907" spans="1:9" x14ac:dyDescent="0.25">
      <c r="A907" s="247" t="str">
        <f t="shared" si="14"/>
        <v>渡町台サッカークラブ_14</v>
      </c>
      <c r="B907" s="238" t="s">
        <v>2574</v>
      </c>
      <c r="C907" s="238" t="str">
        <f>("14")</f>
        <v>14</v>
      </c>
      <c r="D907" s="238" t="s">
        <v>280</v>
      </c>
      <c r="E907" s="380" t="s">
        <v>8286</v>
      </c>
      <c r="F907" s="380" t="s">
        <v>14818</v>
      </c>
      <c r="G907" s="380">
        <v>5</v>
      </c>
      <c r="H907" s="380" t="s">
        <v>1478</v>
      </c>
    </row>
    <row r="908" spans="1:9" x14ac:dyDescent="0.25">
      <c r="A908" s="247" t="str">
        <f t="shared" si="14"/>
        <v>渡町台サッカークラブ_15</v>
      </c>
      <c r="B908" s="238" t="s">
        <v>2574</v>
      </c>
      <c r="C908" s="238" t="str">
        <f>("15")</f>
        <v>15</v>
      </c>
      <c r="D908" s="238" t="s">
        <v>280</v>
      </c>
      <c r="E908" s="380" t="s">
        <v>9540</v>
      </c>
      <c r="F908" s="380" t="s">
        <v>14819</v>
      </c>
      <c r="G908" s="380">
        <v>4</v>
      </c>
      <c r="H908" s="380" t="s">
        <v>1478</v>
      </c>
    </row>
    <row r="909" spans="1:9" x14ac:dyDescent="0.25">
      <c r="A909" s="247" t="str">
        <f t="shared" si="14"/>
        <v>西の台ＪＦＣ_1</v>
      </c>
      <c r="B909" s="238" t="s">
        <v>2821</v>
      </c>
      <c r="C909" s="238" t="str">
        <f>("1")</f>
        <v>1</v>
      </c>
      <c r="D909" s="238" t="s">
        <v>796</v>
      </c>
      <c r="E909" s="380" t="s">
        <v>5982</v>
      </c>
      <c r="F909" s="380" t="s">
        <v>6558</v>
      </c>
      <c r="G909" s="380">
        <v>6</v>
      </c>
      <c r="H909" s="380" t="s">
        <v>1478</v>
      </c>
    </row>
    <row r="910" spans="1:9" x14ac:dyDescent="0.25">
      <c r="A910" s="247" t="str">
        <f t="shared" si="14"/>
        <v>西の台ＪＦＣ_2</v>
      </c>
      <c r="B910" s="238" t="s">
        <v>2821</v>
      </c>
      <c r="C910" s="238" t="str">
        <f>("2")</f>
        <v>2</v>
      </c>
      <c r="D910" s="238" t="s">
        <v>798</v>
      </c>
      <c r="E910" s="380" t="s">
        <v>5983</v>
      </c>
      <c r="F910" s="380" t="s">
        <v>6559</v>
      </c>
      <c r="G910" s="380">
        <v>6</v>
      </c>
      <c r="H910" s="380" t="s">
        <v>1478</v>
      </c>
    </row>
    <row r="911" spans="1:9" x14ac:dyDescent="0.25">
      <c r="A911" s="247" t="str">
        <f t="shared" si="14"/>
        <v>西の台ＪＦＣ_3</v>
      </c>
      <c r="B911" s="238" t="s">
        <v>2821</v>
      </c>
      <c r="C911" s="238" t="str">
        <f>("3")</f>
        <v>3</v>
      </c>
      <c r="D911" s="238" t="s">
        <v>235</v>
      </c>
      <c r="E911" s="380" t="s">
        <v>5989</v>
      </c>
      <c r="F911" s="380" t="s">
        <v>6565</v>
      </c>
      <c r="G911" s="380">
        <v>5</v>
      </c>
      <c r="H911" s="380" t="s">
        <v>1478</v>
      </c>
    </row>
    <row r="912" spans="1:9" x14ac:dyDescent="0.25">
      <c r="A912" s="247" t="str">
        <f t="shared" si="14"/>
        <v>西の台ＪＦＣ_4</v>
      </c>
      <c r="B912" s="238" t="s">
        <v>2821</v>
      </c>
      <c r="C912" s="238" t="str">
        <f>("4")</f>
        <v>4</v>
      </c>
      <c r="D912" s="238" t="s">
        <v>798</v>
      </c>
      <c r="E912" s="380" t="s">
        <v>5984</v>
      </c>
      <c r="F912" s="380" t="s">
        <v>6560</v>
      </c>
      <c r="G912" s="380">
        <v>6</v>
      </c>
      <c r="H912" s="380" t="s">
        <v>1478</v>
      </c>
    </row>
    <row r="913" spans="1:9" x14ac:dyDescent="0.25">
      <c r="A913" s="247" t="str">
        <f t="shared" si="14"/>
        <v>西の台ＪＦＣ_5</v>
      </c>
      <c r="B913" s="238" t="s">
        <v>2821</v>
      </c>
      <c r="C913" s="238" t="str">
        <f>("5")</f>
        <v>5</v>
      </c>
      <c r="D913" s="238" t="s">
        <v>235</v>
      </c>
      <c r="E913" s="380" t="s">
        <v>5985</v>
      </c>
      <c r="F913" s="380" t="s">
        <v>6561</v>
      </c>
      <c r="G913" s="380">
        <v>6</v>
      </c>
      <c r="H913" s="380" t="s">
        <v>1478</v>
      </c>
    </row>
    <row r="914" spans="1:9" x14ac:dyDescent="0.25">
      <c r="A914" s="247" t="str">
        <f t="shared" si="14"/>
        <v>西の台ＪＦＣ_6</v>
      </c>
      <c r="B914" s="238" t="s">
        <v>2821</v>
      </c>
      <c r="C914" s="238" t="str">
        <f>("6")</f>
        <v>6</v>
      </c>
      <c r="D914" s="238" t="s">
        <v>798</v>
      </c>
      <c r="E914" s="380" t="s">
        <v>5987</v>
      </c>
      <c r="F914" s="380" t="s">
        <v>6563</v>
      </c>
      <c r="G914" s="380">
        <v>6</v>
      </c>
      <c r="H914" s="380" t="s">
        <v>1478</v>
      </c>
    </row>
    <row r="915" spans="1:9" x14ac:dyDescent="0.25">
      <c r="A915" s="247" t="str">
        <f t="shared" si="14"/>
        <v>西の台ＪＦＣ_7</v>
      </c>
      <c r="B915" s="238" t="s">
        <v>2821</v>
      </c>
      <c r="C915" s="238" t="str">
        <f>("7")</f>
        <v>7</v>
      </c>
      <c r="D915" s="238" t="s">
        <v>798</v>
      </c>
      <c r="E915" s="380" t="s">
        <v>4082</v>
      </c>
      <c r="F915" s="380" t="s">
        <v>4083</v>
      </c>
      <c r="G915" s="380">
        <v>6</v>
      </c>
      <c r="H915" s="380" t="s">
        <v>1478</v>
      </c>
      <c r="I915" s="380" t="s">
        <v>408</v>
      </c>
    </row>
    <row r="916" spans="1:9" x14ac:dyDescent="0.25">
      <c r="A916" s="247" t="str">
        <f t="shared" si="14"/>
        <v>西の台ＪＦＣ_8</v>
      </c>
      <c r="B916" s="238" t="s">
        <v>2821</v>
      </c>
      <c r="C916" s="238" t="str">
        <f>("8")</f>
        <v>8</v>
      </c>
      <c r="D916" s="238" t="s">
        <v>235</v>
      </c>
      <c r="E916" s="380" t="s">
        <v>4660</v>
      </c>
      <c r="F916" s="380" t="s">
        <v>4661</v>
      </c>
      <c r="G916" s="380">
        <v>6</v>
      </c>
      <c r="H916" s="380" t="s">
        <v>1478</v>
      </c>
    </row>
    <row r="917" spans="1:9" x14ac:dyDescent="0.25">
      <c r="A917" s="247" t="str">
        <f t="shared" si="14"/>
        <v>西の台ＪＦＣ_9</v>
      </c>
      <c r="B917" s="238" t="s">
        <v>2821</v>
      </c>
      <c r="C917" s="238" t="str">
        <f>("9")</f>
        <v>9</v>
      </c>
      <c r="D917" s="238" t="s">
        <v>798</v>
      </c>
      <c r="E917" s="380" t="s">
        <v>4080</v>
      </c>
      <c r="F917" s="380" t="s">
        <v>4081</v>
      </c>
      <c r="G917" s="380">
        <v>6</v>
      </c>
      <c r="H917" s="380" t="s">
        <v>1478</v>
      </c>
    </row>
    <row r="918" spans="1:9" x14ac:dyDescent="0.25">
      <c r="A918" s="247" t="str">
        <f t="shared" si="14"/>
        <v>西の台ＪＦＣ_10</v>
      </c>
      <c r="B918" s="238" t="s">
        <v>2821</v>
      </c>
      <c r="C918" s="238" t="str">
        <f>("10")</f>
        <v>10</v>
      </c>
      <c r="D918" s="238" t="s">
        <v>280</v>
      </c>
      <c r="E918" s="380" t="s">
        <v>4084</v>
      </c>
      <c r="F918" s="380" t="s">
        <v>4085</v>
      </c>
      <c r="G918" s="380">
        <v>6</v>
      </c>
      <c r="H918" s="380" t="s">
        <v>1478</v>
      </c>
    </row>
    <row r="919" spans="1:9" x14ac:dyDescent="0.25">
      <c r="A919" s="247" t="str">
        <f t="shared" si="14"/>
        <v>西の台ＪＦＣ_11</v>
      </c>
      <c r="B919" s="238" t="s">
        <v>2821</v>
      </c>
      <c r="C919" s="238" t="str">
        <f>("11")</f>
        <v>11</v>
      </c>
      <c r="D919" s="238" t="s">
        <v>798</v>
      </c>
      <c r="E919" s="380" t="s">
        <v>5990</v>
      </c>
      <c r="F919" s="380" t="s">
        <v>6566</v>
      </c>
      <c r="G919" s="380">
        <v>5</v>
      </c>
      <c r="H919" s="380" t="s">
        <v>1478</v>
      </c>
    </row>
    <row r="920" spans="1:9" x14ac:dyDescent="0.25">
      <c r="A920" s="247" t="str">
        <f t="shared" si="14"/>
        <v>西の台ＪＦＣ_12</v>
      </c>
      <c r="B920" s="238" t="s">
        <v>2821</v>
      </c>
      <c r="C920" s="238" t="str">
        <f>("12")</f>
        <v>12</v>
      </c>
      <c r="D920" s="238" t="s">
        <v>280</v>
      </c>
      <c r="E920" s="380" t="s">
        <v>5986</v>
      </c>
      <c r="F920" s="380" t="s">
        <v>6562</v>
      </c>
      <c r="G920" s="380">
        <v>6</v>
      </c>
      <c r="H920" s="380" t="s">
        <v>1478</v>
      </c>
    </row>
    <row r="921" spans="1:9" x14ac:dyDescent="0.25">
      <c r="A921" s="247" t="str">
        <f t="shared" si="14"/>
        <v>西の台ＪＦＣ_13</v>
      </c>
      <c r="B921" s="238" t="s">
        <v>2821</v>
      </c>
      <c r="C921" s="238" t="str">
        <f>("13")</f>
        <v>13</v>
      </c>
      <c r="D921" s="238" t="s">
        <v>798</v>
      </c>
      <c r="E921" s="380" t="s">
        <v>5988</v>
      </c>
      <c r="F921" s="380" t="s">
        <v>6564</v>
      </c>
      <c r="G921" s="380">
        <v>4</v>
      </c>
      <c r="H921" s="380" t="s">
        <v>1478</v>
      </c>
    </row>
    <row r="922" spans="1:9" x14ac:dyDescent="0.25">
      <c r="A922" s="247" t="str">
        <f t="shared" si="14"/>
        <v>西の台ＪＦＣ_14</v>
      </c>
      <c r="B922" s="238" t="s">
        <v>2821</v>
      </c>
      <c r="C922" s="238" t="str">
        <f>("14")</f>
        <v>14</v>
      </c>
      <c r="D922" s="238" t="s">
        <v>798</v>
      </c>
      <c r="E922" s="380" t="s">
        <v>8047</v>
      </c>
      <c r="F922" s="380" t="s">
        <v>14820</v>
      </c>
      <c r="G922" s="380">
        <v>5</v>
      </c>
      <c r="H922" s="380" t="s">
        <v>1478</v>
      </c>
    </row>
    <row r="923" spans="1:9" x14ac:dyDescent="0.25">
      <c r="A923" s="247" t="str">
        <f t="shared" si="14"/>
        <v>西の台ＪＦＣ_16</v>
      </c>
      <c r="B923" s="238" t="s">
        <v>2821</v>
      </c>
      <c r="C923" s="238" t="str">
        <f>("16")</f>
        <v>16</v>
      </c>
      <c r="D923" s="238" t="s">
        <v>798</v>
      </c>
      <c r="E923" s="380" t="s">
        <v>9139</v>
      </c>
      <c r="F923" s="380" t="s">
        <v>14821</v>
      </c>
      <c r="G923" s="380">
        <v>4</v>
      </c>
      <c r="H923" s="380" t="s">
        <v>1478</v>
      </c>
    </row>
    <row r="924" spans="1:9" x14ac:dyDescent="0.25">
      <c r="A924" s="247" t="str">
        <f t="shared" si="14"/>
        <v>豊後高田ＦＣ　Ｂｏｒｄｅｒ　Ｊｒ_1</v>
      </c>
      <c r="B924" s="238" t="s">
        <v>2349</v>
      </c>
      <c r="C924" s="238" t="str">
        <f>("1")</f>
        <v>1</v>
      </c>
      <c r="D924" s="238" t="s">
        <v>796</v>
      </c>
      <c r="E924" s="380" t="s">
        <v>9553</v>
      </c>
      <c r="F924" s="380" t="s">
        <v>14822</v>
      </c>
      <c r="G924" s="380">
        <v>4</v>
      </c>
      <c r="H924" s="380" t="s">
        <v>1478</v>
      </c>
    </row>
    <row r="925" spans="1:9" x14ac:dyDescent="0.25">
      <c r="A925" s="247" t="str">
        <f t="shared" si="14"/>
        <v>豊後高田ＦＣ　Ｂｏｒｄｅｒ　Ｊｒ_2</v>
      </c>
      <c r="B925" s="238" t="s">
        <v>2349</v>
      </c>
      <c r="C925" s="238" t="str">
        <f>("2")</f>
        <v>2</v>
      </c>
      <c r="D925" s="238" t="s">
        <v>235</v>
      </c>
      <c r="E925" s="380" t="s">
        <v>10316</v>
      </c>
      <c r="F925" s="380" t="s">
        <v>14823</v>
      </c>
      <c r="G925" s="380">
        <v>4</v>
      </c>
      <c r="H925" s="380" t="s">
        <v>1478</v>
      </c>
    </row>
    <row r="926" spans="1:9" x14ac:dyDescent="0.25">
      <c r="A926" s="247" t="str">
        <f t="shared" si="14"/>
        <v>豊後高田ＦＣ　Ｂｏｒｄｅｒ　Ｊｒ_3</v>
      </c>
      <c r="B926" s="238" t="s">
        <v>2349</v>
      </c>
      <c r="C926" s="238" t="str">
        <f>("3")</f>
        <v>3</v>
      </c>
      <c r="D926" s="238" t="s">
        <v>235</v>
      </c>
      <c r="E926" s="380" t="s">
        <v>9383</v>
      </c>
      <c r="F926" s="380" t="s">
        <v>14824</v>
      </c>
      <c r="G926" s="380">
        <v>4</v>
      </c>
      <c r="H926" s="380" t="s">
        <v>1478</v>
      </c>
    </row>
    <row r="927" spans="1:9" x14ac:dyDescent="0.25">
      <c r="A927" s="247" t="str">
        <f t="shared" si="14"/>
        <v>豊後高田ＦＣ　Ｂｏｒｄｅｒ　Ｊｒ_4</v>
      </c>
      <c r="B927" s="238" t="s">
        <v>2349</v>
      </c>
      <c r="C927" s="238" t="str">
        <f>("4")</f>
        <v>4</v>
      </c>
      <c r="D927" s="238" t="s">
        <v>798</v>
      </c>
      <c r="E927" s="380" t="s">
        <v>9239</v>
      </c>
      <c r="F927" s="380" t="s">
        <v>14825</v>
      </c>
      <c r="G927" s="380">
        <v>4</v>
      </c>
      <c r="H927" s="380" t="s">
        <v>1478</v>
      </c>
    </row>
    <row r="928" spans="1:9" x14ac:dyDescent="0.25">
      <c r="A928" s="247" t="str">
        <f t="shared" si="14"/>
        <v>豊後高田ＦＣ　Ｂｏｒｄｅｒ　Ｊｒ_6</v>
      </c>
      <c r="B928" s="238" t="s">
        <v>2349</v>
      </c>
      <c r="C928" s="238" t="str">
        <f>("6")</f>
        <v>6</v>
      </c>
      <c r="D928" s="238" t="s">
        <v>235</v>
      </c>
      <c r="E928" s="380" t="s">
        <v>5998</v>
      </c>
      <c r="F928" s="380" t="s">
        <v>6572</v>
      </c>
      <c r="G928" s="380">
        <v>5</v>
      </c>
      <c r="H928" s="380" t="s">
        <v>1478</v>
      </c>
    </row>
    <row r="929" spans="1:9" x14ac:dyDescent="0.25">
      <c r="A929" s="247" t="str">
        <f t="shared" si="14"/>
        <v>豊後高田ＦＣ　Ｂｏｒｄｅｒ　Ｊｒ_7</v>
      </c>
      <c r="B929" s="238" t="s">
        <v>2349</v>
      </c>
      <c r="C929" s="238" t="str">
        <f>("7")</f>
        <v>7</v>
      </c>
      <c r="D929" s="238" t="s">
        <v>798</v>
      </c>
      <c r="E929" s="380" t="s">
        <v>4663</v>
      </c>
      <c r="F929" s="380" t="s">
        <v>4664</v>
      </c>
      <c r="G929" s="380">
        <v>6</v>
      </c>
      <c r="H929" s="380" t="s">
        <v>1478</v>
      </c>
      <c r="I929" s="380" t="s">
        <v>408</v>
      </c>
    </row>
    <row r="930" spans="1:9" x14ac:dyDescent="0.25">
      <c r="A930" s="247" t="str">
        <f t="shared" si="14"/>
        <v>豊後高田ＦＣ　Ｂｏｒｄｅｒ　Ｊｒ_8</v>
      </c>
      <c r="B930" s="238" t="s">
        <v>2349</v>
      </c>
      <c r="C930" s="238" t="str">
        <f>("8")</f>
        <v>8</v>
      </c>
      <c r="D930" s="238" t="s">
        <v>235</v>
      </c>
      <c r="E930" s="380" t="s">
        <v>5994</v>
      </c>
      <c r="F930" s="380" t="s">
        <v>6570</v>
      </c>
      <c r="G930" s="380">
        <v>6</v>
      </c>
      <c r="H930" s="380" t="s">
        <v>1478</v>
      </c>
    </row>
    <row r="931" spans="1:9" x14ac:dyDescent="0.25">
      <c r="A931" s="247" t="str">
        <f t="shared" si="14"/>
        <v>豊後高田ＦＣ　Ｂｏｒｄｅｒ　Ｊｒ_9</v>
      </c>
      <c r="B931" s="238" t="s">
        <v>2349</v>
      </c>
      <c r="C931" s="238" t="str">
        <f>("9")</f>
        <v>9</v>
      </c>
      <c r="D931" s="238" t="s">
        <v>798</v>
      </c>
      <c r="E931" s="380" t="s">
        <v>5993</v>
      </c>
      <c r="F931" s="380" t="s">
        <v>6569</v>
      </c>
      <c r="G931" s="380">
        <v>6</v>
      </c>
      <c r="H931" s="380" t="s">
        <v>1480</v>
      </c>
    </row>
    <row r="932" spans="1:9" x14ac:dyDescent="0.25">
      <c r="A932" s="247" t="str">
        <f t="shared" si="14"/>
        <v>豊後高田ＦＣ　Ｂｏｒｄｅｒ　Ｊｒ_10</v>
      </c>
      <c r="B932" s="238" t="s">
        <v>2349</v>
      </c>
      <c r="C932" s="238" t="str">
        <f>("10")</f>
        <v>10</v>
      </c>
      <c r="D932" s="238" t="s">
        <v>280</v>
      </c>
      <c r="E932" s="380" t="s">
        <v>5992</v>
      </c>
      <c r="F932" s="380" t="s">
        <v>6568</v>
      </c>
      <c r="G932" s="380">
        <v>6</v>
      </c>
      <c r="H932" s="380" t="s">
        <v>1478</v>
      </c>
    </row>
    <row r="933" spans="1:9" x14ac:dyDescent="0.25">
      <c r="A933" s="247" t="str">
        <f t="shared" si="14"/>
        <v>豊後高田ＦＣ　Ｂｏｒｄｅｒ　Ｊｒ_11</v>
      </c>
      <c r="B933" s="238" t="s">
        <v>2349</v>
      </c>
      <c r="C933" s="238" t="str">
        <f>("11")</f>
        <v>11</v>
      </c>
      <c r="D933" s="238" t="s">
        <v>280</v>
      </c>
      <c r="E933" s="380" t="s">
        <v>5991</v>
      </c>
      <c r="F933" s="380" t="s">
        <v>6567</v>
      </c>
      <c r="G933" s="380">
        <v>6</v>
      </c>
      <c r="H933" s="380" t="s">
        <v>1478</v>
      </c>
    </row>
    <row r="934" spans="1:9" x14ac:dyDescent="0.25">
      <c r="A934" s="247" t="str">
        <f t="shared" si="14"/>
        <v>豊後高田ＦＣ　Ｂｏｒｄｅｒ　Ｊｒ_12</v>
      </c>
      <c r="B934" s="238" t="s">
        <v>2349</v>
      </c>
      <c r="C934" s="238" t="str">
        <f>("12")</f>
        <v>12</v>
      </c>
      <c r="D934" s="238" t="s">
        <v>798</v>
      </c>
      <c r="E934" s="380" t="s">
        <v>5999</v>
      </c>
      <c r="F934" s="380" t="s">
        <v>6573</v>
      </c>
      <c r="G934" s="380">
        <v>5</v>
      </c>
      <c r="H934" s="380" t="s">
        <v>1478</v>
      </c>
    </row>
    <row r="935" spans="1:9" x14ac:dyDescent="0.25">
      <c r="A935" s="247" t="str">
        <f t="shared" si="14"/>
        <v>豊後高田ＦＣ　Ｂｏｒｄｅｒ　Ｊｒ_13</v>
      </c>
      <c r="B935" s="238" t="s">
        <v>2349</v>
      </c>
      <c r="C935" s="238" t="str">
        <f>("13")</f>
        <v>13</v>
      </c>
      <c r="D935" s="238" t="s">
        <v>798</v>
      </c>
      <c r="E935" s="380" t="s">
        <v>9274</v>
      </c>
      <c r="F935" s="380" t="s">
        <v>14826</v>
      </c>
      <c r="G935" s="380">
        <v>4</v>
      </c>
      <c r="H935" s="380" t="s">
        <v>1478</v>
      </c>
    </row>
    <row r="936" spans="1:9" x14ac:dyDescent="0.25">
      <c r="A936" s="247" t="str">
        <f t="shared" si="14"/>
        <v>豊後高田ＦＣ　Ｂｏｒｄｅｒ　Ｊｒ_14</v>
      </c>
      <c r="B936" s="238" t="s">
        <v>2349</v>
      </c>
      <c r="C936" s="238" t="str">
        <f>("14")</f>
        <v>14</v>
      </c>
      <c r="D936" s="238" t="s">
        <v>798</v>
      </c>
      <c r="E936" s="380" t="s">
        <v>9122</v>
      </c>
      <c r="F936" s="380" t="s">
        <v>14827</v>
      </c>
      <c r="G936" s="380">
        <v>4</v>
      </c>
      <c r="H936" s="380" t="s">
        <v>1478</v>
      </c>
    </row>
    <row r="937" spans="1:9" x14ac:dyDescent="0.25">
      <c r="A937" s="247" t="str">
        <f t="shared" si="14"/>
        <v>豊後高田ＦＣ　Ｂｏｒｄｅｒ　Ｊｒ_15</v>
      </c>
      <c r="B937" s="238" t="s">
        <v>2349</v>
      </c>
      <c r="C937" s="238" t="str">
        <f>("15")</f>
        <v>15</v>
      </c>
      <c r="D937" s="238" t="s">
        <v>235</v>
      </c>
      <c r="E937" s="380" t="s">
        <v>4665</v>
      </c>
      <c r="F937" s="380" t="s">
        <v>4666</v>
      </c>
      <c r="G937" s="380">
        <v>6</v>
      </c>
      <c r="H937" s="380" t="s">
        <v>1478</v>
      </c>
    </row>
    <row r="938" spans="1:9" x14ac:dyDescent="0.25">
      <c r="A938" s="247" t="str">
        <f t="shared" si="14"/>
        <v>豊後高田ＦＣ　Ｂｏｒｄｅｒ　Ｊｒ_16</v>
      </c>
      <c r="B938" s="238" t="s">
        <v>2349</v>
      </c>
      <c r="C938" s="238" t="str">
        <f>("16")</f>
        <v>16</v>
      </c>
      <c r="D938" s="238" t="s">
        <v>796</v>
      </c>
      <c r="E938" s="380" t="s">
        <v>4662</v>
      </c>
      <c r="F938" s="380" t="s">
        <v>6571</v>
      </c>
      <c r="G938" s="380">
        <v>6</v>
      </c>
      <c r="H938" s="380" t="s">
        <v>1478</v>
      </c>
    </row>
    <row r="939" spans="1:9" x14ac:dyDescent="0.25">
      <c r="A939" s="247" t="str">
        <f t="shared" si="14"/>
        <v>竹田直入ＦＣ_1</v>
      </c>
      <c r="B939" s="238" t="s">
        <v>2575</v>
      </c>
      <c r="C939" s="238" t="str">
        <f>("1")</f>
        <v>1</v>
      </c>
      <c r="D939" s="238" t="s">
        <v>796</v>
      </c>
      <c r="E939" s="380" t="s">
        <v>6000</v>
      </c>
      <c r="F939" s="380" t="s">
        <v>6574</v>
      </c>
      <c r="G939" s="380">
        <v>6</v>
      </c>
      <c r="H939" s="380" t="s">
        <v>1478</v>
      </c>
    </row>
    <row r="940" spans="1:9" x14ac:dyDescent="0.25">
      <c r="A940" s="247" t="str">
        <f t="shared" si="14"/>
        <v>竹田直入ＦＣ_2</v>
      </c>
      <c r="B940" s="238" t="s">
        <v>2575</v>
      </c>
      <c r="C940" s="238" t="str">
        <f>("2")</f>
        <v>2</v>
      </c>
      <c r="D940" s="238" t="s">
        <v>235</v>
      </c>
      <c r="E940" s="380" t="s">
        <v>4675</v>
      </c>
      <c r="F940" s="380" t="s">
        <v>4676</v>
      </c>
      <c r="G940" s="380">
        <v>6</v>
      </c>
      <c r="H940" s="380" t="s">
        <v>1478</v>
      </c>
    </row>
    <row r="941" spans="1:9" x14ac:dyDescent="0.25">
      <c r="A941" s="247" t="str">
        <f t="shared" si="14"/>
        <v>竹田直入ＦＣ_3</v>
      </c>
      <c r="B941" s="238" t="s">
        <v>2575</v>
      </c>
      <c r="C941" s="238" t="str">
        <f>("3")</f>
        <v>3</v>
      </c>
      <c r="D941" s="238" t="s">
        <v>798</v>
      </c>
      <c r="E941" s="380" t="s">
        <v>6001</v>
      </c>
      <c r="F941" s="380" t="s">
        <v>6575</v>
      </c>
      <c r="G941" s="380">
        <v>6</v>
      </c>
      <c r="H941" s="380" t="s">
        <v>1478</v>
      </c>
    </row>
    <row r="942" spans="1:9" x14ac:dyDescent="0.25">
      <c r="A942" s="247" t="str">
        <f t="shared" si="14"/>
        <v>竹田直入ＦＣ_4</v>
      </c>
      <c r="B942" s="238" t="s">
        <v>2575</v>
      </c>
      <c r="C942" s="238" t="str">
        <f>("4")</f>
        <v>4</v>
      </c>
      <c r="D942" s="238" t="s">
        <v>798</v>
      </c>
      <c r="E942" s="380" t="s">
        <v>6004</v>
      </c>
      <c r="F942" s="380" t="s">
        <v>6578</v>
      </c>
      <c r="G942" s="380">
        <v>6</v>
      </c>
      <c r="H942" s="380" t="s">
        <v>1478</v>
      </c>
    </row>
    <row r="943" spans="1:9" x14ac:dyDescent="0.25">
      <c r="A943" s="247" t="str">
        <f t="shared" si="14"/>
        <v>竹田直入ＦＣ_5</v>
      </c>
      <c r="B943" s="238" t="s">
        <v>2575</v>
      </c>
      <c r="C943" s="238" t="str">
        <f>("5")</f>
        <v>5</v>
      </c>
      <c r="D943" s="238" t="s">
        <v>235</v>
      </c>
      <c r="E943" s="380" t="s">
        <v>4667</v>
      </c>
      <c r="F943" s="380" t="s">
        <v>4668</v>
      </c>
      <c r="G943" s="380">
        <v>6</v>
      </c>
      <c r="H943" s="380" t="s">
        <v>1480</v>
      </c>
    </row>
    <row r="944" spans="1:9" x14ac:dyDescent="0.25">
      <c r="A944" s="247" t="str">
        <f t="shared" si="14"/>
        <v>竹田直入ＦＣ_6</v>
      </c>
      <c r="B944" s="238" t="s">
        <v>2575</v>
      </c>
      <c r="C944" s="238" t="str">
        <f>("6")</f>
        <v>6</v>
      </c>
      <c r="D944" s="238" t="s">
        <v>798</v>
      </c>
      <c r="E944" s="380" t="s">
        <v>6005</v>
      </c>
      <c r="F944" s="380" t="s">
        <v>6579</v>
      </c>
      <c r="G944" s="380">
        <v>5</v>
      </c>
      <c r="H944" s="380" t="s">
        <v>1478</v>
      </c>
    </row>
    <row r="945" spans="1:9" x14ac:dyDescent="0.25">
      <c r="A945" s="247" t="str">
        <f t="shared" si="14"/>
        <v>竹田直入ＦＣ_7</v>
      </c>
      <c r="B945" s="238" t="s">
        <v>2575</v>
      </c>
      <c r="C945" s="238" t="str">
        <f>("7")</f>
        <v>7</v>
      </c>
      <c r="D945" s="238" t="s">
        <v>280</v>
      </c>
      <c r="E945" s="380" t="s">
        <v>4673</v>
      </c>
      <c r="F945" s="380" t="s">
        <v>4674</v>
      </c>
      <c r="G945" s="380">
        <v>5</v>
      </c>
      <c r="H945" s="380" t="s">
        <v>1478</v>
      </c>
    </row>
    <row r="946" spans="1:9" x14ac:dyDescent="0.25">
      <c r="A946" s="247" t="str">
        <f t="shared" si="14"/>
        <v>竹田直入ＦＣ_8</v>
      </c>
      <c r="B946" s="238" t="s">
        <v>2575</v>
      </c>
      <c r="C946" s="238" t="str">
        <f>("8")</f>
        <v>8</v>
      </c>
      <c r="D946" s="238" t="s">
        <v>280</v>
      </c>
      <c r="E946" s="380" t="s">
        <v>6003</v>
      </c>
      <c r="F946" s="380" t="s">
        <v>6577</v>
      </c>
      <c r="G946" s="380">
        <v>6</v>
      </c>
      <c r="H946" s="380" t="s">
        <v>1478</v>
      </c>
    </row>
    <row r="947" spans="1:9" x14ac:dyDescent="0.25">
      <c r="A947" s="247" t="str">
        <f t="shared" si="14"/>
        <v>竹田直入ＦＣ_9</v>
      </c>
      <c r="B947" s="238" t="s">
        <v>2575</v>
      </c>
      <c r="C947" s="238" t="str">
        <f>("9")</f>
        <v>9</v>
      </c>
      <c r="D947" s="238" t="s">
        <v>235</v>
      </c>
      <c r="E947" s="380" t="s">
        <v>4671</v>
      </c>
      <c r="F947" s="380" t="s">
        <v>4672</v>
      </c>
      <c r="G947" s="380">
        <v>6</v>
      </c>
      <c r="H947" s="380" t="s">
        <v>1478</v>
      </c>
    </row>
    <row r="948" spans="1:9" x14ac:dyDescent="0.25">
      <c r="A948" s="247" t="str">
        <f t="shared" si="14"/>
        <v>竹田直入ＦＣ_10</v>
      </c>
      <c r="B948" s="238" t="s">
        <v>2575</v>
      </c>
      <c r="C948" s="238" t="str">
        <f>("10")</f>
        <v>10</v>
      </c>
      <c r="D948" s="238" t="s">
        <v>798</v>
      </c>
      <c r="E948" s="380" t="s">
        <v>6002</v>
      </c>
      <c r="F948" s="380" t="s">
        <v>6576</v>
      </c>
      <c r="G948" s="380">
        <v>6</v>
      </c>
      <c r="H948" s="380" t="s">
        <v>1478</v>
      </c>
      <c r="I948" s="380" t="s">
        <v>408</v>
      </c>
    </row>
    <row r="949" spans="1:9" x14ac:dyDescent="0.25">
      <c r="A949" s="247" t="str">
        <f t="shared" si="14"/>
        <v>竹田直入ＦＣ_11</v>
      </c>
      <c r="B949" s="238" t="s">
        <v>2575</v>
      </c>
      <c r="C949" s="238" t="str">
        <f>("11")</f>
        <v>11</v>
      </c>
      <c r="D949" s="238" t="s">
        <v>235</v>
      </c>
      <c r="E949" s="380" t="s">
        <v>4669</v>
      </c>
      <c r="F949" s="380" t="s">
        <v>4670</v>
      </c>
      <c r="G949" s="380">
        <v>6</v>
      </c>
      <c r="H949" s="380" t="s">
        <v>1478</v>
      </c>
    </row>
    <row r="950" spans="1:9" x14ac:dyDescent="0.25">
      <c r="A950" s="247" t="str">
        <f t="shared" si="14"/>
        <v>竹田直入ＦＣ_12</v>
      </c>
      <c r="B950" s="238" t="s">
        <v>2575</v>
      </c>
      <c r="C950" s="238" t="str">
        <f>("12")</f>
        <v>12</v>
      </c>
      <c r="D950" s="238" t="s">
        <v>796</v>
      </c>
      <c r="E950" s="380" t="s">
        <v>9118</v>
      </c>
      <c r="F950" s="380" t="s">
        <v>14828</v>
      </c>
      <c r="G950" s="380">
        <v>4</v>
      </c>
      <c r="H950" s="380" t="s">
        <v>1478</v>
      </c>
    </row>
    <row r="951" spans="1:9" x14ac:dyDescent="0.25">
      <c r="A951" s="247" t="str">
        <f t="shared" si="14"/>
        <v>竹田直入ＦＣ_13</v>
      </c>
      <c r="B951" s="238" t="s">
        <v>2575</v>
      </c>
      <c r="C951" s="238" t="str">
        <f>("13")</f>
        <v>13</v>
      </c>
      <c r="D951" s="238" t="s">
        <v>798</v>
      </c>
      <c r="E951" s="380" t="s">
        <v>8034</v>
      </c>
      <c r="F951" s="380" t="s">
        <v>14829</v>
      </c>
      <c r="G951" s="380">
        <v>5</v>
      </c>
      <c r="H951" s="380" t="s">
        <v>1478</v>
      </c>
    </row>
    <row r="952" spans="1:9" x14ac:dyDescent="0.25">
      <c r="A952" s="247" t="str">
        <f t="shared" si="14"/>
        <v>竹田直入ＦＣ_14</v>
      </c>
      <c r="B952" s="238" t="s">
        <v>2575</v>
      </c>
      <c r="C952" s="238" t="str">
        <f>("14")</f>
        <v>14</v>
      </c>
      <c r="D952" s="238" t="s">
        <v>235</v>
      </c>
      <c r="E952" s="380" t="s">
        <v>9564</v>
      </c>
      <c r="F952" s="380" t="s">
        <v>14830</v>
      </c>
      <c r="G952" s="380">
        <v>4</v>
      </c>
      <c r="H952" s="380" t="s">
        <v>1478</v>
      </c>
    </row>
    <row r="953" spans="1:9" x14ac:dyDescent="0.25">
      <c r="A953" s="247" t="str">
        <f t="shared" si="14"/>
        <v>竹田直入ＦＣ_15</v>
      </c>
      <c r="B953" s="238" t="s">
        <v>2575</v>
      </c>
      <c r="C953" s="238" t="str">
        <f>("15")</f>
        <v>15</v>
      </c>
      <c r="D953" s="238" t="s">
        <v>280</v>
      </c>
      <c r="E953" s="380" t="s">
        <v>9193</v>
      </c>
      <c r="F953" s="380" t="s">
        <v>14831</v>
      </c>
      <c r="G953" s="380">
        <v>4</v>
      </c>
      <c r="H953" s="380" t="s">
        <v>1478</v>
      </c>
    </row>
    <row r="954" spans="1:9" x14ac:dyDescent="0.25">
      <c r="A954" s="247" t="str">
        <f t="shared" si="14"/>
        <v>竹田直入ＦＣ_17</v>
      </c>
      <c r="B954" s="238" t="s">
        <v>2575</v>
      </c>
      <c r="C954" s="238" t="str">
        <f>("17")</f>
        <v>17</v>
      </c>
      <c r="D954" s="238" t="s">
        <v>280</v>
      </c>
      <c r="E954" s="380" t="s">
        <v>9355</v>
      </c>
      <c r="F954" s="380" t="s">
        <v>14832</v>
      </c>
      <c r="G954" s="380">
        <v>4</v>
      </c>
      <c r="H954" s="380" t="s">
        <v>1478</v>
      </c>
    </row>
    <row r="955" spans="1:9" x14ac:dyDescent="0.25">
      <c r="A955" s="247" t="str">
        <f t="shared" si="14"/>
        <v>南立石サッカースポーツ少年団_1</v>
      </c>
      <c r="B955" s="238" t="s">
        <v>1865</v>
      </c>
      <c r="C955" s="238" t="str">
        <f>("1")</f>
        <v>1</v>
      </c>
      <c r="D955" s="238" t="s">
        <v>796</v>
      </c>
      <c r="E955" s="380" t="s">
        <v>8891</v>
      </c>
      <c r="F955" s="380" t="s">
        <v>14833</v>
      </c>
      <c r="G955" s="380">
        <v>6</v>
      </c>
      <c r="H955" s="380" t="s">
        <v>1478</v>
      </c>
    </row>
    <row r="956" spans="1:9" x14ac:dyDescent="0.25">
      <c r="A956" s="247" t="str">
        <f t="shared" si="14"/>
        <v>南立石サッカースポーツ少年団_2</v>
      </c>
      <c r="B956" s="238" t="s">
        <v>1865</v>
      </c>
      <c r="C956" s="238" t="str">
        <f>("2")</f>
        <v>2</v>
      </c>
      <c r="D956" s="238" t="s">
        <v>235</v>
      </c>
      <c r="E956" s="380" t="s">
        <v>6007</v>
      </c>
      <c r="F956" s="380" t="s">
        <v>6581</v>
      </c>
      <c r="G956" s="380">
        <v>5</v>
      </c>
      <c r="H956" s="380" t="s">
        <v>1478</v>
      </c>
    </row>
    <row r="957" spans="1:9" x14ac:dyDescent="0.25">
      <c r="A957" s="247" t="str">
        <f t="shared" si="14"/>
        <v>南立石サッカースポーツ少年団_3</v>
      </c>
      <c r="B957" s="238" t="s">
        <v>1865</v>
      </c>
      <c r="C957" s="238" t="str">
        <f>("3")</f>
        <v>3</v>
      </c>
      <c r="D957" s="238" t="s">
        <v>796</v>
      </c>
      <c r="E957" s="380" t="s">
        <v>6006</v>
      </c>
      <c r="F957" s="380" t="s">
        <v>6580</v>
      </c>
      <c r="G957" s="380">
        <v>5</v>
      </c>
      <c r="H957" s="380" t="s">
        <v>1478</v>
      </c>
    </row>
    <row r="958" spans="1:9" x14ac:dyDescent="0.25">
      <c r="A958" s="247" t="str">
        <f t="shared" si="14"/>
        <v>南立石サッカースポーツ少年団_4</v>
      </c>
      <c r="B958" s="238" t="s">
        <v>1865</v>
      </c>
      <c r="C958" s="238" t="str">
        <f>("4")</f>
        <v>4</v>
      </c>
      <c r="D958" s="238" t="s">
        <v>235</v>
      </c>
      <c r="E958" s="380" t="s">
        <v>6012</v>
      </c>
      <c r="F958" s="380" t="s">
        <v>4802</v>
      </c>
      <c r="G958" s="380">
        <v>5</v>
      </c>
      <c r="H958" s="380" t="s">
        <v>1478</v>
      </c>
    </row>
    <row r="959" spans="1:9" x14ac:dyDescent="0.25">
      <c r="A959" s="247" t="str">
        <f t="shared" si="14"/>
        <v>南立石サッカースポーツ少年団_5</v>
      </c>
      <c r="B959" s="238" t="s">
        <v>1865</v>
      </c>
      <c r="C959" s="238" t="str">
        <f>("5")</f>
        <v>5</v>
      </c>
      <c r="D959" s="238" t="s">
        <v>235</v>
      </c>
      <c r="E959" s="380" t="s">
        <v>2698</v>
      </c>
      <c r="F959" s="380" t="s">
        <v>3051</v>
      </c>
      <c r="G959" s="380">
        <v>6</v>
      </c>
      <c r="H959" s="380" t="s">
        <v>1478</v>
      </c>
      <c r="I959" s="380" t="s">
        <v>408</v>
      </c>
    </row>
    <row r="960" spans="1:9" x14ac:dyDescent="0.25">
      <c r="A960" s="247" t="str">
        <f t="shared" si="14"/>
        <v>南立石サッカースポーツ少年団_6</v>
      </c>
      <c r="B960" s="238" t="s">
        <v>1865</v>
      </c>
      <c r="C960" s="238" t="str">
        <f>("6")</f>
        <v>6</v>
      </c>
      <c r="D960" s="238" t="s">
        <v>280</v>
      </c>
      <c r="E960" s="380" t="s">
        <v>1774</v>
      </c>
      <c r="F960" s="380" t="s">
        <v>3047</v>
      </c>
      <c r="G960" s="380">
        <v>6</v>
      </c>
      <c r="H960" s="380" t="s">
        <v>1478</v>
      </c>
    </row>
    <row r="961" spans="1:8" x14ac:dyDescent="0.25">
      <c r="A961" s="247" t="str">
        <f t="shared" ref="A961:A1024" si="15">CONCATENATE(B961,"_",C961)</f>
        <v>南立石サッカースポーツ少年団_7</v>
      </c>
      <c r="B961" s="238" t="s">
        <v>1865</v>
      </c>
      <c r="C961" s="238" t="str">
        <f>("7")</f>
        <v>7</v>
      </c>
      <c r="D961" s="238" t="s">
        <v>798</v>
      </c>
      <c r="E961" s="380" t="s">
        <v>4094</v>
      </c>
      <c r="F961" s="380" t="s">
        <v>4095</v>
      </c>
      <c r="G961" s="380">
        <v>6</v>
      </c>
      <c r="H961" s="380" t="s">
        <v>1478</v>
      </c>
    </row>
    <row r="962" spans="1:8" x14ac:dyDescent="0.25">
      <c r="A962" s="247" t="str">
        <f t="shared" si="15"/>
        <v>南立石サッカースポーツ少年団_9</v>
      </c>
      <c r="B962" s="238" t="s">
        <v>1865</v>
      </c>
      <c r="C962" s="238" t="str">
        <f>("9")</f>
        <v>9</v>
      </c>
      <c r="D962" s="238" t="s">
        <v>798</v>
      </c>
      <c r="E962" s="380" t="s">
        <v>4089</v>
      </c>
      <c r="F962" s="380" t="s">
        <v>4090</v>
      </c>
      <c r="G962" s="380">
        <v>6</v>
      </c>
      <c r="H962" s="380" t="s">
        <v>1478</v>
      </c>
    </row>
    <row r="963" spans="1:8" x14ac:dyDescent="0.25">
      <c r="A963" s="247" t="str">
        <f t="shared" si="15"/>
        <v>南立石サッカースポーツ少年団_10</v>
      </c>
      <c r="B963" s="238" t="s">
        <v>1865</v>
      </c>
      <c r="C963" s="238" t="str">
        <f>("10")</f>
        <v>10</v>
      </c>
      <c r="D963" s="238" t="s">
        <v>235</v>
      </c>
      <c r="E963" s="380" t="s">
        <v>3052</v>
      </c>
      <c r="F963" s="380" t="s">
        <v>759</v>
      </c>
      <c r="G963" s="380">
        <v>6</v>
      </c>
      <c r="H963" s="380" t="s">
        <v>1478</v>
      </c>
    </row>
    <row r="964" spans="1:8" x14ac:dyDescent="0.25">
      <c r="A964" s="247" t="str">
        <f t="shared" si="15"/>
        <v>南立石サッカースポーツ少年団_11</v>
      </c>
      <c r="B964" s="238" t="s">
        <v>1865</v>
      </c>
      <c r="C964" s="238" t="str">
        <f>("11")</f>
        <v>11</v>
      </c>
      <c r="D964" s="238" t="s">
        <v>798</v>
      </c>
      <c r="E964" s="380" t="s">
        <v>3036</v>
      </c>
      <c r="F964" s="380" t="s">
        <v>3046</v>
      </c>
      <c r="G964" s="380">
        <v>6</v>
      </c>
      <c r="H964" s="380" t="s">
        <v>1478</v>
      </c>
    </row>
    <row r="965" spans="1:8" x14ac:dyDescent="0.25">
      <c r="A965" s="247" t="str">
        <f t="shared" si="15"/>
        <v>南立石サッカースポーツ少年団_12</v>
      </c>
      <c r="B965" s="238" t="s">
        <v>1865</v>
      </c>
      <c r="C965" s="238" t="str">
        <f>("12")</f>
        <v>12</v>
      </c>
      <c r="D965" s="238" t="s">
        <v>798</v>
      </c>
      <c r="E965" s="380" t="s">
        <v>6011</v>
      </c>
      <c r="F965" s="380" t="s">
        <v>6584</v>
      </c>
      <c r="G965" s="380">
        <v>5</v>
      </c>
      <c r="H965" s="380" t="s">
        <v>1478</v>
      </c>
    </row>
    <row r="966" spans="1:8" x14ac:dyDescent="0.25">
      <c r="A966" s="247" t="str">
        <f t="shared" si="15"/>
        <v>南立石サッカースポーツ少年団_13</v>
      </c>
      <c r="B966" s="238" t="s">
        <v>1865</v>
      </c>
      <c r="C966" s="238" t="str">
        <f>("13")</f>
        <v>13</v>
      </c>
      <c r="D966" s="238" t="s">
        <v>235</v>
      </c>
      <c r="E966" s="380" t="s">
        <v>6008</v>
      </c>
      <c r="F966" s="380" t="s">
        <v>6582</v>
      </c>
      <c r="G966" s="380">
        <v>5</v>
      </c>
      <c r="H966" s="380" t="s">
        <v>1478</v>
      </c>
    </row>
    <row r="967" spans="1:8" x14ac:dyDescent="0.25">
      <c r="A967" s="247" t="str">
        <f t="shared" si="15"/>
        <v>南立石サッカースポーツ少年団_17</v>
      </c>
      <c r="B967" s="238" t="s">
        <v>1865</v>
      </c>
      <c r="C967" s="238" t="str">
        <f>("17")</f>
        <v>17</v>
      </c>
      <c r="D967" s="238" t="s">
        <v>235</v>
      </c>
      <c r="E967" s="380" t="s">
        <v>4091</v>
      </c>
      <c r="F967" s="380" t="s">
        <v>4092</v>
      </c>
      <c r="G967" s="380">
        <v>6</v>
      </c>
      <c r="H967" s="380" t="s">
        <v>1478</v>
      </c>
    </row>
    <row r="968" spans="1:8" x14ac:dyDescent="0.25">
      <c r="A968" s="247" t="str">
        <f t="shared" si="15"/>
        <v>南立石サッカースポーツ少年団_19</v>
      </c>
      <c r="B968" s="238" t="s">
        <v>1865</v>
      </c>
      <c r="C968" s="238" t="str">
        <f>("19")</f>
        <v>19</v>
      </c>
      <c r="D968" s="238" t="s">
        <v>280</v>
      </c>
      <c r="E968" s="380" t="s">
        <v>6009</v>
      </c>
      <c r="F968" s="380" t="s">
        <v>6559</v>
      </c>
      <c r="G968" s="380">
        <v>5</v>
      </c>
      <c r="H968" s="380" t="s">
        <v>1478</v>
      </c>
    </row>
    <row r="969" spans="1:8" x14ac:dyDescent="0.25">
      <c r="A969" s="247" t="str">
        <f t="shared" si="15"/>
        <v>南立石サッカースポーツ少年団_20</v>
      </c>
      <c r="B969" s="238" t="s">
        <v>1865</v>
      </c>
      <c r="C969" s="238" t="str">
        <f>("20")</f>
        <v>20</v>
      </c>
      <c r="D969" s="238" t="s">
        <v>798</v>
      </c>
      <c r="E969" s="380" t="s">
        <v>6013</v>
      </c>
      <c r="F969" s="380" t="s">
        <v>6585</v>
      </c>
      <c r="G969" s="380">
        <v>5</v>
      </c>
      <c r="H969" s="380" t="s">
        <v>1478</v>
      </c>
    </row>
    <row r="970" spans="1:8" x14ac:dyDescent="0.25">
      <c r="A970" s="247" t="str">
        <f t="shared" si="15"/>
        <v>南立石サッカースポーツ少年団_21</v>
      </c>
      <c r="B970" s="238" t="s">
        <v>1865</v>
      </c>
      <c r="C970" s="238" t="str">
        <f>("21")</f>
        <v>21</v>
      </c>
      <c r="D970" s="238" t="s">
        <v>798</v>
      </c>
      <c r="E970" s="380" t="s">
        <v>6010</v>
      </c>
      <c r="F970" s="380" t="s">
        <v>6583</v>
      </c>
      <c r="G970" s="380">
        <v>5</v>
      </c>
      <c r="H970" s="380" t="s">
        <v>1478</v>
      </c>
    </row>
    <row r="971" spans="1:8" x14ac:dyDescent="0.25">
      <c r="A971" s="247" t="str">
        <f t="shared" si="15"/>
        <v>ドリームキッズフットボールクラブ_1</v>
      </c>
      <c r="B971" s="238" t="s">
        <v>2530</v>
      </c>
      <c r="C971" s="238" t="str">
        <f>("1")</f>
        <v>1</v>
      </c>
      <c r="D971" s="238" t="s">
        <v>796</v>
      </c>
      <c r="E971" s="380" t="s">
        <v>8073</v>
      </c>
      <c r="F971" s="380" t="s">
        <v>14834</v>
      </c>
      <c r="G971" s="380">
        <v>5</v>
      </c>
      <c r="H971" s="380" t="s">
        <v>1478</v>
      </c>
    </row>
    <row r="972" spans="1:8" x14ac:dyDescent="0.25">
      <c r="A972" s="247" t="str">
        <f t="shared" si="15"/>
        <v>ドリームキッズフットボールクラブ_2</v>
      </c>
      <c r="B972" s="238" t="s">
        <v>2530</v>
      </c>
      <c r="C972" s="238" t="str">
        <f>("2")</f>
        <v>2</v>
      </c>
      <c r="D972" s="238" t="s">
        <v>235</v>
      </c>
      <c r="E972" s="380" t="s">
        <v>7856</v>
      </c>
      <c r="F972" s="380" t="s">
        <v>14835</v>
      </c>
      <c r="G972" s="380">
        <v>5</v>
      </c>
      <c r="H972" s="380" t="s">
        <v>1478</v>
      </c>
    </row>
    <row r="973" spans="1:8" x14ac:dyDescent="0.25">
      <c r="A973" s="247" t="str">
        <f t="shared" si="15"/>
        <v>ドリームキッズフットボールクラブ_3</v>
      </c>
      <c r="B973" s="238" t="s">
        <v>2530</v>
      </c>
      <c r="C973" s="238" t="str">
        <f>("3")</f>
        <v>3</v>
      </c>
      <c r="D973" s="238" t="s">
        <v>235</v>
      </c>
      <c r="E973" s="380" t="s">
        <v>4679</v>
      </c>
      <c r="F973" s="380" t="s">
        <v>4680</v>
      </c>
      <c r="G973" s="380">
        <v>6</v>
      </c>
      <c r="H973" s="380" t="s">
        <v>1478</v>
      </c>
    </row>
    <row r="974" spans="1:8" x14ac:dyDescent="0.25">
      <c r="A974" s="247" t="str">
        <f t="shared" si="15"/>
        <v>ドリームキッズフットボールクラブ_4</v>
      </c>
      <c r="B974" s="238" t="s">
        <v>2530</v>
      </c>
      <c r="C974" s="238" t="str">
        <f>("4")</f>
        <v>4</v>
      </c>
      <c r="D974" s="238" t="s">
        <v>798</v>
      </c>
      <c r="E974" s="380" t="s">
        <v>4677</v>
      </c>
      <c r="F974" s="380" t="s">
        <v>4678</v>
      </c>
      <c r="G974" s="380">
        <v>6</v>
      </c>
      <c r="H974" s="380" t="s">
        <v>1478</v>
      </c>
    </row>
    <row r="975" spans="1:8" x14ac:dyDescent="0.25">
      <c r="A975" s="247" t="str">
        <f t="shared" si="15"/>
        <v>ドリームキッズフットボールクラブ_5</v>
      </c>
      <c r="B975" s="238" t="s">
        <v>2530</v>
      </c>
      <c r="C975" s="238" t="str">
        <f>("5")</f>
        <v>5</v>
      </c>
      <c r="D975" s="238" t="s">
        <v>235</v>
      </c>
      <c r="E975" s="380" t="s">
        <v>6019</v>
      </c>
      <c r="F975" s="380" t="s">
        <v>6590</v>
      </c>
      <c r="G975" s="380">
        <v>6</v>
      </c>
      <c r="H975" s="380" t="s">
        <v>1478</v>
      </c>
    </row>
    <row r="976" spans="1:8" x14ac:dyDescent="0.25">
      <c r="A976" s="247" t="str">
        <f t="shared" si="15"/>
        <v>ドリームキッズフットボールクラブ_6</v>
      </c>
      <c r="B976" s="238" t="s">
        <v>2530</v>
      </c>
      <c r="C976" s="238" t="str">
        <f>("6")</f>
        <v>6</v>
      </c>
      <c r="D976" s="238" t="s">
        <v>798</v>
      </c>
      <c r="E976" s="380" t="s">
        <v>5862</v>
      </c>
      <c r="F976" s="380" t="s">
        <v>6475</v>
      </c>
      <c r="G976" s="380">
        <v>5</v>
      </c>
      <c r="H976" s="380" t="s">
        <v>1478</v>
      </c>
    </row>
    <row r="977" spans="1:9" x14ac:dyDescent="0.25">
      <c r="A977" s="247" t="str">
        <f t="shared" si="15"/>
        <v>ドリームキッズフットボールクラブ_7</v>
      </c>
      <c r="B977" s="238" t="s">
        <v>2530</v>
      </c>
      <c r="C977" s="238" t="str">
        <f>("7")</f>
        <v>7</v>
      </c>
      <c r="D977" s="238" t="s">
        <v>235</v>
      </c>
      <c r="E977" s="380" t="s">
        <v>6017</v>
      </c>
      <c r="F977" s="380" t="s">
        <v>6588</v>
      </c>
      <c r="G977" s="380">
        <v>6</v>
      </c>
      <c r="H977" s="380" t="s">
        <v>1478</v>
      </c>
    </row>
    <row r="978" spans="1:9" x14ac:dyDescent="0.25">
      <c r="A978" s="247" t="str">
        <f t="shared" si="15"/>
        <v>ドリームキッズフットボールクラブ_8</v>
      </c>
      <c r="B978" s="238" t="s">
        <v>2530</v>
      </c>
      <c r="C978" s="238" t="str">
        <f>("8")</f>
        <v>8</v>
      </c>
      <c r="D978" s="238" t="s">
        <v>798</v>
      </c>
      <c r="E978" s="380" t="s">
        <v>4683</v>
      </c>
      <c r="F978" s="380" t="s">
        <v>6587</v>
      </c>
      <c r="G978" s="380">
        <v>6</v>
      </c>
      <c r="H978" s="380" t="s">
        <v>1478</v>
      </c>
    </row>
    <row r="979" spans="1:9" x14ac:dyDescent="0.25">
      <c r="A979" s="247" t="str">
        <f t="shared" si="15"/>
        <v>ドリームキッズフットボールクラブ_9</v>
      </c>
      <c r="B979" s="238" t="s">
        <v>2530</v>
      </c>
      <c r="C979" s="238" t="str">
        <f>("9")</f>
        <v>9</v>
      </c>
      <c r="D979" s="238" t="s">
        <v>235</v>
      </c>
      <c r="E979" s="380" t="s">
        <v>6018</v>
      </c>
      <c r="F979" s="380" t="s">
        <v>6589</v>
      </c>
      <c r="G979" s="380">
        <v>6</v>
      </c>
      <c r="H979" s="380" t="s">
        <v>1478</v>
      </c>
    </row>
    <row r="980" spans="1:9" x14ac:dyDescent="0.25">
      <c r="A980" s="247" t="str">
        <f t="shared" si="15"/>
        <v>ドリームキッズフットボールクラブ_10</v>
      </c>
      <c r="B980" s="238" t="s">
        <v>2530</v>
      </c>
      <c r="C980" s="238" t="str">
        <f>("10")</f>
        <v>10</v>
      </c>
      <c r="D980" s="238" t="s">
        <v>798</v>
      </c>
      <c r="E980" s="380" t="s">
        <v>6016</v>
      </c>
      <c r="F980" s="380" t="s">
        <v>4681</v>
      </c>
      <c r="G980" s="380">
        <v>6</v>
      </c>
      <c r="H980" s="380" t="s">
        <v>1478</v>
      </c>
      <c r="I980" s="380" t="s">
        <v>408</v>
      </c>
    </row>
    <row r="981" spans="1:9" x14ac:dyDescent="0.25">
      <c r="A981" s="247" t="str">
        <f t="shared" si="15"/>
        <v>ドリームキッズフットボールクラブ_11</v>
      </c>
      <c r="B981" s="238" t="s">
        <v>2530</v>
      </c>
      <c r="C981" s="238" t="str">
        <f>("11")</f>
        <v>11</v>
      </c>
      <c r="D981" s="238" t="s">
        <v>280</v>
      </c>
      <c r="E981" s="380" t="s">
        <v>6014</v>
      </c>
      <c r="F981" s="380" t="s">
        <v>6362</v>
      </c>
      <c r="G981" s="380">
        <v>5</v>
      </c>
      <c r="H981" s="380" t="s">
        <v>1478</v>
      </c>
    </row>
    <row r="982" spans="1:9" x14ac:dyDescent="0.25">
      <c r="A982" s="247" t="str">
        <f t="shared" si="15"/>
        <v>ドリームキッズフットボールクラブ_12</v>
      </c>
      <c r="B982" s="238" t="s">
        <v>2530</v>
      </c>
      <c r="C982" s="238" t="str">
        <f>("12")</f>
        <v>12</v>
      </c>
      <c r="D982" s="238" t="s">
        <v>235</v>
      </c>
      <c r="E982" s="380" t="s">
        <v>5910</v>
      </c>
      <c r="F982" s="380" t="s">
        <v>6509</v>
      </c>
      <c r="G982" s="380">
        <v>5</v>
      </c>
      <c r="H982" s="380" t="s">
        <v>1478</v>
      </c>
    </row>
    <row r="983" spans="1:9" x14ac:dyDescent="0.25">
      <c r="A983" s="247" t="str">
        <f t="shared" si="15"/>
        <v>ドリームキッズフットボールクラブ_13</v>
      </c>
      <c r="B983" s="238" t="s">
        <v>2530</v>
      </c>
      <c r="C983" s="238" t="str">
        <f>("13")</f>
        <v>13</v>
      </c>
      <c r="D983" s="238" t="s">
        <v>280</v>
      </c>
      <c r="E983" s="380" t="s">
        <v>7895</v>
      </c>
      <c r="F983" s="380" t="s">
        <v>14836</v>
      </c>
      <c r="G983" s="380">
        <v>5</v>
      </c>
      <c r="H983" s="380" t="s">
        <v>1478</v>
      </c>
    </row>
    <row r="984" spans="1:9" x14ac:dyDescent="0.25">
      <c r="A984" s="247" t="str">
        <f t="shared" si="15"/>
        <v>ドリームキッズフットボールクラブ_14</v>
      </c>
      <c r="B984" s="238" t="s">
        <v>2530</v>
      </c>
      <c r="C984" s="238" t="str">
        <f>("14")</f>
        <v>14</v>
      </c>
      <c r="D984" s="238" t="s">
        <v>235</v>
      </c>
      <c r="E984" s="380" t="s">
        <v>8181</v>
      </c>
      <c r="F984" s="380" t="s">
        <v>14837</v>
      </c>
      <c r="G984" s="380">
        <v>5</v>
      </c>
      <c r="H984" s="380" t="s">
        <v>1478</v>
      </c>
    </row>
    <row r="985" spans="1:9" x14ac:dyDescent="0.25">
      <c r="A985" s="247" t="str">
        <f t="shared" si="15"/>
        <v>ドリームキッズフットボールクラブ_15</v>
      </c>
      <c r="B985" s="238" t="s">
        <v>2530</v>
      </c>
      <c r="C985" s="238" t="str">
        <f>("15")</f>
        <v>15</v>
      </c>
      <c r="D985" s="238" t="s">
        <v>798</v>
      </c>
      <c r="E985" s="380" t="s">
        <v>8378</v>
      </c>
      <c r="F985" s="380" t="s">
        <v>14838</v>
      </c>
      <c r="G985" s="380">
        <v>5</v>
      </c>
      <c r="H985" s="380" t="s">
        <v>1480</v>
      </c>
    </row>
    <row r="986" spans="1:9" x14ac:dyDescent="0.25">
      <c r="A986" s="247" t="str">
        <f t="shared" si="15"/>
        <v>ドリームキッズフットボールクラブ_16</v>
      </c>
      <c r="B986" s="238" t="s">
        <v>2530</v>
      </c>
      <c r="C986" s="238" t="str">
        <f>("16")</f>
        <v>16</v>
      </c>
      <c r="D986" s="238" t="s">
        <v>796</v>
      </c>
      <c r="E986" s="380" t="s">
        <v>7956</v>
      </c>
      <c r="F986" s="380" t="s">
        <v>3928</v>
      </c>
      <c r="G986" s="380">
        <v>5</v>
      </c>
      <c r="H986" s="380" t="s">
        <v>1478</v>
      </c>
    </row>
    <row r="987" spans="1:9" x14ac:dyDescent="0.25">
      <c r="A987" s="247" t="str">
        <f t="shared" si="15"/>
        <v>ＯＫＹ山香サッカークラブ_1</v>
      </c>
      <c r="B987" s="238" t="s">
        <v>838</v>
      </c>
      <c r="C987" s="238" t="str">
        <f>("1")</f>
        <v>1</v>
      </c>
      <c r="D987" s="238" t="s">
        <v>796</v>
      </c>
      <c r="E987" s="380" t="s">
        <v>6023</v>
      </c>
      <c r="F987" s="380" t="s">
        <v>6592</v>
      </c>
      <c r="G987" s="380">
        <v>6</v>
      </c>
      <c r="H987" s="380" t="s">
        <v>1478</v>
      </c>
    </row>
    <row r="988" spans="1:9" x14ac:dyDescent="0.25">
      <c r="A988" s="247" t="str">
        <f t="shared" si="15"/>
        <v>ＯＫＹ山香サッカークラブ_2</v>
      </c>
      <c r="B988" s="238" t="s">
        <v>838</v>
      </c>
      <c r="C988" s="238" t="str">
        <f>("2")</f>
        <v>2</v>
      </c>
      <c r="D988" s="238" t="s">
        <v>798</v>
      </c>
      <c r="E988" s="380" t="s">
        <v>9037</v>
      </c>
      <c r="F988" s="380" t="s">
        <v>14839</v>
      </c>
      <c r="G988" s="380">
        <v>4</v>
      </c>
      <c r="H988" s="380" t="s">
        <v>1478</v>
      </c>
    </row>
    <row r="989" spans="1:9" x14ac:dyDescent="0.25">
      <c r="A989" s="247" t="str">
        <f t="shared" si="15"/>
        <v>ＯＫＹ山香サッカークラブ_3</v>
      </c>
      <c r="B989" s="238" t="s">
        <v>838</v>
      </c>
      <c r="C989" s="238" t="str">
        <f>("3")</f>
        <v>3</v>
      </c>
      <c r="D989" s="238" t="s">
        <v>235</v>
      </c>
      <c r="E989" s="380" t="s">
        <v>9180</v>
      </c>
      <c r="F989" s="380" t="s">
        <v>14840</v>
      </c>
      <c r="G989" s="380">
        <v>4</v>
      </c>
      <c r="H989" s="380" t="s">
        <v>1478</v>
      </c>
    </row>
    <row r="990" spans="1:9" x14ac:dyDescent="0.25">
      <c r="A990" s="247" t="str">
        <f t="shared" si="15"/>
        <v>ＯＫＹ山香サッカークラブ_4</v>
      </c>
      <c r="B990" s="238" t="s">
        <v>838</v>
      </c>
      <c r="C990" s="238" t="str">
        <f>("4")</f>
        <v>4</v>
      </c>
      <c r="D990" s="238" t="s">
        <v>235</v>
      </c>
      <c r="E990" s="380" t="s">
        <v>8224</v>
      </c>
      <c r="F990" s="380" t="s">
        <v>14841</v>
      </c>
      <c r="G990" s="380">
        <v>5</v>
      </c>
      <c r="H990" s="380" t="s">
        <v>1478</v>
      </c>
    </row>
    <row r="991" spans="1:9" x14ac:dyDescent="0.25">
      <c r="A991" s="247" t="str">
        <f t="shared" si="15"/>
        <v>ＯＫＹ山香サッカークラブ_5</v>
      </c>
      <c r="B991" s="238" t="s">
        <v>838</v>
      </c>
      <c r="C991" s="238" t="str">
        <f>("5")</f>
        <v>5</v>
      </c>
      <c r="D991" s="238" t="s">
        <v>235</v>
      </c>
      <c r="E991" s="380" t="s">
        <v>9367</v>
      </c>
      <c r="F991" s="380" t="s">
        <v>14842</v>
      </c>
      <c r="G991" s="380">
        <v>4</v>
      </c>
      <c r="H991" s="380" t="s">
        <v>1478</v>
      </c>
    </row>
    <row r="992" spans="1:9" x14ac:dyDescent="0.25">
      <c r="A992" s="247" t="str">
        <f t="shared" si="15"/>
        <v>ＯＫＹ山香サッカークラブ_6</v>
      </c>
      <c r="B992" s="238" t="s">
        <v>838</v>
      </c>
      <c r="C992" s="238" t="str">
        <f>("6")</f>
        <v>6</v>
      </c>
      <c r="D992" s="238" t="s">
        <v>798</v>
      </c>
      <c r="E992" s="380" t="s">
        <v>10307</v>
      </c>
      <c r="F992" s="380" t="s">
        <v>14843</v>
      </c>
      <c r="G992" s="380">
        <v>4</v>
      </c>
      <c r="H992" s="380" t="s">
        <v>1478</v>
      </c>
    </row>
    <row r="993" spans="1:9" x14ac:dyDescent="0.25">
      <c r="A993" s="247" t="str">
        <f t="shared" si="15"/>
        <v>ＯＫＹ山香サッカークラブ_7</v>
      </c>
      <c r="B993" s="238" t="s">
        <v>838</v>
      </c>
      <c r="C993" s="238" t="str">
        <f>("7")</f>
        <v>7</v>
      </c>
      <c r="D993" s="238" t="s">
        <v>280</v>
      </c>
      <c r="E993" s="380" t="s">
        <v>4689</v>
      </c>
      <c r="F993" s="380" t="s">
        <v>4690</v>
      </c>
      <c r="G993" s="380">
        <v>6</v>
      </c>
      <c r="H993" s="380" t="s">
        <v>1478</v>
      </c>
    </row>
    <row r="994" spans="1:9" x14ac:dyDescent="0.25">
      <c r="A994" s="247" t="str">
        <f t="shared" si="15"/>
        <v>ＯＫＹ山香サッカークラブ_8</v>
      </c>
      <c r="B994" s="238" t="s">
        <v>838</v>
      </c>
      <c r="C994" s="238" t="str">
        <f>("8")</f>
        <v>8</v>
      </c>
      <c r="D994" s="238" t="s">
        <v>798</v>
      </c>
      <c r="E994" s="380" t="s">
        <v>8531</v>
      </c>
      <c r="F994" s="380" t="s">
        <v>14844</v>
      </c>
      <c r="G994" s="380">
        <v>5</v>
      </c>
      <c r="H994" s="380" t="s">
        <v>1478</v>
      </c>
    </row>
    <row r="995" spans="1:9" x14ac:dyDescent="0.25">
      <c r="A995" s="247" t="str">
        <f t="shared" si="15"/>
        <v>ＯＫＹ山香サッカークラブ_9</v>
      </c>
      <c r="B995" s="238" t="s">
        <v>838</v>
      </c>
      <c r="C995" s="238" t="str">
        <f>("9")</f>
        <v>9</v>
      </c>
      <c r="D995" s="238" t="s">
        <v>235</v>
      </c>
      <c r="E995" s="380" t="s">
        <v>1228</v>
      </c>
      <c r="F995" s="380" t="s">
        <v>2900</v>
      </c>
      <c r="G995" s="380">
        <v>6</v>
      </c>
      <c r="H995" s="380" t="s">
        <v>1478</v>
      </c>
    </row>
    <row r="996" spans="1:9" x14ac:dyDescent="0.25">
      <c r="A996" s="247" t="str">
        <f t="shared" si="15"/>
        <v>ＯＫＹ山香サッカークラブ_10</v>
      </c>
      <c r="B996" s="238" t="s">
        <v>838</v>
      </c>
      <c r="C996" s="238" t="str">
        <f>("10")</f>
        <v>10</v>
      </c>
      <c r="D996" s="238" t="s">
        <v>798</v>
      </c>
      <c r="E996" s="380" t="s">
        <v>4116</v>
      </c>
      <c r="F996" s="380" t="s">
        <v>4117</v>
      </c>
      <c r="G996" s="380">
        <v>6</v>
      </c>
      <c r="H996" s="380" t="s">
        <v>1478</v>
      </c>
      <c r="I996" s="380" t="s">
        <v>408</v>
      </c>
    </row>
    <row r="997" spans="1:9" x14ac:dyDescent="0.25">
      <c r="A997" s="247" t="str">
        <f t="shared" si="15"/>
        <v>ＯＫＹ山香サッカークラブ_11</v>
      </c>
      <c r="B997" s="238" t="s">
        <v>838</v>
      </c>
      <c r="C997" s="238" t="str">
        <f>("11")</f>
        <v>11</v>
      </c>
      <c r="D997" s="238" t="s">
        <v>798</v>
      </c>
      <c r="E997" s="380" t="s">
        <v>9429</v>
      </c>
      <c r="F997" s="380" t="s">
        <v>14845</v>
      </c>
      <c r="G997" s="380">
        <v>4</v>
      </c>
      <c r="H997" s="380" t="s">
        <v>1478</v>
      </c>
    </row>
    <row r="998" spans="1:9" x14ac:dyDescent="0.25">
      <c r="A998" s="247" t="str">
        <f t="shared" si="15"/>
        <v>ＯＫＹ山香サッカークラブ_12</v>
      </c>
      <c r="B998" s="238" t="s">
        <v>838</v>
      </c>
      <c r="C998" s="238" t="str">
        <f>("12")</f>
        <v>12</v>
      </c>
      <c r="D998" s="238" t="s">
        <v>280</v>
      </c>
      <c r="E998" s="380" t="s">
        <v>10050</v>
      </c>
      <c r="F998" s="380" t="s">
        <v>14846</v>
      </c>
      <c r="G998" s="380">
        <v>3</v>
      </c>
      <c r="H998" s="380" t="s">
        <v>1478</v>
      </c>
    </row>
    <row r="999" spans="1:9" x14ac:dyDescent="0.25">
      <c r="A999" s="247" t="str">
        <f t="shared" si="15"/>
        <v>ＯＫＹ山香サッカークラブ_14</v>
      </c>
      <c r="B999" s="238" t="s">
        <v>838</v>
      </c>
      <c r="C999" s="238" t="str">
        <f>("14")</f>
        <v>14</v>
      </c>
      <c r="D999" s="238" t="s">
        <v>280</v>
      </c>
      <c r="E999" s="380" t="s">
        <v>10211</v>
      </c>
      <c r="F999" s="380" t="s">
        <v>14847</v>
      </c>
      <c r="G999" s="380">
        <v>2</v>
      </c>
      <c r="H999" s="380" t="s">
        <v>1478</v>
      </c>
    </row>
    <row r="1000" spans="1:9" x14ac:dyDescent="0.25">
      <c r="A1000" s="247" t="str">
        <f t="shared" si="15"/>
        <v>ＯＫＹ山香サッカークラブ_16</v>
      </c>
      <c r="B1000" s="238" t="s">
        <v>838</v>
      </c>
      <c r="C1000" s="238" t="str">
        <f>("16")</f>
        <v>16</v>
      </c>
      <c r="D1000" s="238" t="s">
        <v>796</v>
      </c>
      <c r="E1000" s="380" t="s">
        <v>9012</v>
      </c>
      <c r="F1000" s="380" t="s">
        <v>14848</v>
      </c>
      <c r="G1000" s="380">
        <v>6</v>
      </c>
      <c r="H1000" s="380" t="s">
        <v>1478</v>
      </c>
    </row>
    <row r="1001" spans="1:9" x14ac:dyDescent="0.25">
      <c r="A1001" s="247" t="str">
        <f t="shared" si="15"/>
        <v>臼杵ＳＳＳ_1</v>
      </c>
      <c r="B1001" s="238" t="s">
        <v>2350</v>
      </c>
      <c r="C1001" s="238" t="str">
        <f>("1")</f>
        <v>1</v>
      </c>
      <c r="D1001" s="238" t="s">
        <v>796</v>
      </c>
      <c r="E1001" s="380" t="s">
        <v>6033</v>
      </c>
      <c r="F1001" s="380" t="s">
        <v>6600</v>
      </c>
      <c r="G1001" s="380">
        <v>6</v>
      </c>
      <c r="H1001" s="380" t="s">
        <v>1478</v>
      </c>
    </row>
    <row r="1002" spans="1:9" x14ac:dyDescent="0.25">
      <c r="A1002" s="247" t="str">
        <f t="shared" si="15"/>
        <v>臼杵ＳＳＳ_2</v>
      </c>
      <c r="B1002" s="238" t="s">
        <v>2350</v>
      </c>
      <c r="C1002" s="238" t="str">
        <f>("2")</f>
        <v>2</v>
      </c>
      <c r="D1002" s="238" t="s">
        <v>280</v>
      </c>
      <c r="E1002" s="380" t="s">
        <v>8908</v>
      </c>
      <c r="F1002" s="380" t="s">
        <v>14849</v>
      </c>
      <c r="G1002" s="380">
        <v>6</v>
      </c>
      <c r="H1002" s="380" t="s">
        <v>1478</v>
      </c>
    </row>
    <row r="1003" spans="1:9" x14ac:dyDescent="0.25">
      <c r="A1003" s="247" t="str">
        <f t="shared" si="15"/>
        <v>臼杵ＳＳＳ_3</v>
      </c>
      <c r="B1003" s="238" t="s">
        <v>2350</v>
      </c>
      <c r="C1003" s="238" t="str">
        <f>("3")</f>
        <v>3</v>
      </c>
      <c r="D1003" s="238" t="s">
        <v>280</v>
      </c>
      <c r="E1003" s="380" t="s">
        <v>6025</v>
      </c>
      <c r="F1003" s="380" t="s">
        <v>6593</v>
      </c>
      <c r="G1003" s="380">
        <v>6</v>
      </c>
      <c r="H1003" s="380" t="s">
        <v>1478</v>
      </c>
    </row>
    <row r="1004" spans="1:9" x14ac:dyDescent="0.25">
      <c r="A1004" s="247" t="str">
        <f t="shared" si="15"/>
        <v>臼杵ＳＳＳ_4</v>
      </c>
      <c r="B1004" s="238" t="s">
        <v>2350</v>
      </c>
      <c r="C1004" s="238" t="str">
        <f>("4")</f>
        <v>4</v>
      </c>
      <c r="D1004" s="238" t="s">
        <v>235</v>
      </c>
      <c r="E1004" s="380" t="s">
        <v>6026</v>
      </c>
      <c r="F1004" s="380" t="s">
        <v>6594</v>
      </c>
      <c r="G1004" s="380">
        <v>6</v>
      </c>
      <c r="H1004" s="380" t="s">
        <v>1478</v>
      </c>
    </row>
    <row r="1005" spans="1:9" x14ac:dyDescent="0.25">
      <c r="A1005" s="247" t="str">
        <f t="shared" si="15"/>
        <v>臼杵ＳＳＳ_5</v>
      </c>
      <c r="B1005" s="238" t="s">
        <v>2350</v>
      </c>
      <c r="C1005" s="238" t="str">
        <f>("5")</f>
        <v>5</v>
      </c>
      <c r="D1005" s="238" t="s">
        <v>798</v>
      </c>
      <c r="E1005" s="380" t="s">
        <v>6032</v>
      </c>
      <c r="F1005" s="380" t="s">
        <v>6599</v>
      </c>
      <c r="G1005" s="380">
        <v>6</v>
      </c>
      <c r="H1005" s="380" t="s">
        <v>1478</v>
      </c>
    </row>
    <row r="1006" spans="1:9" x14ac:dyDescent="0.25">
      <c r="A1006" s="247" t="str">
        <f t="shared" si="15"/>
        <v>臼杵ＳＳＳ_6</v>
      </c>
      <c r="B1006" s="238" t="s">
        <v>2350</v>
      </c>
      <c r="C1006" s="238" t="str">
        <f>("6")</f>
        <v>6</v>
      </c>
      <c r="D1006" s="238" t="s">
        <v>235</v>
      </c>
      <c r="E1006" s="380" t="s">
        <v>6027</v>
      </c>
      <c r="F1006" s="380" t="s">
        <v>6595</v>
      </c>
      <c r="G1006" s="380">
        <v>6</v>
      </c>
      <c r="H1006" s="380" t="s">
        <v>1478</v>
      </c>
    </row>
    <row r="1007" spans="1:9" x14ac:dyDescent="0.25">
      <c r="A1007" s="247" t="str">
        <f t="shared" si="15"/>
        <v>臼杵ＳＳＳ_7</v>
      </c>
      <c r="B1007" s="238" t="s">
        <v>2350</v>
      </c>
      <c r="C1007" s="238" t="str">
        <f>("7")</f>
        <v>7</v>
      </c>
      <c r="D1007" s="238" t="s">
        <v>798</v>
      </c>
      <c r="E1007" s="380" t="s">
        <v>6031</v>
      </c>
      <c r="F1007" s="380" t="s">
        <v>6598</v>
      </c>
      <c r="G1007" s="380">
        <v>5</v>
      </c>
      <c r="H1007" s="380" t="s">
        <v>1478</v>
      </c>
    </row>
    <row r="1008" spans="1:9" x14ac:dyDescent="0.25">
      <c r="A1008" s="247" t="str">
        <f t="shared" si="15"/>
        <v>臼杵ＳＳＳ_8</v>
      </c>
      <c r="B1008" s="238" t="s">
        <v>2350</v>
      </c>
      <c r="C1008" s="238" t="str">
        <f>("8")</f>
        <v>8</v>
      </c>
      <c r="D1008" s="238" t="s">
        <v>798</v>
      </c>
      <c r="E1008" s="380" t="s">
        <v>8593</v>
      </c>
      <c r="F1008" s="380" t="s">
        <v>14850</v>
      </c>
      <c r="G1008" s="380">
        <v>6</v>
      </c>
      <c r="H1008" s="380" t="s">
        <v>1478</v>
      </c>
    </row>
    <row r="1009" spans="1:9" x14ac:dyDescent="0.25">
      <c r="A1009" s="247" t="str">
        <f t="shared" si="15"/>
        <v>臼杵ＳＳＳ_9</v>
      </c>
      <c r="B1009" s="238" t="s">
        <v>2350</v>
      </c>
      <c r="C1009" s="238" t="str">
        <f>("9")</f>
        <v>9</v>
      </c>
      <c r="D1009" s="238" t="s">
        <v>798</v>
      </c>
      <c r="E1009" s="380" t="s">
        <v>6028</v>
      </c>
      <c r="F1009" s="380" t="s">
        <v>6596</v>
      </c>
      <c r="G1009" s="380">
        <v>5</v>
      </c>
      <c r="H1009" s="380" t="s">
        <v>1478</v>
      </c>
    </row>
    <row r="1010" spans="1:9" x14ac:dyDescent="0.25">
      <c r="A1010" s="247" t="str">
        <f t="shared" si="15"/>
        <v>臼杵ＳＳＳ_10</v>
      </c>
      <c r="B1010" s="238" t="s">
        <v>2350</v>
      </c>
      <c r="C1010" s="238" t="str">
        <f>("10")</f>
        <v>10</v>
      </c>
      <c r="D1010" s="238" t="s">
        <v>280</v>
      </c>
      <c r="E1010" s="380" t="s">
        <v>4122</v>
      </c>
      <c r="F1010" s="380" t="s">
        <v>4123</v>
      </c>
      <c r="G1010" s="380">
        <v>6</v>
      </c>
      <c r="H1010" s="380" t="s">
        <v>1478</v>
      </c>
      <c r="I1010" s="380" t="s">
        <v>408</v>
      </c>
    </row>
    <row r="1011" spans="1:9" x14ac:dyDescent="0.25">
      <c r="A1011" s="247" t="str">
        <f t="shared" si="15"/>
        <v>臼杵ＳＳＳ_11</v>
      </c>
      <c r="B1011" s="238" t="s">
        <v>2350</v>
      </c>
      <c r="C1011" s="238" t="str">
        <f>("11")</f>
        <v>11</v>
      </c>
      <c r="D1011" s="238" t="s">
        <v>798</v>
      </c>
      <c r="E1011" s="380" t="s">
        <v>8860</v>
      </c>
      <c r="F1011" s="380" t="s">
        <v>14851</v>
      </c>
      <c r="G1011" s="380">
        <v>6</v>
      </c>
      <c r="H1011" s="380" t="s">
        <v>1478</v>
      </c>
    </row>
    <row r="1012" spans="1:9" x14ac:dyDescent="0.25">
      <c r="A1012" s="247" t="str">
        <f t="shared" si="15"/>
        <v>臼杵ＳＳＳ_12</v>
      </c>
      <c r="B1012" s="238" t="s">
        <v>2350</v>
      </c>
      <c r="C1012" s="238" t="str">
        <f>("12")</f>
        <v>12</v>
      </c>
      <c r="D1012" s="238" t="s">
        <v>798</v>
      </c>
      <c r="E1012" s="380" t="s">
        <v>8779</v>
      </c>
      <c r="F1012" s="380" t="s">
        <v>14852</v>
      </c>
      <c r="G1012" s="380">
        <v>6</v>
      </c>
      <c r="H1012" s="380" t="s">
        <v>1478</v>
      </c>
    </row>
    <row r="1013" spans="1:9" x14ac:dyDescent="0.25">
      <c r="A1013" s="247" t="str">
        <f t="shared" si="15"/>
        <v>臼杵ＳＳＳ_13</v>
      </c>
      <c r="B1013" s="238" t="s">
        <v>2350</v>
      </c>
      <c r="C1013" s="238" t="str">
        <f>("13")</f>
        <v>13</v>
      </c>
      <c r="D1013" s="238" t="s">
        <v>798</v>
      </c>
      <c r="E1013" s="380" t="s">
        <v>7833</v>
      </c>
      <c r="F1013" s="380" t="s">
        <v>14853</v>
      </c>
      <c r="G1013" s="380">
        <v>5</v>
      </c>
      <c r="H1013" s="380" t="s">
        <v>1478</v>
      </c>
    </row>
    <row r="1014" spans="1:9" x14ac:dyDescent="0.25">
      <c r="A1014" s="247" t="str">
        <f t="shared" si="15"/>
        <v>臼杵ＳＳＳ_14</v>
      </c>
      <c r="B1014" s="238" t="s">
        <v>2350</v>
      </c>
      <c r="C1014" s="238" t="str">
        <f>("14")</f>
        <v>14</v>
      </c>
      <c r="D1014" s="238" t="s">
        <v>798</v>
      </c>
      <c r="E1014" s="380" t="s">
        <v>7935</v>
      </c>
      <c r="F1014" s="380" t="s">
        <v>14854</v>
      </c>
      <c r="G1014" s="380">
        <v>5</v>
      </c>
      <c r="H1014" s="380" t="s">
        <v>1478</v>
      </c>
    </row>
    <row r="1015" spans="1:9" x14ac:dyDescent="0.25">
      <c r="A1015" s="247" t="str">
        <f t="shared" si="15"/>
        <v>臼杵ＳＳＳ_15</v>
      </c>
      <c r="B1015" s="238" t="s">
        <v>2350</v>
      </c>
      <c r="C1015" s="238" t="str">
        <f>("15")</f>
        <v>15</v>
      </c>
      <c r="D1015" s="238" t="s">
        <v>798</v>
      </c>
      <c r="E1015" s="380" t="s">
        <v>7948</v>
      </c>
      <c r="F1015" s="380" t="s">
        <v>14855</v>
      </c>
      <c r="G1015" s="380">
        <v>5</v>
      </c>
      <c r="H1015" s="380" t="s">
        <v>1478</v>
      </c>
    </row>
    <row r="1016" spans="1:9" x14ac:dyDescent="0.25">
      <c r="A1016" s="247" t="str">
        <f t="shared" si="15"/>
        <v>臼杵ＳＳＳ_16</v>
      </c>
      <c r="B1016" s="238" t="s">
        <v>2350</v>
      </c>
      <c r="C1016" s="238" t="str">
        <f>("16")</f>
        <v>16</v>
      </c>
      <c r="D1016" s="238" t="s">
        <v>798</v>
      </c>
      <c r="E1016" s="380" t="s">
        <v>6029</v>
      </c>
      <c r="F1016" s="380" t="s">
        <v>6597</v>
      </c>
      <c r="G1016" s="380">
        <v>6</v>
      </c>
      <c r="H1016" s="380" t="s">
        <v>1478</v>
      </c>
    </row>
    <row r="1017" spans="1:9" x14ac:dyDescent="0.25">
      <c r="A1017" s="247" t="str">
        <f t="shared" si="15"/>
        <v>挾間ＪＦＣ_1</v>
      </c>
      <c r="B1017" s="238" t="s">
        <v>2395</v>
      </c>
      <c r="C1017" s="238" t="str">
        <f>("1")</f>
        <v>1</v>
      </c>
      <c r="D1017" s="238" t="s">
        <v>796</v>
      </c>
      <c r="E1017" s="380" t="s">
        <v>4124</v>
      </c>
      <c r="F1017" s="380" t="s">
        <v>4125</v>
      </c>
      <c r="G1017" s="380">
        <v>6</v>
      </c>
      <c r="H1017" s="380" t="s">
        <v>1478</v>
      </c>
    </row>
    <row r="1018" spans="1:9" x14ac:dyDescent="0.25">
      <c r="A1018" s="247" t="str">
        <f t="shared" si="15"/>
        <v>挾間ＪＦＣ_2</v>
      </c>
      <c r="B1018" s="238" t="s">
        <v>2395</v>
      </c>
      <c r="C1018" s="238" t="str">
        <f>("2")</f>
        <v>2</v>
      </c>
      <c r="D1018" s="238" t="s">
        <v>798</v>
      </c>
      <c r="E1018" s="380" t="s">
        <v>4693</v>
      </c>
      <c r="F1018" s="380" t="s">
        <v>4694</v>
      </c>
      <c r="G1018" s="380">
        <v>5</v>
      </c>
      <c r="H1018" s="380" t="s">
        <v>1478</v>
      </c>
    </row>
    <row r="1019" spans="1:9" x14ac:dyDescent="0.25">
      <c r="A1019" s="247" t="str">
        <f t="shared" si="15"/>
        <v>挾間ＪＦＣ_3</v>
      </c>
      <c r="B1019" s="238" t="s">
        <v>2395</v>
      </c>
      <c r="C1019" s="238" t="str">
        <f>("3")</f>
        <v>3</v>
      </c>
      <c r="D1019" s="238" t="s">
        <v>235</v>
      </c>
      <c r="E1019" s="380" t="s">
        <v>4695</v>
      </c>
      <c r="F1019" s="380" t="s">
        <v>4696</v>
      </c>
      <c r="G1019" s="380">
        <v>5</v>
      </c>
      <c r="H1019" s="380" t="s">
        <v>1478</v>
      </c>
    </row>
    <row r="1020" spans="1:9" x14ac:dyDescent="0.25">
      <c r="A1020" s="247" t="str">
        <f t="shared" si="15"/>
        <v>挾間ＪＦＣ_4</v>
      </c>
      <c r="B1020" s="238" t="s">
        <v>2395</v>
      </c>
      <c r="C1020" s="238" t="str">
        <f>("4")</f>
        <v>4</v>
      </c>
      <c r="D1020" s="238" t="s">
        <v>280</v>
      </c>
      <c r="E1020" s="380" t="s">
        <v>6036</v>
      </c>
      <c r="F1020" s="380" t="s">
        <v>6602</v>
      </c>
      <c r="G1020" s="380">
        <v>6</v>
      </c>
      <c r="H1020" s="380" t="s">
        <v>1478</v>
      </c>
    </row>
    <row r="1021" spans="1:9" x14ac:dyDescent="0.25">
      <c r="A1021" s="247" t="str">
        <f t="shared" si="15"/>
        <v>挾間ＪＦＣ_5</v>
      </c>
      <c r="B1021" s="238" t="s">
        <v>2395</v>
      </c>
      <c r="C1021" s="238" t="str">
        <f>("5")</f>
        <v>5</v>
      </c>
      <c r="D1021" s="238" t="s">
        <v>798</v>
      </c>
      <c r="E1021" s="380" t="s">
        <v>4126</v>
      </c>
      <c r="F1021" s="380" t="s">
        <v>4127</v>
      </c>
      <c r="G1021" s="380">
        <v>6</v>
      </c>
      <c r="H1021" s="380" t="s">
        <v>1478</v>
      </c>
    </row>
    <row r="1022" spans="1:9" x14ac:dyDescent="0.25">
      <c r="A1022" s="247" t="str">
        <f t="shared" si="15"/>
        <v>挾間ＪＦＣ_6</v>
      </c>
      <c r="B1022" s="238" t="s">
        <v>2395</v>
      </c>
      <c r="C1022" s="238" t="str">
        <f>("6")</f>
        <v>6</v>
      </c>
      <c r="D1022" s="238" t="s">
        <v>235</v>
      </c>
      <c r="E1022" s="380" t="s">
        <v>4697</v>
      </c>
      <c r="F1022" s="380" t="s">
        <v>4698</v>
      </c>
      <c r="G1022" s="380">
        <v>6</v>
      </c>
      <c r="H1022" s="380" t="s">
        <v>1478</v>
      </c>
    </row>
    <row r="1023" spans="1:9" x14ac:dyDescent="0.25">
      <c r="A1023" s="247" t="str">
        <f t="shared" si="15"/>
        <v>挾間ＪＦＣ_7</v>
      </c>
      <c r="B1023" s="238" t="s">
        <v>2395</v>
      </c>
      <c r="C1023" s="238" t="str">
        <f>("7")</f>
        <v>7</v>
      </c>
      <c r="D1023" s="238" t="s">
        <v>798</v>
      </c>
      <c r="E1023" s="380" t="s">
        <v>6039</v>
      </c>
      <c r="F1023" s="380" t="s">
        <v>6604</v>
      </c>
      <c r="G1023" s="380">
        <v>5</v>
      </c>
      <c r="H1023" s="380" t="s">
        <v>1478</v>
      </c>
    </row>
    <row r="1024" spans="1:9" x14ac:dyDescent="0.25">
      <c r="A1024" s="247" t="str">
        <f t="shared" si="15"/>
        <v>挾間ＪＦＣ_8</v>
      </c>
      <c r="B1024" s="238" t="s">
        <v>2395</v>
      </c>
      <c r="C1024" s="238" t="str">
        <f>("8")</f>
        <v>8</v>
      </c>
      <c r="D1024" s="238" t="s">
        <v>235</v>
      </c>
      <c r="E1024" s="380" t="s">
        <v>6034</v>
      </c>
      <c r="F1024" s="380" t="s">
        <v>4699</v>
      </c>
      <c r="G1024" s="380">
        <v>6</v>
      </c>
      <c r="H1024" s="380" t="s">
        <v>1478</v>
      </c>
    </row>
    <row r="1025" spans="1:9" x14ac:dyDescent="0.25">
      <c r="A1025" s="247" t="str">
        <f t="shared" ref="A1025:A1088" si="16">CONCATENATE(B1025,"_",C1025)</f>
        <v>挾間ＪＦＣ_9</v>
      </c>
      <c r="B1025" s="238" t="s">
        <v>2395</v>
      </c>
      <c r="C1025" s="238" t="str">
        <f>("9")</f>
        <v>9</v>
      </c>
      <c r="D1025" s="238" t="s">
        <v>280</v>
      </c>
      <c r="E1025" s="380" t="s">
        <v>4128</v>
      </c>
      <c r="F1025" s="380" t="s">
        <v>4129</v>
      </c>
      <c r="G1025" s="380">
        <v>6</v>
      </c>
      <c r="H1025" s="380" t="s">
        <v>1478</v>
      </c>
      <c r="I1025" s="380" t="s">
        <v>408</v>
      </c>
    </row>
    <row r="1026" spans="1:9" x14ac:dyDescent="0.25">
      <c r="A1026" s="247" t="str">
        <f t="shared" si="16"/>
        <v>挾間ＪＦＣ_10</v>
      </c>
      <c r="B1026" s="238" t="s">
        <v>2395</v>
      </c>
      <c r="C1026" s="238" t="str">
        <f>("10")</f>
        <v>10</v>
      </c>
      <c r="D1026" s="238" t="s">
        <v>798</v>
      </c>
      <c r="E1026" s="380" t="s">
        <v>4130</v>
      </c>
      <c r="F1026" s="380" t="s">
        <v>4131</v>
      </c>
      <c r="G1026" s="380">
        <v>6</v>
      </c>
      <c r="H1026" s="380" t="s">
        <v>1478</v>
      </c>
    </row>
    <row r="1027" spans="1:9" x14ac:dyDescent="0.25">
      <c r="A1027" s="247" t="str">
        <f t="shared" si="16"/>
        <v>挾間ＪＦＣ_11</v>
      </c>
      <c r="B1027" s="238" t="s">
        <v>2395</v>
      </c>
      <c r="C1027" s="238" t="str">
        <f>("11")</f>
        <v>11</v>
      </c>
      <c r="D1027" s="238" t="s">
        <v>235</v>
      </c>
      <c r="E1027" s="380" t="s">
        <v>6035</v>
      </c>
      <c r="F1027" s="380" t="s">
        <v>6601</v>
      </c>
      <c r="G1027" s="380">
        <v>6</v>
      </c>
      <c r="H1027" s="380" t="s">
        <v>1478</v>
      </c>
    </row>
    <row r="1028" spans="1:9" x14ac:dyDescent="0.25">
      <c r="A1028" s="247" t="str">
        <f t="shared" si="16"/>
        <v>挾間ＪＦＣ_12</v>
      </c>
      <c r="B1028" s="238" t="s">
        <v>2395</v>
      </c>
      <c r="C1028" s="238" t="str">
        <f>("12")</f>
        <v>12</v>
      </c>
      <c r="D1028" s="238" t="s">
        <v>798</v>
      </c>
      <c r="E1028" s="380" t="s">
        <v>8170</v>
      </c>
      <c r="F1028" s="380" t="s">
        <v>14856</v>
      </c>
      <c r="G1028" s="380">
        <v>5</v>
      </c>
      <c r="H1028" s="380" t="s">
        <v>1478</v>
      </c>
    </row>
    <row r="1029" spans="1:9" x14ac:dyDescent="0.25">
      <c r="A1029" s="247" t="str">
        <f t="shared" si="16"/>
        <v>挾間ＪＦＣ_14</v>
      </c>
      <c r="B1029" s="238" t="s">
        <v>2395</v>
      </c>
      <c r="C1029" s="238" t="str">
        <f>("14")</f>
        <v>14</v>
      </c>
      <c r="D1029" s="238" t="s">
        <v>235</v>
      </c>
      <c r="E1029" s="380" t="s">
        <v>6037</v>
      </c>
      <c r="F1029" s="380" t="s">
        <v>6603</v>
      </c>
      <c r="G1029" s="380">
        <v>5</v>
      </c>
      <c r="H1029" s="380" t="s">
        <v>1478</v>
      </c>
    </row>
    <row r="1030" spans="1:9" x14ac:dyDescent="0.25">
      <c r="A1030" s="247" t="str">
        <f t="shared" si="16"/>
        <v>挾間ＪＦＣ_15</v>
      </c>
      <c r="B1030" s="238" t="s">
        <v>2395</v>
      </c>
      <c r="C1030" s="238" t="str">
        <f>("15")</f>
        <v>15</v>
      </c>
      <c r="D1030" s="238" t="s">
        <v>798</v>
      </c>
      <c r="E1030" s="380" t="s">
        <v>6287</v>
      </c>
      <c r="F1030" s="380" t="s">
        <v>6798</v>
      </c>
      <c r="G1030" s="380">
        <v>6</v>
      </c>
      <c r="H1030" s="380" t="s">
        <v>1478</v>
      </c>
    </row>
    <row r="1031" spans="1:9" x14ac:dyDescent="0.25">
      <c r="A1031" s="247" t="str">
        <f t="shared" si="16"/>
        <v>挾間ＪＦＣ_16</v>
      </c>
      <c r="B1031" s="238" t="s">
        <v>2395</v>
      </c>
      <c r="C1031" s="238" t="str">
        <f>("16")</f>
        <v>16</v>
      </c>
      <c r="D1031" s="238" t="s">
        <v>280</v>
      </c>
      <c r="E1031" s="380" t="s">
        <v>8196</v>
      </c>
      <c r="F1031" s="380" t="s">
        <v>14857</v>
      </c>
      <c r="G1031" s="380">
        <v>5</v>
      </c>
      <c r="H1031" s="380" t="s">
        <v>1478</v>
      </c>
    </row>
    <row r="1032" spans="1:9" x14ac:dyDescent="0.25">
      <c r="A1032" s="247" t="str">
        <f t="shared" si="16"/>
        <v>ＦＣ安岐_1</v>
      </c>
      <c r="B1032" s="238" t="s">
        <v>2584</v>
      </c>
      <c r="C1032" s="238" t="str">
        <f>("1")</f>
        <v>1</v>
      </c>
      <c r="D1032" s="238" t="s">
        <v>796</v>
      </c>
      <c r="E1032" s="380" t="s">
        <v>9628</v>
      </c>
      <c r="F1032" s="380" t="s">
        <v>14858</v>
      </c>
      <c r="G1032" s="380">
        <v>4</v>
      </c>
      <c r="H1032" s="380" t="s">
        <v>1478</v>
      </c>
    </row>
    <row r="1033" spans="1:9" x14ac:dyDescent="0.25">
      <c r="A1033" s="247" t="str">
        <f t="shared" si="16"/>
        <v>ＦＣ安岐_7</v>
      </c>
      <c r="B1033" s="238" t="s">
        <v>2584</v>
      </c>
      <c r="C1033" s="238" t="str">
        <f>("7")</f>
        <v>7</v>
      </c>
      <c r="D1033" s="238" t="s">
        <v>280</v>
      </c>
      <c r="E1033" s="380" t="s">
        <v>6040</v>
      </c>
      <c r="F1033" s="380" t="s">
        <v>6605</v>
      </c>
      <c r="G1033" s="380">
        <v>6</v>
      </c>
      <c r="H1033" s="380" t="s">
        <v>1478</v>
      </c>
    </row>
    <row r="1034" spans="1:9" x14ac:dyDescent="0.25">
      <c r="A1034" s="247" t="str">
        <f t="shared" si="16"/>
        <v>ＦＣ安岐_8</v>
      </c>
      <c r="B1034" s="238" t="s">
        <v>2584</v>
      </c>
      <c r="C1034" s="238" t="str">
        <f>("8")</f>
        <v>8</v>
      </c>
      <c r="D1034" s="238" t="s">
        <v>235</v>
      </c>
      <c r="E1034" s="380" t="s">
        <v>4704</v>
      </c>
      <c r="F1034" s="380" t="s">
        <v>4705</v>
      </c>
      <c r="G1034" s="380">
        <v>6</v>
      </c>
      <c r="H1034" s="380" t="s">
        <v>1478</v>
      </c>
    </row>
    <row r="1035" spans="1:9" x14ac:dyDescent="0.25">
      <c r="A1035" s="247" t="str">
        <f t="shared" si="16"/>
        <v>ＦＣ安岐_9</v>
      </c>
      <c r="B1035" s="238" t="s">
        <v>2584</v>
      </c>
      <c r="C1035" s="238" t="str">
        <f>("9")</f>
        <v>9</v>
      </c>
      <c r="D1035" s="238" t="s">
        <v>235</v>
      </c>
      <c r="E1035" s="380" t="s">
        <v>4700</v>
      </c>
      <c r="F1035" s="380" t="s">
        <v>4701</v>
      </c>
      <c r="G1035" s="380">
        <v>6</v>
      </c>
      <c r="H1035" s="380" t="s">
        <v>1478</v>
      </c>
      <c r="I1035" s="380" t="s">
        <v>408</v>
      </c>
    </row>
    <row r="1036" spans="1:9" x14ac:dyDescent="0.25">
      <c r="A1036" s="247" t="str">
        <f t="shared" si="16"/>
        <v>ＦＣ安岐_10</v>
      </c>
      <c r="B1036" s="238" t="s">
        <v>2584</v>
      </c>
      <c r="C1036" s="238" t="str">
        <f>("10")</f>
        <v>10</v>
      </c>
      <c r="D1036" s="238" t="s">
        <v>798</v>
      </c>
      <c r="E1036" s="380" t="s">
        <v>6043</v>
      </c>
      <c r="F1036" s="380" t="s">
        <v>6608</v>
      </c>
      <c r="G1036" s="380">
        <v>5</v>
      </c>
      <c r="H1036" s="380" t="s">
        <v>1478</v>
      </c>
    </row>
    <row r="1037" spans="1:9" x14ac:dyDescent="0.25">
      <c r="A1037" s="247" t="str">
        <f t="shared" si="16"/>
        <v>ＦＣ安岐_11</v>
      </c>
      <c r="B1037" s="238" t="s">
        <v>2584</v>
      </c>
      <c r="C1037" s="238" t="str">
        <f>("11")</f>
        <v>11</v>
      </c>
      <c r="D1037" s="238" t="s">
        <v>235</v>
      </c>
      <c r="E1037" s="380" t="s">
        <v>6041</v>
      </c>
      <c r="F1037" s="380" t="s">
        <v>6606</v>
      </c>
      <c r="G1037" s="380">
        <v>5</v>
      </c>
      <c r="H1037" s="380" t="s">
        <v>1478</v>
      </c>
    </row>
    <row r="1038" spans="1:9" x14ac:dyDescent="0.25">
      <c r="A1038" s="247" t="str">
        <f t="shared" si="16"/>
        <v>ＦＣ安岐_12</v>
      </c>
      <c r="B1038" s="238" t="s">
        <v>2584</v>
      </c>
      <c r="C1038" s="238" t="str">
        <f>("12")</f>
        <v>12</v>
      </c>
      <c r="D1038" s="238" t="s">
        <v>798</v>
      </c>
      <c r="E1038" s="380" t="s">
        <v>6042</v>
      </c>
      <c r="F1038" s="380" t="s">
        <v>6607</v>
      </c>
      <c r="G1038" s="380">
        <v>5</v>
      </c>
      <c r="H1038" s="380" t="s">
        <v>1478</v>
      </c>
    </row>
    <row r="1039" spans="1:9" x14ac:dyDescent="0.25">
      <c r="A1039" s="247" t="str">
        <f t="shared" si="16"/>
        <v>ＦＣ安岐_13</v>
      </c>
      <c r="B1039" s="238" t="s">
        <v>2584</v>
      </c>
      <c r="C1039" s="238" t="str">
        <f>("13")</f>
        <v>13</v>
      </c>
      <c r="D1039" s="238" t="s">
        <v>798</v>
      </c>
      <c r="E1039" s="380" t="s">
        <v>4702</v>
      </c>
      <c r="F1039" s="380" t="s">
        <v>4703</v>
      </c>
      <c r="G1039" s="380">
        <v>5</v>
      </c>
      <c r="H1039" s="380" t="s">
        <v>1478</v>
      </c>
    </row>
    <row r="1040" spans="1:9" x14ac:dyDescent="0.25">
      <c r="A1040" s="247" t="str">
        <f t="shared" si="16"/>
        <v>ＦＣ安岐_14</v>
      </c>
      <c r="B1040" s="238" t="s">
        <v>2584</v>
      </c>
      <c r="C1040" s="238" t="str">
        <f>("14")</f>
        <v>14</v>
      </c>
      <c r="D1040" s="238" t="s">
        <v>798</v>
      </c>
      <c r="E1040" s="380" t="s">
        <v>8101</v>
      </c>
      <c r="F1040" s="380" t="s">
        <v>14859</v>
      </c>
      <c r="G1040" s="380">
        <v>5</v>
      </c>
      <c r="H1040" s="380" t="s">
        <v>1478</v>
      </c>
    </row>
    <row r="1041" spans="1:9" x14ac:dyDescent="0.25">
      <c r="A1041" s="247" t="str">
        <f t="shared" si="16"/>
        <v>ＦＣ安岐_15</v>
      </c>
      <c r="B1041" s="238" t="s">
        <v>2584</v>
      </c>
      <c r="C1041" s="238" t="str">
        <f>("15")</f>
        <v>15</v>
      </c>
      <c r="D1041" s="238" t="s">
        <v>280</v>
      </c>
      <c r="E1041" s="380" t="s">
        <v>9214</v>
      </c>
      <c r="F1041" s="380" t="s">
        <v>14860</v>
      </c>
      <c r="G1041" s="380">
        <v>4</v>
      </c>
      <c r="H1041" s="380" t="s">
        <v>1478</v>
      </c>
    </row>
    <row r="1042" spans="1:9" x14ac:dyDescent="0.25">
      <c r="A1042" s="247" t="str">
        <f t="shared" si="16"/>
        <v>ＦＣ安岐_16</v>
      </c>
      <c r="B1042" s="238" t="s">
        <v>2584</v>
      </c>
      <c r="C1042" s="238" t="str">
        <f>("16")</f>
        <v>16</v>
      </c>
      <c r="D1042" s="238" t="s">
        <v>796</v>
      </c>
      <c r="E1042" s="380" t="s">
        <v>7868</v>
      </c>
      <c r="F1042" s="380" t="s">
        <v>14861</v>
      </c>
      <c r="G1042" s="380">
        <v>5</v>
      </c>
      <c r="H1042" s="380" t="s">
        <v>1478</v>
      </c>
    </row>
    <row r="1043" spans="1:9" x14ac:dyDescent="0.25">
      <c r="A1043" s="247" t="str">
        <f t="shared" si="16"/>
        <v>スマイス・セレソン_1</v>
      </c>
      <c r="B1043" s="238" t="s">
        <v>1207</v>
      </c>
      <c r="C1043" s="238" t="str">
        <f>("1")</f>
        <v>1</v>
      </c>
      <c r="D1043" s="238" t="s">
        <v>796</v>
      </c>
      <c r="E1043" s="380" t="s">
        <v>6050</v>
      </c>
      <c r="F1043" s="380" t="s">
        <v>6614</v>
      </c>
      <c r="G1043" s="380">
        <v>6</v>
      </c>
      <c r="H1043" s="380" t="s">
        <v>1478</v>
      </c>
    </row>
    <row r="1044" spans="1:9" x14ac:dyDescent="0.25">
      <c r="A1044" s="247" t="str">
        <f t="shared" si="16"/>
        <v>スマイス・セレソン_2</v>
      </c>
      <c r="B1044" s="238" t="s">
        <v>1207</v>
      </c>
      <c r="C1044" s="238" t="str">
        <f>("2")</f>
        <v>2</v>
      </c>
      <c r="D1044" s="238" t="s">
        <v>235</v>
      </c>
      <c r="E1044" s="380" t="s">
        <v>6053</v>
      </c>
      <c r="F1044" s="380" t="s">
        <v>6617</v>
      </c>
      <c r="G1044" s="380">
        <v>6</v>
      </c>
      <c r="H1044" s="380" t="s">
        <v>1478</v>
      </c>
    </row>
    <row r="1045" spans="1:9" x14ac:dyDescent="0.25">
      <c r="A1045" s="247" t="str">
        <f t="shared" si="16"/>
        <v>スマイス・セレソン_3</v>
      </c>
      <c r="B1045" s="238" t="s">
        <v>1207</v>
      </c>
      <c r="C1045" s="238" t="str">
        <f>("3")</f>
        <v>3</v>
      </c>
      <c r="D1045" s="238" t="s">
        <v>798</v>
      </c>
      <c r="E1045" s="380" t="s">
        <v>8988</v>
      </c>
      <c r="F1045" s="380" t="s">
        <v>14862</v>
      </c>
      <c r="G1045" s="380">
        <v>6</v>
      </c>
      <c r="H1045" s="380" t="s">
        <v>1478</v>
      </c>
    </row>
    <row r="1046" spans="1:9" x14ac:dyDescent="0.25">
      <c r="A1046" s="247" t="str">
        <f t="shared" si="16"/>
        <v>スマイス・セレソン_4</v>
      </c>
      <c r="B1046" s="238" t="s">
        <v>1207</v>
      </c>
      <c r="C1046" s="238" t="str">
        <f>("4")</f>
        <v>4</v>
      </c>
      <c r="D1046" s="238" t="s">
        <v>235</v>
      </c>
      <c r="E1046" s="380" t="s">
        <v>6044</v>
      </c>
      <c r="F1046" s="380" t="s">
        <v>6609</v>
      </c>
      <c r="G1046" s="380">
        <v>6</v>
      </c>
      <c r="H1046" s="380" t="s">
        <v>1478</v>
      </c>
    </row>
    <row r="1047" spans="1:9" x14ac:dyDescent="0.25">
      <c r="A1047" s="247" t="str">
        <f t="shared" si="16"/>
        <v>スマイス・セレソン_5</v>
      </c>
      <c r="B1047" s="238" t="s">
        <v>1207</v>
      </c>
      <c r="C1047" s="238" t="str">
        <f>("5")</f>
        <v>5</v>
      </c>
      <c r="D1047" s="238" t="s">
        <v>235</v>
      </c>
      <c r="E1047" s="380" t="s">
        <v>6048</v>
      </c>
      <c r="F1047" s="380" t="s">
        <v>6612</v>
      </c>
      <c r="G1047" s="380">
        <v>6</v>
      </c>
      <c r="H1047" s="380" t="s">
        <v>1478</v>
      </c>
    </row>
    <row r="1048" spans="1:9" x14ac:dyDescent="0.25">
      <c r="A1048" s="247" t="str">
        <f t="shared" si="16"/>
        <v>スマイス・セレソン_6</v>
      </c>
      <c r="B1048" s="238" t="s">
        <v>1207</v>
      </c>
      <c r="C1048" s="238" t="str">
        <f>("6")</f>
        <v>6</v>
      </c>
      <c r="D1048" s="238" t="s">
        <v>280</v>
      </c>
      <c r="E1048" s="380" t="s">
        <v>6052</v>
      </c>
      <c r="F1048" s="380" t="s">
        <v>6616</v>
      </c>
      <c r="G1048" s="380">
        <v>6</v>
      </c>
      <c r="H1048" s="380" t="s">
        <v>1478</v>
      </c>
    </row>
    <row r="1049" spans="1:9" x14ac:dyDescent="0.25">
      <c r="A1049" s="247" t="str">
        <f t="shared" si="16"/>
        <v>スマイス・セレソン_7</v>
      </c>
      <c r="B1049" s="238" t="s">
        <v>1207</v>
      </c>
      <c r="C1049" s="238" t="str">
        <f>("7")</f>
        <v>7</v>
      </c>
      <c r="D1049" s="238" t="s">
        <v>235</v>
      </c>
      <c r="E1049" s="380" t="s">
        <v>6049</v>
      </c>
      <c r="F1049" s="380" t="s">
        <v>6613</v>
      </c>
      <c r="G1049" s="380">
        <v>6</v>
      </c>
      <c r="H1049" s="380" t="s">
        <v>1478</v>
      </c>
    </row>
    <row r="1050" spans="1:9" x14ac:dyDescent="0.25">
      <c r="A1050" s="247" t="str">
        <f t="shared" si="16"/>
        <v>スマイス・セレソン_8</v>
      </c>
      <c r="B1050" s="238" t="s">
        <v>1207</v>
      </c>
      <c r="C1050" s="238" t="str">
        <f>("8")</f>
        <v>8</v>
      </c>
      <c r="D1050" s="238" t="s">
        <v>798</v>
      </c>
      <c r="E1050" s="380" t="s">
        <v>6047</v>
      </c>
      <c r="F1050" s="380" t="s">
        <v>6611</v>
      </c>
      <c r="G1050" s="380">
        <v>6</v>
      </c>
      <c r="H1050" s="380" t="s">
        <v>1478</v>
      </c>
    </row>
    <row r="1051" spans="1:9" x14ac:dyDescent="0.25">
      <c r="A1051" s="247" t="str">
        <f t="shared" si="16"/>
        <v>スマイス・セレソン_9</v>
      </c>
      <c r="B1051" s="238" t="s">
        <v>1207</v>
      </c>
      <c r="C1051" s="238" t="str">
        <f>("9")</f>
        <v>9</v>
      </c>
      <c r="D1051" s="238" t="s">
        <v>798</v>
      </c>
      <c r="E1051" s="380" t="s">
        <v>8014</v>
      </c>
      <c r="F1051" s="380" t="s">
        <v>14863</v>
      </c>
      <c r="G1051" s="380">
        <v>5</v>
      </c>
      <c r="H1051" s="380" t="s">
        <v>1478</v>
      </c>
    </row>
    <row r="1052" spans="1:9" x14ac:dyDescent="0.25">
      <c r="A1052" s="247" t="str">
        <f t="shared" si="16"/>
        <v>スマイス・セレソン_10</v>
      </c>
      <c r="B1052" s="238" t="s">
        <v>1207</v>
      </c>
      <c r="C1052" s="238" t="str">
        <f>("10")</f>
        <v>10</v>
      </c>
      <c r="D1052" s="238" t="s">
        <v>798</v>
      </c>
      <c r="E1052" s="380" t="s">
        <v>6045</v>
      </c>
      <c r="F1052" s="380" t="s">
        <v>6610</v>
      </c>
      <c r="G1052" s="380">
        <v>6</v>
      </c>
      <c r="H1052" s="380" t="s">
        <v>1478</v>
      </c>
      <c r="I1052" s="380" t="s">
        <v>408</v>
      </c>
    </row>
    <row r="1053" spans="1:9" x14ac:dyDescent="0.25">
      <c r="A1053" s="247" t="str">
        <f t="shared" si="16"/>
        <v>スマイス・セレソン_11</v>
      </c>
      <c r="B1053" s="238" t="s">
        <v>1207</v>
      </c>
      <c r="C1053" s="238" t="str">
        <f>("11")</f>
        <v>11</v>
      </c>
      <c r="D1053" s="238" t="s">
        <v>280</v>
      </c>
      <c r="E1053" s="380" t="s">
        <v>8174</v>
      </c>
      <c r="F1053" s="380" t="s">
        <v>14864</v>
      </c>
      <c r="G1053" s="380">
        <v>5</v>
      </c>
      <c r="H1053" s="380" t="s">
        <v>1478</v>
      </c>
    </row>
    <row r="1054" spans="1:9" x14ac:dyDescent="0.25">
      <c r="A1054" s="247" t="str">
        <f t="shared" si="16"/>
        <v>スマイス・セレソン_12</v>
      </c>
      <c r="B1054" s="238" t="s">
        <v>1207</v>
      </c>
      <c r="C1054" s="238" t="str">
        <f>("12")</f>
        <v>12</v>
      </c>
      <c r="D1054" s="238" t="s">
        <v>798</v>
      </c>
      <c r="E1054" s="380" t="s">
        <v>6051</v>
      </c>
      <c r="F1054" s="380" t="s">
        <v>6615</v>
      </c>
      <c r="G1054" s="380">
        <v>6</v>
      </c>
      <c r="H1054" s="380" t="s">
        <v>1478</v>
      </c>
    </row>
    <row r="1055" spans="1:9" x14ac:dyDescent="0.25">
      <c r="A1055" s="247" t="str">
        <f t="shared" si="16"/>
        <v>スマイス・セレソン_13</v>
      </c>
      <c r="B1055" s="238" t="s">
        <v>1207</v>
      </c>
      <c r="C1055" s="238" t="str">
        <f>("13")</f>
        <v>13</v>
      </c>
      <c r="D1055" s="238" t="s">
        <v>235</v>
      </c>
      <c r="E1055" s="380" t="s">
        <v>8088</v>
      </c>
      <c r="F1055" s="380" t="s">
        <v>14865</v>
      </c>
      <c r="G1055" s="380">
        <v>5</v>
      </c>
      <c r="H1055" s="380" t="s">
        <v>1478</v>
      </c>
    </row>
    <row r="1056" spans="1:9" x14ac:dyDescent="0.25">
      <c r="A1056" s="247" t="str">
        <f t="shared" si="16"/>
        <v>スマイス・セレソン_14</v>
      </c>
      <c r="B1056" s="238" t="s">
        <v>1207</v>
      </c>
      <c r="C1056" s="238" t="str">
        <f>("14")</f>
        <v>14</v>
      </c>
      <c r="D1056" s="238" t="s">
        <v>798</v>
      </c>
      <c r="E1056" s="380" t="s">
        <v>9315</v>
      </c>
      <c r="F1056" s="380" t="s">
        <v>14866</v>
      </c>
      <c r="G1056" s="380">
        <v>4</v>
      </c>
      <c r="H1056" s="380" t="s">
        <v>1478</v>
      </c>
    </row>
    <row r="1057" spans="1:9" x14ac:dyDescent="0.25">
      <c r="A1057" s="247" t="str">
        <f t="shared" si="16"/>
        <v>スマイス・セレソン_15</v>
      </c>
      <c r="B1057" s="238" t="s">
        <v>1207</v>
      </c>
      <c r="C1057" s="238" t="str">
        <f>("15")</f>
        <v>15</v>
      </c>
      <c r="D1057" s="238" t="s">
        <v>280</v>
      </c>
      <c r="E1057" s="380" t="s">
        <v>8039</v>
      </c>
      <c r="F1057" s="380" t="s">
        <v>14867</v>
      </c>
      <c r="G1057" s="380">
        <v>5</v>
      </c>
      <c r="H1057" s="380" t="s">
        <v>1478</v>
      </c>
    </row>
    <row r="1058" spans="1:9" x14ac:dyDescent="0.25">
      <c r="A1058" s="247" t="str">
        <f t="shared" si="16"/>
        <v>スマイス・セレソン_16</v>
      </c>
      <c r="B1058" s="238" t="s">
        <v>1207</v>
      </c>
      <c r="C1058" s="238" t="str">
        <f>("16")</f>
        <v>16</v>
      </c>
      <c r="D1058" s="238" t="s">
        <v>796</v>
      </c>
      <c r="E1058" s="380" t="s">
        <v>8294</v>
      </c>
      <c r="F1058" s="380" t="s">
        <v>14868</v>
      </c>
      <c r="G1058" s="380">
        <v>5</v>
      </c>
      <c r="H1058" s="380" t="s">
        <v>1478</v>
      </c>
    </row>
    <row r="1059" spans="1:9" x14ac:dyDescent="0.25">
      <c r="A1059" s="247" t="str">
        <f t="shared" si="16"/>
        <v>スマイス・セレソン_17</v>
      </c>
      <c r="B1059" s="238" t="s">
        <v>1207</v>
      </c>
      <c r="C1059" s="238" t="str">
        <f>("17")</f>
        <v>17</v>
      </c>
      <c r="D1059" s="238" t="s">
        <v>235</v>
      </c>
      <c r="E1059" s="380" t="s">
        <v>8056</v>
      </c>
      <c r="F1059" s="380" t="s">
        <v>14869</v>
      </c>
      <c r="G1059" s="380">
        <v>5</v>
      </c>
      <c r="H1059" s="380" t="s">
        <v>1478</v>
      </c>
    </row>
    <row r="1060" spans="1:9" x14ac:dyDescent="0.25">
      <c r="A1060" s="247" t="str">
        <f t="shared" si="16"/>
        <v>スマイス・セレソン_18</v>
      </c>
      <c r="B1060" s="238" t="s">
        <v>1207</v>
      </c>
      <c r="C1060" s="238" t="str">
        <f>("18")</f>
        <v>18</v>
      </c>
      <c r="D1060" s="238" t="s">
        <v>235</v>
      </c>
      <c r="E1060" s="380" t="s">
        <v>7907</v>
      </c>
      <c r="F1060" s="380" t="s">
        <v>14870</v>
      </c>
      <c r="G1060" s="380">
        <v>5</v>
      </c>
      <c r="H1060" s="380" t="s">
        <v>1478</v>
      </c>
    </row>
    <row r="1061" spans="1:9" x14ac:dyDescent="0.25">
      <c r="A1061" s="247" t="str">
        <f t="shared" si="16"/>
        <v>カティオーラフットボールクラブＵ－１２_1</v>
      </c>
      <c r="B1061" s="238" t="s">
        <v>2587</v>
      </c>
      <c r="C1061" s="238" t="str">
        <f>("1")</f>
        <v>1</v>
      </c>
      <c r="D1061" s="238" t="s">
        <v>796</v>
      </c>
      <c r="E1061" s="380" t="s">
        <v>6060</v>
      </c>
      <c r="F1061" s="380" t="s">
        <v>6622</v>
      </c>
      <c r="G1061" s="380">
        <v>6</v>
      </c>
      <c r="H1061" s="380" t="s">
        <v>1478</v>
      </c>
    </row>
    <row r="1062" spans="1:9" x14ac:dyDescent="0.25">
      <c r="A1062" s="247" t="str">
        <f t="shared" si="16"/>
        <v>カティオーラフットボールクラブＵ－１２_2</v>
      </c>
      <c r="B1062" s="238" t="s">
        <v>2587</v>
      </c>
      <c r="C1062" s="238" t="str">
        <f>("2")</f>
        <v>2</v>
      </c>
      <c r="D1062" s="238" t="s">
        <v>235</v>
      </c>
      <c r="E1062" s="380" t="s">
        <v>8717</v>
      </c>
      <c r="F1062" s="380" t="s">
        <v>14871</v>
      </c>
      <c r="G1062" s="380">
        <v>6</v>
      </c>
      <c r="H1062" s="380" t="s">
        <v>1478</v>
      </c>
    </row>
    <row r="1063" spans="1:9" x14ac:dyDescent="0.25">
      <c r="A1063" s="247" t="str">
        <f t="shared" si="16"/>
        <v>カティオーラフットボールクラブＵ－１２_3</v>
      </c>
      <c r="B1063" s="238" t="s">
        <v>2587</v>
      </c>
      <c r="C1063" s="238" t="str">
        <f>("3")</f>
        <v>3</v>
      </c>
      <c r="D1063" s="238" t="s">
        <v>798</v>
      </c>
      <c r="E1063" s="380" t="s">
        <v>8153</v>
      </c>
      <c r="F1063" s="380" t="s">
        <v>14872</v>
      </c>
      <c r="G1063" s="380">
        <v>5</v>
      </c>
      <c r="H1063" s="380" t="s">
        <v>1478</v>
      </c>
    </row>
    <row r="1064" spans="1:9" x14ac:dyDescent="0.25">
      <c r="A1064" s="247" t="str">
        <f t="shared" si="16"/>
        <v>カティオーラフットボールクラブＵ－１２_4</v>
      </c>
      <c r="B1064" s="238" t="s">
        <v>2587</v>
      </c>
      <c r="C1064" s="238" t="str">
        <f>("4")</f>
        <v>4</v>
      </c>
      <c r="D1064" s="238" t="s">
        <v>235</v>
      </c>
      <c r="E1064" s="380" t="s">
        <v>8738</v>
      </c>
      <c r="F1064" s="380" t="s">
        <v>14873</v>
      </c>
      <c r="G1064" s="380">
        <v>6</v>
      </c>
      <c r="H1064" s="380" t="s">
        <v>1478</v>
      </c>
    </row>
    <row r="1065" spans="1:9" x14ac:dyDescent="0.25">
      <c r="A1065" s="247" t="str">
        <f t="shared" si="16"/>
        <v>カティオーラフットボールクラブＵ－１２_5</v>
      </c>
      <c r="B1065" s="238" t="s">
        <v>2587</v>
      </c>
      <c r="C1065" s="238" t="str">
        <f>("5")</f>
        <v>5</v>
      </c>
      <c r="D1065" s="238" t="s">
        <v>235</v>
      </c>
      <c r="E1065" s="380" t="s">
        <v>6054</v>
      </c>
      <c r="F1065" s="380" t="s">
        <v>6618</v>
      </c>
      <c r="G1065" s="380">
        <v>6</v>
      </c>
      <c r="H1065" s="380" t="s">
        <v>1478</v>
      </c>
      <c r="I1065" s="380" t="s">
        <v>408</v>
      </c>
    </row>
    <row r="1066" spans="1:9" x14ac:dyDescent="0.25">
      <c r="A1066" s="247" t="str">
        <f t="shared" si="16"/>
        <v>カティオーラフットボールクラブＵ－１２_6</v>
      </c>
      <c r="B1066" s="238" t="s">
        <v>2587</v>
      </c>
      <c r="C1066" s="238" t="str">
        <f>("6")</f>
        <v>6</v>
      </c>
      <c r="D1066" s="238" t="s">
        <v>235</v>
      </c>
      <c r="E1066" s="380" t="s">
        <v>6065</v>
      </c>
      <c r="F1066" s="380" t="s">
        <v>6626</v>
      </c>
      <c r="G1066" s="380">
        <v>6</v>
      </c>
      <c r="H1066" s="380" t="s">
        <v>1478</v>
      </c>
    </row>
    <row r="1067" spans="1:9" x14ac:dyDescent="0.25">
      <c r="A1067" s="247" t="str">
        <f t="shared" si="16"/>
        <v>カティオーラフットボールクラブＵ－１２_7</v>
      </c>
      <c r="B1067" s="238" t="s">
        <v>2587</v>
      </c>
      <c r="C1067" s="238" t="str">
        <f>("7")</f>
        <v>7</v>
      </c>
      <c r="D1067" s="238" t="s">
        <v>798</v>
      </c>
      <c r="E1067" s="380" t="s">
        <v>6057</v>
      </c>
      <c r="F1067" s="380" t="s">
        <v>6621</v>
      </c>
      <c r="G1067" s="380">
        <v>6</v>
      </c>
      <c r="H1067" s="380" t="s">
        <v>1480</v>
      </c>
    </row>
    <row r="1068" spans="1:9" x14ac:dyDescent="0.25">
      <c r="A1068" s="247" t="str">
        <f t="shared" si="16"/>
        <v>カティオーラフットボールクラブＵ－１２_8</v>
      </c>
      <c r="B1068" s="238" t="s">
        <v>2587</v>
      </c>
      <c r="C1068" s="238" t="str">
        <f>("8")</f>
        <v>8</v>
      </c>
      <c r="D1068" s="238" t="s">
        <v>280</v>
      </c>
      <c r="E1068" s="380" t="s">
        <v>6056</v>
      </c>
      <c r="F1068" s="380" t="s">
        <v>6620</v>
      </c>
      <c r="G1068" s="380">
        <v>6</v>
      </c>
      <c r="H1068" s="380" t="s">
        <v>1478</v>
      </c>
    </row>
    <row r="1069" spans="1:9" x14ac:dyDescent="0.25">
      <c r="A1069" s="247" t="str">
        <f t="shared" si="16"/>
        <v>カティオーラフットボールクラブＵ－１２_9</v>
      </c>
      <c r="B1069" s="238" t="s">
        <v>2587</v>
      </c>
      <c r="C1069" s="238" t="str">
        <f>("9")</f>
        <v>9</v>
      </c>
      <c r="D1069" s="238" t="s">
        <v>798</v>
      </c>
      <c r="E1069" s="380" t="s">
        <v>6064</v>
      </c>
      <c r="F1069" s="380" t="s">
        <v>6625</v>
      </c>
      <c r="G1069" s="380">
        <v>6</v>
      </c>
      <c r="H1069" s="380" t="s">
        <v>1480</v>
      </c>
    </row>
    <row r="1070" spans="1:9" x14ac:dyDescent="0.25">
      <c r="A1070" s="247" t="str">
        <f t="shared" si="16"/>
        <v>カティオーラフットボールクラブＵ－１２_10</v>
      </c>
      <c r="B1070" s="238" t="s">
        <v>2587</v>
      </c>
      <c r="C1070" s="238" t="str">
        <f>("10")</f>
        <v>10</v>
      </c>
      <c r="D1070" s="238" t="s">
        <v>798</v>
      </c>
      <c r="E1070" s="380" t="s">
        <v>6055</v>
      </c>
      <c r="F1070" s="380" t="s">
        <v>6619</v>
      </c>
      <c r="G1070" s="380">
        <v>6</v>
      </c>
      <c r="H1070" s="380" t="s">
        <v>1478</v>
      </c>
    </row>
    <row r="1071" spans="1:9" x14ac:dyDescent="0.25">
      <c r="A1071" s="247" t="str">
        <f t="shared" si="16"/>
        <v>カティオーラフットボールクラブＵ－１２_11</v>
      </c>
      <c r="B1071" s="238" t="s">
        <v>2587</v>
      </c>
      <c r="C1071" s="238" t="str">
        <f>("11")</f>
        <v>11</v>
      </c>
      <c r="D1071" s="238" t="s">
        <v>280</v>
      </c>
      <c r="E1071" s="380" t="s">
        <v>6062</v>
      </c>
      <c r="F1071" s="380" t="s">
        <v>6623</v>
      </c>
      <c r="G1071" s="380">
        <v>6</v>
      </c>
      <c r="H1071" s="380" t="s">
        <v>1478</v>
      </c>
    </row>
    <row r="1072" spans="1:9" x14ac:dyDescent="0.25">
      <c r="A1072" s="247" t="str">
        <f t="shared" si="16"/>
        <v>カティオーラフットボールクラブＵ－１２_12</v>
      </c>
      <c r="B1072" s="238" t="s">
        <v>2587</v>
      </c>
      <c r="C1072" s="238" t="str">
        <f>("12")</f>
        <v>12</v>
      </c>
      <c r="D1072" s="238" t="s">
        <v>796</v>
      </c>
      <c r="E1072" s="380" t="s">
        <v>9090</v>
      </c>
      <c r="F1072" s="380" t="s">
        <v>14874</v>
      </c>
      <c r="G1072" s="380">
        <v>4</v>
      </c>
      <c r="H1072" s="380" t="s">
        <v>1478</v>
      </c>
    </row>
    <row r="1073" spans="1:9" x14ac:dyDescent="0.25">
      <c r="A1073" s="247" t="str">
        <f t="shared" si="16"/>
        <v>カティオーラフットボールクラブＵ－１２_13</v>
      </c>
      <c r="B1073" s="238" t="s">
        <v>2587</v>
      </c>
      <c r="C1073" s="238" t="str">
        <f>("13")</f>
        <v>13</v>
      </c>
      <c r="D1073" s="238" t="s">
        <v>235</v>
      </c>
      <c r="E1073" s="380" t="s">
        <v>8701</v>
      </c>
      <c r="F1073" s="380" t="s">
        <v>14875</v>
      </c>
      <c r="G1073" s="380">
        <v>6</v>
      </c>
      <c r="H1073" s="380" t="s">
        <v>1478</v>
      </c>
    </row>
    <row r="1074" spans="1:9" x14ac:dyDescent="0.25">
      <c r="A1074" s="247" t="str">
        <f t="shared" si="16"/>
        <v>カティオーラフットボールクラブＵ－１２_14</v>
      </c>
      <c r="B1074" s="238" t="s">
        <v>2587</v>
      </c>
      <c r="C1074" s="238" t="str">
        <f>("14")</f>
        <v>14</v>
      </c>
      <c r="D1074" s="238" t="s">
        <v>798</v>
      </c>
      <c r="E1074" s="380" t="s">
        <v>8232</v>
      </c>
      <c r="F1074" s="380" t="s">
        <v>14876</v>
      </c>
      <c r="G1074" s="380">
        <v>5</v>
      </c>
      <c r="H1074" s="380" t="s">
        <v>1478</v>
      </c>
    </row>
    <row r="1075" spans="1:9" x14ac:dyDescent="0.25">
      <c r="A1075" s="247" t="str">
        <f t="shared" si="16"/>
        <v>カティオーラフットボールクラブＵ－１２　Ｎｅｘｔ_1</v>
      </c>
      <c r="B1075" s="238" t="s">
        <v>3868</v>
      </c>
      <c r="C1075" s="238" t="str">
        <f>("1")</f>
        <v>1</v>
      </c>
      <c r="D1075" s="238" t="s">
        <v>796</v>
      </c>
      <c r="E1075" s="380" t="s">
        <v>8678</v>
      </c>
      <c r="F1075" s="380" t="s">
        <v>14877</v>
      </c>
      <c r="G1075" s="380">
        <v>6</v>
      </c>
      <c r="H1075" s="380" t="s">
        <v>1478</v>
      </c>
    </row>
    <row r="1076" spans="1:9" x14ac:dyDescent="0.25">
      <c r="A1076" s="247" t="str">
        <f t="shared" si="16"/>
        <v>カティオーラフットボールクラブＵ－１２　Ｎｅｘｔ_2</v>
      </c>
      <c r="B1076" s="238" t="s">
        <v>3868</v>
      </c>
      <c r="C1076" s="238" t="str">
        <f>("2")</f>
        <v>2</v>
      </c>
      <c r="D1076" s="238" t="s">
        <v>798</v>
      </c>
      <c r="E1076" s="380" t="s">
        <v>8166</v>
      </c>
      <c r="F1076" s="380" t="s">
        <v>14878</v>
      </c>
      <c r="G1076" s="380">
        <v>5</v>
      </c>
      <c r="H1076" s="380" t="s">
        <v>1478</v>
      </c>
    </row>
    <row r="1077" spans="1:9" x14ac:dyDescent="0.25">
      <c r="A1077" s="247" t="str">
        <f t="shared" si="16"/>
        <v>カティオーラフットボールクラブＵ－１２　Ｎｅｘｔ_3</v>
      </c>
      <c r="B1077" s="238" t="s">
        <v>3868</v>
      </c>
      <c r="C1077" s="238" t="str">
        <f>("3")</f>
        <v>3</v>
      </c>
      <c r="D1077" s="238" t="s">
        <v>280</v>
      </c>
      <c r="E1077" s="380" t="s">
        <v>7986</v>
      </c>
      <c r="F1077" s="380" t="s">
        <v>4555</v>
      </c>
      <c r="G1077" s="380">
        <v>5</v>
      </c>
      <c r="H1077" s="380" t="s">
        <v>1478</v>
      </c>
    </row>
    <row r="1078" spans="1:9" x14ac:dyDescent="0.25">
      <c r="A1078" s="247" t="str">
        <f t="shared" si="16"/>
        <v>カティオーラフットボールクラブＵ－１２　Ｎｅｘｔ_5</v>
      </c>
      <c r="B1078" s="238" t="s">
        <v>3868</v>
      </c>
      <c r="C1078" s="238" t="str">
        <f>("5")</f>
        <v>5</v>
      </c>
      <c r="D1078" s="238" t="s">
        <v>798</v>
      </c>
      <c r="E1078" s="380" t="s">
        <v>7976</v>
      </c>
      <c r="F1078" s="380" t="s">
        <v>14879</v>
      </c>
      <c r="G1078" s="380">
        <v>5</v>
      </c>
      <c r="H1078" s="380" t="s">
        <v>1478</v>
      </c>
    </row>
    <row r="1079" spans="1:9" x14ac:dyDescent="0.25">
      <c r="A1079" s="247" t="str">
        <f t="shared" si="16"/>
        <v>カティオーラフットボールクラブＵ－１２　Ｎｅｘｔ_6</v>
      </c>
      <c r="B1079" s="238" t="s">
        <v>3868</v>
      </c>
      <c r="C1079" s="238" t="str">
        <f>("6")</f>
        <v>6</v>
      </c>
      <c r="D1079" s="238" t="s">
        <v>798</v>
      </c>
      <c r="E1079" s="380" t="s">
        <v>8679</v>
      </c>
      <c r="F1079" s="380" t="s">
        <v>14880</v>
      </c>
      <c r="G1079" s="380">
        <v>6</v>
      </c>
      <c r="H1079" s="380" t="s">
        <v>1480</v>
      </c>
    </row>
    <row r="1080" spans="1:9" x14ac:dyDescent="0.25">
      <c r="A1080" s="247" t="str">
        <f t="shared" si="16"/>
        <v>カティオーラフットボールクラブＵ－１２　Ｎｅｘｔ_7</v>
      </c>
      <c r="B1080" s="238" t="s">
        <v>3868</v>
      </c>
      <c r="C1080" s="238" t="str">
        <f>("7")</f>
        <v>7</v>
      </c>
      <c r="D1080" s="238" t="s">
        <v>235</v>
      </c>
      <c r="E1080" s="380" t="s">
        <v>8953</v>
      </c>
      <c r="F1080" s="380" t="s">
        <v>14881</v>
      </c>
      <c r="G1080" s="380">
        <v>6</v>
      </c>
      <c r="H1080" s="380" t="s">
        <v>1478</v>
      </c>
    </row>
    <row r="1081" spans="1:9" x14ac:dyDescent="0.25">
      <c r="A1081" s="247" t="str">
        <f t="shared" si="16"/>
        <v>カティオーラフットボールクラブＵ－１２　Ｎｅｘｔ_8</v>
      </c>
      <c r="B1081" s="238" t="s">
        <v>3868</v>
      </c>
      <c r="C1081" s="238" t="str">
        <f>("8")</f>
        <v>8</v>
      </c>
      <c r="D1081" s="238" t="s">
        <v>235</v>
      </c>
      <c r="E1081" s="380" t="s">
        <v>8949</v>
      </c>
      <c r="F1081" s="380" t="s">
        <v>4004</v>
      </c>
      <c r="G1081" s="380">
        <v>6</v>
      </c>
      <c r="H1081" s="380" t="s">
        <v>1478</v>
      </c>
    </row>
    <row r="1082" spans="1:9" x14ac:dyDescent="0.25">
      <c r="A1082" s="247" t="str">
        <f t="shared" si="16"/>
        <v>カティオーラフットボールクラブＵ－１２　Ｎｅｘｔ_9</v>
      </c>
      <c r="B1082" s="238" t="s">
        <v>3868</v>
      </c>
      <c r="C1082" s="238" t="str">
        <f>("9")</f>
        <v>9</v>
      </c>
      <c r="D1082" s="238" t="s">
        <v>798</v>
      </c>
      <c r="E1082" s="380" t="s">
        <v>8997</v>
      </c>
      <c r="F1082" s="380" t="s">
        <v>14882</v>
      </c>
      <c r="G1082" s="380">
        <v>6</v>
      </c>
      <c r="H1082" s="380" t="s">
        <v>1478</v>
      </c>
    </row>
    <row r="1083" spans="1:9" x14ac:dyDescent="0.25">
      <c r="A1083" s="247" t="str">
        <f t="shared" si="16"/>
        <v>カティオーラフットボールクラブＵ－１２　Ｎｅｘｔ_10</v>
      </c>
      <c r="B1083" s="238" t="s">
        <v>3868</v>
      </c>
      <c r="C1083" s="238" t="str">
        <f>("10")</f>
        <v>10</v>
      </c>
      <c r="D1083" s="238" t="s">
        <v>798</v>
      </c>
      <c r="E1083" s="380" t="s">
        <v>6063</v>
      </c>
      <c r="F1083" s="380" t="s">
        <v>6624</v>
      </c>
      <c r="G1083" s="380">
        <v>6</v>
      </c>
      <c r="H1083" s="380" t="s">
        <v>1478</v>
      </c>
      <c r="I1083" s="380" t="s">
        <v>408</v>
      </c>
    </row>
    <row r="1084" spans="1:9" x14ac:dyDescent="0.25">
      <c r="A1084" s="247" t="str">
        <f t="shared" si="16"/>
        <v>カティオーラフットボールクラブＵ－１２　Ｎｅｘｔ_11</v>
      </c>
      <c r="B1084" s="238" t="s">
        <v>3868</v>
      </c>
      <c r="C1084" s="238" t="str">
        <f>("11")</f>
        <v>11</v>
      </c>
      <c r="D1084" s="238" t="s">
        <v>280</v>
      </c>
      <c r="E1084" s="380" t="s">
        <v>8700</v>
      </c>
      <c r="F1084" s="380" t="s">
        <v>14883</v>
      </c>
      <c r="G1084" s="380">
        <v>6</v>
      </c>
      <c r="H1084" s="380" t="s">
        <v>1478</v>
      </c>
    </row>
    <row r="1085" spans="1:9" x14ac:dyDescent="0.25">
      <c r="A1085" s="247" t="str">
        <f t="shared" si="16"/>
        <v>カティオーラフットボールクラブＵ－１２　Ｎｅｘｔ_12</v>
      </c>
      <c r="B1085" s="238" t="s">
        <v>3868</v>
      </c>
      <c r="C1085" s="238" t="str">
        <f>("12")</f>
        <v>12</v>
      </c>
      <c r="D1085" s="238" t="s">
        <v>235</v>
      </c>
      <c r="E1085" s="380" t="s">
        <v>8276</v>
      </c>
      <c r="F1085" s="380" t="s">
        <v>14884</v>
      </c>
      <c r="G1085" s="380">
        <v>5</v>
      </c>
      <c r="H1085" s="380" t="s">
        <v>1478</v>
      </c>
    </row>
    <row r="1086" spans="1:9" x14ac:dyDescent="0.25">
      <c r="A1086" s="247" t="str">
        <f t="shared" si="16"/>
        <v>カティオーラフットボールクラブＵ－１２　Ｎｅｘｔ_13</v>
      </c>
      <c r="B1086" s="238" t="s">
        <v>3868</v>
      </c>
      <c r="C1086" s="238" t="str">
        <f>("13")</f>
        <v>13</v>
      </c>
      <c r="D1086" s="238" t="s">
        <v>235</v>
      </c>
      <c r="E1086" s="380" t="s">
        <v>8337</v>
      </c>
      <c r="F1086" s="380" t="s">
        <v>6513</v>
      </c>
      <c r="G1086" s="380">
        <v>5</v>
      </c>
      <c r="H1086" s="380" t="s">
        <v>1478</v>
      </c>
    </row>
    <row r="1087" spans="1:9" x14ac:dyDescent="0.25">
      <c r="A1087" s="247" t="str">
        <f t="shared" si="16"/>
        <v>カティオーラフットボールクラブＵ－１２　Ｎｅｘｔ_14</v>
      </c>
      <c r="B1087" s="238" t="s">
        <v>3868</v>
      </c>
      <c r="C1087" s="238" t="str">
        <f>("14")</f>
        <v>14</v>
      </c>
      <c r="D1087" s="238" t="s">
        <v>280</v>
      </c>
      <c r="E1087" s="380" t="s">
        <v>7950</v>
      </c>
      <c r="F1087" s="380" t="s">
        <v>14885</v>
      </c>
      <c r="G1087" s="380">
        <v>5</v>
      </c>
      <c r="H1087" s="380" t="s">
        <v>1478</v>
      </c>
    </row>
    <row r="1088" spans="1:9" x14ac:dyDescent="0.25">
      <c r="A1088" s="247" t="str">
        <f t="shared" si="16"/>
        <v>カティオーラフットボールクラブＵ－１２　Ｎｅｘｔ_15</v>
      </c>
      <c r="B1088" s="238" t="s">
        <v>3868</v>
      </c>
      <c r="C1088" s="238" t="str">
        <f>("15")</f>
        <v>15</v>
      </c>
      <c r="D1088" s="238" t="s">
        <v>235</v>
      </c>
      <c r="E1088" s="380" t="s">
        <v>7936</v>
      </c>
      <c r="F1088" s="380" t="s">
        <v>14886</v>
      </c>
      <c r="G1088" s="380">
        <v>5</v>
      </c>
      <c r="H1088" s="380" t="s">
        <v>1478</v>
      </c>
    </row>
    <row r="1089" spans="1:9" x14ac:dyDescent="0.25">
      <c r="A1089" s="247" t="str">
        <f t="shared" ref="A1089:A1152" si="17">CONCATENATE(B1089,"_",C1089)</f>
        <v>カティオーラフットボールクラブＵ－１２　Ｎｅｘｔ_16</v>
      </c>
      <c r="B1089" s="238" t="s">
        <v>3868</v>
      </c>
      <c r="C1089" s="238" t="str">
        <f>("16")</f>
        <v>16</v>
      </c>
      <c r="D1089" s="238" t="s">
        <v>798</v>
      </c>
      <c r="E1089" s="380" t="s">
        <v>9086</v>
      </c>
      <c r="F1089" s="380" t="s">
        <v>14887</v>
      </c>
      <c r="G1089" s="380">
        <v>4</v>
      </c>
      <c r="H1089" s="380" t="s">
        <v>1478</v>
      </c>
    </row>
    <row r="1090" spans="1:9" x14ac:dyDescent="0.25">
      <c r="A1090" s="247" t="str">
        <f t="shared" si="17"/>
        <v>カティオーラフットボールクラブＵ－１２　Ｆｕｔｕｒｅ_1</v>
      </c>
      <c r="B1090" s="238" t="s">
        <v>3869</v>
      </c>
      <c r="C1090" s="238" t="str">
        <f>("1")</f>
        <v>1</v>
      </c>
      <c r="D1090" s="238" t="s">
        <v>796</v>
      </c>
      <c r="E1090" s="380" t="s">
        <v>8193</v>
      </c>
      <c r="F1090" s="380" t="s">
        <v>14888</v>
      </c>
      <c r="G1090" s="380">
        <v>5</v>
      </c>
      <c r="H1090" s="380" t="s">
        <v>1478</v>
      </c>
    </row>
    <row r="1091" spans="1:9" x14ac:dyDescent="0.25">
      <c r="A1091" s="247" t="str">
        <f t="shared" si="17"/>
        <v>カティオーラフットボールクラブＵ－１２　Ｆｕｔｕｒｅ_2</v>
      </c>
      <c r="B1091" s="238" t="s">
        <v>3869</v>
      </c>
      <c r="C1091" s="238" t="str">
        <f>("2")</f>
        <v>2</v>
      </c>
      <c r="D1091" s="238" t="s">
        <v>235</v>
      </c>
      <c r="E1091" s="380" t="s">
        <v>9042</v>
      </c>
      <c r="F1091" s="380" t="s">
        <v>4007</v>
      </c>
      <c r="G1091" s="380">
        <v>4</v>
      </c>
      <c r="H1091" s="380" t="s">
        <v>1478</v>
      </c>
    </row>
    <row r="1092" spans="1:9" x14ac:dyDescent="0.25">
      <c r="A1092" s="247" t="str">
        <f t="shared" si="17"/>
        <v>カティオーラフットボールクラブＵ－１２　Ｆｕｔｕｒｅ_3</v>
      </c>
      <c r="B1092" s="238" t="s">
        <v>3869</v>
      </c>
      <c r="C1092" s="238" t="str">
        <f>("3")</f>
        <v>3</v>
      </c>
      <c r="D1092" s="238" t="s">
        <v>798</v>
      </c>
      <c r="E1092" s="380" t="s">
        <v>8328</v>
      </c>
      <c r="F1092" s="380" t="s">
        <v>14889</v>
      </c>
      <c r="G1092" s="380">
        <v>5</v>
      </c>
      <c r="H1092" s="380" t="s">
        <v>1478</v>
      </c>
    </row>
    <row r="1093" spans="1:9" x14ac:dyDescent="0.25">
      <c r="A1093" s="247" t="str">
        <f t="shared" si="17"/>
        <v>カティオーラフットボールクラブＵ－１２　Ｆｕｔｕｒｅ_4</v>
      </c>
      <c r="B1093" s="238" t="s">
        <v>3869</v>
      </c>
      <c r="C1093" s="238" t="str">
        <f>("4")</f>
        <v>4</v>
      </c>
      <c r="D1093" s="238" t="s">
        <v>235</v>
      </c>
      <c r="E1093" s="380" t="s">
        <v>7929</v>
      </c>
      <c r="F1093" s="380" t="s">
        <v>14890</v>
      </c>
      <c r="G1093" s="380">
        <v>5</v>
      </c>
      <c r="H1093" s="380" t="s">
        <v>1478</v>
      </c>
    </row>
    <row r="1094" spans="1:9" x14ac:dyDescent="0.25">
      <c r="A1094" s="247" t="str">
        <f t="shared" si="17"/>
        <v>カティオーラフットボールクラブＵ－１２　Ｆｕｔｕｒｅ_5</v>
      </c>
      <c r="B1094" s="238" t="s">
        <v>3869</v>
      </c>
      <c r="C1094" s="238" t="str">
        <f>("5")</f>
        <v>5</v>
      </c>
      <c r="D1094" s="238" t="s">
        <v>235</v>
      </c>
      <c r="E1094" s="380" t="s">
        <v>8986</v>
      </c>
      <c r="F1094" s="380" t="s">
        <v>14891</v>
      </c>
      <c r="G1094" s="380">
        <v>6</v>
      </c>
      <c r="H1094" s="380" t="s">
        <v>1478</v>
      </c>
    </row>
    <row r="1095" spans="1:9" x14ac:dyDescent="0.25">
      <c r="A1095" s="247" t="str">
        <f t="shared" si="17"/>
        <v>カティオーラフットボールクラブＵ－１２　Ｆｕｔｕｒｅ_6</v>
      </c>
      <c r="B1095" s="238" t="s">
        <v>3869</v>
      </c>
      <c r="C1095" s="238" t="str">
        <f>("6")</f>
        <v>6</v>
      </c>
      <c r="D1095" s="238" t="s">
        <v>798</v>
      </c>
      <c r="E1095" s="380" t="s">
        <v>8979</v>
      </c>
      <c r="F1095" s="380" t="s">
        <v>14892</v>
      </c>
      <c r="G1095" s="380">
        <v>6</v>
      </c>
      <c r="H1095" s="380" t="s">
        <v>1478</v>
      </c>
    </row>
    <row r="1096" spans="1:9" x14ac:dyDescent="0.25">
      <c r="A1096" s="247" t="str">
        <f t="shared" si="17"/>
        <v>カティオーラフットボールクラブＵ－１２　Ｆｕｔｕｒｅ_7</v>
      </c>
      <c r="B1096" s="238" t="s">
        <v>3869</v>
      </c>
      <c r="C1096" s="238" t="str">
        <f>("7")</f>
        <v>7</v>
      </c>
      <c r="D1096" s="238" t="s">
        <v>280</v>
      </c>
      <c r="E1096" s="380" t="s">
        <v>8199</v>
      </c>
      <c r="F1096" s="380" t="s">
        <v>14893</v>
      </c>
      <c r="G1096" s="380">
        <v>4</v>
      </c>
      <c r="H1096" s="380" t="s">
        <v>1478</v>
      </c>
    </row>
    <row r="1097" spans="1:9" x14ac:dyDescent="0.25">
      <c r="A1097" s="247" t="str">
        <f t="shared" si="17"/>
        <v>カティオーラフットボールクラブＵ－１２　Ｆｕｔｕｒｅ_8</v>
      </c>
      <c r="B1097" s="238" t="s">
        <v>3869</v>
      </c>
      <c r="C1097" s="238" t="str">
        <f>("8")</f>
        <v>8</v>
      </c>
      <c r="D1097" s="238" t="s">
        <v>798</v>
      </c>
      <c r="E1097" s="380" t="s">
        <v>7973</v>
      </c>
      <c r="F1097" s="380" t="s">
        <v>14894</v>
      </c>
      <c r="G1097" s="380">
        <v>5</v>
      </c>
      <c r="H1097" s="380" t="s">
        <v>1478</v>
      </c>
    </row>
    <row r="1098" spans="1:9" x14ac:dyDescent="0.25">
      <c r="A1098" s="247" t="str">
        <f t="shared" si="17"/>
        <v>カティオーラフットボールクラブＵ－１２　Ｆｕｔｕｒｅ_9</v>
      </c>
      <c r="B1098" s="238" t="s">
        <v>3869</v>
      </c>
      <c r="C1098" s="238" t="str">
        <f>("9")</f>
        <v>9</v>
      </c>
      <c r="D1098" s="238" t="s">
        <v>798</v>
      </c>
      <c r="E1098" s="380" t="s">
        <v>9471</v>
      </c>
      <c r="F1098" s="380" t="s">
        <v>14895</v>
      </c>
      <c r="G1098" s="380">
        <v>4</v>
      </c>
      <c r="H1098" s="380" t="s">
        <v>1478</v>
      </c>
    </row>
    <row r="1099" spans="1:9" x14ac:dyDescent="0.25">
      <c r="A1099" s="247" t="str">
        <f t="shared" si="17"/>
        <v>カティオーラフットボールクラブＵ－１２　Ｆｕｔｕｒｅ_10</v>
      </c>
      <c r="B1099" s="238" t="s">
        <v>3869</v>
      </c>
      <c r="C1099" s="238" t="str">
        <f>("10")</f>
        <v>10</v>
      </c>
      <c r="D1099" s="238" t="s">
        <v>235</v>
      </c>
      <c r="E1099" s="380" t="s">
        <v>8934</v>
      </c>
      <c r="F1099" s="380" t="s">
        <v>14896</v>
      </c>
      <c r="G1099" s="380">
        <v>6</v>
      </c>
      <c r="H1099" s="380" t="s">
        <v>1478</v>
      </c>
    </row>
    <row r="1100" spans="1:9" x14ac:dyDescent="0.25">
      <c r="A1100" s="247" t="str">
        <f t="shared" si="17"/>
        <v>カティオーラフットボールクラブＵ－１２　Ｆｕｔｕｒｅ_11</v>
      </c>
      <c r="B1100" s="238" t="s">
        <v>3869</v>
      </c>
      <c r="C1100" s="238" t="str">
        <f>("11")</f>
        <v>11</v>
      </c>
      <c r="D1100" s="238" t="s">
        <v>235</v>
      </c>
      <c r="E1100" s="380" t="s">
        <v>8904</v>
      </c>
      <c r="F1100" s="380" t="s">
        <v>14897</v>
      </c>
      <c r="G1100" s="380">
        <v>6</v>
      </c>
      <c r="H1100" s="380" t="s">
        <v>1478</v>
      </c>
    </row>
    <row r="1101" spans="1:9" x14ac:dyDescent="0.25">
      <c r="A1101" s="247" t="str">
        <f t="shared" si="17"/>
        <v>カティオーラフットボールクラブＵ－１２　Ｆｕｔｕｒｅ_12</v>
      </c>
      <c r="B1101" s="238" t="s">
        <v>3869</v>
      </c>
      <c r="C1101" s="238" t="str">
        <f>("12")</f>
        <v>12</v>
      </c>
      <c r="D1101" s="238" t="s">
        <v>280</v>
      </c>
      <c r="E1101" s="380" t="s">
        <v>8835</v>
      </c>
      <c r="F1101" s="380" t="s">
        <v>14898</v>
      </c>
      <c r="G1101" s="380">
        <v>6</v>
      </c>
      <c r="H1101" s="380" t="s">
        <v>1478</v>
      </c>
      <c r="I1101" s="380" t="s">
        <v>408</v>
      </c>
    </row>
    <row r="1102" spans="1:9" x14ac:dyDescent="0.25">
      <c r="A1102" s="247" t="str">
        <f t="shared" si="17"/>
        <v>森岡サッカースポーツ少年団_1</v>
      </c>
      <c r="B1102" s="238" t="s">
        <v>1977</v>
      </c>
      <c r="C1102" s="238" t="str">
        <f>("1")</f>
        <v>1</v>
      </c>
      <c r="D1102" s="238" t="s">
        <v>796</v>
      </c>
      <c r="E1102" s="380" t="s">
        <v>7852</v>
      </c>
      <c r="F1102" s="380" t="s">
        <v>14899</v>
      </c>
      <c r="G1102" s="380">
        <v>5</v>
      </c>
      <c r="H1102" s="380" t="s">
        <v>1478</v>
      </c>
    </row>
    <row r="1103" spans="1:9" x14ac:dyDescent="0.25">
      <c r="A1103" s="247" t="str">
        <f t="shared" si="17"/>
        <v>森岡サッカースポーツ少年団_2</v>
      </c>
      <c r="B1103" s="238" t="s">
        <v>1977</v>
      </c>
      <c r="C1103" s="238" t="str">
        <f>("2")</f>
        <v>2</v>
      </c>
      <c r="D1103" s="238" t="s">
        <v>280</v>
      </c>
      <c r="E1103" s="380" t="s">
        <v>8426</v>
      </c>
      <c r="F1103" s="380" t="s">
        <v>14900</v>
      </c>
      <c r="G1103" s="380">
        <v>5</v>
      </c>
      <c r="H1103" s="380" t="s">
        <v>1478</v>
      </c>
    </row>
    <row r="1104" spans="1:9" x14ac:dyDescent="0.25">
      <c r="A1104" s="247" t="str">
        <f t="shared" si="17"/>
        <v>森岡サッカースポーツ少年団_3</v>
      </c>
      <c r="B1104" s="238" t="s">
        <v>1977</v>
      </c>
      <c r="C1104" s="238" t="str">
        <f>("3")</f>
        <v>3</v>
      </c>
      <c r="D1104" s="238" t="s">
        <v>235</v>
      </c>
      <c r="E1104" s="380" t="s">
        <v>7987</v>
      </c>
      <c r="F1104" s="380" t="s">
        <v>14901</v>
      </c>
      <c r="G1104" s="380">
        <v>5</v>
      </c>
      <c r="H1104" s="380" t="s">
        <v>1478</v>
      </c>
    </row>
    <row r="1105" spans="1:9" x14ac:dyDescent="0.25">
      <c r="A1105" s="247" t="str">
        <f t="shared" si="17"/>
        <v>森岡サッカースポーツ少年団_4</v>
      </c>
      <c r="B1105" s="238" t="s">
        <v>1977</v>
      </c>
      <c r="C1105" s="238" t="str">
        <f>("4")</f>
        <v>4</v>
      </c>
      <c r="D1105" s="238" t="s">
        <v>235</v>
      </c>
      <c r="E1105" s="380" t="s">
        <v>6072</v>
      </c>
      <c r="F1105" s="380" t="s">
        <v>6634</v>
      </c>
      <c r="G1105" s="380">
        <v>6</v>
      </c>
      <c r="H1105" s="380" t="s">
        <v>1478</v>
      </c>
    </row>
    <row r="1106" spans="1:9" x14ac:dyDescent="0.25">
      <c r="A1106" s="247" t="str">
        <f t="shared" si="17"/>
        <v>森岡サッカースポーツ少年団_5</v>
      </c>
      <c r="B1106" s="238" t="s">
        <v>1977</v>
      </c>
      <c r="C1106" s="238" t="str">
        <f>("5")</f>
        <v>5</v>
      </c>
      <c r="D1106" s="238" t="s">
        <v>235</v>
      </c>
      <c r="E1106" s="380" t="s">
        <v>6067</v>
      </c>
      <c r="F1106" s="380" t="s">
        <v>6628</v>
      </c>
      <c r="G1106" s="380">
        <v>6</v>
      </c>
      <c r="H1106" s="380" t="s">
        <v>1478</v>
      </c>
    </row>
    <row r="1107" spans="1:9" x14ac:dyDescent="0.25">
      <c r="A1107" s="247" t="str">
        <f t="shared" si="17"/>
        <v>森岡サッカースポーツ少年団_7</v>
      </c>
      <c r="B1107" s="238" t="s">
        <v>1977</v>
      </c>
      <c r="C1107" s="238" t="str">
        <f>("7")</f>
        <v>7</v>
      </c>
      <c r="D1107" s="238" t="s">
        <v>798</v>
      </c>
      <c r="E1107" s="380" t="s">
        <v>6071</v>
      </c>
      <c r="F1107" s="380" t="s">
        <v>6633</v>
      </c>
      <c r="G1107" s="380">
        <v>5</v>
      </c>
      <c r="H1107" s="380" t="s">
        <v>1478</v>
      </c>
    </row>
    <row r="1108" spans="1:9" x14ac:dyDescent="0.25">
      <c r="A1108" s="247" t="str">
        <f t="shared" si="17"/>
        <v>森岡サッカースポーツ少年団_8</v>
      </c>
      <c r="B1108" s="238" t="s">
        <v>1977</v>
      </c>
      <c r="C1108" s="238" t="str">
        <f>("8")</f>
        <v>8</v>
      </c>
      <c r="D1108" s="238" t="s">
        <v>798</v>
      </c>
      <c r="E1108" s="380" t="s">
        <v>6074</v>
      </c>
      <c r="F1108" s="380" t="s">
        <v>6636</v>
      </c>
      <c r="G1108" s="380">
        <v>5</v>
      </c>
      <c r="H1108" s="380" t="s">
        <v>1478</v>
      </c>
    </row>
    <row r="1109" spans="1:9" x14ac:dyDescent="0.25">
      <c r="A1109" s="247" t="str">
        <f t="shared" si="17"/>
        <v>森岡サッカースポーツ少年団_9</v>
      </c>
      <c r="B1109" s="238" t="s">
        <v>1977</v>
      </c>
      <c r="C1109" s="238" t="str">
        <f>("9")</f>
        <v>9</v>
      </c>
      <c r="D1109" s="238" t="s">
        <v>280</v>
      </c>
      <c r="E1109" s="380" t="s">
        <v>7995</v>
      </c>
      <c r="F1109" s="380" t="s">
        <v>6631</v>
      </c>
      <c r="G1109" s="380">
        <v>5</v>
      </c>
      <c r="H1109" s="380" t="s">
        <v>1478</v>
      </c>
    </row>
    <row r="1110" spans="1:9" x14ac:dyDescent="0.25">
      <c r="A1110" s="247" t="str">
        <f t="shared" si="17"/>
        <v>森岡サッカースポーツ少年団_10</v>
      </c>
      <c r="B1110" s="238" t="s">
        <v>1977</v>
      </c>
      <c r="C1110" s="238" t="str">
        <f>("10")</f>
        <v>10</v>
      </c>
      <c r="D1110" s="238" t="s">
        <v>235</v>
      </c>
      <c r="E1110" s="380" t="s">
        <v>6068</v>
      </c>
      <c r="F1110" s="380" t="s">
        <v>6629</v>
      </c>
      <c r="G1110" s="380">
        <v>6</v>
      </c>
      <c r="H1110" s="380" t="s">
        <v>1478</v>
      </c>
      <c r="I1110" s="380" t="s">
        <v>408</v>
      </c>
    </row>
    <row r="1111" spans="1:9" x14ac:dyDescent="0.25">
      <c r="A1111" s="247" t="str">
        <f t="shared" si="17"/>
        <v>森岡サッカースポーツ少年団_11</v>
      </c>
      <c r="B1111" s="238" t="s">
        <v>1977</v>
      </c>
      <c r="C1111" s="238" t="str">
        <f>("11")</f>
        <v>11</v>
      </c>
      <c r="D1111" s="238" t="s">
        <v>798</v>
      </c>
      <c r="E1111" s="380" t="s">
        <v>9128</v>
      </c>
      <c r="F1111" s="380" t="s">
        <v>14902</v>
      </c>
      <c r="G1111" s="380">
        <v>4</v>
      </c>
      <c r="H1111" s="380" t="s">
        <v>1478</v>
      </c>
    </row>
    <row r="1112" spans="1:9" x14ac:dyDescent="0.25">
      <c r="A1112" s="247" t="str">
        <f t="shared" si="17"/>
        <v>森岡サッカースポーツ少年団_12</v>
      </c>
      <c r="B1112" s="238" t="s">
        <v>1977</v>
      </c>
      <c r="C1112" s="238" t="str">
        <f>("12")</f>
        <v>12</v>
      </c>
      <c r="D1112" s="238" t="s">
        <v>796</v>
      </c>
      <c r="E1112" s="380" t="s">
        <v>6066</v>
      </c>
      <c r="F1112" s="380" t="s">
        <v>6627</v>
      </c>
      <c r="G1112" s="380">
        <v>6</v>
      </c>
      <c r="H1112" s="380" t="s">
        <v>1478</v>
      </c>
    </row>
    <row r="1113" spans="1:9" x14ac:dyDescent="0.25">
      <c r="A1113" s="247" t="str">
        <f t="shared" si="17"/>
        <v>森岡サッカースポーツ少年団_14</v>
      </c>
      <c r="B1113" s="238" t="s">
        <v>1977</v>
      </c>
      <c r="C1113" s="238" t="str">
        <f>("14")</f>
        <v>14</v>
      </c>
      <c r="D1113" s="238" t="s">
        <v>280</v>
      </c>
      <c r="E1113" s="380" t="s">
        <v>6073</v>
      </c>
      <c r="F1113" s="380" t="s">
        <v>6635</v>
      </c>
      <c r="G1113" s="380">
        <v>4</v>
      </c>
      <c r="H1113" s="380" t="s">
        <v>1478</v>
      </c>
    </row>
    <row r="1114" spans="1:9" x14ac:dyDescent="0.25">
      <c r="A1114" s="247" t="str">
        <f t="shared" si="17"/>
        <v>森岡サッカースポーツ少年団_15</v>
      </c>
      <c r="B1114" s="238" t="s">
        <v>1977</v>
      </c>
      <c r="C1114" s="238" t="str">
        <f>("15")</f>
        <v>15</v>
      </c>
      <c r="D1114" s="238" t="s">
        <v>235</v>
      </c>
      <c r="E1114" s="380" t="s">
        <v>9410</v>
      </c>
      <c r="F1114" s="380" t="s">
        <v>14903</v>
      </c>
      <c r="G1114" s="380">
        <v>4</v>
      </c>
      <c r="H1114" s="380" t="s">
        <v>1478</v>
      </c>
    </row>
    <row r="1115" spans="1:9" x14ac:dyDescent="0.25">
      <c r="A1115" s="247" t="str">
        <f t="shared" si="17"/>
        <v>森岡サッカースポーツ少年団_16</v>
      </c>
      <c r="B1115" s="238" t="s">
        <v>1977</v>
      </c>
      <c r="C1115" s="238" t="str">
        <f>("16")</f>
        <v>16</v>
      </c>
      <c r="D1115" s="238" t="s">
        <v>280</v>
      </c>
      <c r="E1115" s="380" t="s">
        <v>9673</v>
      </c>
      <c r="F1115" s="380" t="s">
        <v>14904</v>
      </c>
      <c r="G1115" s="380">
        <v>4</v>
      </c>
      <c r="H1115" s="380" t="s">
        <v>1478</v>
      </c>
    </row>
    <row r="1116" spans="1:9" x14ac:dyDescent="0.25">
      <c r="A1116" s="247" t="str">
        <f t="shared" si="17"/>
        <v>由布川サッカースポーツ少年団_1</v>
      </c>
      <c r="B1116" s="238" t="s">
        <v>2594</v>
      </c>
      <c r="C1116" s="238" t="str">
        <f>("1")</f>
        <v>1</v>
      </c>
      <c r="D1116" s="238" t="s">
        <v>280</v>
      </c>
      <c r="E1116" s="380" t="s">
        <v>4721</v>
      </c>
      <c r="F1116" s="380" t="s">
        <v>4722</v>
      </c>
      <c r="G1116" s="380">
        <v>6</v>
      </c>
      <c r="H1116" s="380" t="s">
        <v>1478</v>
      </c>
      <c r="I1116" s="380" t="s">
        <v>408</v>
      </c>
    </row>
    <row r="1117" spans="1:9" x14ac:dyDescent="0.25">
      <c r="A1117" s="247" t="str">
        <f t="shared" si="17"/>
        <v>由布川サッカースポーツ少年団_3</v>
      </c>
      <c r="B1117" s="238" t="s">
        <v>2594</v>
      </c>
      <c r="C1117" s="238" t="str">
        <f>("3")</f>
        <v>3</v>
      </c>
      <c r="D1117" s="238" t="s">
        <v>798</v>
      </c>
      <c r="E1117" s="380" t="s">
        <v>6076</v>
      </c>
      <c r="F1117" s="380" t="s">
        <v>4822</v>
      </c>
      <c r="G1117" s="380">
        <v>5</v>
      </c>
      <c r="H1117" s="380" t="s">
        <v>1478</v>
      </c>
    </row>
    <row r="1118" spans="1:9" x14ac:dyDescent="0.25">
      <c r="A1118" s="247" t="str">
        <f t="shared" si="17"/>
        <v>由布川サッカースポーツ少年団_4</v>
      </c>
      <c r="B1118" s="238" t="s">
        <v>2594</v>
      </c>
      <c r="C1118" s="238" t="str">
        <f>("4")</f>
        <v>4</v>
      </c>
      <c r="D1118" s="238" t="s">
        <v>280</v>
      </c>
      <c r="E1118" s="380" t="s">
        <v>8114</v>
      </c>
      <c r="F1118" s="380" t="s">
        <v>4240</v>
      </c>
      <c r="G1118" s="380">
        <v>5</v>
      </c>
      <c r="H1118" s="380" t="s">
        <v>1478</v>
      </c>
    </row>
    <row r="1119" spans="1:9" x14ac:dyDescent="0.25">
      <c r="A1119" s="247" t="str">
        <f t="shared" si="17"/>
        <v>由布川サッカースポーツ少年団_5</v>
      </c>
      <c r="B1119" s="238" t="s">
        <v>2594</v>
      </c>
      <c r="C1119" s="238" t="str">
        <f>("5")</f>
        <v>5</v>
      </c>
      <c r="D1119" s="238" t="s">
        <v>235</v>
      </c>
      <c r="E1119" s="380" t="s">
        <v>8177</v>
      </c>
      <c r="F1119" s="380" t="s">
        <v>14905</v>
      </c>
      <c r="G1119" s="380">
        <v>5</v>
      </c>
      <c r="H1119" s="380" t="s">
        <v>1478</v>
      </c>
    </row>
    <row r="1120" spans="1:9" x14ac:dyDescent="0.25">
      <c r="A1120" s="247" t="str">
        <f t="shared" si="17"/>
        <v>由布川サッカースポーツ少年団_6</v>
      </c>
      <c r="B1120" s="238" t="s">
        <v>2594</v>
      </c>
      <c r="C1120" s="238" t="str">
        <f>("6")</f>
        <v>6</v>
      </c>
      <c r="D1120" s="238" t="s">
        <v>798</v>
      </c>
      <c r="E1120" s="380" t="s">
        <v>8297</v>
      </c>
      <c r="F1120" s="380" t="s">
        <v>14906</v>
      </c>
      <c r="G1120" s="380">
        <v>5</v>
      </c>
      <c r="H1120" s="380" t="s">
        <v>1478</v>
      </c>
    </row>
    <row r="1121" spans="1:8" x14ac:dyDescent="0.25">
      <c r="A1121" s="247" t="str">
        <f t="shared" si="17"/>
        <v>由布川サッカースポーツ少年団_7</v>
      </c>
      <c r="B1121" s="238" t="s">
        <v>2594</v>
      </c>
      <c r="C1121" s="238" t="str">
        <f>("7")</f>
        <v>7</v>
      </c>
      <c r="D1121" s="238" t="s">
        <v>798</v>
      </c>
      <c r="E1121" s="380" t="s">
        <v>8308</v>
      </c>
      <c r="F1121" s="380" t="s">
        <v>14907</v>
      </c>
      <c r="G1121" s="380">
        <v>5</v>
      </c>
      <c r="H1121" s="380" t="s">
        <v>1478</v>
      </c>
    </row>
    <row r="1122" spans="1:8" x14ac:dyDescent="0.25">
      <c r="A1122" s="247" t="str">
        <f t="shared" si="17"/>
        <v>由布川サッカースポーツ少年団_8</v>
      </c>
      <c r="B1122" s="238" t="s">
        <v>2594</v>
      </c>
      <c r="C1122" s="238" t="str">
        <f>("8")</f>
        <v>8</v>
      </c>
      <c r="D1122" s="238" t="s">
        <v>798</v>
      </c>
      <c r="E1122" s="380" t="s">
        <v>9076</v>
      </c>
      <c r="F1122" s="380" t="s">
        <v>14908</v>
      </c>
      <c r="G1122" s="380">
        <v>4</v>
      </c>
      <c r="H1122" s="380" t="s">
        <v>1478</v>
      </c>
    </row>
    <row r="1123" spans="1:8" x14ac:dyDescent="0.25">
      <c r="A1123" s="247" t="str">
        <f t="shared" si="17"/>
        <v>由布川サッカースポーツ少年団_9</v>
      </c>
      <c r="B1123" s="238" t="s">
        <v>2594</v>
      </c>
      <c r="C1123" s="238" t="str">
        <f>("9")</f>
        <v>9</v>
      </c>
      <c r="D1123" s="238" t="s">
        <v>235</v>
      </c>
      <c r="E1123" s="380" t="s">
        <v>9097</v>
      </c>
      <c r="F1123" s="380" t="s">
        <v>14909</v>
      </c>
      <c r="G1123" s="380">
        <v>4</v>
      </c>
      <c r="H1123" s="380" t="s">
        <v>1478</v>
      </c>
    </row>
    <row r="1124" spans="1:8" x14ac:dyDescent="0.25">
      <c r="A1124" s="247" t="str">
        <f t="shared" si="17"/>
        <v>由布川サッカースポーツ少年団_10</v>
      </c>
      <c r="B1124" s="238" t="s">
        <v>2594</v>
      </c>
      <c r="C1124" s="238" t="str">
        <f>("10")</f>
        <v>10</v>
      </c>
      <c r="D1124" s="238" t="s">
        <v>280</v>
      </c>
      <c r="E1124" s="380" t="s">
        <v>9968</v>
      </c>
      <c r="F1124" s="380" t="s">
        <v>14910</v>
      </c>
      <c r="G1124" s="380">
        <v>3</v>
      </c>
      <c r="H1124" s="380" t="s">
        <v>1478</v>
      </c>
    </row>
    <row r="1125" spans="1:8" x14ac:dyDescent="0.25">
      <c r="A1125" s="247" t="str">
        <f t="shared" si="17"/>
        <v>由布川サッカースポーツ少年団_11</v>
      </c>
      <c r="B1125" s="238" t="s">
        <v>2594</v>
      </c>
      <c r="C1125" s="238" t="str">
        <f>("11")</f>
        <v>11</v>
      </c>
      <c r="D1125" s="238" t="s">
        <v>798</v>
      </c>
      <c r="E1125" s="380" t="s">
        <v>4717</v>
      </c>
      <c r="F1125" s="380" t="s">
        <v>4718</v>
      </c>
      <c r="G1125" s="380">
        <v>6</v>
      </c>
      <c r="H1125" s="380" t="s">
        <v>1478</v>
      </c>
    </row>
    <row r="1126" spans="1:8" x14ac:dyDescent="0.25">
      <c r="A1126" s="247" t="str">
        <f t="shared" si="17"/>
        <v>由布川サッカースポーツ少年団_12</v>
      </c>
      <c r="B1126" s="238" t="s">
        <v>2594</v>
      </c>
      <c r="C1126" s="238" t="str">
        <f>("12")</f>
        <v>12</v>
      </c>
      <c r="D1126" s="238" t="s">
        <v>798</v>
      </c>
      <c r="E1126" s="380" t="s">
        <v>9342</v>
      </c>
      <c r="F1126" s="380" t="s">
        <v>14911</v>
      </c>
      <c r="G1126" s="380">
        <v>4</v>
      </c>
      <c r="H1126" s="380" t="s">
        <v>1478</v>
      </c>
    </row>
    <row r="1127" spans="1:8" x14ac:dyDescent="0.25">
      <c r="A1127" s="247" t="str">
        <f t="shared" si="17"/>
        <v>由布川サッカースポーツ少年団_13</v>
      </c>
      <c r="B1127" s="238" t="s">
        <v>2594</v>
      </c>
      <c r="C1127" s="238" t="str">
        <f>("13")</f>
        <v>13</v>
      </c>
      <c r="D1127" s="238" t="s">
        <v>798</v>
      </c>
      <c r="E1127" s="380" t="s">
        <v>9421</v>
      </c>
      <c r="F1127" s="380" t="s">
        <v>14912</v>
      </c>
      <c r="G1127" s="380">
        <v>4</v>
      </c>
      <c r="H1127" s="380" t="s">
        <v>1478</v>
      </c>
    </row>
    <row r="1128" spans="1:8" x14ac:dyDescent="0.25">
      <c r="A1128" s="247" t="str">
        <f t="shared" si="17"/>
        <v>由布川サッカースポーツ少年団_15</v>
      </c>
      <c r="B1128" s="238" t="s">
        <v>2594</v>
      </c>
      <c r="C1128" s="238" t="str">
        <f>("15")</f>
        <v>15</v>
      </c>
      <c r="D1128" s="238" t="s">
        <v>798</v>
      </c>
      <c r="E1128" s="380" t="s">
        <v>8206</v>
      </c>
      <c r="F1128" s="380" t="s">
        <v>14913</v>
      </c>
      <c r="G1128" s="380">
        <v>5</v>
      </c>
      <c r="H1128" s="380" t="s">
        <v>1478</v>
      </c>
    </row>
    <row r="1129" spans="1:8" x14ac:dyDescent="0.25">
      <c r="A1129" s="247" t="str">
        <f t="shared" si="17"/>
        <v>由布川サッカースポーツ少年団_16</v>
      </c>
      <c r="B1129" s="238" t="s">
        <v>2594</v>
      </c>
      <c r="C1129" s="238" t="str">
        <f>("16")</f>
        <v>16</v>
      </c>
      <c r="D1129" s="238" t="s">
        <v>796</v>
      </c>
      <c r="E1129" s="380" t="s">
        <v>6077</v>
      </c>
      <c r="F1129" s="380" t="s">
        <v>6637</v>
      </c>
      <c r="G1129" s="380">
        <v>5</v>
      </c>
      <c r="H1129" s="380" t="s">
        <v>1478</v>
      </c>
    </row>
    <row r="1130" spans="1:8" x14ac:dyDescent="0.25">
      <c r="A1130" s="247" t="str">
        <f t="shared" si="17"/>
        <v>由布川サッカースポーツ少年団_17</v>
      </c>
      <c r="B1130" s="238" t="s">
        <v>2594</v>
      </c>
      <c r="C1130" s="238" t="str">
        <f>("17")</f>
        <v>17</v>
      </c>
      <c r="D1130" s="238" t="s">
        <v>235</v>
      </c>
      <c r="E1130" s="380" t="s">
        <v>9265</v>
      </c>
      <c r="F1130" s="380" t="s">
        <v>14914</v>
      </c>
      <c r="G1130" s="380">
        <v>4</v>
      </c>
      <c r="H1130" s="380" t="s">
        <v>1478</v>
      </c>
    </row>
    <row r="1131" spans="1:8" x14ac:dyDescent="0.25">
      <c r="A1131" s="247" t="str">
        <f t="shared" si="17"/>
        <v>ＫＩＮＧＳ　ＦＯＯＴＢＡＬＬＣＬＵＢ　Ｕ－１２_1</v>
      </c>
      <c r="B1131" s="238" t="s">
        <v>829</v>
      </c>
      <c r="C1131" s="238" t="str">
        <f>("1")</f>
        <v>1</v>
      </c>
      <c r="D1131" s="238" t="s">
        <v>796</v>
      </c>
      <c r="E1131" s="380" t="s">
        <v>6080</v>
      </c>
      <c r="F1131" s="380" t="s">
        <v>6640</v>
      </c>
      <c r="G1131" s="380">
        <v>6</v>
      </c>
      <c r="H1131" s="380" t="s">
        <v>1478</v>
      </c>
    </row>
    <row r="1132" spans="1:8" x14ac:dyDescent="0.25">
      <c r="A1132" s="247" t="str">
        <f t="shared" si="17"/>
        <v>ＫＩＮＧＳ　ＦＯＯＴＢＡＬＬＣＬＵＢ　Ｕ－１２_2</v>
      </c>
      <c r="B1132" s="238" t="s">
        <v>829</v>
      </c>
      <c r="C1132" s="238" t="str">
        <f>("2")</f>
        <v>2</v>
      </c>
      <c r="D1132" s="238" t="s">
        <v>235</v>
      </c>
      <c r="E1132" s="380" t="s">
        <v>9103</v>
      </c>
      <c r="F1132" s="380" t="s">
        <v>14915</v>
      </c>
      <c r="G1132" s="380">
        <v>4</v>
      </c>
      <c r="H1132" s="380" t="s">
        <v>1478</v>
      </c>
    </row>
    <row r="1133" spans="1:8" x14ac:dyDescent="0.25">
      <c r="A1133" s="247" t="str">
        <f t="shared" si="17"/>
        <v>ＫＩＮＧＳ　ＦＯＯＴＢＡＬＬＣＬＵＢ　Ｕ－１２_3</v>
      </c>
      <c r="B1133" s="238" t="s">
        <v>829</v>
      </c>
      <c r="C1133" s="238" t="str">
        <f>("3")</f>
        <v>3</v>
      </c>
      <c r="D1133" s="238" t="s">
        <v>280</v>
      </c>
      <c r="E1133" s="380" t="s">
        <v>6086</v>
      </c>
      <c r="F1133" s="380" t="s">
        <v>6646</v>
      </c>
      <c r="G1133" s="380">
        <v>6</v>
      </c>
      <c r="H1133" s="380" t="s">
        <v>1478</v>
      </c>
    </row>
    <row r="1134" spans="1:8" x14ac:dyDescent="0.25">
      <c r="A1134" s="247" t="str">
        <f t="shared" si="17"/>
        <v>ＫＩＮＧＳ　ＦＯＯＴＢＡＬＬＣＬＵＢ　Ｕ－１２_4</v>
      </c>
      <c r="B1134" s="238" t="s">
        <v>829</v>
      </c>
      <c r="C1134" s="238" t="str">
        <f>("4")</f>
        <v>4</v>
      </c>
      <c r="D1134" s="238" t="s">
        <v>235</v>
      </c>
      <c r="E1134" s="380" t="s">
        <v>6084</v>
      </c>
      <c r="F1134" s="380" t="s">
        <v>6644</v>
      </c>
      <c r="G1134" s="380">
        <v>6</v>
      </c>
      <c r="H1134" s="380" t="s">
        <v>1478</v>
      </c>
    </row>
    <row r="1135" spans="1:8" x14ac:dyDescent="0.25">
      <c r="A1135" s="247" t="str">
        <f t="shared" si="17"/>
        <v>ＫＩＮＧＳ　ＦＯＯＴＢＡＬＬＣＬＵＢ　Ｕ－１２_5</v>
      </c>
      <c r="B1135" s="238" t="s">
        <v>829</v>
      </c>
      <c r="C1135" s="238" t="str">
        <f>("5")</f>
        <v>5</v>
      </c>
      <c r="D1135" s="238" t="s">
        <v>235</v>
      </c>
      <c r="E1135" s="380" t="s">
        <v>7884</v>
      </c>
      <c r="F1135" s="380" t="s">
        <v>14916</v>
      </c>
      <c r="G1135" s="380">
        <v>5</v>
      </c>
      <c r="H1135" s="380" t="s">
        <v>1478</v>
      </c>
    </row>
    <row r="1136" spans="1:8" x14ac:dyDescent="0.25">
      <c r="A1136" s="247" t="str">
        <f t="shared" si="17"/>
        <v>ＫＩＮＧＳ　ＦＯＯＴＢＡＬＬＣＬＵＢ　Ｕ－１２_6</v>
      </c>
      <c r="B1136" s="238" t="s">
        <v>829</v>
      </c>
      <c r="C1136" s="238" t="str">
        <f>("6")</f>
        <v>6</v>
      </c>
      <c r="D1136" s="238" t="s">
        <v>798</v>
      </c>
      <c r="E1136" s="380" t="s">
        <v>6083</v>
      </c>
      <c r="F1136" s="380" t="s">
        <v>6643</v>
      </c>
      <c r="G1136" s="380">
        <v>6</v>
      </c>
      <c r="H1136" s="380" t="s">
        <v>1478</v>
      </c>
    </row>
    <row r="1137" spans="1:9" x14ac:dyDescent="0.25">
      <c r="A1137" s="247" t="str">
        <f t="shared" si="17"/>
        <v>ＫＩＮＧＳ　ＦＯＯＴＢＡＬＬＣＬＵＢ　Ｕ－１２_7</v>
      </c>
      <c r="B1137" s="238" t="s">
        <v>829</v>
      </c>
      <c r="C1137" s="238" t="str">
        <f>("7")</f>
        <v>7</v>
      </c>
      <c r="D1137" s="238" t="s">
        <v>798</v>
      </c>
      <c r="E1137" s="380" t="s">
        <v>6085</v>
      </c>
      <c r="F1137" s="380" t="s">
        <v>6645</v>
      </c>
      <c r="G1137" s="380">
        <v>6</v>
      </c>
      <c r="H1137" s="380" t="s">
        <v>1478</v>
      </c>
    </row>
    <row r="1138" spans="1:9" x14ac:dyDescent="0.25">
      <c r="A1138" s="247" t="str">
        <f t="shared" si="17"/>
        <v>ＫＩＮＧＳ　ＦＯＯＴＢＡＬＬＣＬＵＢ　Ｕ－１２_8</v>
      </c>
      <c r="B1138" s="238" t="s">
        <v>829</v>
      </c>
      <c r="C1138" s="238" t="str">
        <f>("8")</f>
        <v>8</v>
      </c>
      <c r="D1138" s="238" t="s">
        <v>798</v>
      </c>
      <c r="E1138" s="380" t="s">
        <v>6081</v>
      </c>
      <c r="F1138" s="380" t="s">
        <v>6641</v>
      </c>
      <c r="G1138" s="380">
        <v>6</v>
      </c>
      <c r="H1138" s="380" t="s">
        <v>1478</v>
      </c>
    </row>
    <row r="1139" spans="1:9" x14ac:dyDescent="0.25">
      <c r="A1139" s="247" t="str">
        <f t="shared" si="17"/>
        <v>ＫＩＮＧＳ　ＦＯＯＴＢＡＬＬＣＬＵＢ　Ｕ－１２_9</v>
      </c>
      <c r="B1139" s="238" t="s">
        <v>829</v>
      </c>
      <c r="C1139" s="238" t="str">
        <f>("9")</f>
        <v>9</v>
      </c>
      <c r="D1139" s="238" t="s">
        <v>280</v>
      </c>
      <c r="E1139" s="380" t="s">
        <v>6079</v>
      </c>
      <c r="F1139" s="380" t="s">
        <v>6639</v>
      </c>
      <c r="G1139" s="380">
        <v>6</v>
      </c>
      <c r="H1139" s="380" t="s">
        <v>1478</v>
      </c>
    </row>
    <row r="1140" spans="1:9" x14ac:dyDescent="0.25">
      <c r="A1140" s="247" t="str">
        <f t="shared" si="17"/>
        <v>ＫＩＮＧＳ　ＦＯＯＴＢＡＬＬＣＬＵＢ　Ｕ－１２_10</v>
      </c>
      <c r="B1140" s="238" t="s">
        <v>829</v>
      </c>
      <c r="C1140" s="238" t="str">
        <f>("10")</f>
        <v>10</v>
      </c>
      <c r="D1140" s="238" t="s">
        <v>798</v>
      </c>
      <c r="E1140" s="380" t="s">
        <v>4725</v>
      </c>
      <c r="F1140" s="380" t="s">
        <v>4726</v>
      </c>
      <c r="G1140" s="380">
        <v>6</v>
      </c>
      <c r="H1140" s="380" t="s">
        <v>1478</v>
      </c>
      <c r="I1140" s="380" t="s">
        <v>408</v>
      </c>
    </row>
    <row r="1141" spans="1:9" x14ac:dyDescent="0.25">
      <c r="A1141" s="247" t="str">
        <f t="shared" si="17"/>
        <v>ＫＩＮＧＳ　ＦＯＯＴＢＡＬＬＣＬＵＢ　Ｕ－１２_11</v>
      </c>
      <c r="B1141" s="238" t="s">
        <v>829</v>
      </c>
      <c r="C1141" s="238" t="str">
        <f>("11")</f>
        <v>11</v>
      </c>
      <c r="D1141" s="238" t="s">
        <v>280</v>
      </c>
      <c r="E1141" s="380" t="s">
        <v>6082</v>
      </c>
      <c r="F1141" s="380" t="s">
        <v>6642</v>
      </c>
      <c r="G1141" s="380">
        <v>6</v>
      </c>
      <c r="H1141" s="380" t="s">
        <v>1478</v>
      </c>
    </row>
    <row r="1142" spans="1:9" x14ac:dyDescent="0.25">
      <c r="A1142" s="247" t="str">
        <f t="shared" si="17"/>
        <v>ＫＩＮＧＳ　ＦＯＯＴＢＡＬＬＣＬＵＢ　Ｕ－１２_12</v>
      </c>
      <c r="B1142" s="238" t="s">
        <v>829</v>
      </c>
      <c r="C1142" s="238" t="str">
        <f>("12")</f>
        <v>12</v>
      </c>
      <c r="D1142" s="238" t="s">
        <v>796</v>
      </c>
      <c r="E1142" s="380" t="s">
        <v>8476</v>
      </c>
      <c r="F1142" s="380" t="s">
        <v>14917</v>
      </c>
      <c r="G1142" s="380">
        <v>5</v>
      </c>
      <c r="H1142" s="380" t="s">
        <v>1478</v>
      </c>
    </row>
    <row r="1143" spans="1:9" x14ac:dyDescent="0.25">
      <c r="A1143" s="247" t="str">
        <f t="shared" si="17"/>
        <v>ＫＩＮＧＳ　ＦＯＯＴＢＡＬＬＣＬＵＢ　Ｕ－１２_13</v>
      </c>
      <c r="B1143" s="238" t="s">
        <v>829</v>
      </c>
      <c r="C1143" s="238" t="str">
        <f>("13")</f>
        <v>13</v>
      </c>
      <c r="D1143" s="238" t="s">
        <v>280</v>
      </c>
      <c r="E1143" s="380" t="s">
        <v>7965</v>
      </c>
      <c r="F1143" s="380" t="s">
        <v>14918</v>
      </c>
      <c r="G1143" s="380">
        <v>5</v>
      </c>
      <c r="H1143" s="380" t="s">
        <v>1478</v>
      </c>
    </row>
    <row r="1144" spans="1:9" x14ac:dyDescent="0.25">
      <c r="A1144" s="247" t="str">
        <f t="shared" si="17"/>
        <v>ＫＩＮＧＳ　ＦＯＯＴＢＡＬＬＣＬＵＢ　Ｕ－１２_14</v>
      </c>
      <c r="B1144" s="238" t="s">
        <v>829</v>
      </c>
      <c r="C1144" s="238" t="str">
        <f>("14")</f>
        <v>14</v>
      </c>
      <c r="D1144" s="238" t="s">
        <v>798</v>
      </c>
      <c r="E1144" s="380" t="s">
        <v>9571</v>
      </c>
      <c r="F1144" s="380" t="s">
        <v>14919</v>
      </c>
      <c r="G1144" s="380">
        <v>4</v>
      </c>
      <c r="H1144" s="380" t="s">
        <v>1478</v>
      </c>
    </row>
    <row r="1145" spans="1:9" x14ac:dyDescent="0.25">
      <c r="A1145" s="247" t="str">
        <f t="shared" si="17"/>
        <v>ＫＩＮＧＳ　ＦＯＯＴＢＡＬＬＣＬＵＢ　Ｕ－１２_15</v>
      </c>
      <c r="B1145" s="238" t="s">
        <v>829</v>
      </c>
      <c r="C1145" s="238" t="str">
        <f>("15")</f>
        <v>15</v>
      </c>
      <c r="D1145" s="238" t="s">
        <v>235</v>
      </c>
      <c r="E1145" s="380" t="s">
        <v>8097</v>
      </c>
      <c r="F1145" s="380" t="s">
        <v>14920</v>
      </c>
      <c r="G1145" s="380">
        <v>5</v>
      </c>
      <c r="H1145" s="380" t="s">
        <v>1478</v>
      </c>
    </row>
    <row r="1146" spans="1:9" x14ac:dyDescent="0.25">
      <c r="A1146" s="247" t="str">
        <f t="shared" si="17"/>
        <v>ＫＩＮＧＳ　ＦＯＯＴＢＡＬＬＣＬＵＢ　Ｕ－１２_16</v>
      </c>
      <c r="B1146" s="238" t="s">
        <v>829</v>
      </c>
      <c r="C1146" s="238" t="str">
        <f>("16")</f>
        <v>16</v>
      </c>
      <c r="D1146" s="238" t="s">
        <v>235</v>
      </c>
      <c r="E1146" s="380" t="s">
        <v>8236</v>
      </c>
      <c r="F1146" s="380" t="s">
        <v>14921</v>
      </c>
      <c r="G1146" s="380">
        <v>5</v>
      </c>
      <c r="H1146" s="380" t="s">
        <v>1478</v>
      </c>
    </row>
    <row r="1147" spans="1:9" x14ac:dyDescent="0.25">
      <c r="A1147" s="247" t="str">
        <f t="shared" si="17"/>
        <v>ＫＩＮＧＳ　ＦＯＯＴＢＡＬＬＣＬＵＢ　Ｕ－１２_17</v>
      </c>
      <c r="B1147" s="238" t="s">
        <v>829</v>
      </c>
      <c r="C1147" s="238" t="str">
        <f>("17")</f>
        <v>17</v>
      </c>
      <c r="D1147" s="238" t="s">
        <v>798</v>
      </c>
      <c r="E1147" s="380" t="s">
        <v>9137</v>
      </c>
      <c r="F1147" s="380" t="s">
        <v>14922</v>
      </c>
      <c r="G1147" s="380">
        <v>4</v>
      </c>
      <c r="H1147" s="380" t="s">
        <v>1478</v>
      </c>
    </row>
    <row r="1148" spans="1:9" x14ac:dyDescent="0.25">
      <c r="A1148" s="247" t="str">
        <f t="shared" si="17"/>
        <v>ＫＩＮＧＳ　ＦＯＯＴＢＡＬＬＣＬＵＢ　Ｕ－１２_18</v>
      </c>
      <c r="B1148" s="238" t="s">
        <v>829</v>
      </c>
      <c r="C1148" s="238" t="str">
        <f>("18")</f>
        <v>18</v>
      </c>
      <c r="D1148" s="238" t="s">
        <v>235</v>
      </c>
      <c r="E1148" s="380" t="s">
        <v>9970</v>
      </c>
      <c r="F1148" s="380" t="s">
        <v>14923</v>
      </c>
      <c r="G1148" s="380">
        <v>3</v>
      </c>
      <c r="H1148" s="380" t="s">
        <v>1478</v>
      </c>
    </row>
    <row r="1149" spans="1:9" x14ac:dyDescent="0.25">
      <c r="A1149" s="247" t="str">
        <f t="shared" si="17"/>
        <v>スマイスＦＣ_1</v>
      </c>
      <c r="B1149" s="238" t="s">
        <v>2600</v>
      </c>
      <c r="C1149" s="238" t="str">
        <f>("1")</f>
        <v>1</v>
      </c>
      <c r="D1149" s="238" t="s">
        <v>796</v>
      </c>
      <c r="E1149" s="380" t="s">
        <v>8212</v>
      </c>
      <c r="F1149" s="380" t="s">
        <v>14924</v>
      </c>
      <c r="G1149" s="380">
        <v>5</v>
      </c>
      <c r="H1149" s="380" t="s">
        <v>1478</v>
      </c>
    </row>
    <row r="1150" spans="1:9" x14ac:dyDescent="0.25">
      <c r="A1150" s="247" t="str">
        <f t="shared" si="17"/>
        <v>スマイスＦＣ_2</v>
      </c>
      <c r="B1150" s="238" t="s">
        <v>2600</v>
      </c>
      <c r="C1150" s="238" t="str">
        <f>("2")</f>
        <v>2</v>
      </c>
      <c r="D1150" s="238" t="s">
        <v>798</v>
      </c>
      <c r="E1150" s="380" t="s">
        <v>8120</v>
      </c>
      <c r="F1150" s="380" t="s">
        <v>14925</v>
      </c>
      <c r="G1150" s="380">
        <v>5</v>
      </c>
      <c r="H1150" s="380" t="s">
        <v>1478</v>
      </c>
    </row>
    <row r="1151" spans="1:9" x14ac:dyDescent="0.25">
      <c r="A1151" s="247" t="str">
        <f t="shared" si="17"/>
        <v>スマイスＦＣ_3</v>
      </c>
      <c r="B1151" s="238" t="s">
        <v>2600</v>
      </c>
      <c r="C1151" s="238" t="str">
        <f>("3")</f>
        <v>3</v>
      </c>
      <c r="D1151" s="238" t="s">
        <v>235</v>
      </c>
      <c r="E1151" s="380" t="s">
        <v>8106</v>
      </c>
      <c r="F1151" s="380" t="s">
        <v>14926</v>
      </c>
      <c r="G1151" s="380">
        <v>5</v>
      </c>
      <c r="H1151" s="380" t="s">
        <v>1478</v>
      </c>
    </row>
    <row r="1152" spans="1:9" x14ac:dyDescent="0.25">
      <c r="A1152" s="247" t="str">
        <f t="shared" si="17"/>
        <v>スマイスＦＣ_4</v>
      </c>
      <c r="B1152" s="238" t="s">
        <v>2600</v>
      </c>
      <c r="C1152" s="238" t="str">
        <f>("4")</f>
        <v>4</v>
      </c>
      <c r="D1152" s="238" t="s">
        <v>798</v>
      </c>
      <c r="E1152" s="380" t="s">
        <v>8045</v>
      </c>
      <c r="F1152" s="380" t="s">
        <v>14927</v>
      </c>
      <c r="G1152" s="380">
        <v>5</v>
      </c>
      <c r="H1152" s="380" t="s">
        <v>1478</v>
      </c>
    </row>
    <row r="1153" spans="1:9" x14ac:dyDescent="0.25">
      <c r="A1153" s="247" t="str">
        <f t="shared" ref="A1153:A1216" si="18">CONCATENATE(B1153,"_",C1153)</f>
        <v>スマイスＦＣ_5</v>
      </c>
      <c r="B1153" s="238" t="s">
        <v>2600</v>
      </c>
      <c r="C1153" s="238" t="str">
        <f>("5")</f>
        <v>5</v>
      </c>
      <c r="D1153" s="238" t="s">
        <v>235</v>
      </c>
      <c r="E1153" s="380" t="s">
        <v>6087</v>
      </c>
      <c r="F1153" s="380" t="s">
        <v>6647</v>
      </c>
      <c r="G1153" s="380">
        <v>6</v>
      </c>
      <c r="H1153" s="380" t="s">
        <v>1478</v>
      </c>
    </row>
    <row r="1154" spans="1:9" x14ac:dyDescent="0.25">
      <c r="A1154" s="247" t="str">
        <f t="shared" si="18"/>
        <v>スマイスＦＣ_6</v>
      </c>
      <c r="B1154" s="238" t="s">
        <v>2600</v>
      </c>
      <c r="C1154" s="238" t="str">
        <f>("6")</f>
        <v>6</v>
      </c>
      <c r="D1154" s="238" t="s">
        <v>798</v>
      </c>
      <c r="E1154" s="380" t="s">
        <v>6092</v>
      </c>
      <c r="F1154" s="380" t="s">
        <v>6651</v>
      </c>
      <c r="G1154" s="380">
        <v>5</v>
      </c>
      <c r="H1154" s="380" t="s">
        <v>1478</v>
      </c>
    </row>
    <row r="1155" spans="1:9" x14ac:dyDescent="0.25">
      <c r="A1155" s="247" t="str">
        <f t="shared" si="18"/>
        <v>スマイスＦＣ_7</v>
      </c>
      <c r="B1155" s="238" t="s">
        <v>2600</v>
      </c>
      <c r="C1155" s="238" t="str">
        <f>("7")</f>
        <v>7</v>
      </c>
      <c r="D1155" s="238" t="s">
        <v>280</v>
      </c>
      <c r="E1155" s="380" t="s">
        <v>6095</v>
      </c>
      <c r="F1155" s="380" t="s">
        <v>6653</v>
      </c>
      <c r="G1155" s="380">
        <v>5</v>
      </c>
      <c r="H1155" s="380" t="s">
        <v>1478</v>
      </c>
    </row>
    <row r="1156" spans="1:9" x14ac:dyDescent="0.25">
      <c r="A1156" s="247" t="str">
        <f t="shared" si="18"/>
        <v>スマイスＦＣ_8</v>
      </c>
      <c r="B1156" s="238" t="s">
        <v>2600</v>
      </c>
      <c r="C1156" s="238" t="str">
        <f>("8")</f>
        <v>8</v>
      </c>
      <c r="D1156" s="238" t="s">
        <v>798</v>
      </c>
      <c r="E1156" s="380" t="s">
        <v>6094</v>
      </c>
      <c r="F1156" s="380" t="s">
        <v>6652</v>
      </c>
      <c r="G1156" s="380">
        <v>5</v>
      </c>
      <c r="H1156" s="380" t="s">
        <v>1478</v>
      </c>
    </row>
    <row r="1157" spans="1:9" x14ac:dyDescent="0.25">
      <c r="A1157" s="247" t="str">
        <f t="shared" si="18"/>
        <v>スマイスＦＣ_9</v>
      </c>
      <c r="B1157" s="238" t="s">
        <v>2600</v>
      </c>
      <c r="C1157" s="238" t="str">
        <f>("9")</f>
        <v>9</v>
      </c>
      <c r="D1157" s="238" t="s">
        <v>280</v>
      </c>
      <c r="E1157" s="380" t="s">
        <v>8386</v>
      </c>
      <c r="F1157" s="380" t="s">
        <v>14928</v>
      </c>
      <c r="G1157" s="380">
        <v>5</v>
      </c>
      <c r="H1157" s="380" t="s">
        <v>1478</v>
      </c>
    </row>
    <row r="1158" spans="1:9" x14ac:dyDescent="0.25">
      <c r="A1158" s="247" t="str">
        <f t="shared" si="18"/>
        <v>スマイスＦＣ_10</v>
      </c>
      <c r="B1158" s="238" t="s">
        <v>2600</v>
      </c>
      <c r="C1158" s="238" t="str">
        <f>("10")</f>
        <v>10</v>
      </c>
      <c r="D1158" s="238" t="s">
        <v>280</v>
      </c>
      <c r="E1158" s="380" t="s">
        <v>4729</v>
      </c>
      <c r="F1158" s="380" t="s">
        <v>4730</v>
      </c>
      <c r="G1158" s="380">
        <v>6</v>
      </c>
      <c r="H1158" s="380" t="s">
        <v>1478</v>
      </c>
    </row>
    <row r="1159" spans="1:9" x14ac:dyDescent="0.25">
      <c r="A1159" s="247" t="str">
        <f t="shared" si="18"/>
        <v>スマイスＦＣ_11</v>
      </c>
      <c r="B1159" s="238" t="s">
        <v>2600</v>
      </c>
      <c r="C1159" s="238" t="str">
        <f>("11")</f>
        <v>11</v>
      </c>
      <c r="D1159" s="238" t="s">
        <v>280</v>
      </c>
      <c r="E1159" s="380" t="s">
        <v>4727</v>
      </c>
      <c r="F1159" s="380" t="s">
        <v>4728</v>
      </c>
      <c r="G1159" s="380">
        <v>6</v>
      </c>
      <c r="H1159" s="380" t="s">
        <v>1478</v>
      </c>
      <c r="I1159" s="380" t="s">
        <v>408</v>
      </c>
    </row>
    <row r="1160" spans="1:9" x14ac:dyDescent="0.25">
      <c r="A1160" s="247" t="str">
        <f t="shared" si="18"/>
        <v>スマイスＦＣ_12</v>
      </c>
      <c r="B1160" s="238" t="s">
        <v>2600</v>
      </c>
      <c r="C1160" s="238" t="str">
        <f>("12")</f>
        <v>12</v>
      </c>
      <c r="D1160" s="238" t="s">
        <v>280</v>
      </c>
      <c r="E1160" s="380" t="s">
        <v>8642</v>
      </c>
      <c r="F1160" s="380" t="s">
        <v>14929</v>
      </c>
      <c r="G1160" s="380">
        <v>6</v>
      </c>
      <c r="H1160" s="380" t="s">
        <v>1478</v>
      </c>
    </row>
    <row r="1161" spans="1:9" x14ac:dyDescent="0.25">
      <c r="A1161" s="247" t="str">
        <f t="shared" si="18"/>
        <v>スマイスＦＣ_13</v>
      </c>
      <c r="B1161" s="238" t="s">
        <v>2600</v>
      </c>
      <c r="C1161" s="238" t="str">
        <f>("13")</f>
        <v>13</v>
      </c>
      <c r="D1161" s="238" t="s">
        <v>798</v>
      </c>
      <c r="E1161" s="380" t="s">
        <v>6090</v>
      </c>
      <c r="F1161" s="380" t="s">
        <v>6649</v>
      </c>
      <c r="G1161" s="380">
        <v>5</v>
      </c>
      <c r="H1161" s="380" t="s">
        <v>1478</v>
      </c>
    </row>
    <row r="1162" spans="1:9" x14ac:dyDescent="0.25">
      <c r="A1162" s="247" t="str">
        <f t="shared" si="18"/>
        <v>スマイスＦＣ_14</v>
      </c>
      <c r="B1162" s="238" t="s">
        <v>2600</v>
      </c>
      <c r="C1162" s="238" t="str">
        <f>("14")</f>
        <v>14</v>
      </c>
      <c r="D1162" s="238" t="s">
        <v>235</v>
      </c>
      <c r="E1162" s="380" t="s">
        <v>6091</v>
      </c>
      <c r="F1162" s="380" t="s">
        <v>6650</v>
      </c>
      <c r="G1162" s="380">
        <v>5</v>
      </c>
      <c r="H1162" s="380" t="s">
        <v>1478</v>
      </c>
    </row>
    <row r="1163" spans="1:9" x14ac:dyDescent="0.25">
      <c r="A1163" s="247" t="str">
        <f t="shared" si="18"/>
        <v>スマイスＦＣ_15</v>
      </c>
      <c r="B1163" s="238" t="s">
        <v>2600</v>
      </c>
      <c r="C1163" s="238" t="str">
        <f>("15")</f>
        <v>15</v>
      </c>
      <c r="D1163" s="238" t="s">
        <v>798</v>
      </c>
      <c r="E1163" s="380" t="s">
        <v>8127</v>
      </c>
      <c r="F1163" s="380" t="s">
        <v>14930</v>
      </c>
      <c r="G1163" s="380">
        <v>5</v>
      </c>
      <c r="H1163" s="380" t="s">
        <v>1480</v>
      </c>
    </row>
    <row r="1164" spans="1:9" x14ac:dyDescent="0.25">
      <c r="A1164" s="247" t="str">
        <f t="shared" si="18"/>
        <v>スマイスＦＣ_16</v>
      </c>
      <c r="B1164" s="238" t="s">
        <v>2600</v>
      </c>
      <c r="C1164" s="238" t="str">
        <f>("16")</f>
        <v>16</v>
      </c>
      <c r="D1164" s="238" t="s">
        <v>798</v>
      </c>
      <c r="E1164" s="380" t="s">
        <v>8870</v>
      </c>
      <c r="F1164" s="380" t="s">
        <v>14931</v>
      </c>
      <c r="G1164" s="380">
        <v>6</v>
      </c>
      <c r="H1164" s="380" t="s">
        <v>1478</v>
      </c>
    </row>
    <row r="1165" spans="1:9" x14ac:dyDescent="0.25">
      <c r="A1165" s="247" t="str">
        <f t="shared" si="18"/>
        <v>スマイスＦＣ_17</v>
      </c>
      <c r="B1165" s="238" t="s">
        <v>2600</v>
      </c>
      <c r="C1165" s="238" t="str">
        <f>("17")</f>
        <v>17</v>
      </c>
      <c r="D1165" s="238" t="s">
        <v>235</v>
      </c>
      <c r="E1165" s="380" t="s">
        <v>7989</v>
      </c>
      <c r="F1165" s="380" t="s">
        <v>14932</v>
      </c>
      <c r="G1165" s="380">
        <v>5</v>
      </c>
      <c r="H1165" s="380" t="s">
        <v>1478</v>
      </c>
    </row>
    <row r="1166" spans="1:9" x14ac:dyDescent="0.25">
      <c r="A1166" s="247" t="str">
        <f t="shared" si="18"/>
        <v>市浜レッドソックス_1</v>
      </c>
      <c r="B1166" s="238" t="s">
        <v>2602</v>
      </c>
      <c r="C1166" s="238" t="str">
        <f>("1")</f>
        <v>1</v>
      </c>
      <c r="D1166" s="238" t="s">
        <v>796</v>
      </c>
      <c r="E1166" s="380" t="s">
        <v>4731</v>
      </c>
      <c r="F1166" s="380" t="s">
        <v>4732</v>
      </c>
      <c r="G1166" s="380">
        <v>6</v>
      </c>
      <c r="H1166" s="380" t="s">
        <v>1478</v>
      </c>
      <c r="I1166" s="380" t="s">
        <v>408</v>
      </c>
    </row>
    <row r="1167" spans="1:9" x14ac:dyDescent="0.25">
      <c r="A1167" s="247" t="str">
        <f t="shared" si="18"/>
        <v>市浜レッドソックス_2</v>
      </c>
      <c r="B1167" s="238" t="s">
        <v>2602</v>
      </c>
      <c r="C1167" s="238" t="str">
        <f>("2")</f>
        <v>2</v>
      </c>
      <c r="D1167" s="238" t="s">
        <v>235</v>
      </c>
      <c r="E1167" s="380" t="s">
        <v>6097</v>
      </c>
      <c r="F1167" s="380" t="s">
        <v>6655</v>
      </c>
      <c r="G1167" s="380">
        <v>6</v>
      </c>
      <c r="H1167" s="380" t="s">
        <v>1478</v>
      </c>
    </row>
    <row r="1168" spans="1:9" x14ac:dyDescent="0.25">
      <c r="A1168" s="247" t="str">
        <f t="shared" si="18"/>
        <v>市浜レッドソックス_3</v>
      </c>
      <c r="B1168" s="238" t="s">
        <v>2602</v>
      </c>
      <c r="C1168" s="238" t="str">
        <f>("3")</f>
        <v>3</v>
      </c>
      <c r="D1168" s="238" t="s">
        <v>235</v>
      </c>
      <c r="E1168" s="380" t="s">
        <v>4146</v>
      </c>
      <c r="F1168" s="380" t="s">
        <v>4147</v>
      </c>
      <c r="G1168" s="380">
        <v>6</v>
      </c>
      <c r="H1168" s="380" t="s">
        <v>1478</v>
      </c>
    </row>
    <row r="1169" spans="1:8" x14ac:dyDescent="0.25">
      <c r="A1169" s="247" t="str">
        <f t="shared" si="18"/>
        <v>市浜レッドソックス_4</v>
      </c>
      <c r="B1169" s="238" t="s">
        <v>2602</v>
      </c>
      <c r="C1169" s="238" t="str">
        <f>("4")</f>
        <v>4</v>
      </c>
      <c r="D1169" s="238" t="s">
        <v>235</v>
      </c>
      <c r="E1169" s="380" t="s">
        <v>8347</v>
      </c>
      <c r="F1169" s="380" t="s">
        <v>14933</v>
      </c>
      <c r="G1169" s="380">
        <v>5</v>
      </c>
      <c r="H1169" s="380" t="s">
        <v>1478</v>
      </c>
    </row>
    <row r="1170" spans="1:8" x14ac:dyDescent="0.25">
      <c r="A1170" s="247" t="str">
        <f t="shared" si="18"/>
        <v>市浜レッドソックス_5</v>
      </c>
      <c r="B1170" s="238" t="s">
        <v>2602</v>
      </c>
      <c r="C1170" s="238" t="str">
        <f>("5")</f>
        <v>5</v>
      </c>
      <c r="D1170" s="238" t="s">
        <v>235</v>
      </c>
      <c r="E1170" s="380" t="s">
        <v>8251</v>
      </c>
      <c r="F1170" s="380" t="s">
        <v>14934</v>
      </c>
      <c r="G1170" s="380">
        <v>5</v>
      </c>
      <c r="H1170" s="380" t="s">
        <v>1480</v>
      </c>
    </row>
    <row r="1171" spans="1:8" x14ac:dyDescent="0.25">
      <c r="A1171" s="247" t="str">
        <f t="shared" si="18"/>
        <v>市浜レッドソックス_6</v>
      </c>
      <c r="B1171" s="238" t="s">
        <v>2602</v>
      </c>
      <c r="C1171" s="238" t="str">
        <f>("6")</f>
        <v>6</v>
      </c>
      <c r="D1171" s="238" t="s">
        <v>235</v>
      </c>
      <c r="E1171" s="380" t="s">
        <v>4736</v>
      </c>
      <c r="F1171" s="380" t="s">
        <v>4737</v>
      </c>
      <c r="G1171" s="380">
        <v>6</v>
      </c>
      <c r="H1171" s="380" t="s">
        <v>1478</v>
      </c>
    </row>
    <row r="1172" spans="1:8" x14ac:dyDescent="0.25">
      <c r="A1172" s="247" t="str">
        <f t="shared" si="18"/>
        <v>市浜レッドソックス_7</v>
      </c>
      <c r="B1172" s="238" t="s">
        <v>2602</v>
      </c>
      <c r="C1172" s="238" t="str">
        <f>("7")</f>
        <v>7</v>
      </c>
      <c r="D1172" s="238" t="s">
        <v>798</v>
      </c>
      <c r="E1172" s="380" t="s">
        <v>8225</v>
      </c>
      <c r="F1172" s="380" t="s">
        <v>14935</v>
      </c>
      <c r="G1172" s="380">
        <v>5</v>
      </c>
      <c r="H1172" s="380" t="s">
        <v>1478</v>
      </c>
    </row>
    <row r="1173" spans="1:8" x14ac:dyDescent="0.25">
      <c r="A1173" s="247" t="str">
        <f t="shared" si="18"/>
        <v>市浜レッドソックス_8</v>
      </c>
      <c r="B1173" s="238" t="s">
        <v>2602</v>
      </c>
      <c r="C1173" s="238" t="str">
        <f>("8")</f>
        <v>8</v>
      </c>
      <c r="D1173" s="238" t="s">
        <v>798</v>
      </c>
      <c r="E1173" s="380" t="s">
        <v>6096</v>
      </c>
      <c r="F1173" s="380" t="s">
        <v>6654</v>
      </c>
      <c r="G1173" s="380">
        <v>5</v>
      </c>
      <c r="H1173" s="380" t="s">
        <v>1478</v>
      </c>
    </row>
    <row r="1174" spans="1:8" x14ac:dyDescent="0.25">
      <c r="A1174" s="247" t="str">
        <f t="shared" si="18"/>
        <v>市浜レッドソックス_9</v>
      </c>
      <c r="B1174" s="238" t="s">
        <v>2602</v>
      </c>
      <c r="C1174" s="238" t="str">
        <f>("9")</f>
        <v>9</v>
      </c>
      <c r="D1174" s="238" t="s">
        <v>280</v>
      </c>
      <c r="E1174" s="380" t="s">
        <v>7933</v>
      </c>
      <c r="F1174" s="380" t="s">
        <v>14936</v>
      </c>
      <c r="G1174" s="380">
        <v>5</v>
      </c>
      <c r="H1174" s="380" t="s">
        <v>1478</v>
      </c>
    </row>
    <row r="1175" spans="1:8" x14ac:dyDescent="0.25">
      <c r="A1175" s="247" t="str">
        <f t="shared" si="18"/>
        <v>市浜レッドソックス_10</v>
      </c>
      <c r="B1175" s="238" t="s">
        <v>2602</v>
      </c>
      <c r="C1175" s="238" t="str">
        <f>("10")</f>
        <v>10</v>
      </c>
      <c r="D1175" s="238" t="s">
        <v>798</v>
      </c>
      <c r="E1175" s="380" t="s">
        <v>4733</v>
      </c>
      <c r="F1175" s="380" t="s">
        <v>4734</v>
      </c>
      <c r="G1175" s="380">
        <v>6</v>
      </c>
      <c r="H1175" s="380" t="s">
        <v>1478</v>
      </c>
    </row>
    <row r="1176" spans="1:8" x14ac:dyDescent="0.25">
      <c r="A1176" s="247" t="str">
        <f t="shared" si="18"/>
        <v>市浜レッドソックス_11</v>
      </c>
      <c r="B1176" s="238" t="s">
        <v>2602</v>
      </c>
      <c r="C1176" s="238" t="str">
        <f>("11")</f>
        <v>11</v>
      </c>
      <c r="D1176" s="238" t="s">
        <v>235</v>
      </c>
      <c r="E1176" s="380" t="s">
        <v>6099</v>
      </c>
      <c r="F1176" s="380" t="s">
        <v>6657</v>
      </c>
      <c r="G1176" s="380">
        <v>5</v>
      </c>
      <c r="H1176" s="380" t="s">
        <v>1478</v>
      </c>
    </row>
    <row r="1177" spans="1:8" x14ac:dyDescent="0.25">
      <c r="A1177" s="247" t="str">
        <f t="shared" si="18"/>
        <v>市浜レッドソックス_12</v>
      </c>
      <c r="B1177" s="238" t="s">
        <v>2602</v>
      </c>
      <c r="C1177" s="238" t="str">
        <f>("12")</f>
        <v>12</v>
      </c>
      <c r="D1177" s="238" t="s">
        <v>280</v>
      </c>
      <c r="E1177" s="380" t="s">
        <v>8152</v>
      </c>
      <c r="F1177" s="380" t="s">
        <v>14937</v>
      </c>
      <c r="G1177" s="380">
        <v>5</v>
      </c>
      <c r="H1177" s="380" t="s">
        <v>1478</v>
      </c>
    </row>
    <row r="1178" spans="1:8" x14ac:dyDescent="0.25">
      <c r="A1178" s="247" t="str">
        <f t="shared" si="18"/>
        <v>市浜レッドソックス_13</v>
      </c>
      <c r="B1178" s="238" t="s">
        <v>2602</v>
      </c>
      <c r="C1178" s="238" t="str">
        <f>("13")</f>
        <v>13</v>
      </c>
      <c r="D1178" s="238" t="s">
        <v>798</v>
      </c>
      <c r="E1178" s="380" t="s">
        <v>8280</v>
      </c>
      <c r="F1178" s="380" t="s">
        <v>14938</v>
      </c>
      <c r="G1178" s="380">
        <v>5</v>
      </c>
      <c r="H1178" s="380" t="s">
        <v>1478</v>
      </c>
    </row>
    <row r="1179" spans="1:8" x14ac:dyDescent="0.25">
      <c r="A1179" s="247" t="str">
        <f t="shared" si="18"/>
        <v>市浜レッドソックス_14</v>
      </c>
      <c r="B1179" s="238" t="s">
        <v>2602</v>
      </c>
      <c r="C1179" s="238" t="str">
        <f>("14")</f>
        <v>14</v>
      </c>
      <c r="D1179" s="238" t="s">
        <v>798</v>
      </c>
      <c r="E1179" s="380" t="s">
        <v>8288</v>
      </c>
      <c r="F1179" s="380" t="s">
        <v>14939</v>
      </c>
      <c r="G1179" s="380">
        <v>5</v>
      </c>
      <c r="H1179" s="380" t="s">
        <v>1478</v>
      </c>
    </row>
    <row r="1180" spans="1:8" x14ac:dyDescent="0.25">
      <c r="A1180" s="247" t="str">
        <f t="shared" si="18"/>
        <v>市浜レッドソックス_15</v>
      </c>
      <c r="B1180" s="238" t="s">
        <v>2602</v>
      </c>
      <c r="C1180" s="238" t="str">
        <f>("15")</f>
        <v>15</v>
      </c>
      <c r="D1180" s="238" t="s">
        <v>280</v>
      </c>
      <c r="E1180" s="380" t="s">
        <v>6098</v>
      </c>
      <c r="F1180" s="380" t="s">
        <v>6656</v>
      </c>
      <c r="G1180" s="380">
        <v>4</v>
      </c>
      <c r="H1180" s="380" t="s">
        <v>1478</v>
      </c>
    </row>
    <row r="1181" spans="1:8" x14ac:dyDescent="0.25">
      <c r="A1181" s="247" t="str">
        <f t="shared" si="18"/>
        <v>市浜レッドソックス_16</v>
      </c>
      <c r="B1181" s="238" t="s">
        <v>2602</v>
      </c>
      <c r="C1181" s="238" t="str">
        <f>("16")</f>
        <v>16</v>
      </c>
      <c r="D1181" s="238" t="s">
        <v>796</v>
      </c>
      <c r="E1181" s="380" t="s">
        <v>8458</v>
      </c>
      <c r="F1181" s="380" t="s">
        <v>14940</v>
      </c>
      <c r="G1181" s="380">
        <v>5</v>
      </c>
      <c r="H1181" s="380" t="s">
        <v>1478</v>
      </c>
    </row>
    <row r="1182" spans="1:8" x14ac:dyDescent="0.25">
      <c r="A1182" s="247" t="str">
        <f t="shared" si="18"/>
        <v>県央おおのＪＦＣ_1</v>
      </c>
      <c r="B1182" s="238" t="s">
        <v>5618</v>
      </c>
      <c r="C1182" s="238" t="str">
        <f>("1")</f>
        <v>1</v>
      </c>
      <c r="D1182" s="238" t="s">
        <v>796</v>
      </c>
      <c r="E1182" s="380" t="s">
        <v>6100</v>
      </c>
      <c r="F1182" s="380" t="s">
        <v>6658</v>
      </c>
      <c r="G1182" s="380">
        <v>6</v>
      </c>
      <c r="H1182" s="380" t="s">
        <v>1478</v>
      </c>
    </row>
    <row r="1183" spans="1:8" x14ac:dyDescent="0.25">
      <c r="A1183" s="247" t="str">
        <f t="shared" si="18"/>
        <v>県央おおのＪＦＣ_2</v>
      </c>
      <c r="B1183" s="238" t="s">
        <v>5618</v>
      </c>
      <c r="C1183" s="238" t="str">
        <f>("2")</f>
        <v>2</v>
      </c>
      <c r="D1183" s="238" t="s">
        <v>235</v>
      </c>
      <c r="E1183" s="380" t="s">
        <v>6116</v>
      </c>
      <c r="F1183" s="380" t="s">
        <v>6669</v>
      </c>
      <c r="G1183" s="380">
        <v>3</v>
      </c>
      <c r="H1183" s="380" t="s">
        <v>1478</v>
      </c>
    </row>
    <row r="1184" spans="1:8" x14ac:dyDescent="0.25">
      <c r="A1184" s="247" t="str">
        <f t="shared" si="18"/>
        <v>県央おおのＪＦＣ_3</v>
      </c>
      <c r="B1184" s="238" t="s">
        <v>5618</v>
      </c>
      <c r="C1184" s="238" t="str">
        <f>("3")</f>
        <v>3</v>
      </c>
      <c r="D1184" s="238" t="s">
        <v>798</v>
      </c>
      <c r="E1184" s="380" t="s">
        <v>6117</v>
      </c>
      <c r="F1184" s="380" t="s">
        <v>6670</v>
      </c>
      <c r="G1184" s="380">
        <v>3</v>
      </c>
      <c r="H1184" s="380" t="s">
        <v>1478</v>
      </c>
    </row>
    <row r="1185" spans="1:9" x14ac:dyDescent="0.25">
      <c r="A1185" s="247" t="str">
        <f t="shared" si="18"/>
        <v>県央おおのＪＦＣ_4</v>
      </c>
      <c r="B1185" s="238" t="s">
        <v>5618</v>
      </c>
      <c r="C1185" s="238" t="str">
        <f>("4")</f>
        <v>4</v>
      </c>
      <c r="D1185" s="238" t="s">
        <v>280</v>
      </c>
      <c r="E1185" s="380" t="s">
        <v>6112</v>
      </c>
      <c r="F1185" s="380" t="s">
        <v>6665</v>
      </c>
      <c r="G1185" s="380">
        <v>3</v>
      </c>
      <c r="H1185" s="380" t="s">
        <v>1478</v>
      </c>
    </row>
    <row r="1186" spans="1:9" x14ac:dyDescent="0.25">
      <c r="A1186" s="247" t="str">
        <f t="shared" si="18"/>
        <v>県央おおのＪＦＣ_5</v>
      </c>
      <c r="B1186" s="238" t="s">
        <v>5618</v>
      </c>
      <c r="C1186" s="238" t="str">
        <f>("5")</f>
        <v>5</v>
      </c>
      <c r="D1186" s="238" t="s">
        <v>798</v>
      </c>
      <c r="E1186" s="380" t="s">
        <v>6113</v>
      </c>
      <c r="F1186" s="380" t="s">
        <v>6666</v>
      </c>
      <c r="G1186" s="380">
        <v>3</v>
      </c>
      <c r="H1186" s="380" t="s">
        <v>1478</v>
      </c>
    </row>
    <row r="1187" spans="1:9" x14ac:dyDescent="0.25">
      <c r="A1187" s="247" t="str">
        <f t="shared" si="18"/>
        <v>県央おおのＪＦＣ_6</v>
      </c>
      <c r="B1187" s="238" t="s">
        <v>5618</v>
      </c>
      <c r="C1187" s="238" t="str">
        <f>("6")</f>
        <v>6</v>
      </c>
      <c r="D1187" s="238" t="s">
        <v>798</v>
      </c>
      <c r="E1187" s="380" t="s">
        <v>6114</v>
      </c>
      <c r="F1187" s="380" t="s">
        <v>6667</v>
      </c>
      <c r="G1187" s="380">
        <v>4</v>
      </c>
      <c r="H1187" s="380" t="s">
        <v>1478</v>
      </c>
    </row>
    <row r="1188" spans="1:9" x14ac:dyDescent="0.25">
      <c r="A1188" s="247" t="str">
        <f t="shared" si="18"/>
        <v>県央おおのＪＦＣ_7</v>
      </c>
      <c r="B1188" s="238" t="s">
        <v>5618</v>
      </c>
      <c r="C1188" s="238" t="str">
        <f>("7")</f>
        <v>7</v>
      </c>
      <c r="D1188" s="238" t="s">
        <v>235</v>
      </c>
      <c r="E1188" s="380" t="s">
        <v>6101</v>
      </c>
      <c r="F1188" s="380" t="s">
        <v>6659</v>
      </c>
      <c r="G1188" s="380">
        <v>4</v>
      </c>
      <c r="H1188" s="380" t="s">
        <v>1478</v>
      </c>
    </row>
    <row r="1189" spans="1:9" x14ac:dyDescent="0.25">
      <c r="A1189" s="247" t="str">
        <f t="shared" si="18"/>
        <v>県央おおのＪＦＣ_8</v>
      </c>
      <c r="B1189" s="238" t="s">
        <v>5618</v>
      </c>
      <c r="C1189" s="238" t="str">
        <f>("8")</f>
        <v>8</v>
      </c>
      <c r="D1189" s="238" t="s">
        <v>798</v>
      </c>
      <c r="E1189" s="380" t="s">
        <v>6103</v>
      </c>
      <c r="F1189" s="380" t="s">
        <v>6661</v>
      </c>
      <c r="G1189" s="380">
        <v>5</v>
      </c>
      <c r="H1189" s="380" t="s">
        <v>1480</v>
      </c>
    </row>
    <row r="1190" spans="1:9" x14ac:dyDescent="0.25">
      <c r="A1190" s="247" t="str">
        <f t="shared" si="18"/>
        <v>県央おおのＪＦＣ_9</v>
      </c>
      <c r="B1190" s="238" t="s">
        <v>5618</v>
      </c>
      <c r="C1190" s="238" t="str">
        <f>("9")</f>
        <v>9</v>
      </c>
      <c r="D1190" s="238" t="s">
        <v>798</v>
      </c>
      <c r="E1190" s="380" t="s">
        <v>6104</v>
      </c>
      <c r="F1190" s="380" t="s">
        <v>6662</v>
      </c>
      <c r="G1190" s="380">
        <v>5</v>
      </c>
      <c r="H1190" s="380" t="s">
        <v>1478</v>
      </c>
    </row>
    <row r="1191" spans="1:9" x14ac:dyDescent="0.25">
      <c r="A1191" s="247" t="str">
        <f t="shared" si="18"/>
        <v>県央おおのＪＦＣ_10</v>
      </c>
      <c r="B1191" s="238" t="s">
        <v>5618</v>
      </c>
      <c r="C1191" s="238" t="str">
        <f>("10")</f>
        <v>10</v>
      </c>
      <c r="D1191" s="238" t="s">
        <v>280</v>
      </c>
      <c r="E1191" s="380" t="s">
        <v>6106</v>
      </c>
      <c r="F1191" s="380" t="s">
        <v>6664</v>
      </c>
      <c r="G1191" s="380">
        <v>6</v>
      </c>
      <c r="H1191" s="380" t="s">
        <v>1478</v>
      </c>
      <c r="I1191" s="380" t="s">
        <v>408</v>
      </c>
    </row>
    <row r="1192" spans="1:9" x14ac:dyDescent="0.25">
      <c r="A1192" s="247" t="str">
        <f t="shared" si="18"/>
        <v>県央おおのＪＦＣ_11</v>
      </c>
      <c r="B1192" s="238" t="s">
        <v>5618</v>
      </c>
      <c r="C1192" s="238" t="str">
        <f>("11")</f>
        <v>11</v>
      </c>
      <c r="D1192" s="238" t="s">
        <v>235</v>
      </c>
      <c r="E1192" s="380" t="s">
        <v>6105</v>
      </c>
      <c r="F1192" s="380" t="s">
        <v>6663</v>
      </c>
      <c r="G1192" s="380">
        <v>5</v>
      </c>
      <c r="H1192" s="380" t="s">
        <v>1478</v>
      </c>
    </row>
    <row r="1193" spans="1:9" x14ac:dyDescent="0.25">
      <c r="A1193" s="247" t="str">
        <f t="shared" si="18"/>
        <v>県央おおのＪＦＣ_12</v>
      </c>
      <c r="B1193" s="238" t="s">
        <v>5618</v>
      </c>
      <c r="C1193" s="238" t="str">
        <f>("12")</f>
        <v>12</v>
      </c>
      <c r="D1193" s="238" t="s">
        <v>235</v>
      </c>
      <c r="E1193" s="380" t="s">
        <v>6102</v>
      </c>
      <c r="F1193" s="380" t="s">
        <v>6660</v>
      </c>
      <c r="G1193" s="380">
        <v>5</v>
      </c>
      <c r="H1193" s="380" t="s">
        <v>1478</v>
      </c>
    </row>
    <row r="1194" spans="1:9" x14ac:dyDescent="0.25">
      <c r="A1194" s="247" t="str">
        <f t="shared" si="18"/>
        <v>県央おおのＪＦＣ_13</v>
      </c>
      <c r="B1194" s="238" t="s">
        <v>5618</v>
      </c>
      <c r="C1194" s="238" t="str">
        <f>("13")</f>
        <v>13</v>
      </c>
      <c r="D1194" s="238" t="s">
        <v>798</v>
      </c>
      <c r="E1194" s="380" t="s">
        <v>8077</v>
      </c>
      <c r="F1194" s="380" t="s">
        <v>14941</v>
      </c>
      <c r="G1194" s="380">
        <v>5</v>
      </c>
      <c r="H1194" s="380" t="s">
        <v>1478</v>
      </c>
    </row>
    <row r="1195" spans="1:9" x14ac:dyDescent="0.25">
      <c r="A1195" s="247" t="str">
        <f t="shared" si="18"/>
        <v>県央おおのＪＦＣ_17</v>
      </c>
      <c r="B1195" s="238" t="s">
        <v>5618</v>
      </c>
      <c r="C1195" s="238" t="str">
        <f>("17")</f>
        <v>17</v>
      </c>
      <c r="D1195" s="238" t="s">
        <v>798</v>
      </c>
      <c r="E1195" s="380" t="s">
        <v>6115</v>
      </c>
      <c r="F1195" s="380" t="s">
        <v>6668</v>
      </c>
      <c r="G1195" s="380">
        <v>3</v>
      </c>
      <c r="H1195" s="380" t="s">
        <v>1478</v>
      </c>
    </row>
    <row r="1196" spans="1:9" x14ac:dyDescent="0.25">
      <c r="A1196" s="247" t="str">
        <f t="shared" si="18"/>
        <v>県央おおのＪＦＣ_18</v>
      </c>
      <c r="B1196" s="238" t="s">
        <v>5618</v>
      </c>
      <c r="C1196" s="238" t="str">
        <f>("18")</f>
        <v>18</v>
      </c>
      <c r="D1196" s="238" t="s">
        <v>798</v>
      </c>
      <c r="E1196" s="380" t="s">
        <v>9669</v>
      </c>
      <c r="F1196" s="380" t="s">
        <v>14942</v>
      </c>
      <c r="G1196" s="380">
        <v>4</v>
      </c>
      <c r="H1196" s="380" t="s">
        <v>1478</v>
      </c>
    </row>
    <row r="1197" spans="1:9" x14ac:dyDescent="0.25">
      <c r="A1197" s="247" t="str">
        <f t="shared" si="18"/>
        <v>ブルーウイングフットボールクラブ_1</v>
      </c>
      <c r="B1197" s="238" t="s">
        <v>413</v>
      </c>
      <c r="C1197" s="238" t="str">
        <f>("1")</f>
        <v>1</v>
      </c>
      <c r="D1197" s="238" t="s">
        <v>796</v>
      </c>
      <c r="E1197" s="380" t="s">
        <v>6124</v>
      </c>
      <c r="F1197" s="380" t="s">
        <v>6672</v>
      </c>
      <c r="G1197" s="380">
        <v>6</v>
      </c>
      <c r="H1197" s="380" t="s">
        <v>1478</v>
      </c>
    </row>
    <row r="1198" spans="1:9" x14ac:dyDescent="0.25">
      <c r="A1198" s="247" t="str">
        <f t="shared" si="18"/>
        <v>ブルーウイングフットボールクラブ_2</v>
      </c>
      <c r="B1198" s="238" t="s">
        <v>413</v>
      </c>
      <c r="C1198" s="238" t="str">
        <f>("2")</f>
        <v>2</v>
      </c>
      <c r="D1198" s="238" t="s">
        <v>235</v>
      </c>
      <c r="E1198" s="380" t="s">
        <v>8759</v>
      </c>
      <c r="F1198" s="380" t="s">
        <v>14943</v>
      </c>
      <c r="G1198" s="380">
        <v>6</v>
      </c>
      <c r="H1198" s="380" t="s">
        <v>1478</v>
      </c>
    </row>
    <row r="1199" spans="1:9" x14ac:dyDescent="0.25">
      <c r="A1199" s="247" t="str">
        <f t="shared" si="18"/>
        <v>ブルーウイングフットボールクラブ_3</v>
      </c>
      <c r="B1199" s="238" t="s">
        <v>413</v>
      </c>
      <c r="C1199" s="238" t="str">
        <f>("3")</f>
        <v>3</v>
      </c>
      <c r="D1199" s="238" t="s">
        <v>235</v>
      </c>
      <c r="E1199" s="380" t="s">
        <v>8131</v>
      </c>
      <c r="F1199" s="380" t="s">
        <v>14944</v>
      </c>
      <c r="G1199" s="380">
        <v>5</v>
      </c>
      <c r="H1199" s="380" t="s">
        <v>1478</v>
      </c>
    </row>
    <row r="1200" spans="1:9" x14ac:dyDescent="0.25">
      <c r="A1200" s="247" t="str">
        <f t="shared" si="18"/>
        <v>ブルーウイングフットボールクラブ_4</v>
      </c>
      <c r="B1200" s="238" t="s">
        <v>413</v>
      </c>
      <c r="C1200" s="238" t="str">
        <f>("4")</f>
        <v>4</v>
      </c>
      <c r="D1200" s="238" t="s">
        <v>235</v>
      </c>
      <c r="E1200" s="380" t="s">
        <v>6129</v>
      </c>
      <c r="F1200" s="380" t="s">
        <v>6677</v>
      </c>
      <c r="G1200" s="380">
        <v>6</v>
      </c>
      <c r="H1200" s="380" t="s">
        <v>1478</v>
      </c>
    </row>
    <row r="1201" spans="1:9" x14ac:dyDescent="0.25">
      <c r="A1201" s="247" t="str">
        <f t="shared" si="18"/>
        <v>ブルーウイングフットボールクラブ_5</v>
      </c>
      <c r="B1201" s="238" t="s">
        <v>413</v>
      </c>
      <c r="C1201" s="238" t="str">
        <f>("5")</f>
        <v>5</v>
      </c>
      <c r="D1201" s="238" t="s">
        <v>235</v>
      </c>
      <c r="E1201" s="380" t="s">
        <v>8841</v>
      </c>
      <c r="F1201" s="380" t="s">
        <v>14945</v>
      </c>
      <c r="G1201" s="380">
        <v>6</v>
      </c>
      <c r="H1201" s="380" t="s">
        <v>1478</v>
      </c>
    </row>
    <row r="1202" spans="1:9" x14ac:dyDescent="0.25">
      <c r="A1202" s="247" t="str">
        <f t="shared" si="18"/>
        <v>ブルーウイングフットボールクラブ_6</v>
      </c>
      <c r="B1202" s="238" t="s">
        <v>413</v>
      </c>
      <c r="C1202" s="238" t="str">
        <f>("6")</f>
        <v>6</v>
      </c>
      <c r="D1202" s="238" t="s">
        <v>798</v>
      </c>
      <c r="E1202" s="380" t="s">
        <v>8859</v>
      </c>
      <c r="F1202" s="380" t="s">
        <v>14946</v>
      </c>
      <c r="G1202" s="380">
        <v>6</v>
      </c>
      <c r="H1202" s="380" t="s">
        <v>1478</v>
      </c>
    </row>
    <row r="1203" spans="1:9" x14ac:dyDescent="0.25">
      <c r="A1203" s="247" t="str">
        <f t="shared" si="18"/>
        <v>ブルーウイングフットボールクラブ_7</v>
      </c>
      <c r="B1203" s="238" t="s">
        <v>413</v>
      </c>
      <c r="C1203" s="238" t="str">
        <f>("7")</f>
        <v>7</v>
      </c>
      <c r="D1203" s="238" t="s">
        <v>798</v>
      </c>
      <c r="E1203" s="380" t="s">
        <v>6125</v>
      </c>
      <c r="F1203" s="380" t="s">
        <v>6673</v>
      </c>
      <c r="G1203" s="380">
        <v>6</v>
      </c>
      <c r="H1203" s="380" t="s">
        <v>1478</v>
      </c>
    </row>
    <row r="1204" spans="1:9" x14ac:dyDescent="0.25">
      <c r="A1204" s="247" t="str">
        <f t="shared" si="18"/>
        <v>ブルーウイングフットボールクラブ_8</v>
      </c>
      <c r="B1204" s="238" t="s">
        <v>413</v>
      </c>
      <c r="C1204" s="238" t="str">
        <f>("8")</f>
        <v>8</v>
      </c>
      <c r="D1204" s="238" t="s">
        <v>798</v>
      </c>
      <c r="E1204" s="380" t="s">
        <v>6127</v>
      </c>
      <c r="F1204" s="380" t="s">
        <v>6675</v>
      </c>
      <c r="G1204" s="380">
        <v>6</v>
      </c>
      <c r="H1204" s="380" t="s">
        <v>1478</v>
      </c>
    </row>
    <row r="1205" spans="1:9" x14ac:dyDescent="0.25">
      <c r="A1205" s="247" t="str">
        <f t="shared" si="18"/>
        <v>ブルーウイングフットボールクラブ_9</v>
      </c>
      <c r="B1205" s="238" t="s">
        <v>413</v>
      </c>
      <c r="C1205" s="238" t="str">
        <f>("9")</f>
        <v>9</v>
      </c>
      <c r="D1205" s="238" t="s">
        <v>235</v>
      </c>
      <c r="E1205" s="380" t="s">
        <v>6128</v>
      </c>
      <c r="F1205" s="380" t="s">
        <v>6676</v>
      </c>
      <c r="G1205" s="380">
        <v>6</v>
      </c>
      <c r="H1205" s="380" t="s">
        <v>1478</v>
      </c>
    </row>
    <row r="1206" spans="1:9" x14ac:dyDescent="0.25">
      <c r="A1206" s="247" t="str">
        <f t="shared" si="18"/>
        <v>ブルーウイングフットボールクラブ_10</v>
      </c>
      <c r="B1206" s="238" t="s">
        <v>413</v>
      </c>
      <c r="C1206" s="238" t="str">
        <f>("10")</f>
        <v>10</v>
      </c>
      <c r="D1206" s="238" t="s">
        <v>280</v>
      </c>
      <c r="E1206" s="380" t="s">
        <v>4105</v>
      </c>
      <c r="F1206" s="380" t="s">
        <v>4106</v>
      </c>
      <c r="G1206" s="380">
        <v>6</v>
      </c>
      <c r="H1206" s="380" t="s">
        <v>1478</v>
      </c>
    </row>
    <row r="1207" spans="1:9" x14ac:dyDescent="0.25">
      <c r="A1207" s="247" t="str">
        <f t="shared" si="18"/>
        <v>ブルーウイングフットボールクラブ_11</v>
      </c>
      <c r="B1207" s="238" t="s">
        <v>413</v>
      </c>
      <c r="C1207" s="238" t="str">
        <f>("11")</f>
        <v>11</v>
      </c>
      <c r="D1207" s="238" t="s">
        <v>798</v>
      </c>
      <c r="E1207" s="380" t="s">
        <v>6015</v>
      </c>
      <c r="F1207" s="380" t="s">
        <v>6586</v>
      </c>
      <c r="G1207" s="380">
        <v>6</v>
      </c>
      <c r="H1207" s="380" t="s">
        <v>1478</v>
      </c>
    </row>
    <row r="1208" spans="1:9" x14ac:dyDescent="0.25">
      <c r="A1208" s="247" t="str">
        <f t="shared" si="18"/>
        <v>ブルーウイングフットボールクラブ_12</v>
      </c>
      <c r="B1208" s="238" t="s">
        <v>413</v>
      </c>
      <c r="C1208" s="238" t="str">
        <f>("12")</f>
        <v>12</v>
      </c>
      <c r="D1208" s="238" t="s">
        <v>280</v>
      </c>
      <c r="E1208" s="380" t="s">
        <v>8268</v>
      </c>
      <c r="F1208" s="380" t="s">
        <v>14947</v>
      </c>
      <c r="G1208" s="380">
        <v>5</v>
      </c>
      <c r="H1208" s="380" t="s">
        <v>1478</v>
      </c>
    </row>
    <row r="1209" spans="1:9" x14ac:dyDescent="0.25">
      <c r="A1209" s="247" t="str">
        <f t="shared" si="18"/>
        <v>ブルーウイングフットボールクラブ_13</v>
      </c>
      <c r="B1209" s="238" t="s">
        <v>413</v>
      </c>
      <c r="C1209" s="238" t="str">
        <f>("13")</f>
        <v>13</v>
      </c>
      <c r="D1209" s="238" t="s">
        <v>798</v>
      </c>
      <c r="E1209" s="380" t="s">
        <v>8203</v>
      </c>
      <c r="F1209" s="380" t="s">
        <v>14948</v>
      </c>
      <c r="G1209" s="380">
        <v>5</v>
      </c>
      <c r="H1209" s="380" t="s">
        <v>1478</v>
      </c>
    </row>
    <row r="1210" spans="1:9" x14ac:dyDescent="0.25">
      <c r="A1210" s="247" t="str">
        <f t="shared" si="18"/>
        <v>ブルーウイングフットボールクラブ_14</v>
      </c>
      <c r="B1210" s="238" t="s">
        <v>413</v>
      </c>
      <c r="C1210" s="238" t="str">
        <f>("14")</f>
        <v>14</v>
      </c>
      <c r="D1210" s="238" t="s">
        <v>235</v>
      </c>
      <c r="E1210" s="380" t="s">
        <v>6126</v>
      </c>
      <c r="F1210" s="380" t="s">
        <v>6674</v>
      </c>
      <c r="G1210" s="380">
        <v>6</v>
      </c>
      <c r="H1210" s="380" t="s">
        <v>1478</v>
      </c>
      <c r="I1210" s="380" t="s">
        <v>408</v>
      </c>
    </row>
    <row r="1211" spans="1:9" x14ac:dyDescent="0.25">
      <c r="A1211" s="247" t="str">
        <f t="shared" si="18"/>
        <v>ブルーウイングフットボールクラブ_15</v>
      </c>
      <c r="B1211" s="238" t="s">
        <v>413</v>
      </c>
      <c r="C1211" s="238" t="str">
        <f>("15")</f>
        <v>15</v>
      </c>
      <c r="D1211" s="238" t="s">
        <v>798</v>
      </c>
      <c r="E1211" s="380" t="s">
        <v>6121</v>
      </c>
      <c r="F1211" s="380" t="s">
        <v>6671</v>
      </c>
      <c r="G1211" s="380">
        <v>5</v>
      </c>
      <c r="H1211" s="380" t="s">
        <v>1478</v>
      </c>
    </row>
    <row r="1212" spans="1:9" x14ac:dyDescent="0.25">
      <c r="A1212" s="247" t="str">
        <f t="shared" si="18"/>
        <v>ブルーウイングフットボールクラブ_16</v>
      </c>
      <c r="B1212" s="238" t="s">
        <v>413</v>
      </c>
      <c r="C1212" s="238" t="str">
        <f>("16")</f>
        <v>16</v>
      </c>
      <c r="D1212" s="238" t="s">
        <v>235</v>
      </c>
      <c r="E1212" s="380" t="s">
        <v>4685</v>
      </c>
      <c r="F1212" s="380" t="s">
        <v>4686</v>
      </c>
      <c r="G1212" s="380">
        <v>5</v>
      </c>
      <c r="H1212" s="380" t="s">
        <v>1478</v>
      </c>
    </row>
    <row r="1213" spans="1:9" x14ac:dyDescent="0.25">
      <c r="A1213" s="247" t="str">
        <f t="shared" si="18"/>
        <v>ブルーウイングフットボールクラブ_17</v>
      </c>
      <c r="B1213" s="238" t="s">
        <v>413</v>
      </c>
      <c r="C1213" s="238" t="str">
        <f>("17")</f>
        <v>17</v>
      </c>
      <c r="D1213" s="238" t="s">
        <v>235</v>
      </c>
      <c r="E1213" s="380" t="s">
        <v>7988</v>
      </c>
      <c r="F1213" s="380" t="s">
        <v>14949</v>
      </c>
      <c r="G1213" s="380">
        <v>5</v>
      </c>
      <c r="H1213" s="380" t="s">
        <v>1478</v>
      </c>
    </row>
    <row r="1214" spans="1:9" x14ac:dyDescent="0.25">
      <c r="A1214" s="247" t="str">
        <f t="shared" si="18"/>
        <v>ブルーウイングフットボールクラブ_18</v>
      </c>
      <c r="B1214" s="238" t="s">
        <v>413</v>
      </c>
      <c r="C1214" s="238" t="str">
        <f>("18")</f>
        <v>18</v>
      </c>
      <c r="D1214" s="238" t="s">
        <v>280</v>
      </c>
      <c r="E1214" s="380" t="s">
        <v>9388</v>
      </c>
      <c r="F1214" s="380" t="s">
        <v>14950</v>
      </c>
      <c r="G1214" s="380">
        <v>4</v>
      </c>
      <c r="H1214" s="380" t="s">
        <v>1478</v>
      </c>
    </row>
    <row r="1215" spans="1:9" x14ac:dyDescent="0.25">
      <c r="A1215" s="247" t="str">
        <f t="shared" si="18"/>
        <v>ようこくバンビーレＦＣ_1</v>
      </c>
      <c r="B1215" s="238" t="s">
        <v>2256</v>
      </c>
      <c r="C1215" s="238" t="str">
        <f>("1")</f>
        <v>1</v>
      </c>
      <c r="D1215" s="238" t="s">
        <v>796</v>
      </c>
      <c r="E1215" s="380" t="s">
        <v>4747</v>
      </c>
      <c r="F1215" s="380" t="s">
        <v>4748</v>
      </c>
      <c r="G1215" s="380">
        <v>6</v>
      </c>
      <c r="H1215" s="380" t="s">
        <v>1478</v>
      </c>
      <c r="I1215" s="380" t="s">
        <v>408</v>
      </c>
    </row>
    <row r="1216" spans="1:9" x14ac:dyDescent="0.25">
      <c r="A1216" s="247" t="str">
        <f t="shared" si="18"/>
        <v>ようこくバンビーレＦＣ_2</v>
      </c>
      <c r="B1216" s="238" t="s">
        <v>2256</v>
      </c>
      <c r="C1216" s="238" t="str">
        <f>("2")</f>
        <v>2</v>
      </c>
      <c r="D1216" s="238" t="s">
        <v>798</v>
      </c>
      <c r="E1216" s="380" t="s">
        <v>4751</v>
      </c>
      <c r="F1216" s="380" t="s">
        <v>4752</v>
      </c>
      <c r="G1216" s="380">
        <v>4</v>
      </c>
      <c r="H1216" s="380" t="s">
        <v>1478</v>
      </c>
    </row>
    <row r="1217" spans="1:8" x14ac:dyDescent="0.25">
      <c r="A1217" s="247" t="str">
        <f t="shared" ref="A1217:A1280" si="19">CONCATENATE(B1217,"_",C1217)</f>
        <v>ようこくバンビーレＦＣ_3</v>
      </c>
      <c r="B1217" s="238" t="s">
        <v>2256</v>
      </c>
      <c r="C1217" s="238" t="str">
        <f>("3")</f>
        <v>3</v>
      </c>
      <c r="D1217" s="238" t="s">
        <v>798</v>
      </c>
      <c r="E1217" s="380" t="s">
        <v>4749</v>
      </c>
      <c r="F1217" s="380" t="s">
        <v>4750</v>
      </c>
      <c r="G1217" s="380">
        <v>4</v>
      </c>
      <c r="H1217" s="380" t="s">
        <v>1478</v>
      </c>
    </row>
    <row r="1218" spans="1:8" x14ac:dyDescent="0.25">
      <c r="A1218" s="247" t="str">
        <f t="shared" si="19"/>
        <v>ようこくバンビーレＦＣ_4</v>
      </c>
      <c r="B1218" s="238" t="s">
        <v>2256</v>
      </c>
      <c r="C1218" s="238" t="str">
        <f>("4")</f>
        <v>4</v>
      </c>
      <c r="D1218" s="238" t="s">
        <v>235</v>
      </c>
      <c r="E1218" s="380" t="s">
        <v>4753</v>
      </c>
      <c r="F1218" s="380" t="s">
        <v>4754</v>
      </c>
      <c r="G1218" s="380">
        <v>6</v>
      </c>
      <c r="H1218" s="380" t="s">
        <v>1478</v>
      </c>
    </row>
    <row r="1219" spans="1:8" x14ac:dyDescent="0.25">
      <c r="A1219" s="247" t="str">
        <f t="shared" si="19"/>
        <v>ようこくバンビーレＦＣ_6</v>
      </c>
      <c r="B1219" s="238" t="s">
        <v>2256</v>
      </c>
      <c r="C1219" s="238" t="str">
        <f>("6")</f>
        <v>6</v>
      </c>
      <c r="D1219" s="238" t="s">
        <v>798</v>
      </c>
      <c r="E1219" s="380" t="s">
        <v>6131</v>
      </c>
      <c r="F1219" s="380" t="s">
        <v>6678</v>
      </c>
      <c r="G1219" s="380">
        <v>6</v>
      </c>
      <c r="H1219" s="380" t="s">
        <v>1480</v>
      </c>
    </row>
    <row r="1220" spans="1:8" x14ac:dyDescent="0.25">
      <c r="A1220" s="247" t="str">
        <f t="shared" si="19"/>
        <v>ようこくバンビーレＦＣ_7</v>
      </c>
      <c r="B1220" s="238" t="s">
        <v>2256</v>
      </c>
      <c r="C1220" s="238" t="str">
        <f>("7")</f>
        <v>7</v>
      </c>
      <c r="D1220" s="238" t="s">
        <v>798</v>
      </c>
      <c r="E1220" s="380" t="s">
        <v>4757</v>
      </c>
      <c r="F1220" s="380" t="s">
        <v>4758</v>
      </c>
      <c r="G1220" s="380">
        <v>6</v>
      </c>
      <c r="H1220" s="380" t="s">
        <v>1480</v>
      </c>
    </row>
    <row r="1221" spans="1:8" x14ac:dyDescent="0.25">
      <c r="A1221" s="247" t="str">
        <f t="shared" si="19"/>
        <v>ようこくバンビーレＦＣ_8</v>
      </c>
      <c r="B1221" s="238" t="s">
        <v>2256</v>
      </c>
      <c r="C1221" s="238" t="str">
        <f>("8")</f>
        <v>8</v>
      </c>
      <c r="D1221" s="238" t="s">
        <v>235</v>
      </c>
      <c r="E1221" s="380" t="s">
        <v>4755</v>
      </c>
      <c r="F1221" s="380" t="s">
        <v>4756</v>
      </c>
      <c r="G1221" s="380">
        <v>6</v>
      </c>
      <c r="H1221" s="380" t="s">
        <v>1480</v>
      </c>
    </row>
    <row r="1222" spans="1:8" x14ac:dyDescent="0.25">
      <c r="A1222" s="247" t="str">
        <f t="shared" si="19"/>
        <v>ようこくバンビーレＦＣ_9</v>
      </c>
      <c r="B1222" s="238" t="s">
        <v>2256</v>
      </c>
      <c r="C1222" s="238" t="str">
        <f>("9")</f>
        <v>9</v>
      </c>
      <c r="D1222" s="238" t="s">
        <v>280</v>
      </c>
      <c r="E1222" s="380" t="s">
        <v>6132</v>
      </c>
      <c r="F1222" s="380" t="s">
        <v>6679</v>
      </c>
      <c r="G1222" s="380">
        <v>6</v>
      </c>
      <c r="H1222" s="380" t="s">
        <v>1478</v>
      </c>
    </row>
    <row r="1223" spans="1:8" x14ac:dyDescent="0.25">
      <c r="A1223" s="247" t="str">
        <f t="shared" si="19"/>
        <v>ようこくバンビーレＦＣ_10</v>
      </c>
      <c r="B1223" s="238" t="s">
        <v>2256</v>
      </c>
      <c r="C1223" s="238" t="str">
        <f>("10")</f>
        <v>10</v>
      </c>
      <c r="D1223" s="238" t="s">
        <v>798</v>
      </c>
      <c r="E1223" s="380" t="s">
        <v>6133</v>
      </c>
      <c r="F1223" s="380" t="s">
        <v>6680</v>
      </c>
      <c r="G1223" s="380">
        <v>6</v>
      </c>
      <c r="H1223" s="380" t="s">
        <v>1478</v>
      </c>
    </row>
    <row r="1224" spans="1:8" x14ac:dyDescent="0.25">
      <c r="A1224" s="247" t="str">
        <f t="shared" si="19"/>
        <v>ようこくバンビーレＦＣ_11</v>
      </c>
      <c r="B1224" s="238" t="s">
        <v>2256</v>
      </c>
      <c r="C1224" s="238" t="str">
        <f>("11")</f>
        <v>11</v>
      </c>
      <c r="D1224" s="238" t="s">
        <v>280</v>
      </c>
      <c r="E1224" s="380" t="s">
        <v>6135</v>
      </c>
      <c r="F1224" s="380" t="s">
        <v>6682</v>
      </c>
      <c r="G1224" s="380">
        <v>6</v>
      </c>
      <c r="H1224" s="380" t="s">
        <v>1480</v>
      </c>
    </row>
    <row r="1225" spans="1:8" x14ac:dyDescent="0.25">
      <c r="A1225" s="247" t="str">
        <f t="shared" si="19"/>
        <v>ようこくバンビーレＦＣ_12</v>
      </c>
      <c r="B1225" s="238" t="s">
        <v>2256</v>
      </c>
      <c r="C1225" s="238" t="str">
        <f>("12")</f>
        <v>12</v>
      </c>
      <c r="D1225" s="238" t="s">
        <v>235</v>
      </c>
      <c r="E1225" s="380" t="s">
        <v>6134</v>
      </c>
      <c r="F1225" s="380" t="s">
        <v>6681</v>
      </c>
      <c r="G1225" s="380">
        <v>4</v>
      </c>
      <c r="H1225" s="380" t="s">
        <v>1478</v>
      </c>
    </row>
    <row r="1226" spans="1:8" x14ac:dyDescent="0.25">
      <c r="A1226" s="247" t="str">
        <f t="shared" si="19"/>
        <v>ようこくバンビーレＦＣ_13</v>
      </c>
      <c r="B1226" s="238" t="s">
        <v>2256</v>
      </c>
      <c r="C1226" s="238" t="str">
        <f>("13")</f>
        <v>13</v>
      </c>
      <c r="D1226" s="238" t="s">
        <v>235</v>
      </c>
      <c r="E1226" s="380" t="s">
        <v>9263</v>
      </c>
      <c r="F1226" s="380" t="s">
        <v>14951</v>
      </c>
      <c r="G1226" s="380">
        <v>4</v>
      </c>
      <c r="H1226" s="380" t="s">
        <v>1480</v>
      </c>
    </row>
    <row r="1227" spans="1:8" x14ac:dyDescent="0.25">
      <c r="A1227" s="247" t="str">
        <f t="shared" si="19"/>
        <v>ようこくバンビーレＦＣ_14</v>
      </c>
      <c r="B1227" s="238" t="s">
        <v>2256</v>
      </c>
      <c r="C1227" s="238" t="str">
        <f>("14")</f>
        <v>14</v>
      </c>
      <c r="D1227" s="238" t="s">
        <v>798</v>
      </c>
      <c r="E1227" s="380" t="s">
        <v>9979</v>
      </c>
      <c r="F1227" s="380" t="s">
        <v>14952</v>
      </c>
      <c r="G1227" s="380">
        <v>3</v>
      </c>
      <c r="H1227" s="380" t="s">
        <v>1478</v>
      </c>
    </row>
    <row r="1228" spans="1:8" x14ac:dyDescent="0.25">
      <c r="A1228" s="247" t="str">
        <f t="shared" si="19"/>
        <v>ようこくバンビーレＦＣ_15</v>
      </c>
      <c r="B1228" s="238" t="s">
        <v>2256</v>
      </c>
      <c r="C1228" s="238" t="str">
        <f>("15")</f>
        <v>15</v>
      </c>
      <c r="D1228" s="238" t="s">
        <v>280</v>
      </c>
      <c r="E1228" s="380" t="s">
        <v>8284</v>
      </c>
      <c r="F1228" s="380" t="s">
        <v>14953</v>
      </c>
      <c r="G1228" s="380">
        <v>5</v>
      </c>
      <c r="H1228" s="380" t="s">
        <v>1478</v>
      </c>
    </row>
    <row r="1229" spans="1:8" x14ac:dyDescent="0.25">
      <c r="A1229" s="247" t="str">
        <f t="shared" si="19"/>
        <v>ようこくバンビーレＦＣ_16</v>
      </c>
      <c r="B1229" s="238" t="s">
        <v>2256</v>
      </c>
      <c r="C1229" s="238" t="str">
        <f>("16")</f>
        <v>16</v>
      </c>
      <c r="D1229" s="238" t="s">
        <v>280</v>
      </c>
      <c r="E1229" s="380" t="s">
        <v>10193</v>
      </c>
      <c r="F1229" s="380" t="s">
        <v>14954</v>
      </c>
      <c r="G1229" s="380">
        <v>3</v>
      </c>
      <c r="H1229" s="380" t="s">
        <v>1478</v>
      </c>
    </row>
    <row r="1230" spans="1:8" x14ac:dyDescent="0.25">
      <c r="A1230" s="247" t="str">
        <f t="shared" si="19"/>
        <v>野津ＦＣ_1</v>
      </c>
      <c r="B1230" s="238" t="s">
        <v>1082</v>
      </c>
      <c r="C1230" s="238" t="str">
        <f>("1")</f>
        <v>1</v>
      </c>
      <c r="D1230" s="238" t="s">
        <v>796</v>
      </c>
      <c r="E1230" s="380" t="s">
        <v>6138</v>
      </c>
      <c r="F1230" s="380" t="s">
        <v>6685</v>
      </c>
      <c r="G1230" s="380">
        <v>5</v>
      </c>
      <c r="H1230" s="380" t="s">
        <v>1478</v>
      </c>
    </row>
    <row r="1231" spans="1:8" x14ac:dyDescent="0.25">
      <c r="A1231" s="247" t="str">
        <f t="shared" si="19"/>
        <v>野津ＦＣ_2</v>
      </c>
      <c r="B1231" s="238" t="s">
        <v>1082</v>
      </c>
      <c r="C1231" s="238" t="str">
        <f>("2")</f>
        <v>2</v>
      </c>
      <c r="D1231" s="238" t="s">
        <v>798</v>
      </c>
      <c r="E1231" s="380" t="s">
        <v>8407</v>
      </c>
      <c r="F1231" s="380" t="s">
        <v>14955</v>
      </c>
      <c r="G1231" s="380">
        <v>5</v>
      </c>
      <c r="H1231" s="380" t="s">
        <v>1478</v>
      </c>
    </row>
    <row r="1232" spans="1:8" x14ac:dyDescent="0.25">
      <c r="A1232" s="247" t="str">
        <f t="shared" si="19"/>
        <v>野津ＦＣ_4</v>
      </c>
      <c r="B1232" s="238" t="s">
        <v>1082</v>
      </c>
      <c r="C1232" s="238" t="str">
        <f>("4")</f>
        <v>4</v>
      </c>
      <c r="D1232" s="238" t="s">
        <v>235</v>
      </c>
      <c r="E1232" s="380" t="s">
        <v>4759</v>
      </c>
      <c r="F1232" s="380" t="s">
        <v>4760</v>
      </c>
      <c r="G1232" s="380">
        <v>5</v>
      </c>
      <c r="H1232" s="380" t="s">
        <v>1478</v>
      </c>
    </row>
    <row r="1233" spans="1:9" x14ac:dyDescent="0.25">
      <c r="A1233" s="247" t="str">
        <f t="shared" si="19"/>
        <v>野津ＦＣ_5</v>
      </c>
      <c r="B1233" s="238" t="s">
        <v>1082</v>
      </c>
      <c r="C1233" s="238" t="str">
        <f>("5")</f>
        <v>5</v>
      </c>
      <c r="D1233" s="238" t="s">
        <v>235</v>
      </c>
      <c r="E1233" s="380" t="s">
        <v>8402</v>
      </c>
      <c r="F1233" s="380" t="s">
        <v>14956</v>
      </c>
      <c r="G1233" s="380">
        <v>5</v>
      </c>
      <c r="H1233" s="380" t="s">
        <v>1478</v>
      </c>
    </row>
    <row r="1234" spans="1:9" x14ac:dyDescent="0.25">
      <c r="A1234" s="247" t="str">
        <f t="shared" si="19"/>
        <v>野津ＦＣ_6</v>
      </c>
      <c r="B1234" s="238" t="s">
        <v>1082</v>
      </c>
      <c r="C1234" s="238" t="str">
        <f>("6")</f>
        <v>6</v>
      </c>
      <c r="D1234" s="238" t="s">
        <v>235</v>
      </c>
      <c r="E1234" s="380" t="s">
        <v>6137</v>
      </c>
      <c r="F1234" s="380" t="s">
        <v>6684</v>
      </c>
      <c r="G1234" s="380">
        <v>5</v>
      </c>
      <c r="H1234" s="380" t="s">
        <v>1478</v>
      </c>
    </row>
    <row r="1235" spans="1:9" x14ac:dyDescent="0.25">
      <c r="A1235" s="247" t="str">
        <f t="shared" si="19"/>
        <v>野津ＦＣ_7</v>
      </c>
      <c r="B1235" s="238" t="s">
        <v>1082</v>
      </c>
      <c r="C1235" s="238" t="str">
        <f>("7")</f>
        <v>7</v>
      </c>
      <c r="D1235" s="238" t="s">
        <v>798</v>
      </c>
      <c r="E1235" s="380" t="s">
        <v>4761</v>
      </c>
      <c r="F1235" s="380" t="s">
        <v>4762</v>
      </c>
      <c r="G1235" s="380">
        <v>5</v>
      </c>
      <c r="H1235" s="380" t="s">
        <v>1478</v>
      </c>
    </row>
    <row r="1236" spans="1:9" x14ac:dyDescent="0.25">
      <c r="A1236" s="247" t="str">
        <f t="shared" si="19"/>
        <v>野津ＦＣ_8</v>
      </c>
      <c r="B1236" s="238" t="s">
        <v>1082</v>
      </c>
      <c r="C1236" s="238" t="str">
        <f>("8")</f>
        <v>8</v>
      </c>
      <c r="D1236" s="238" t="s">
        <v>798</v>
      </c>
      <c r="E1236" s="380" t="s">
        <v>6136</v>
      </c>
      <c r="F1236" s="380" t="s">
        <v>6683</v>
      </c>
      <c r="G1236" s="380">
        <v>5</v>
      </c>
      <c r="H1236" s="380" t="s">
        <v>1478</v>
      </c>
    </row>
    <row r="1237" spans="1:9" x14ac:dyDescent="0.25">
      <c r="A1237" s="247" t="str">
        <f t="shared" si="19"/>
        <v>野津ＦＣ_9</v>
      </c>
      <c r="B1237" s="238" t="s">
        <v>1082</v>
      </c>
      <c r="C1237" s="238" t="str">
        <f>("9")</f>
        <v>9</v>
      </c>
      <c r="D1237" s="238" t="s">
        <v>280</v>
      </c>
      <c r="E1237" s="380" t="s">
        <v>7962</v>
      </c>
      <c r="F1237" s="380" t="s">
        <v>14957</v>
      </c>
      <c r="G1237" s="380">
        <v>5</v>
      </c>
      <c r="H1237" s="380" t="s">
        <v>1480</v>
      </c>
    </row>
    <row r="1238" spans="1:9" x14ac:dyDescent="0.25">
      <c r="A1238" s="247" t="str">
        <f t="shared" si="19"/>
        <v>野津ＦＣ_10</v>
      </c>
      <c r="B1238" s="238" t="s">
        <v>1082</v>
      </c>
      <c r="C1238" s="238" t="str">
        <f>("10")</f>
        <v>10</v>
      </c>
      <c r="D1238" s="238" t="s">
        <v>798</v>
      </c>
      <c r="E1238" s="380" t="s">
        <v>4156</v>
      </c>
      <c r="F1238" s="380" t="s">
        <v>4157</v>
      </c>
      <c r="G1238" s="380">
        <v>5</v>
      </c>
      <c r="H1238" s="380" t="s">
        <v>1478</v>
      </c>
    </row>
    <row r="1239" spans="1:9" x14ac:dyDescent="0.25">
      <c r="A1239" s="247" t="str">
        <f t="shared" si="19"/>
        <v>野津ＦＣ_11</v>
      </c>
      <c r="B1239" s="238" t="s">
        <v>1082</v>
      </c>
      <c r="C1239" s="238" t="str">
        <f>("11")</f>
        <v>11</v>
      </c>
      <c r="D1239" s="238" t="s">
        <v>280</v>
      </c>
      <c r="E1239" s="380" t="s">
        <v>4150</v>
      </c>
      <c r="F1239" s="380" t="s">
        <v>4151</v>
      </c>
      <c r="G1239" s="380">
        <v>6</v>
      </c>
      <c r="H1239" s="380" t="s">
        <v>1478</v>
      </c>
      <c r="I1239" s="380" t="s">
        <v>408</v>
      </c>
    </row>
    <row r="1240" spans="1:9" x14ac:dyDescent="0.25">
      <c r="A1240" s="247" t="str">
        <f t="shared" si="19"/>
        <v>野津ＦＣ_12</v>
      </c>
      <c r="B1240" s="238" t="s">
        <v>1082</v>
      </c>
      <c r="C1240" s="238" t="str">
        <f>("12")</f>
        <v>12</v>
      </c>
      <c r="D1240" s="238" t="s">
        <v>280</v>
      </c>
      <c r="E1240" s="380" t="s">
        <v>9260</v>
      </c>
      <c r="F1240" s="380" t="s">
        <v>14958</v>
      </c>
      <c r="G1240" s="380">
        <v>4</v>
      </c>
      <c r="H1240" s="380" t="s">
        <v>1478</v>
      </c>
    </row>
    <row r="1241" spans="1:9" x14ac:dyDescent="0.25">
      <c r="A1241" s="247" t="str">
        <f t="shared" si="19"/>
        <v>野津ＦＣ_13</v>
      </c>
      <c r="B1241" s="238" t="s">
        <v>1082</v>
      </c>
      <c r="C1241" s="238" t="str">
        <f>("13")</f>
        <v>13</v>
      </c>
      <c r="D1241" s="238" t="s">
        <v>798</v>
      </c>
      <c r="E1241" s="380" t="s">
        <v>9333</v>
      </c>
      <c r="F1241" s="380" t="s">
        <v>14959</v>
      </c>
      <c r="G1241" s="380">
        <v>4</v>
      </c>
      <c r="H1241" s="380" t="s">
        <v>1478</v>
      </c>
    </row>
    <row r="1242" spans="1:9" x14ac:dyDescent="0.25">
      <c r="A1242" s="247" t="str">
        <f t="shared" si="19"/>
        <v>野津ＦＣ_14</v>
      </c>
      <c r="B1242" s="238" t="s">
        <v>1082</v>
      </c>
      <c r="C1242" s="238" t="str">
        <f>("14")</f>
        <v>14</v>
      </c>
      <c r="D1242" s="238" t="s">
        <v>798</v>
      </c>
      <c r="E1242" s="380" t="s">
        <v>9273</v>
      </c>
      <c r="F1242" s="380" t="s">
        <v>14960</v>
      </c>
      <c r="G1242" s="380">
        <v>4</v>
      </c>
      <c r="H1242" s="380" t="s">
        <v>1478</v>
      </c>
    </row>
    <row r="1243" spans="1:9" x14ac:dyDescent="0.25">
      <c r="A1243" s="247" t="str">
        <f t="shared" si="19"/>
        <v>野津ＦＣ_15</v>
      </c>
      <c r="B1243" s="238" t="s">
        <v>1082</v>
      </c>
      <c r="C1243" s="238" t="str">
        <f>("15")</f>
        <v>15</v>
      </c>
      <c r="D1243" s="238" t="s">
        <v>235</v>
      </c>
      <c r="E1243" s="380" t="s">
        <v>9133</v>
      </c>
      <c r="F1243" s="380" t="s">
        <v>14961</v>
      </c>
      <c r="G1243" s="380">
        <v>4</v>
      </c>
      <c r="H1243" s="380" t="s">
        <v>1478</v>
      </c>
    </row>
    <row r="1244" spans="1:9" x14ac:dyDescent="0.25">
      <c r="A1244" s="247" t="str">
        <f t="shared" si="19"/>
        <v>野津ＦＣ_16</v>
      </c>
      <c r="B1244" s="238" t="s">
        <v>1082</v>
      </c>
      <c r="C1244" s="238" t="str">
        <f>("16")</f>
        <v>16</v>
      </c>
      <c r="D1244" s="238" t="s">
        <v>235</v>
      </c>
      <c r="E1244" s="380" t="s">
        <v>9323</v>
      </c>
      <c r="F1244" s="380" t="s">
        <v>14962</v>
      </c>
      <c r="G1244" s="380">
        <v>4</v>
      </c>
      <c r="H1244" s="380" t="s">
        <v>1478</v>
      </c>
    </row>
    <row r="1245" spans="1:9" x14ac:dyDescent="0.25">
      <c r="A1245" s="247" t="str">
        <f t="shared" si="19"/>
        <v>野津ＦＣ_20</v>
      </c>
      <c r="B1245" s="238" t="s">
        <v>1082</v>
      </c>
      <c r="C1245" s="238" t="str">
        <f>("20")</f>
        <v>20</v>
      </c>
      <c r="D1245" s="238" t="s">
        <v>796</v>
      </c>
      <c r="E1245" s="380" t="s">
        <v>10248</v>
      </c>
      <c r="F1245" s="380" t="s">
        <v>14963</v>
      </c>
      <c r="G1245" s="380">
        <v>2</v>
      </c>
      <c r="H1245" s="380" t="s">
        <v>1478</v>
      </c>
    </row>
    <row r="1246" spans="1:9" x14ac:dyDescent="0.25">
      <c r="A1246" s="247" t="str">
        <f t="shared" si="19"/>
        <v>ＦＣ　ＲＥＧＡＴＥ_1</v>
      </c>
      <c r="B1246" s="238" t="s">
        <v>2323</v>
      </c>
      <c r="C1246" s="238" t="str">
        <f>("1")</f>
        <v>1</v>
      </c>
      <c r="D1246" s="238" t="s">
        <v>796</v>
      </c>
      <c r="E1246" s="380" t="s">
        <v>6145</v>
      </c>
      <c r="F1246" s="380" t="s">
        <v>6692</v>
      </c>
      <c r="G1246" s="380">
        <v>6</v>
      </c>
      <c r="H1246" s="380" t="s">
        <v>1478</v>
      </c>
    </row>
    <row r="1247" spans="1:9" x14ac:dyDescent="0.25">
      <c r="A1247" s="247" t="str">
        <f t="shared" si="19"/>
        <v>ＦＣ　ＲＥＧＡＴＥ_2</v>
      </c>
      <c r="B1247" s="238" t="s">
        <v>2323</v>
      </c>
      <c r="C1247" s="238" t="str">
        <f>("2")</f>
        <v>2</v>
      </c>
      <c r="D1247" s="238" t="s">
        <v>280</v>
      </c>
      <c r="E1247" s="380" t="s">
        <v>8994</v>
      </c>
      <c r="F1247" s="380" t="s">
        <v>14964</v>
      </c>
      <c r="G1247" s="380">
        <v>6</v>
      </c>
      <c r="H1247" s="380" t="s">
        <v>1478</v>
      </c>
    </row>
    <row r="1248" spans="1:9" x14ac:dyDescent="0.25">
      <c r="A1248" s="247" t="str">
        <f t="shared" si="19"/>
        <v>ＦＣ　ＲＥＧＡＴＥ_3</v>
      </c>
      <c r="B1248" s="238" t="s">
        <v>2323</v>
      </c>
      <c r="C1248" s="238" t="str">
        <f>("3")</f>
        <v>3</v>
      </c>
      <c r="D1248" s="238" t="s">
        <v>235</v>
      </c>
      <c r="E1248" s="380" t="s">
        <v>6144</v>
      </c>
      <c r="F1248" s="380" t="s">
        <v>6691</v>
      </c>
      <c r="G1248" s="380">
        <v>6</v>
      </c>
      <c r="H1248" s="380" t="s">
        <v>1478</v>
      </c>
    </row>
    <row r="1249" spans="1:9" x14ac:dyDescent="0.25">
      <c r="A1249" s="247" t="str">
        <f t="shared" si="19"/>
        <v>ＦＣ　ＲＥＧＡＴＥ_4</v>
      </c>
      <c r="B1249" s="238" t="s">
        <v>2323</v>
      </c>
      <c r="C1249" s="238" t="str">
        <f>("4")</f>
        <v>4</v>
      </c>
      <c r="D1249" s="238" t="s">
        <v>235</v>
      </c>
      <c r="E1249" s="380" t="s">
        <v>8804</v>
      </c>
      <c r="F1249" s="380" t="s">
        <v>14965</v>
      </c>
      <c r="G1249" s="380">
        <v>6</v>
      </c>
      <c r="H1249" s="380" t="s">
        <v>1478</v>
      </c>
    </row>
    <row r="1250" spans="1:9" x14ac:dyDescent="0.25">
      <c r="A1250" s="247" t="str">
        <f t="shared" si="19"/>
        <v>ＦＣ　ＲＥＧＡＴＥ_5</v>
      </c>
      <c r="B1250" s="238" t="s">
        <v>2323</v>
      </c>
      <c r="C1250" s="238" t="str">
        <f>("5")</f>
        <v>5</v>
      </c>
      <c r="D1250" s="238" t="s">
        <v>280</v>
      </c>
      <c r="E1250" s="380" t="s">
        <v>8686</v>
      </c>
      <c r="F1250" s="380" t="s">
        <v>14966</v>
      </c>
      <c r="G1250" s="380">
        <v>6</v>
      </c>
      <c r="H1250" s="380" t="s">
        <v>1478</v>
      </c>
    </row>
    <row r="1251" spans="1:9" x14ac:dyDescent="0.25">
      <c r="A1251" s="247" t="str">
        <f t="shared" si="19"/>
        <v>ＦＣ　ＲＥＧＡＴＥ_6</v>
      </c>
      <c r="B1251" s="238" t="s">
        <v>2323</v>
      </c>
      <c r="C1251" s="238" t="str">
        <f>("6")</f>
        <v>6</v>
      </c>
      <c r="D1251" s="238" t="s">
        <v>798</v>
      </c>
      <c r="E1251" s="380" t="s">
        <v>8688</v>
      </c>
      <c r="F1251" s="380" t="s">
        <v>14967</v>
      </c>
      <c r="G1251" s="380">
        <v>6</v>
      </c>
      <c r="H1251" s="380" t="s">
        <v>1478</v>
      </c>
    </row>
    <row r="1252" spans="1:9" x14ac:dyDescent="0.25">
      <c r="A1252" s="247" t="str">
        <f t="shared" si="19"/>
        <v>ＦＣ　ＲＥＧＡＴＥ_7</v>
      </c>
      <c r="B1252" s="238" t="s">
        <v>2323</v>
      </c>
      <c r="C1252" s="238" t="str">
        <f>("7")</f>
        <v>7</v>
      </c>
      <c r="D1252" s="238" t="s">
        <v>798</v>
      </c>
      <c r="E1252" s="380" t="s">
        <v>6143</v>
      </c>
      <c r="F1252" s="380" t="s">
        <v>6690</v>
      </c>
      <c r="G1252" s="380">
        <v>6</v>
      </c>
      <c r="H1252" s="380" t="s">
        <v>1478</v>
      </c>
    </row>
    <row r="1253" spans="1:9" x14ac:dyDescent="0.25">
      <c r="A1253" s="247" t="str">
        <f t="shared" si="19"/>
        <v>ＦＣ　ＲＥＧＡＴＥ_8</v>
      </c>
      <c r="B1253" s="238" t="s">
        <v>2323</v>
      </c>
      <c r="C1253" s="238" t="str">
        <f>("8")</f>
        <v>8</v>
      </c>
      <c r="D1253" s="238" t="s">
        <v>798</v>
      </c>
      <c r="E1253" s="380" t="s">
        <v>6147</v>
      </c>
      <c r="F1253" s="380" t="s">
        <v>6693</v>
      </c>
      <c r="G1253" s="380">
        <v>6</v>
      </c>
      <c r="H1253" s="380" t="s">
        <v>1480</v>
      </c>
    </row>
    <row r="1254" spans="1:9" x14ac:dyDescent="0.25">
      <c r="A1254" s="247" t="str">
        <f t="shared" si="19"/>
        <v>ＦＣ　ＲＥＧＡＴＥ_9</v>
      </c>
      <c r="B1254" s="238" t="s">
        <v>2323</v>
      </c>
      <c r="C1254" s="238" t="str">
        <f>("9")</f>
        <v>9</v>
      </c>
      <c r="D1254" s="238" t="s">
        <v>798</v>
      </c>
      <c r="E1254" s="380" t="s">
        <v>8836</v>
      </c>
      <c r="F1254" s="380" t="s">
        <v>14968</v>
      </c>
      <c r="G1254" s="380">
        <v>6</v>
      </c>
      <c r="H1254" s="380" t="s">
        <v>1478</v>
      </c>
    </row>
    <row r="1255" spans="1:9" x14ac:dyDescent="0.25">
      <c r="A1255" s="247" t="str">
        <f t="shared" si="19"/>
        <v>ＦＣ　ＲＥＧＡＴＥ_10</v>
      </c>
      <c r="B1255" s="238" t="s">
        <v>2323</v>
      </c>
      <c r="C1255" s="238" t="str">
        <f>("10")</f>
        <v>10</v>
      </c>
      <c r="D1255" s="238" t="s">
        <v>235</v>
      </c>
      <c r="E1255" s="380" t="s">
        <v>4161</v>
      </c>
      <c r="F1255" s="380" t="s">
        <v>4162</v>
      </c>
      <c r="G1255" s="380">
        <v>6</v>
      </c>
      <c r="H1255" s="380" t="s">
        <v>1478</v>
      </c>
      <c r="I1255" s="380" t="s">
        <v>408</v>
      </c>
    </row>
    <row r="1256" spans="1:9" x14ac:dyDescent="0.25">
      <c r="A1256" s="247" t="str">
        <f t="shared" si="19"/>
        <v>ＦＣ　ＲＥＧＡＴＥ_11</v>
      </c>
      <c r="B1256" s="238" t="s">
        <v>2323</v>
      </c>
      <c r="C1256" s="238" t="str">
        <f>("11")</f>
        <v>11</v>
      </c>
      <c r="D1256" s="238" t="s">
        <v>280</v>
      </c>
      <c r="E1256" s="380" t="s">
        <v>4163</v>
      </c>
      <c r="F1256" s="380" t="s">
        <v>4164</v>
      </c>
      <c r="G1256" s="380">
        <v>6</v>
      </c>
      <c r="H1256" s="380" t="s">
        <v>1478</v>
      </c>
    </row>
    <row r="1257" spans="1:9" x14ac:dyDescent="0.25">
      <c r="A1257" s="247" t="str">
        <f t="shared" si="19"/>
        <v>ＦＣ　ＲＥＧＡＴＥ_12</v>
      </c>
      <c r="B1257" s="238" t="s">
        <v>2323</v>
      </c>
      <c r="C1257" s="238" t="str">
        <f>("12")</f>
        <v>12</v>
      </c>
      <c r="D1257" s="238" t="s">
        <v>798</v>
      </c>
      <c r="E1257" s="380" t="s">
        <v>8228</v>
      </c>
      <c r="F1257" s="380" t="s">
        <v>14969</v>
      </c>
      <c r="G1257" s="380">
        <v>5</v>
      </c>
      <c r="H1257" s="380" t="s">
        <v>1478</v>
      </c>
    </row>
    <row r="1258" spans="1:9" x14ac:dyDescent="0.25">
      <c r="A1258" s="247" t="str">
        <f t="shared" si="19"/>
        <v>ＦＣ　ＲＥＧＡＴＥ_13</v>
      </c>
      <c r="B1258" s="238" t="s">
        <v>2323</v>
      </c>
      <c r="C1258" s="238" t="str">
        <f>("13")</f>
        <v>13</v>
      </c>
      <c r="D1258" s="238" t="s">
        <v>235</v>
      </c>
      <c r="E1258" s="380" t="s">
        <v>7848</v>
      </c>
      <c r="F1258" s="380" t="s">
        <v>14970</v>
      </c>
      <c r="G1258" s="380">
        <v>5</v>
      </c>
      <c r="H1258" s="380" t="s">
        <v>1478</v>
      </c>
    </row>
    <row r="1259" spans="1:9" x14ac:dyDescent="0.25">
      <c r="A1259" s="247" t="str">
        <f t="shared" si="19"/>
        <v>ＦＣ　ＲＥＧＡＴＥ_14</v>
      </c>
      <c r="B1259" s="238" t="s">
        <v>2323</v>
      </c>
      <c r="C1259" s="238" t="str">
        <f>("14")</f>
        <v>14</v>
      </c>
      <c r="D1259" s="238" t="s">
        <v>798</v>
      </c>
      <c r="E1259" s="380" t="s">
        <v>6148</v>
      </c>
      <c r="F1259" s="380" t="s">
        <v>6694</v>
      </c>
      <c r="G1259" s="380">
        <v>4</v>
      </c>
      <c r="H1259" s="380" t="s">
        <v>1478</v>
      </c>
    </row>
    <row r="1260" spans="1:9" x14ac:dyDescent="0.25">
      <c r="A1260" s="247" t="str">
        <f t="shared" si="19"/>
        <v>ＦＣ　ＲＥＧＡＴＥ_15</v>
      </c>
      <c r="B1260" s="238" t="s">
        <v>2323</v>
      </c>
      <c r="C1260" s="238" t="str">
        <f>("15")</f>
        <v>15</v>
      </c>
      <c r="D1260" s="238" t="s">
        <v>280</v>
      </c>
      <c r="E1260" s="380" t="s">
        <v>9432</v>
      </c>
      <c r="F1260" s="380" t="s">
        <v>14971</v>
      </c>
      <c r="G1260" s="380">
        <v>4</v>
      </c>
      <c r="H1260" s="380" t="s">
        <v>1478</v>
      </c>
    </row>
    <row r="1261" spans="1:9" x14ac:dyDescent="0.25">
      <c r="A1261" s="247" t="str">
        <f t="shared" si="19"/>
        <v>ＦＣ　ＲＥＧＡＴＥ_16</v>
      </c>
      <c r="B1261" s="238" t="s">
        <v>2323</v>
      </c>
      <c r="C1261" s="238" t="str">
        <f>("16")</f>
        <v>16</v>
      </c>
      <c r="D1261" s="238" t="s">
        <v>235</v>
      </c>
      <c r="E1261" s="380" t="s">
        <v>9175</v>
      </c>
      <c r="F1261" s="380" t="s">
        <v>14972</v>
      </c>
      <c r="G1261" s="380">
        <v>4</v>
      </c>
      <c r="H1261" s="380" t="s">
        <v>1478</v>
      </c>
    </row>
    <row r="1262" spans="1:9" x14ac:dyDescent="0.25">
      <c r="A1262" s="247" t="str">
        <f t="shared" si="19"/>
        <v>ＦＣ　ＲＥＧＡＴＥ_17</v>
      </c>
      <c r="B1262" s="238" t="s">
        <v>2323</v>
      </c>
      <c r="C1262" s="238" t="str">
        <f>("17")</f>
        <v>17</v>
      </c>
      <c r="D1262" s="238" t="s">
        <v>798</v>
      </c>
      <c r="E1262" s="380" t="s">
        <v>9091</v>
      </c>
      <c r="F1262" s="380" t="s">
        <v>14973</v>
      </c>
      <c r="G1262" s="380">
        <v>4</v>
      </c>
      <c r="H1262" s="380" t="s">
        <v>1478</v>
      </c>
    </row>
    <row r="1263" spans="1:9" x14ac:dyDescent="0.25">
      <c r="A1263" s="247" t="str">
        <f t="shared" si="19"/>
        <v>ＦＣ　ＲＥＧＡＴＥ_20</v>
      </c>
      <c r="B1263" s="238" t="s">
        <v>2323</v>
      </c>
      <c r="C1263" s="238" t="str">
        <f>("20")</f>
        <v>20</v>
      </c>
      <c r="D1263" s="238" t="s">
        <v>796</v>
      </c>
      <c r="E1263" s="380" t="s">
        <v>8932</v>
      </c>
      <c r="F1263" s="380" t="s">
        <v>14974</v>
      </c>
      <c r="G1263" s="380">
        <v>6</v>
      </c>
      <c r="H1263" s="380" t="s">
        <v>1478</v>
      </c>
    </row>
    <row r="1264" spans="1:9" x14ac:dyDescent="0.25">
      <c r="A1264" s="247" t="str">
        <f t="shared" si="19"/>
        <v>大分トリニータタートルズ_1</v>
      </c>
      <c r="B1264" s="238" t="s">
        <v>2619</v>
      </c>
      <c r="C1264" s="238" t="str">
        <f>("1")</f>
        <v>1</v>
      </c>
      <c r="D1264" s="238" t="s">
        <v>796</v>
      </c>
      <c r="E1264" s="380" t="s">
        <v>8902</v>
      </c>
      <c r="F1264" s="380" t="s">
        <v>14975</v>
      </c>
      <c r="G1264" s="380">
        <v>6</v>
      </c>
      <c r="H1264" s="380" t="s">
        <v>1478</v>
      </c>
    </row>
    <row r="1265" spans="1:9" x14ac:dyDescent="0.25">
      <c r="A1265" s="247" t="str">
        <f t="shared" si="19"/>
        <v>大分トリニータタートルズ_2</v>
      </c>
      <c r="B1265" s="238" t="s">
        <v>2619</v>
      </c>
      <c r="C1265" s="238" t="str">
        <f>("2")</f>
        <v>2</v>
      </c>
      <c r="D1265" s="238" t="s">
        <v>235</v>
      </c>
      <c r="E1265" s="380" t="s">
        <v>8730</v>
      </c>
      <c r="F1265" s="380" t="s">
        <v>14976</v>
      </c>
      <c r="G1265" s="380">
        <v>6</v>
      </c>
      <c r="H1265" s="380" t="s">
        <v>1478</v>
      </c>
    </row>
    <row r="1266" spans="1:9" x14ac:dyDescent="0.25">
      <c r="A1266" s="247" t="str">
        <f t="shared" si="19"/>
        <v>大分トリニータタートルズ_3</v>
      </c>
      <c r="B1266" s="238" t="s">
        <v>2619</v>
      </c>
      <c r="C1266" s="238" t="str">
        <f>("3")</f>
        <v>3</v>
      </c>
      <c r="D1266" s="238" t="s">
        <v>235</v>
      </c>
      <c r="E1266" s="380" t="s">
        <v>8834</v>
      </c>
      <c r="F1266" s="380" t="s">
        <v>14977</v>
      </c>
      <c r="G1266" s="380">
        <v>6</v>
      </c>
      <c r="H1266" s="380" t="s">
        <v>1478</v>
      </c>
    </row>
    <row r="1267" spans="1:9" x14ac:dyDescent="0.25">
      <c r="A1267" s="247" t="str">
        <f t="shared" si="19"/>
        <v>大分トリニータタートルズ_4</v>
      </c>
      <c r="B1267" s="238" t="s">
        <v>2619</v>
      </c>
      <c r="C1267" s="238" t="str">
        <f>("4")</f>
        <v>4</v>
      </c>
      <c r="D1267" s="238" t="s">
        <v>235</v>
      </c>
      <c r="E1267" s="380" t="s">
        <v>8706</v>
      </c>
      <c r="F1267" s="380" t="s">
        <v>14978</v>
      </c>
      <c r="G1267" s="380">
        <v>6</v>
      </c>
      <c r="H1267" s="380" t="s">
        <v>1478</v>
      </c>
    </row>
    <row r="1268" spans="1:9" x14ac:dyDescent="0.25">
      <c r="A1268" s="247" t="str">
        <f t="shared" si="19"/>
        <v>大分トリニータタートルズ_5</v>
      </c>
      <c r="B1268" s="238" t="s">
        <v>2619</v>
      </c>
      <c r="C1268" s="238" t="str">
        <f>("5")</f>
        <v>5</v>
      </c>
      <c r="D1268" s="238" t="s">
        <v>798</v>
      </c>
      <c r="E1268" s="380" t="s">
        <v>8711</v>
      </c>
      <c r="F1268" s="380" t="s">
        <v>14979</v>
      </c>
      <c r="G1268" s="380">
        <v>6</v>
      </c>
      <c r="H1268" s="380" t="s">
        <v>1478</v>
      </c>
    </row>
    <row r="1269" spans="1:9" x14ac:dyDescent="0.25">
      <c r="A1269" s="247" t="str">
        <f t="shared" si="19"/>
        <v>大分トリニータタートルズ_6</v>
      </c>
      <c r="B1269" s="238" t="s">
        <v>2619</v>
      </c>
      <c r="C1269" s="238" t="str">
        <f>("6")</f>
        <v>6</v>
      </c>
      <c r="D1269" s="238" t="s">
        <v>798</v>
      </c>
      <c r="E1269" s="380" t="s">
        <v>8852</v>
      </c>
      <c r="F1269" s="380" t="s">
        <v>14980</v>
      </c>
      <c r="G1269" s="380">
        <v>6</v>
      </c>
      <c r="H1269" s="380" t="s">
        <v>1478</v>
      </c>
    </row>
    <row r="1270" spans="1:9" x14ac:dyDescent="0.25">
      <c r="A1270" s="247" t="str">
        <f t="shared" si="19"/>
        <v>大分トリニータタートルズ_7</v>
      </c>
      <c r="B1270" s="238" t="s">
        <v>2619</v>
      </c>
      <c r="C1270" s="238" t="str">
        <f>("7")</f>
        <v>7</v>
      </c>
      <c r="D1270" s="238" t="s">
        <v>798</v>
      </c>
      <c r="E1270" s="380" t="s">
        <v>8575</v>
      </c>
      <c r="F1270" s="380" t="s">
        <v>14981</v>
      </c>
      <c r="G1270" s="380">
        <v>6</v>
      </c>
      <c r="H1270" s="380" t="s">
        <v>1478</v>
      </c>
    </row>
    <row r="1271" spans="1:9" x14ac:dyDescent="0.25">
      <c r="A1271" s="247" t="str">
        <f t="shared" si="19"/>
        <v>大分トリニータタートルズ_8</v>
      </c>
      <c r="B1271" s="238" t="s">
        <v>2619</v>
      </c>
      <c r="C1271" s="238" t="str">
        <f>("8")</f>
        <v>8</v>
      </c>
      <c r="D1271" s="238" t="s">
        <v>798</v>
      </c>
      <c r="E1271" s="380" t="s">
        <v>8814</v>
      </c>
      <c r="F1271" s="380" t="s">
        <v>14982</v>
      </c>
      <c r="G1271" s="380">
        <v>6</v>
      </c>
      <c r="H1271" s="380" t="s">
        <v>1478</v>
      </c>
    </row>
    <row r="1272" spans="1:9" x14ac:dyDescent="0.25">
      <c r="A1272" s="247" t="str">
        <f t="shared" si="19"/>
        <v>大分トリニータタートルズ_9</v>
      </c>
      <c r="B1272" s="238" t="s">
        <v>2619</v>
      </c>
      <c r="C1272" s="238" t="str">
        <f>("9")</f>
        <v>9</v>
      </c>
      <c r="D1272" s="238" t="s">
        <v>280</v>
      </c>
      <c r="E1272" s="380" t="s">
        <v>8601</v>
      </c>
      <c r="F1272" s="380" t="s">
        <v>14983</v>
      </c>
      <c r="G1272" s="380">
        <v>6</v>
      </c>
      <c r="H1272" s="380" t="s">
        <v>1478</v>
      </c>
    </row>
    <row r="1273" spans="1:9" x14ac:dyDescent="0.25">
      <c r="A1273" s="247" t="str">
        <f t="shared" si="19"/>
        <v>大分トリニータタートルズ_10</v>
      </c>
      <c r="B1273" s="238" t="s">
        <v>2619</v>
      </c>
      <c r="C1273" s="238" t="str">
        <f>("10")</f>
        <v>10</v>
      </c>
      <c r="D1273" s="238" t="s">
        <v>235</v>
      </c>
      <c r="E1273" s="380" t="s">
        <v>8621</v>
      </c>
      <c r="F1273" s="380" t="s">
        <v>14984</v>
      </c>
      <c r="G1273" s="380">
        <v>6</v>
      </c>
      <c r="H1273" s="380" t="s">
        <v>1478</v>
      </c>
    </row>
    <row r="1274" spans="1:9" x14ac:dyDescent="0.25">
      <c r="A1274" s="247" t="str">
        <f t="shared" si="19"/>
        <v>大分トリニータタートルズ_11</v>
      </c>
      <c r="B1274" s="238" t="s">
        <v>2619</v>
      </c>
      <c r="C1274" s="238" t="str">
        <f>("11")</f>
        <v>11</v>
      </c>
      <c r="D1274" s="238" t="s">
        <v>798</v>
      </c>
      <c r="E1274" s="380" t="s">
        <v>8785</v>
      </c>
      <c r="F1274" s="380" t="s">
        <v>14985</v>
      </c>
      <c r="G1274" s="380">
        <v>6</v>
      </c>
      <c r="H1274" s="380" t="s">
        <v>1478</v>
      </c>
    </row>
    <row r="1275" spans="1:9" x14ac:dyDescent="0.25">
      <c r="A1275" s="247" t="str">
        <f t="shared" si="19"/>
        <v>大分トリニータタートルズ_12</v>
      </c>
      <c r="B1275" s="238" t="s">
        <v>2619</v>
      </c>
      <c r="C1275" s="238" t="str">
        <f>("12")</f>
        <v>12</v>
      </c>
      <c r="D1275" s="238" t="s">
        <v>798</v>
      </c>
      <c r="E1275" s="380" t="s">
        <v>8644</v>
      </c>
      <c r="F1275" s="380" t="s">
        <v>14986</v>
      </c>
      <c r="G1275" s="380">
        <v>6</v>
      </c>
      <c r="H1275" s="380" t="s">
        <v>1478</v>
      </c>
      <c r="I1275" s="380" t="s">
        <v>408</v>
      </c>
    </row>
    <row r="1276" spans="1:9" x14ac:dyDescent="0.25">
      <c r="A1276" s="247" t="str">
        <f t="shared" si="19"/>
        <v>大分トリニータタートルズ_13</v>
      </c>
      <c r="B1276" s="238" t="s">
        <v>2619</v>
      </c>
      <c r="C1276" s="238" t="str">
        <f>("13")</f>
        <v>13</v>
      </c>
      <c r="D1276" s="238" t="s">
        <v>280</v>
      </c>
      <c r="E1276" s="380" t="s">
        <v>8674</v>
      </c>
      <c r="F1276" s="380" t="s">
        <v>14987</v>
      </c>
      <c r="G1276" s="380">
        <v>6</v>
      </c>
      <c r="H1276" s="380" t="s">
        <v>1478</v>
      </c>
    </row>
    <row r="1277" spans="1:9" x14ac:dyDescent="0.25">
      <c r="A1277" s="247" t="str">
        <f t="shared" si="19"/>
        <v>大分トリニータタートルズキング_1</v>
      </c>
      <c r="B1277" s="238" t="s">
        <v>14398</v>
      </c>
      <c r="C1277" s="238" t="str">
        <f>("1")</f>
        <v>1</v>
      </c>
      <c r="D1277" s="238" t="s">
        <v>796</v>
      </c>
      <c r="E1277" s="380" t="s">
        <v>8023</v>
      </c>
      <c r="F1277" s="380" t="s">
        <v>14988</v>
      </c>
      <c r="G1277" s="380">
        <v>5</v>
      </c>
      <c r="H1277" s="380" t="s">
        <v>1478</v>
      </c>
    </row>
    <row r="1278" spans="1:9" x14ac:dyDescent="0.25">
      <c r="A1278" s="247" t="str">
        <f t="shared" si="19"/>
        <v>大分トリニータタートルズキング_2</v>
      </c>
      <c r="B1278" s="238" t="s">
        <v>14398</v>
      </c>
      <c r="C1278" s="238" t="str">
        <f>("2")</f>
        <v>2</v>
      </c>
      <c r="D1278" s="238" t="s">
        <v>235</v>
      </c>
      <c r="E1278" s="380" t="s">
        <v>8628</v>
      </c>
      <c r="F1278" s="380" t="s">
        <v>14989</v>
      </c>
      <c r="G1278" s="380">
        <v>6</v>
      </c>
      <c r="H1278" s="380" t="s">
        <v>1478</v>
      </c>
    </row>
    <row r="1279" spans="1:9" x14ac:dyDescent="0.25">
      <c r="A1279" s="247" t="str">
        <f t="shared" si="19"/>
        <v>大分トリニータタートルズキング_3</v>
      </c>
      <c r="B1279" s="238" t="s">
        <v>14398</v>
      </c>
      <c r="C1279" s="238" t="str">
        <f>("3")</f>
        <v>3</v>
      </c>
      <c r="D1279" s="238" t="s">
        <v>798</v>
      </c>
      <c r="E1279" s="380" t="s">
        <v>8753</v>
      </c>
      <c r="F1279" s="380" t="s">
        <v>14990</v>
      </c>
      <c r="G1279" s="380">
        <v>6</v>
      </c>
      <c r="H1279" s="380" t="s">
        <v>1478</v>
      </c>
    </row>
    <row r="1280" spans="1:9" x14ac:dyDescent="0.25">
      <c r="A1280" s="247" t="str">
        <f t="shared" si="19"/>
        <v>大分トリニータタートルズキング_4</v>
      </c>
      <c r="B1280" s="238" t="s">
        <v>14398</v>
      </c>
      <c r="C1280" s="238" t="str">
        <f>("4")</f>
        <v>4</v>
      </c>
      <c r="D1280" s="238" t="s">
        <v>235</v>
      </c>
      <c r="E1280" s="380" t="s">
        <v>8763</v>
      </c>
      <c r="F1280" s="380" t="s">
        <v>14991</v>
      </c>
      <c r="G1280" s="380">
        <v>6</v>
      </c>
      <c r="H1280" s="380" t="s">
        <v>1478</v>
      </c>
    </row>
    <row r="1281" spans="1:9" x14ac:dyDescent="0.25">
      <c r="A1281" s="247" t="str">
        <f t="shared" ref="A1281:A1344" si="20">CONCATENATE(B1281,"_",C1281)</f>
        <v>大分トリニータタートルズキング_5</v>
      </c>
      <c r="B1281" s="238" t="s">
        <v>14398</v>
      </c>
      <c r="C1281" s="238" t="str">
        <f>("5")</f>
        <v>5</v>
      </c>
      <c r="D1281" s="238" t="s">
        <v>798</v>
      </c>
      <c r="E1281" s="380" t="s">
        <v>9002</v>
      </c>
      <c r="F1281" s="380" t="s">
        <v>14992</v>
      </c>
      <c r="G1281" s="380">
        <v>6</v>
      </c>
      <c r="H1281" s="380" t="s">
        <v>1478</v>
      </c>
    </row>
    <row r="1282" spans="1:9" x14ac:dyDescent="0.25">
      <c r="A1282" s="247" t="str">
        <f t="shared" si="20"/>
        <v>大分トリニータタートルズキング_6</v>
      </c>
      <c r="B1282" s="238" t="s">
        <v>14398</v>
      </c>
      <c r="C1282" s="238" t="str">
        <f>("6")</f>
        <v>6</v>
      </c>
      <c r="D1282" s="238" t="s">
        <v>798</v>
      </c>
      <c r="E1282" s="380" t="s">
        <v>8847</v>
      </c>
      <c r="F1282" s="380" t="s">
        <v>14993</v>
      </c>
      <c r="G1282" s="380">
        <v>6</v>
      </c>
      <c r="H1282" s="380" t="s">
        <v>1478</v>
      </c>
    </row>
    <row r="1283" spans="1:9" x14ac:dyDescent="0.25">
      <c r="A1283" s="247" t="str">
        <f t="shared" si="20"/>
        <v>大分トリニータタートルズキング_7</v>
      </c>
      <c r="B1283" s="238" t="s">
        <v>14398</v>
      </c>
      <c r="C1283" s="238" t="str">
        <f>("7")</f>
        <v>7</v>
      </c>
      <c r="D1283" s="238" t="s">
        <v>798</v>
      </c>
      <c r="E1283" s="380" t="s">
        <v>8939</v>
      </c>
      <c r="F1283" s="380" t="s">
        <v>14994</v>
      </c>
      <c r="G1283" s="380">
        <v>6</v>
      </c>
      <c r="H1283" s="380" t="s">
        <v>1478</v>
      </c>
    </row>
    <row r="1284" spans="1:9" x14ac:dyDescent="0.25">
      <c r="A1284" s="247" t="str">
        <f t="shared" si="20"/>
        <v>大分トリニータタートルズキング_8</v>
      </c>
      <c r="B1284" s="238" t="s">
        <v>14398</v>
      </c>
      <c r="C1284" s="238" t="str">
        <f>("8")</f>
        <v>8</v>
      </c>
      <c r="D1284" s="238" t="s">
        <v>798</v>
      </c>
      <c r="E1284" s="380" t="s">
        <v>8755</v>
      </c>
      <c r="F1284" s="380" t="s">
        <v>14995</v>
      </c>
      <c r="G1284" s="380">
        <v>6</v>
      </c>
      <c r="H1284" s="380" t="s">
        <v>1478</v>
      </c>
    </row>
    <row r="1285" spans="1:9" x14ac:dyDescent="0.25">
      <c r="A1285" s="247" t="str">
        <f t="shared" si="20"/>
        <v>大分トリニータタートルズキング_9</v>
      </c>
      <c r="B1285" s="238" t="s">
        <v>14398</v>
      </c>
      <c r="C1285" s="238" t="str">
        <f>("9")</f>
        <v>9</v>
      </c>
      <c r="D1285" s="238" t="s">
        <v>280</v>
      </c>
      <c r="E1285" s="380" t="s">
        <v>9016</v>
      </c>
      <c r="F1285" s="380" t="s">
        <v>14996</v>
      </c>
      <c r="G1285" s="380">
        <v>6</v>
      </c>
      <c r="H1285" s="380" t="s">
        <v>1478</v>
      </c>
    </row>
    <row r="1286" spans="1:9" x14ac:dyDescent="0.25">
      <c r="A1286" s="247" t="str">
        <f t="shared" si="20"/>
        <v>大分トリニータタートルズキング_10</v>
      </c>
      <c r="B1286" s="238" t="s">
        <v>14398</v>
      </c>
      <c r="C1286" s="238" t="str">
        <f>("10")</f>
        <v>10</v>
      </c>
      <c r="D1286" s="238" t="s">
        <v>798</v>
      </c>
      <c r="E1286" s="380" t="s">
        <v>8889</v>
      </c>
      <c r="F1286" s="380" t="s">
        <v>14997</v>
      </c>
      <c r="G1286" s="380">
        <v>6</v>
      </c>
      <c r="H1286" s="380" t="s">
        <v>1478</v>
      </c>
      <c r="I1286" s="380" t="s">
        <v>408</v>
      </c>
    </row>
    <row r="1287" spans="1:9" x14ac:dyDescent="0.25">
      <c r="A1287" s="247" t="str">
        <f t="shared" si="20"/>
        <v>大分トリニータタートルズキング_11</v>
      </c>
      <c r="B1287" s="238" t="s">
        <v>14398</v>
      </c>
      <c r="C1287" s="238" t="str">
        <f>("11")</f>
        <v>11</v>
      </c>
      <c r="D1287" s="238" t="s">
        <v>280</v>
      </c>
      <c r="E1287" s="380" t="s">
        <v>9015</v>
      </c>
      <c r="F1287" s="380" t="s">
        <v>14998</v>
      </c>
      <c r="G1287" s="380">
        <v>6</v>
      </c>
      <c r="H1287" s="380" t="s">
        <v>1480</v>
      </c>
    </row>
    <row r="1288" spans="1:9" x14ac:dyDescent="0.25">
      <c r="A1288" s="247" t="str">
        <f t="shared" si="20"/>
        <v>大分トリニータタートルズキング_12</v>
      </c>
      <c r="B1288" s="238" t="s">
        <v>14398</v>
      </c>
      <c r="C1288" s="238" t="str">
        <f>("12")</f>
        <v>12</v>
      </c>
      <c r="D1288" s="238" t="s">
        <v>796</v>
      </c>
      <c r="E1288" s="380" t="s">
        <v>9346</v>
      </c>
      <c r="F1288" s="380" t="s">
        <v>14999</v>
      </c>
      <c r="G1288" s="380">
        <v>4</v>
      </c>
      <c r="H1288" s="380" t="s">
        <v>1478</v>
      </c>
    </row>
    <row r="1289" spans="1:9" x14ac:dyDescent="0.25">
      <c r="A1289" s="247" t="str">
        <f t="shared" si="20"/>
        <v>大分トリニータタートルズキング_13</v>
      </c>
      <c r="B1289" s="238" t="s">
        <v>14398</v>
      </c>
      <c r="C1289" s="238" t="str">
        <f>("13")</f>
        <v>13</v>
      </c>
      <c r="D1289" s="238" t="s">
        <v>280</v>
      </c>
      <c r="E1289" s="380" t="s">
        <v>8954</v>
      </c>
      <c r="F1289" s="380" t="s">
        <v>15000</v>
      </c>
      <c r="G1289" s="380">
        <v>6</v>
      </c>
      <c r="H1289" s="380" t="s">
        <v>1478</v>
      </c>
    </row>
    <row r="1290" spans="1:9" x14ac:dyDescent="0.25">
      <c r="A1290" s="247" t="str">
        <f t="shared" si="20"/>
        <v>鶴崎ＳＳＳ_1</v>
      </c>
      <c r="B1290" s="238" t="s">
        <v>8135</v>
      </c>
      <c r="C1290" s="238" t="str">
        <f>("1")</f>
        <v>1</v>
      </c>
      <c r="D1290" s="238" t="s">
        <v>796</v>
      </c>
      <c r="E1290" s="380" t="s">
        <v>8270</v>
      </c>
      <c r="F1290" s="380" t="s">
        <v>15001</v>
      </c>
      <c r="G1290" s="380">
        <v>5</v>
      </c>
      <c r="H1290" s="380" t="s">
        <v>1478</v>
      </c>
    </row>
    <row r="1291" spans="1:9" x14ac:dyDescent="0.25">
      <c r="A1291" s="247" t="str">
        <f t="shared" si="20"/>
        <v>鶴崎ＳＳＳ_2</v>
      </c>
      <c r="B1291" s="238" t="s">
        <v>8135</v>
      </c>
      <c r="C1291" s="238" t="str">
        <f>("2")</f>
        <v>2</v>
      </c>
      <c r="D1291" s="238" t="s">
        <v>235</v>
      </c>
      <c r="E1291" s="380" t="s">
        <v>8883</v>
      </c>
      <c r="F1291" s="380" t="s">
        <v>15002</v>
      </c>
      <c r="G1291" s="380">
        <v>6</v>
      </c>
      <c r="H1291" s="380" t="s">
        <v>1478</v>
      </c>
    </row>
    <row r="1292" spans="1:9" x14ac:dyDescent="0.25">
      <c r="A1292" s="247" t="str">
        <f t="shared" si="20"/>
        <v>鶴崎ＳＳＳ_3</v>
      </c>
      <c r="B1292" s="238" t="s">
        <v>8135</v>
      </c>
      <c r="C1292" s="238" t="str">
        <f>("3")</f>
        <v>3</v>
      </c>
      <c r="D1292" s="238" t="s">
        <v>798</v>
      </c>
      <c r="E1292" s="380" t="s">
        <v>8632</v>
      </c>
      <c r="F1292" s="380" t="s">
        <v>15003</v>
      </c>
      <c r="G1292" s="380">
        <v>6</v>
      </c>
      <c r="H1292" s="380" t="s">
        <v>1478</v>
      </c>
    </row>
    <row r="1293" spans="1:9" x14ac:dyDescent="0.25">
      <c r="A1293" s="247" t="str">
        <f t="shared" si="20"/>
        <v>鶴崎ＳＳＳ_4</v>
      </c>
      <c r="B1293" s="238" t="s">
        <v>8135</v>
      </c>
      <c r="C1293" s="238" t="str">
        <f>("4")</f>
        <v>4</v>
      </c>
      <c r="D1293" s="238" t="s">
        <v>235</v>
      </c>
      <c r="E1293" s="380" t="s">
        <v>8771</v>
      </c>
      <c r="F1293" s="380" t="s">
        <v>15004</v>
      </c>
      <c r="G1293" s="380">
        <v>6</v>
      </c>
      <c r="H1293" s="380" t="s">
        <v>1478</v>
      </c>
    </row>
    <row r="1294" spans="1:9" x14ac:dyDescent="0.25">
      <c r="A1294" s="247" t="str">
        <f t="shared" si="20"/>
        <v>鶴崎ＳＳＳ_5</v>
      </c>
      <c r="B1294" s="238" t="s">
        <v>8135</v>
      </c>
      <c r="C1294" s="238" t="str">
        <f>("5")</f>
        <v>5</v>
      </c>
      <c r="D1294" s="238" t="s">
        <v>235</v>
      </c>
      <c r="E1294" s="380" t="s">
        <v>8604</v>
      </c>
      <c r="F1294" s="380" t="s">
        <v>15005</v>
      </c>
      <c r="G1294" s="380">
        <v>6</v>
      </c>
      <c r="H1294" s="380" t="s">
        <v>1478</v>
      </c>
    </row>
    <row r="1295" spans="1:9" x14ac:dyDescent="0.25">
      <c r="A1295" s="247" t="str">
        <f t="shared" si="20"/>
        <v>鶴崎ＳＳＳ_6</v>
      </c>
      <c r="B1295" s="238" t="s">
        <v>8135</v>
      </c>
      <c r="C1295" s="238" t="str">
        <f>("6")</f>
        <v>6</v>
      </c>
      <c r="D1295" s="238" t="s">
        <v>798</v>
      </c>
      <c r="E1295" s="380" t="s">
        <v>8639</v>
      </c>
      <c r="F1295" s="380" t="s">
        <v>15006</v>
      </c>
      <c r="G1295" s="380">
        <v>6</v>
      </c>
      <c r="H1295" s="380" t="s">
        <v>1480</v>
      </c>
    </row>
    <row r="1296" spans="1:9" x14ac:dyDescent="0.25">
      <c r="A1296" s="247" t="str">
        <f t="shared" si="20"/>
        <v>鶴崎ＳＳＳ_7</v>
      </c>
      <c r="B1296" s="238" t="s">
        <v>8135</v>
      </c>
      <c r="C1296" s="238" t="str">
        <f>("7")</f>
        <v>7</v>
      </c>
      <c r="D1296" s="238" t="s">
        <v>798</v>
      </c>
      <c r="E1296" s="380" t="s">
        <v>8630</v>
      </c>
      <c r="F1296" s="380" t="s">
        <v>15007</v>
      </c>
      <c r="G1296" s="380">
        <v>6</v>
      </c>
      <c r="H1296" s="380" t="s">
        <v>1478</v>
      </c>
      <c r="I1296" s="380" t="s">
        <v>408</v>
      </c>
    </row>
    <row r="1297" spans="1:9" x14ac:dyDescent="0.25">
      <c r="A1297" s="247" t="str">
        <f t="shared" si="20"/>
        <v>鶴崎ＳＳＳ_8</v>
      </c>
      <c r="B1297" s="238" t="s">
        <v>8135</v>
      </c>
      <c r="C1297" s="238" t="str">
        <f>("8")</f>
        <v>8</v>
      </c>
      <c r="D1297" s="238" t="s">
        <v>280</v>
      </c>
      <c r="E1297" s="380" t="s">
        <v>8661</v>
      </c>
      <c r="F1297" s="380" t="s">
        <v>15008</v>
      </c>
      <c r="G1297" s="380">
        <v>6</v>
      </c>
      <c r="H1297" s="380" t="s">
        <v>1478</v>
      </c>
    </row>
    <row r="1298" spans="1:9" x14ac:dyDescent="0.25">
      <c r="A1298" s="247" t="str">
        <f t="shared" si="20"/>
        <v>鶴崎ＳＳＳ_9</v>
      </c>
      <c r="B1298" s="238" t="s">
        <v>8135</v>
      </c>
      <c r="C1298" s="238" t="str">
        <f>("9")</f>
        <v>9</v>
      </c>
      <c r="D1298" s="238" t="s">
        <v>280</v>
      </c>
      <c r="E1298" s="380" t="s">
        <v>10285</v>
      </c>
      <c r="F1298" s="380" t="s">
        <v>15009</v>
      </c>
      <c r="G1298" s="380">
        <v>2</v>
      </c>
      <c r="H1298" s="380" t="s">
        <v>1478</v>
      </c>
    </row>
    <row r="1299" spans="1:9" x14ac:dyDescent="0.25">
      <c r="A1299" s="247" t="str">
        <f t="shared" si="20"/>
        <v>鶴崎ＳＳＳ_10</v>
      </c>
      <c r="B1299" s="238" t="s">
        <v>8135</v>
      </c>
      <c r="C1299" s="238" t="str">
        <f>("10")</f>
        <v>10</v>
      </c>
      <c r="D1299" s="238" t="s">
        <v>798</v>
      </c>
      <c r="E1299" s="380" t="s">
        <v>8721</v>
      </c>
      <c r="F1299" s="380" t="s">
        <v>15010</v>
      </c>
      <c r="G1299" s="380">
        <v>6</v>
      </c>
      <c r="H1299" s="380" t="s">
        <v>1478</v>
      </c>
    </row>
    <row r="1300" spans="1:9" x14ac:dyDescent="0.25">
      <c r="A1300" s="247" t="str">
        <f t="shared" si="20"/>
        <v>鶴崎ＳＳＳ_11</v>
      </c>
      <c r="B1300" s="238" t="s">
        <v>8135</v>
      </c>
      <c r="C1300" s="238" t="str">
        <f>("11")</f>
        <v>11</v>
      </c>
      <c r="D1300" s="238" t="s">
        <v>235</v>
      </c>
      <c r="E1300" s="380" t="s">
        <v>8409</v>
      </c>
      <c r="F1300" s="380" t="s">
        <v>15011</v>
      </c>
      <c r="G1300" s="380">
        <v>5</v>
      </c>
      <c r="H1300" s="380" t="s">
        <v>1478</v>
      </c>
    </row>
    <row r="1301" spans="1:9" x14ac:dyDescent="0.25">
      <c r="A1301" s="247" t="str">
        <f t="shared" si="20"/>
        <v>鶴崎ＳＳＳ_12</v>
      </c>
      <c r="B1301" s="238" t="s">
        <v>8135</v>
      </c>
      <c r="C1301" s="238" t="str">
        <f>("12")</f>
        <v>12</v>
      </c>
      <c r="D1301" s="238" t="s">
        <v>280</v>
      </c>
      <c r="E1301" s="380" t="s">
        <v>8134</v>
      </c>
      <c r="F1301" s="380" t="s">
        <v>15012</v>
      </c>
      <c r="G1301" s="380">
        <v>5</v>
      </c>
      <c r="H1301" s="380" t="s">
        <v>1478</v>
      </c>
    </row>
    <row r="1302" spans="1:9" x14ac:dyDescent="0.25">
      <c r="A1302" s="247" t="str">
        <f t="shared" si="20"/>
        <v>鶴崎ＳＳＳ_13</v>
      </c>
      <c r="B1302" s="238" t="s">
        <v>8135</v>
      </c>
      <c r="C1302" s="238" t="str">
        <f>("13")</f>
        <v>13</v>
      </c>
      <c r="D1302" s="238" t="s">
        <v>798</v>
      </c>
      <c r="E1302" s="380" t="s">
        <v>8234</v>
      </c>
      <c r="F1302" s="380" t="s">
        <v>15013</v>
      </c>
      <c r="G1302" s="380">
        <v>5</v>
      </c>
      <c r="H1302" s="380" t="s">
        <v>1478</v>
      </c>
    </row>
    <row r="1303" spans="1:9" x14ac:dyDescent="0.25">
      <c r="A1303" s="247" t="str">
        <f t="shared" si="20"/>
        <v>鶴崎ＳＳＳ_14</v>
      </c>
      <c r="B1303" s="238" t="s">
        <v>8135</v>
      </c>
      <c r="C1303" s="238" t="str">
        <f>("14")</f>
        <v>14</v>
      </c>
      <c r="D1303" s="238" t="s">
        <v>280</v>
      </c>
      <c r="E1303" s="380" t="s">
        <v>10026</v>
      </c>
      <c r="F1303" s="380" t="s">
        <v>15014</v>
      </c>
      <c r="G1303" s="380">
        <v>3</v>
      </c>
      <c r="H1303" s="380" t="s">
        <v>1478</v>
      </c>
    </row>
    <row r="1304" spans="1:9" x14ac:dyDescent="0.25">
      <c r="A1304" s="247" t="str">
        <f t="shared" si="20"/>
        <v>鶴崎ＳＳＳ_16</v>
      </c>
      <c r="B1304" s="238" t="s">
        <v>8135</v>
      </c>
      <c r="C1304" s="238" t="str">
        <f>("16")</f>
        <v>16</v>
      </c>
      <c r="D1304" s="238" t="s">
        <v>796</v>
      </c>
      <c r="E1304" s="380" t="s">
        <v>8382</v>
      </c>
      <c r="F1304" s="380" t="s">
        <v>15015</v>
      </c>
      <c r="G1304" s="380">
        <v>5</v>
      </c>
      <c r="H1304" s="380" t="s">
        <v>1478</v>
      </c>
    </row>
    <row r="1305" spans="1:9" x14ac:dyDescent="0.25">
      <c r="A1305" s="247" t="str">
        <f t="shared" si="20"/>
        <v>ティエラフットボールクラブＵ－１２_1</v>
      </c>
      <c r="B1305" s="238" t="s">
        <v>1446</v>
      </c>
      <c r="C1305" s="238" t="str">
        <f>("1")</f>
        <v>1</v>
      </c>
      <c r="D1305" s="238" t="s">
        <v>796</v>
      </c>
      <c r="E1305" s="380" t="s">
        <v>4793</v>
      </c>
      <c r="F1305" s="380" t="s">
        <v>4794</v>
      </c>
      <c r="G1305" s="380">
        <v>6</v>
      </c>
      <c r="H1305" s="380" t="s">
        <v>1478</v>
      </c>
    </row>
    <row r="1306" spans="1:9" x14ac:dyDescent="0.25">
      <c r="A1306" s="247" t="str">
        <f t="shared" si="20"/>
        <v>ティエラフットボールクラブＵ－１２_2</v>
      </c>
      <c r="B1306" s="238" t="s">
        <v>1446</v>
      </c>
      <c r="C1306" s="238" t="str">
        <f>("2")</f>
        <v>2</v>
      </c>
      <c r="D1306" s="238" t="s">
        <v>235</v>
      </c>
      <c r="E1306" s="380" t="s">
        <v>6159</v>
      </c>
      <c r="F1306" s="380" t="s">
        <v>6697</v>
      </c>
      <c r="G1306" s="380">
        <v>6</v>
      </c>
      <c r="H1306" s="380" t="s">
        <v>1478</v>
      </c>
    </row>
    <row r="1307" spans="1:9" x14ac:dyDescent="0.25">
      <c r="A1307" s="247" t="str">
        <f t="shared" si="20"/>
        <v>ティエラフットボールクラブＵ－１２_3</v>
      </c>
      <c r="B1307" s="238" t="s">
        <v>1446</v>
      </c>
      <c r="C1307" s="238" t="str">
        <f>("3")</f>
        <v>3</v>
      </c>
      <c r="D1307" s="238" t="s">
        <v>235</v>
      </c>
      <c r="E1307" s="380" t="s">
        <v>4785</v>
      </c>
      <c r="F1307" s="380" t="s">
        <v>4786</v>
      </c>
      <c r="G1307" s="380">
        <v>6</v>
      </c>
      <c r="H1307" s="380" t="s">
        <v>1478</v>
      </c>
    </row>
    <row r="1308" spans="1:9" x14ac:dyDescent="0.25">
      <c r="A1308" s="247" t="str">
        <f t="shared" si="20"/>
        <v>ティエラフットボールクラブＵ－１２_4</v>
      </c>
      <c r="B1308" s="238" t="s">
        <v>1446</v>
      </c>
      <c r="C1308" s="238" t="str">
        <f>("4")</f>
        <v>4</v>
      </c>
      <c r="D1308" s="238" t="s">
        <v>798</v>
      </c>
      <c r="E1308" s="380" t="s">
        <v>6157</v>
      </c>
      <c r="F1308" s="380" t="s">
        <v>6695</v>
      </c>
      <c r="G1308" s="380">
        <v>6</v>
      </c>
      <c r="H1308" s="380" t="s">
        <v>1478</v>
      </c>
    </row>
    <row r="1309" spans="1:9" x14ac:dyDescent="0.25">
      <c r="A1309" s="247" t="str">
        <f t="shared" si="20"/>
        <v>ティエラフットボールクラブＵ－１２_5</v>
      </c>
      <c r="B1309" s="238" t="s">
        <v>1446</v>
      </c>
      <c r="C1309" s="238" t="str">
        <f>("5")</f>
        <v>5</v>
      </c>
      <c r="D1309" s="238" t="s">
        <v>235</v>
      </c>
      <c r="E1309" s="380" t="s">
        <v>5759</v>
      </c>
      <c r="F1309" s="380" t="s">
        <v>6409</v>
      </c>
      <c r="G1309" s="380">
        <v>6</v>
      </c>
      <c r="H1309" s="380" t="s">
        <v>1478</v>
      </c>
    </row>
    <row r="1310" spans="1:9" x14ac:dyDescent="0.25">
      <c r="A1310" s="247" t="str">
        <f t="shared" si="20"/>
        <v>ティエラフットボールクラブＵ－１２_6</v>
      </c>
      <c r="B1310" s="238" t="s">
        <v>1446</v>
      </c>
      <c r="C1310" s="238" t="str">
        <f>("6")</f>
        <v>6</v>
      </c>
      <c r="D1310" s="238" t="s">
        <v>798</v>
      </c>
      <c r="E1310" s="380" t="s">
        <v>8576</v>
      </c>
      <c r="F1310" s="380" t="s">
        <v>15016</v>
      </c>
      <c r="G1310" s="380">
        <v>6</v>
      </c>
      <c r="H1310" s="380" t="s">
        <v>1478</v>
      </c>
    </row>
    <row r="1311" spans="1:9" x14ac:dyDescent="0.25">
      <c r="A1311" s="247" t="str">
        <f t="shared" si="20"/>
        <v>ティエラフットボールクラブＵ－１２_7</v>
      </c>
      <c r="B1311" s="238" t="s">
        <v>1446</v>
      </c>
      <c r="C1311" s="238" t="str">
        <f>("7")</f>
        <v>7</v>
      </c>
      <c r="D1311" s="238" t="s">
        <v>798</v>
      </c>
      <c r="E1311" s="380" t="s">
        <v>4791</v>
      </c>
      <c r="F1311" s="380" t="s">
        <v>4792</v>
      </c>
      <c r="G1311" s="380">
        <v>6</v>
      </c>
      <c r="H1311" s="380" t="s">
        <v>1478</v>
      </c>
    </row>
    <row r="1312" spans="1:9" x14ac:dyDescent="0.25">
      <c r="A1312" s="247" t="str">
        <f t="shared" si="20"/>
        <v>ティエラフットボールクラブＵ－１２_8</v>
      </c>
      <c r="B1312" s="238" t="s">
        <v>1446</v>
      </c>
      <c r="C1312" s="238" t="str">
        <f>("8")</f>
        <v>8</v>
      </c>
      <c r="D1312" s="238" t="s">
        <v>798</v>
      </c>
      <c r="E1312" s="380" t="s">
        <v>4789</v>
      </c>
      <c r="F1312" s="380" t="s">
        <v>4790</v>
      </c>
      <c r="G1312" s="380">
        <v>6</v>
      </c>
      <c r="H1312" s="380" t="s">
        <v>1478</v>
      </c>
      <c r="I1312" s="380" t="s">
        <v>408</v>
      </c>
    </row>
    <row r="1313" spans="1:8" x14ac:dyDescent="0.25">
      <c r="A1313" s="247" t="str">
        <f t="shared" si="20"/>
        <v>ティエラフットボールクラブＵ－１２_9</v>
      </c>
      <c r="B1313" s="238" t="s">
        <v>1446</v>
      </c>
      <c r="C1313" s="238" t="str">
        <f>("9")</f>
        <v>9</v>
      </c>
      <c r="D1313" s="238" t="s">
        <v>280</v>
      </c>
      <c r="E1313" s="380" t="s">
        <v>4365</v>
      </c>
      <c r="F1313" s="380" t="s">
        <v>4366</v>
      </c>
      <c r="G1313" s="380">
        <v>6</v>
      </c>
      <c r="H1313" s="380" t="s">
        <v>1478</v>
      </c>
    </row>
    <row r="1314" spans="1:8" x14ac:dyDescent="0.25">
      <c r="A1314" s="247" t="str">
        <f t="shared" si="20"/>
        <v>ティエラフットボールクラブＵ－１２_10</v>
      </c>
      <c r="B1314" s="238" t="s">
        <v>1446</v>
      </c>
      <c r="C1314" s="238" t="str">
        <f>("10")</f>
        <v>10</v>
      </c>
      <c r="D1314" s="238" t="s">
        <v>798</v>
      </c>
      <c r="E1314" s="380" t="s">
        <v>4787</v>
      </c>
      <c r="F1314" s="380" t="s">
        <v>4788</v>
      </c>
      <c r="G1314" s="380">
        <v>6</v>
      </c>
      <c r="H1314" s="380" t="s">
        <v>1478</v>
      </c>
    </row>
    <row r="1315" spans="1:8" x14ac:dyDescent="0.25">
      <c r="A1315" s="247" t="str">
        <f t="shared" si="20"/>
        <v>ティエラフットボールクラブＵ－１２_11</v>
      </c>
      <c r="B1315" s="238" t="s">
        <v>1446</v>
      </c>
      <c r="C1315" s="238" t="str">
        <f>("11")</f>
        <v>11</v>
      </c>
      <c r="D1315" s="238" t="s">
        <v>798</v>
      </c>
      <c r="E1315" s="380" t="s">
        <v>6176</v>
      </c>
      <c r="F1315" s="380" t="s">
        <v>6711</v>
      </c>
      <c r="G1315" s="380">
        <v>6</v>
      </c>
      <c r="H1315" s="380" t="s">
        <v>1478</v>
      </c>
    </row>
    <row r="1316" spans="1:8" x14ac:dyDescent="0.25">
      <c r="A1316" s="247" t="str">
        <f t="shared" si="20"/>
        <v>ティエラフットボールクラブＵ－１２_12</v>
      </c>
      <c r="B1316" s="238" t="s">
        <v>1446</v>
      </c>
      <c r="C1316" s="238" t="str">
        <f>("12")</f>
        <v>12</v>
      </c>
      <c r="D1316" s="238" t="s">
        <v>798</v>
      </c>
      <c r="E1316" s="380" t="s">
        <v>8267</v>
      </c>
      <c r="F1316" s="380" t="s">
        <v>15017</v>
      </c>
      <c r="G1316" s="380">
        <v>5</v>
      </c>
      <c r="H1316" s="380" t="s">
        <v>1480</v>
      </c>
    </row>
    <row r="1317" spans="1:8" x14ac:dyDescent="0.25">
      <c r="A1317" s="247" t="str">
        <f t="shared" si="20"/>
        <v>ティエラフットボールクラブＵ－１２_13</v>
      </c>
      <c r="B1317" s="238" t="s">
        <v>1446</v>
      </c>
      <c r="C1317" s="238" t="str">
        <f>("13")</f>
        <v>13</v>
      </c>
      <c r="D1317" s="238" t="s">
        <v>235</v>
      </c>
      <c r="E1317" s="380" t="s">
        <v>8041</v>
      </c>
      <c r="F1317" s="380" t="s">
        <v>15018</v>
      </c>
      <c r="G1317" s="380">
        <v>5</v>
      </c>
      <c r="H1317" s="380" t="s">
        <v>1478</v>
      </c>
    </row>
    <row r="1318" spans="1:8" x14ac:dyDescent="0.25">
      <c r="A1318" s="247" t="str">
        <f t="shared" si="20"/>
        <v>ティエラフットボールクラブＵ－１２_14</v>
      </c>
      <c r="B1318" s="238" t="s">
        <v>1446</v>
      </c>
      <c r="C1318" s="238" t="str">
        <f>("14")</f>
        <v>14</v>
      </c>
      <c r="D1318" s="238" t="s">
        <v>280</v>
      </c>
      <c r="E1318" s="380" t="s">
        <v>6158</v>
      </c>
      <c r="F1318" s="380" t="s">
        <v>6696</v>
      </c>
      <c r="G1318" s="380">
        <v>6</v>
      </c>
      <c r="H1318" s="380" t="s">
        <v>1478</v>
      </c>
    </row>
    <row r="1319" spans="1:8" x14ac:dyDescent="0.25">
      <c r="A1319" s="247" t="str">
        <f t="shared" si="20"/>
        <v>ティエラフットボールクラブＵ－１２_15</v>
      </c>
      <c r="B1319" s="238" t="s">
        <v>1446</v>
      </c>
      <c r="C1319" s="238" t="str">
        <f>("15")</f>
        <v>15</v>
      </c>
      <c r="D1319" s="238" t="s">
        <v>280</v>
      </c>
      <c r="E1319" s="380" t="s">
        <v>9216</v>
      </c>
      <c r="F1319" s="380" t="s">
        <v>15019</v>
      </c>
      <c r="G1319" s="380">
        <v>4</v>
      </c>
      <c r="H1319" s="380" t="s">
        <v>1478</v>
      </c>
    </row>
    <row r="1320" spans="1:8" x14ac:dyDescent="0.25">
      <c r="A1320" s="247" t="str">
        <f t="shared" si="20"/>
        <v>ティエラフットボールクラブＵ－１２_16</v>
      </c>
      <c r="B1320" s="238" t="s">
        <v>1446</v>
      </c>
      <c r="C1320" s="238" t="str">
        <f>("16")</f>
        <v>16</v>
      </c>
      <c r="D1320" s="238" t="s">
        <v>796</v>
      </c>
      <c r="E1320" s="380" t="s">
        <v>4811</v>
      </c>
      <c r="F1320" s="380" t="s">
        <v>4812</v>
      </c>
      <c r="G1320" s="380">
        <v>6</v>
      </c>
      <c r="H1320" s="380" t="s">
        <v>1478</v>
      </c>
    </row>
    <row r="1321" spans="1:8" x14ac:dyDescent="0.25">
      <c r="A1321" s="247" t="str">
        <f t="shared" si="20"/>
        <v>スマイス日出_1</v>
      </c>
      <c r="B1321" s="238" t="s">
        <v>1095</v>
      </c>
      <c r="C1321" s="238" t="str">
        <f>("1")</f>
        <v>1</v>
      </c>
      <c r="D1321" s="238" t="s">
        <v>796</v>
      </c>
      <c r="E1321" s="380" t="s">
        <v>6169</v>
      </c>
      <c r="F1321" s="380" t="s">
        <v>6705</v>
      </c>
      <c r="G1321" s="380">
        <v>6</v>
      </c>
      <c r="H1321" s="380" t="s">
        <v>1478</v>
      </c>
    </row>
    <row r="1322" spans="1:8" x14ac:dyDescent="0.25">
      <c r="A1322" s="247" t="str">
        <f t="shared" si="20"/>
        <v>スマイス日出_2</v>
      </c>
      <c r="B1322" s="238" t="s">
        <v>1095</v>
      </c>
      <c r="C1322" s="238" t="str">
        <f>("2")</f>
        <v>2</v>
      </c>
      <c r="D1322" s="238" t="s">
        <v>235</v>
      </c>
      <c r="E1322" s="380" t="s">
        <v>6160</v>
      </c>
      <c r="F1322" s="380" t="s">
        <v>6698</v>
      </c>
      <c r="G1322" s="380">
        <v>5</v>
      </c>
      <c r="H1322" s="380" t="s">
        <v>1478</v>
      </c>
    </row>
    <row r="1323" spans="1:8" x14ac:dyDescent="0.25">
      <c r="A1323" s="247" t="str">
        <f t="shared" si="20"/>
        <v>スマイス日出_3</v>
      </c>
      <c r="B1323" s="238" t="s">
        <v>1095</v>
      </c>
      <c r="C1323" s="238" t="str">
        <f>("3")</f>
        <v>3</v>
      </c>
      <c r="D1323" s="238" t="s">
        <v>798</v>
      </c>
      <c r="E1323" s="380" t="s">
        <v>6161</v>
      </c>
      <c r="F1323" s="380" t="s">
        <v>6699</v>
      </c>
      <c r="G1323" s="380">
        <v>5</v>
      </c>
      <c r="H1323" s="380" t="s">
        <v>1478</v>
      </c>
    </row>
    <row r="1324" spans="1:8" x14ac:dyDescent="0.25">
      <c r="A1324" s="247" t="str">
        <f t="shared" si="20"/>
        <v>スマイス日出_4</v>
      </c>
      <c r="B1324" s="238" t="s">
        <v>1095</v>
      </c>
      <c r="C1324" s="238" t="str">
        <f>("4")</f>
        <v>4</v>
      </c>
      <c r="D1324" s="238" t="s">
        <v>235</v>
      </c>
      <c r="E1324" s="380" t="s">
        <v>6162</v>
      </c>
      <c r="F1324" s="380" t="s">
        <v>6700</v>
      </c>
      <c r="G1324" s="380">
        <v>6</v>
      </c>
      <c r="H1324" s="380" t="s">
        <v>1478</v>
      </c>
    </row>
    <row r="1325" spans="1:8" x14ac:dyDescent="0.25">
      <c r="A1325" s="247" t="str">
        <f t="shared" si="20"/>
        <v>スマイス日出_5</v>
      </c>
      <c r="B1325" s="238" t="s">
        <v>1095</v>
      </c>
      <c r="C1325" s="238" t="str">
        <f>("5")</f>
        <v>5</v>
      </c>
      <c r="D1325" s="238" t="s">
        <v>798</v>
      </c>
      <c r="E1325" s="380" t="s">
        <v>6168</v>
      </c>
      <c r="F1325" s="380" t="s">
        <v>6704</v>
      </c>
      <c r="G1325" s="380">
        <v>6</v>
      </c>
      <c r="H1325" s="380" t="s">
        <v>1478</v>
      </c>
    </row>
    <row r="1326" spans="1:8" x14ac:dyDescent="0.25">
      <c r="A1326" s="247" t="str">
        <f t="shared" si="20"/>
        <v>スマイス日出_6</v>
      </c>
      <c r="B1326" s="238" t="s">
        <v>1095</v>
      </c>
      <c r="C1326" s="238" t="str">
        <f>("6")</f>
        <v>6</v>
      </c>
      <c r="D1326" s="238" t="s">
        <v>235</v>
      </c>
      <c r="E1326" s="380" t="s">
        <v>6164</v>
      </c>
      <c r="F1326" s="380" t="s">
        <v>6701</v>
      </c>
      <c r="G1326" s="380">
        <v>5</v>
      </c>
      <c r="H1326" s="380" t="s">
        <v>1478</v>
      </c>
    </row>
    <row r="1327" spans="1:8" x14ac:dyDescent="0.25">
      <c r="A1327" s="247" t="str">
        <f t="shared" si="20"/>
        <v>スマイス日出_7</v>
      </c>
      <c r="B1327" s="238" t="s">
        <v>1095</v>
      </c>
      <c r="C1327" s="238" t="str">
        <f>("7")</f>
        <v>7</v>
      </c>
      <c r="D1327" s="238" t="s">
        <v>798</v>
      </c>
      <c r="E1327" s="380" t="s">
        <v>4803</v>
      </c>
      <c r="F1327" s="380" t="s">
        <v>4804</v>
      </c>
      <c r="G1327" s="380">
        <v>6</v>
      </c>
      <c r="H1327" s="380" t="s">
        <v>1478</v>
      </c>
    </row>
    <row r="1328" spans="1:8" x14ac:dyDescent="0.25">
      <c r="A1328" s="247" t="str">
        <f t="shared" si="20"/>
        <v>スマイス日出_8</v>
      </c>
      <c r="B1328" s="238" t="s">
        <v>1095</v>
      </c>
      <c r="C1328" s="238" t="str">
        <f>("8")</f>
        <v>8</v>
      </c>
      <c r="D1328" s="238" t="s">
        <v>280</v>
      </c>
      <c r="E1328" s="380" t="s">
        <v>6165</v>
      </c>
      <c r="F1328" s="380" t="s">
        <v>6702</v>
      </c>
      <c r="G1328" s="380">
        <v>6</v>
      </c>
      <c r="H1328" s="380" t="s">
        <v>1478</v>
      </c>
    </row>
    <row r="1329" spans="1:9" x14ac:dyDescent="0.25">
      <c r="A1329" s="247" t="str">
        <f t="shared" si="20"/>
        <v>スマイス日出_9</v>
      </c>
      <c r="B1329" s="238" t="s">
        <v>1095</v>
      </c>
      <c r="C1329" s="238" t="str">
        <f>("9")</f>
        <v>9</v>
      </c>
      <c r="D1329" s="238" t="s">
        <v>235</v>
      </c>
      <c r="E1329" s="380" t="s">
        <v>4801</v>
      </c>
      <c r="F1329" s="380" t="s">
        <v>4802</v>
      </c>
      <c r="G1329" s="380">
        <v>6</v>
      </c>
      <c r="H1329" s="380" t="s">
        <v>1478</v>
      </c>
      <c r="I1329" s="380" t="s">
        <v>408</v>
      </c>
    </row>
    <row r="1330" spans="1:9" x14ac:dyDescent="0.25">
      <c r="A1330" s="247" t="str">
        <f t="shared" si="20"/>
        <v>スマイス日出_10</v>
      </c>
      <c r="B1330" s="238" t="s">
        <v>1095</v>
      </c>
      <c r="C1330" s="238" t="str">
        <f>("10")</f>
        <v>10</v>
      </c>
      <c r="D1330" s="238" t="s">
        <v>798</v>
      </c>
      <c r="E1330" s="380" t="s">
        <v>4799</v>
      </c>
      <c r="F1330" s="380" t="s">
        <v>4800</v>
      </c>
      <c r="G1330" s="380">
        <v>6</v>
      </c>
      <c r="H1330" s="380" t="s">
        <v>1478</v>
      </c>
    </row>
    <row r="1331" spans="1:9" x14ac:dyDescent="0.25">
      <c r="A1331" s="247" t="str">
        <f t="shared" si="20"/>
        <v>スマイス日出_11</v>
      </c>
      <c r="B1331" s="238" t="s">
        <v>1095</v>
      </c>
      <c r="C1331" s="238" t="str">
        <f>("11")</f>
        <v>11</v>
      </c>
      <c r="D1331" s="238" t="s">
        <v>235</v>
      </c>
      <c r="E1331" s="380" t="s">
        <v>6166</v>
      </c>
      <c r="F1331" s="380" t="s">
        <v>6703</v>
      </c>
      <c r="G1331" s="380">
        <v>4</v>
      </c>
      <c r="H1331" s="380" t="s">
        <v>1478</v>
      </c>
    </row>
    <row r="1332" spans="1:9" x14ac:dyDescent="0.25">
      <c r="A1332" s="247" t="str">
        <f t="shared" si="20"/>
        <v>スマイス日出_12</v>
      </c>
      <c r="B1332" s="238" t="s">
        <v>1095</v>
      </c>
      <c r="C1332" s="238" t="str">
        <f>("12")</f>
        <v>12</v>
      </c>
      <c r="D1332" s="238" t="s">
        <v>798</v>
      </c>
      <c r="E1332" s="380" t="s">
        <v>9524</v>
      </c>
      <c r="F1332" s="380" t="s">
        <v>15020</v>
      </c>
      <c r="G1332" s="380">
        <v>4</v>
      </c>
      <c r="H1332" s="380" t="s">
        <v>1478</v>
      </c>
    </row>
    <row r="1333" spans="1:9" x14ac:dyDescent="0.25">
      <c r="A1333" s="247" t="str">
        <f t="shared" si="20"/>
        <v>スマイス日出_13</v>
      </c>
      <c r="B1333" s="238" t="s">
        <v>1095</v>
      </c>
      <c r="C1333" s="238" t="str">
        <f>("13")</f>
        <v>13</v>
      </c>
      <c r="D1333" s="238" t="s">
        <v>280</v>
      </c>
      <c r="E1333" s="380" t="s">
        <v>9568</v>
      </c>
      <c r="F1333" s="380" t="s">
        <v>15021</v>
      </c>
      <c r="G1333" s="380">
        <v>4</v>
      </c>
      <c r="H1333" s="380" t="s">
        <v>1478</v>
      </c>
    </row>
    <row r="1334" spans="1:9" x14ac:dyDescent="0.25">
      <c r="A1334" s="247" t="str">
        <f t="shared" si="20"/>
        <v>スマイス日出_16</v>
      </c>
      <c r="B1334" s="238" t="s">
        <v>1095</v>
      </c>
      <c r="C1334" s="238" t="str">
        <f>("16")</f>
        <v>16</v>
      </c>
      <c r="D1334" s="238" t="s">
        <v>796</v>
      </c>
      <c r="E1334" s="380" t="s">
        <v>8522</v>
      </c>
      <c r="F1334" s="380" t="s">
        <v>15022</v>
      </c>
      <c r="G1334" s="380">
        <v>5</v>
      </c>
      <c r="H1334" s="380" t="s">
        <v>1478</v>
      </c>
    </row>
    <row r="1335" spans="1:9" x14ac:dyDescent="0.25">
      <c r="A1335" s="247" t="str">
        <f t="shared" si="20"/>
        <v>ＦＣ　ＵＮＩＴＥ_1</v>
      </c>
      <c r="B1335" s="238" t="s">
        <v>2156</v>
      </c>
      <c r="C1335" s="238" t="str">
        <f>("1")</f>
        <v>1</v>
      </c>
      <c r="D1335" s="238" t="s">
        <v>796</v>
      </c>
      <c r="E1335" s="380" t="s">
        <v>6174</v>
      </c>
      <c r="F1335" s="380" t="s">
        <v>6709</v>
      </c>
      <c r="G1335" s="380">
        <v>5</v>
      </c>
      <c r="H1335" s="380" t="s">
        <v>1478</v>
      </c>
    </row>
    <row r="1336" spans="1:9" x14ac:dyDescent="0.25">
      <c r="A1336" s="247" t="str">
        <f t="shared" si="20"/>
        <v>ＦＣ　ＵＮＩＴＥ_2</v>
      </c>
      <c r="B1336" s="238" t="s">
        <v>2156</v>
      </c>
      <c r="C1336" s="238" t="str">
        <f>("2")</f>
        <v>2</v>
      </c>
      <c r="D1336" s="238" t="s">
        <v>280</v>
      </c>
      <c r="E1336" s="380" t="s">
        <v>9786</v>
      </c>
      <c r="F1336" s="380" t="s">
        <v>15023</v>
      </c>
      <c r="G1336" s="380">
        <v>3</v>
      </c>
      <c r="H1336" s="380" t="s">
        <v>1478</v>
      </c>
    </row>
    <row r="1337" spans="1:9" x14ac:dyDescent="0.25">
      <c r="A1337" s="247" t="str">
        <f t="shared" si="20"/>
        <v>ＦＣ　ＵＮＩＴＥ_3</v>
      </c>
      <c r="B1337" s="238" t="s">
        <v>2156</v>
      </c>
      <c r="C1337" s="238" t="str">
        <f>("3")</f>
        <v>3</v>
      </c>
      <c r="D1337" s="238" t="s">
        <v>280</v>
      </c>
      <c r="E1337" s="380" t="s">
        <v>8532</v>
      </c>
      <c r="F1337" s="380" t="s">
        <v>15024</v>
      </c>
      <c r="G1337" s="380">
        <v>5</v>
      </c>
      <c r="H1337" s="380" t="s">
        <v>1478</v>
      </c>
    </row>
    <row r="1338" spans="1:9" x14ac:dyDescent="0.25">
      <c r="A1338" s="247" t="str">
        <f t="shared" si="20"/>
        <v>ＦＣ　ＵＮＩＴＥ_4</v>
      </c>
      <c r="B1338" s="238" t="s">
        <v>2156</v>
      </c>
      <c r="C1338" s="238" t="str">
        <f>("4")</f>
        <v>4</v>
      </c>
      <c r="D1338" s="238" t="s">
        <v>235</v>
      </c>
      <c r="E1338" s="380" t="s">
        <v>9226</v>
      </c>
      <c r="F1338" s="380" t="s">
        <v>15025</v>
      </c>
      <c r="G1338" s="380">
        <v>4</v>
      </c>
      <c r="H1338" s="380" t="s">
        <v>1478</v>
      </c>
    </row>
    <row r="1339" spans="1:9" x14ac:dyDescent="0.25">
      <c r="A1339" s="247" t="str">
        <f t="shared" si="20"/>
        <v>ＦＣ　ＵＮＩＴＥ_5</v>
      </c>
      <c r="B1339" s="238" t="s">
        <v>2156</v>
      </c>
      <c r="C1339" s="238" t="str">
        <f>("5")</f>
        <v>5</v>
      </c>
      <c r="D1339" s="238" t="s">
        <v>280</v>
      </c>
      <c r="E1339" s="380" t="s">
        <v>6173</v>
      </c>
      <c r="F1339" s="380" t="s">
        <v>6708</v>
      </c>
      <c r="G1339" s="380">
        <v>5</v>
      </c>
      <c r="H1339" s="380" t="s">
        <v>1478</v>
      </c>
    </row>
    <row r="1340" spans="1:9" x14ac:dyDescent="0.25">
      <c r="A1340" s="247" t="str">
        <f t="shared" si="20"/>
        <v>ＦＣ　ＵＮＩＴＥ_7</v>
      </c>
      <c r="B1340" s="238" t="s">
        <v>2156</v>
      </c>
      <c r="C1340" s="238" t="str">
        <f>("7")</f>
        <v>7</v>
      </c>
      <c r="D1340" s="238" t="s">
        <v>798</v>
      </c>
      <c r="E1340" s="380" t="s">
        <v>6171</v>
      </c>
      <c r="F1340" s="380" t="s">
        <v>6707</v>
      </c>
      <c r="G1340" s="380">
        <v>5</v>
      </c>
      <c r="H1340" s="380" t="s">
        <v>1478</v>
      </c>
    </row>
    <row r="1341" spans="1:9" x14ac:dyDescent="0.25">
      <c r="A1341" s="247" t="str">
        <f t="shared" si="20"/>
        <v>ＦＣ　ＵＮＩＴＥ_8</v>
      </c>
      <c r="B1341" s="238" t="s">
        <v>2156</v>
      </c>
      <c r="C1341" s="238" t="str">
        <f>("8")</f>
        <v>8</v>
      </c>
      <c r="D1341" s="238" t="s">
        <v>235</v>
      </c>
      <c r="E1341" s="380" t="s">
        <v>6170</v>
      </c>
      <c r="F1341" s="380" t="s">
        <v>6706</v>
      </c>
      <c r="G1341" s="380">
        <v>5</v>
      </c>
      <c r="H1341" s="380" t="s">
        <v>1480</v>
      </c>
    </row>
    <row r="1342" spans="1:9" x14ac:dyDescent="0.25">
      <c r="A1342" s="247" t="str">
        <f t="shared" si="20"/>
        <v>ＦＣ　ＵＮＩＴＥ_9</v>
      </c>
      <c r="B1342" s="238" t="s">
        <v>2156</v>
      </c>
      <c r="C1342" s="238" t="str">
        <f>("9")</f>
        <v>9</v>
      </c>
      <c r="D1342" s="238" t="s">
        <v>235</v>
      </c>
      <c r="E1342" s="380" t="s">
        <v>4809</v>
      </c>
      <c r="F1342" s="380" t="s">
        <v>4810</v>
      </c>
      <c r="G1342" s="380">
        <v>6</v>
      </c>
      <c r="H1342" s="380" t="s">
        <v>1478</v>
      </c>
    </row>
    <row r="1343" spans="1:9" x14ac:dyDescent="0.25">
      <c r="A1343" s="247" t="str">
        <f t="shared" si="20"/>
        <v>ＦＣ　ＵＮＩＴＥ_10</v>
      </c>
      <c r="B1343" s="238" t="s">
        <v>2156</v>
      </c>
      <c r="C1343" s="238" t="str">
        <f>("10")</f>
        <v>10</v>
      </c>
      <c r="D1343" s="238" t="s">
        <v>798</v>
      </c>
      <c r="E1343" s="380" t="s">
        <v>4807</v>
      </c>
      <c r="F1343" s="380" t="s">
        <v>4808</v>
      </c>
      <c r="G1343" s="380">
        <v>6</v>
      </c>
      <c r="H1343" s="380" t="s">
        <v>1478</v>
      </c>
      <c r="I1343" s="380" t="s">
        <v>408</v>
      </c>
    </row>
    <row r="1344" spans="1:9" x14ac:dyDescent="0.25">
      <c r="A1344" s="247" t="str">
        <f t="shared" si="20"/>
        <v>ＦＣ　ＵＮＩＴＥ_11</v>
      </c>
      <c r="B1344" s="238" t="s">
        <v>2156</v>
      </c>
      <c r="C1344" s="238" t="str">
        <f>("11")</f>
        <v>11</v>
      </c>
      <c r="D1344" s="238" t="s">
        <v>280</v>
      </c>
      <c r="E1344" s="380" t="s">
        <v>4805</v>
      </c>
      <c r="F1344" s="380" t="s">
        <v>4806</v>
      </c>
      <c r="G1344" s="380">
        <v>6</v>
      </c>
      <c r="H1344" s="380" t="s">
        <v>1478</v>
      </c>
    </row>
    <row r="1345" spans="1:9" x14ac:dyDescent="0.25">
      <c r="A1345" s="247" t="str">
        <f t="shared" ref="A1345:A1408" si="21">CONCATENATE(B1345,"_",C1345)</f>
        <v>ＦＣ　ＵＮＩＴＥ_12</v>
      </c>
      <c r="B1345" s="238" t="s">
        <v>2156</v>
      </c>
      <c r="C1345" s="238" t="str">
        <f>("12")</f>
        <v>12</v>
      </c>
      <c r="D1345" s="238" t="s">
        <v>798</v>
      </c>
      <c r="E1345" s="380" t="s">
        <v>9886</v>
      </c>
      <c r="F1345" s="380" t="s">
        <v>15026</v>
      </c>
      <c r="G1345" s="380">
        <v>3</v>
      </c>
      <c r="H1345" s="380" t="s">
        <v>1478</v>
      </c>
    </row>
    <row r="1346" spans="1:9" x14ac:dyDescent="0.25">
      <c r="A1346" s="247" t="str">
        <f t="shared" si="21"/>
        <v>ＦＣ　ＵＮＩＴＥ_13</v>
      </c>
      <c r="B1346" s="238" t="s">
        <v>2156</v>
      </c>
      <c r="C1346" s="238" t="str">
        <f>("13")</f>
        <v>13</v>
      </c>
      <c r="D1346" s="238" t="s">
        <v>235</v>
      </c>
      <c r="E1346" s="380" t="s">
        <v>9975</v>
      </c>
      <c r="F1346" s="380" t="s">
        <v>15027</v>
      </c>
      <c r="G1346" s="380">
        <v>3</v>
      </c>
      <c r="H1346" s="380" t="s">
        <v>1480</v>
      </c>
    </row>
    <row r="1347" spans="1:9" x14ac:dyDescent="0.25">
      <c r="A1347" s="247" t="str">
        <f t="shared" si="21"/>
        <v>ＦＣ　ＵＮＩＴＥ_14</v>
      </c>
      <c r="B1347" s="238" t="s">
        <v>2156</v>
      </c>
      <c r="C1347" s="238" t="str">
        <f>("14")</f>
        <v>14</v>
      </c>
      <c r="D1347" s="238" t="s">
        <v>798</v>
      </c>
      <c r="E1347" s="380" t="s">
        <v>10045</v>
      </c>
      <c r="F1347" s="380" t="s">
        <v>15028</v>
      </c>
      <c r="G1347" s="380">
        <v>3</v>
      </c>
      <c r="H1347" s="380" t="s">
        <v>1478</v>
      </c>
    </row>
    <row r="1348" spans="1:9" x14ac:dyDescent="0.25">
      <c r="A1348" s="247" t="str">
        <f t="shared" si="21"/>
        <v>ＦＣ　ＵＮＩＴＥ_15</v>
      </c>
      <c r="B1348" s="238" t="s">
        <v>2156</v>
      </c>
      <c r="C1348" s="238" t="str">
        <f>("15")</f>
        <v>15</v>
      </c>
      <c r="D1348" s="238" t="s">
        <v>235</v>
      </c>
      <c r="E1348" s="380" t="s">
        <v>9930</v>
      </c>
      <c r="F1348" s="380" t="s">
        <v>15029</v>
      </c>
      <c r="G1348" s="380">
        <v>3</v>
      </c>
      <c r="H1348" s="380" t="s">
        <v>1478</v>
      </c>
    </row>
    <row r="1349" spans="1:9" x14ac:dyDescent="0.25">
      <c r="A1349" s="247" t="str">
        <f t="shared" si="21"/>
        <v>太陽スポーツクラブ大分西_2</v>
      </c>
      <c r="B1349" s="238" t="s">
        <v>827</v>
      </c>
      <c r="C1349" s="238" t="str">
        <f>("2")</f>
        <v>2</v>
      </c>
      <c r="D1349" s="238" t="s">
        <v>235</v>
      </c>
      <c r="E1349" s="380" t="s">
        <v>6180</v>
      </c>
      <c r="F1349" s="380" t="s">
        <v>6715</v>
      </c>
      <c r="G1349" s="380">
        <v>5</v>
      </c>
      <c r="H1349" s="380" t="s">
        <v>1478</v>
      </c>
    </row>
    <row r="1350" spans="1:9" x14ac:dyDescent="0.25">
      <c r="A1350" s="247" t="str">
        <f t="shared" si="21"/>
        <v>太陽スポーツクラブ大分西_3</v>
      </c>
      <c r="B1350" s="238" t="s">
        <v>827</v>
      </c>
      <c r="C1350" s="238" t="str">
        <f>("3")</f>
        <v>3</v>
      </c>
      <c r="D1350" s="238" t="s">
        <v>798</v>
      </c>
      <c r="E1350" s="380" t="s">
        <v>6175</v>
      </c>
      <c r="F1350" s="380" t="s">
        <v>6710</v>
      </c>
      <c r="G1350" s="380">
        <v>6</v>
      </c>
      <c r="H1350" s="380" t="s">
        <v>1478</v>
      </c>
    </row>
    <row r="1351" spans="1:9" x14ac:dyDescent="0.25">
      <c r="A1351" s="247" t="str">
        <f t="shared" si="21"/>
        <v>太陽スポーツクラブ大分西_4</v>
      </c>
      <c r="B1351" s="238" t="s">
        <v>827</v>
      </c>
      <c r="C1351" s="238" t="str">
        <f>("4")</f>
        <v>4</v>
      </c>
      <c r="D1351" s="238" t="s">
        <v>235</v>
      </c>
      <c r="E1351" s="380" t="s">
        <v>8527</v>
      </c>
      <c r="F1351" s="380" t="s">
        <v>15030</v>
      </c>
      <c r="G1351" s="380">
        <v>5</v>
      </c>
      <c r="H1351" s="380" t="s">
        <v>1478</v>
      </c>
    </row>
    <row r="1352" spans="1:9" x14ac:dyDescent="0.25">
      <c r="A1352" s="247" t="str">
        <f t="shared" si="21"/>
        <v>太陽スポーツクラブ大分西_7</v>
      </c>
      <c r="B1352" s="238" t="s">
        <v>827</v>
      </c>
      <c r="C1352" s="238" t="str">
        <f>("7")</f>
        <v>7</v>
      </c>
      <c r="D1352" s="238" t="s">
        <v>235</v>
      </c>
      <c r="E1352" s="380" t="s">
        <v>6179</v>
      </c>
      <c r="F1352" s="380" t="s">
        <v>6714</v>
      </c>
      <c r="G1352" s="380">
        <v>6</v>
      </c>
      <c r="H1352" s="380" t="s">
        <v>1478</v>
      </c>
    </row>
    <row r="1353" spans="1:9" x14ac:dyDescent="0.25">
      <c r="A1353" s="247" t="str">
        <f t="shared" si="21"/>
        <v>太陽スポーツクラブ大分西_8</v>
      </c>
      <c r="B1353" s="238" t="s">
        <v>827</v>
      </c>
      <c r="C1353" s="238" t="str">
        <f>("8")</f>
        <v>8</v>
      </c>
      <c r="D1353" s="238" t="s">
        <v>280</v>
      </c>
      <c r="E1353" s="380" t="s">
        <v>8525</v>
      </c>
      <c r="F1353" s="380" t="s">
        <v>15031</v>
      </c>
      <c r="G1353" s="380">
        <v>5</v>
      </c>
      <c r="H1353" s="380" t="s">
        <v>1478</v>
      </c>
    </row>
    <row r="1354" spans="1:9" x14ac:dyDescent="0.25">
      <c r="A1354" s="247" t="str">
        <f t="shared" si="21"/>
        <v>太陽スポーツクラブ大分西_9</v>
      </c>
      <c r="B1354" s="238" t="s">
        <v>827</v>
      </c>
      <c r="C1354" s="238" t="str">
        <f>("9")</f>
        <v>9</v>
      </c>
      <c r="D1354" s="238" t="s">
        <v>798</v>
      </c>
      <c r="E1354" s="380" t="s">
        <v>4813</v>
      </c>
      <c r="F1354" s="380" t="s">
        <v>4814</v>
      </c>
      <c r="G1354" s="380">
        <v>6</v>
      </c>
      <c r="H1354" s="380" t="s">
        <v>1478</v>
      </c>
      <c r="I1354" s="380" t="s">
        <v>408</v>
      </c>
    </row>
    <row r="1355" spans="1:9" x14ac:dyDescent="0.25">
      <c r="A1355" s="247" t="str">
        <f t="shared" si="21"/>
        <v>太陽スポーツクラブ大分西_11</v>
      </c>
      <c r="B1355" s="238" t="s">
        <v>827</v>
      </c>
      <c r="C1355" s="238" t="str">
        <f>("11")</f>
        <v>11</v>
      </c>
      <c r="D1355" s="238" t="s">
        <v>280</v>
      </c>
      <c r="E1355" s="380" t="s">
        <v>9584</v>
      </c>
      <c r="F1355" s="380" t="s">
        <v>15032</v>
      </c>
      <c r="G1355" s="380">
        <v>4</v>
      </c>
      <c r="H1355" s="380" t="s">
        <v>1478</v>
      </c>
    </row>
    <row r="1356" spans="1:9" x14ac:dyDescent="0.25">
      <c r="A1356" s="247" t="str">
        <f t="shared" si="21"/>
        <v>太陽スポーツクラブ大分西_12</v>
      </c>
      <c r="B1356" s="238" t="s">
        <v>827</v>
      </c>
      <c r="C1356" s="238" t="str">
        <f>("12")</f>
        <v>12</v>
      </c>
      <c r="D1356" s="238" t="s">
        <v>280</v>
      </c>
      <c r="E1356" s="380" t="s">
        <v>8453</v>
      </c>
      <c r="F1356" s="380" t="s">
        <v>6482</v>
      </c>
      <c r="G1356" s="380">
        <v>5</v>
      </c>
      <c r="H1356" s="380" t="s">
        <v>1478</v>
      </c>
    </row>
    <row r="1357" spans="1:9" x14ac:dyDescent="0.25">
      <c r="A1357" s="247" t="str">
        <f t="shared" si="21"/>
        <v>太陽スポーツクラブ大分西_13</v>
      </c>
      <c r="B1357" s="238" t="s">
        <v>827</v>
      </c>
      <c r="C1357" s="238" t="str">
        <f>("13")</f>
        <v>13</v>
      </c>
      <c r="D1357" s="238" t="s">
        <v>280</v>
      </c>
      <c r="E1357" s="380" t="s">
        <v>6177</v>
      </c>
      <c r="F1357" s="380" t="s">
        <v>6712</v>
      </c>
      <c r="G1357" s="380">
        <v>6</v>
      </c>
      <c r="H1357" s="380" t="s">
        <v>1478</v>
      </c>
    </row>
    <row r="1358" spans="1:9" x14ac:dyDescent="0.25">
      <c r="A1358" s="247" t="str">
        <f t="shared" si="21"/>
        <v>太陽スポーツクラブ大分西_14</v>
      </c>
      <c r="B1358" s="238" t="s">
        <v>827</v>
      </c>
      <c r="C1358" s="238" t="str">
        <f>("14")</f>
        <v>14</v>
      </c>
      <c r="D1358" s="238" t="s">
        <v>798</v>
      </c>
      <c r="E1358" s="380" t="s">
        <v>6181</v>
      </c>
      <c r="F1358" s="380" t="s">
        <v>6716</v>
      </c>
      <c r="G1358" s="380">
        <v>5</v>
      </c>
      <c r="H1358" s="380" t="s">
        <v>1478</v>
      </c>
    </row>
    <row r="1359" spans="1:9" x14ac:dyDescent="0.25">
      <c r="A1359" s="247" t="str">
        <f t="shared" si="21"/>
        <v>太陽スポーツクラブ大分西_15</v>
      </c>
      <c r="B1359" s="238" t="s">
        <v>827</v>
      </c>
      <c r="C1359" s="238" t="str">
        <f>("15")</f>
        <v>15</v>
      </c>
      <c r="D1359" s="238" t="s">
        <v>280</v>
      </c>
      <c r="E1359" s="380" t="s">
        <v>8373</v>
      </c>
      <c r="F1359" s="380" t="s">
        <v>15033</v>
      </c>
      <c r="G1359" s="380">
        <v>5</v>
      </c>
      <c r="H1359" s="380" t="s">
        <v>1478</v>
      </c>
    </row>
    <row r="1360" spans="1:9" x14ac:dyDescent="0.25">
      <c r="A1360" s="247" t="str">
        <f t="shared" si="21"/>
        <v>太陽スポーツクラブ大分西_17</v>
      </c>
      <c r="B1360" s="238" t="s">
        <v>827</v>
      </c>
      <c r="C1360" s="238" t="str">
        <f>("17")</f>
        <v>17</v>
      </c>
      <c r="D1360" s="238" t="s">
        <v>235</v>
      </c>
      <c r="E1360" s="380" t="s">
        <v>6178</v>
      </c>
      <c r="F1360" s="380" t="s">
        <v>6713</v>
      </c>
      <c r="G1360" s="380">
        <v>6</v>
      </c>
      <c r="H1360" s="380" t="s">
        <v>1478</v>
      </c>
    </row>
    <row r="1361" spans="1:9" x14ac:dyDescent="0.25">
      <c r="A1361" s="247" t="str">
        <f t="shared" si="21"/>
        <v>太陽スポーツクラブ大分西_18</v>
      </c>
      <c r="B1361" s="238" t="s">
        <v>827</v>
      </c>
      <c r="C1361" s="238" t="str">
        <f>("18")</f>
        <v>18</v>
      </c>
      <c r="D1361" s="238" t="s">
        <v>235</v>
      </c>
      <c r="E1361" s="380" t="s">
        <v>8173</v>
      </c>
      <c r="F1361" s="380" t="s">
        <v>15034</v>
      </c>
      <c r="G1361" s="380">
        <v>5</v>
      </c>
      <c r="H1361" s="380" t="s">
        <v>1478</v>
      </c>
    </row>
    <row r="1362" spans="1:9" x14ac:dyDescent="0.25">
      <c r="A1362" s="247" t="str">
        <f t="shared" si="21"/>
        <v>太陽スポーツクラブ大分西_19</v>
      </c>
      <c r="B1362" s="238" t="s">
        <v>827</v>
      </c>
      <c r="C1362" s="238" t="str">
        <f>("19")</f>
        <v>19</v>
      </c>
      <c r="D1362" s="238" t="s">
        <v>235</v>
      </c>
      <c r="E1362" s="380" t="s">
        <v>8368</v>
      </c>
      <c r="F1362" s="380" t="s">
        <v>15035</v>
      </c>
      <c r="G1362" s="380">
        <v>5</v>
      </c>
      <c r="H1362" s="380" t="s">
        <v>1478</v>
      </c>
    </row>
    <row r="1363" spans="1:9" x14ac:dyDescent="0.25">
      <c r="A1363" s="247" t="str">
        <f t="shared" si="21"/>
        <v>太陽スポーツクラブ大分西_20</v>
      </c>
      <c r="B1363" s="238" t="s">
        <v>827</v>
      </c>
      <c r="C1363" s="238" t="str">
        <f>("20")</f>
        <v>20</v>
      </c>
      <c r="D1363" s="238" t="s">
        <v>235</v>
      </c>
      <c r="E1363" s="380" t="s">
        <v>7879</v>
      </c>
      <c r="F1363" s="380" t="s">
        <v>15036</v>
      </c>
      <c r="G1363" s="380">
        <v>5</v>
      </c>
      <c r="H1363" s="380" t="s">
        <v>1478</v>
      </c>
    </row>
    <row r="1364" spans="1:9" x14ac:dyDescent="0.25">
      <c r="A1364" s="247" t="str">
        <f t="shared" si="21"/>
        <v>太陽スポーツクラブ大分西_21</v>
      </c>
      <c r="B1364" s="238" t="s">
        <v>827</v>
      </c>
      <c r="C1364" s="238" t="str">
        <f>("21")</f>
        <v>21</v>
      </c>
      <c r="D1364" s="238" t="s">
        <v>280</v>
      </c>
      <c r="E1364" s="380" t="s">
        <v>7863</v>
      </c>
      <c r="F1364" s="380" t="s">
        <v>15037</v>
      </c>
      <c r="G1364" s="380">
        <v>5</v>
      </c>
      <c r="H1364" s="380" t="s">
        <v>1478</v>
      </c>
    </row>
    <row r="1365" spans="1:9" x14ac:dyDescent="0.25">
      <c r="A1365" s="247" t="str">
        <f t="shared" si="21"/>
        <v>横瀬西ＦＣ．ＲｏｓａＣｌａｒｏ_1</v>
      </c>
      <c r="B1365" s="238" t="s">
        <v>2630</v>
      </c>
      <c r="C1365" s="238" t="str">
        <f>("1")</f>
        <v>1</v>
      </c>
      <c r="D1365" s="238" t="s">
        <v>796</v>
      </c>
      <c r="E1365" s="380" t="s">
        <v>4818</v>
      </c>
      <c r="F1365" s="380" t="s">
        <v>4819</v>
      </c>
      <c r="G1365" s="380">
        <v>6</v>
      </c>
      <c r="H1365" s="380" t="s">
        <v>1478</v>
      </c>
    </row>
    <row r="1366" spans="1:9" x14ac:dyDescent="0.25">
      <c r="A1366" s="247" t="str">
        <f t="shared" si="21"/>
        <v>横瀬西ＦＣ．ＲｏｓａＣｌａｒｏ_2</v>
      </c>
      <c r="B1366" s="238" t="s">
        <v>2630</v>
      </c>
      <c r="C1366" s="238" t="str">
        <f>("2")</f>
        <v>2</v>
      </c>
      <c r="D1366" s="238" t="s">
        <v>235</v>
      </c>
      <c r="E1366" s="380" t="s">
        <v>4174</v>
      </c>
      <c r="F1366" s="380" t="s">
        <v>4175</v>
      </c>
      <c r="G1366" s="380">
        <v>6</v>
      </c>
      <c r="H1366" s="380" t="s">
        <v>1480</v>
      </c>
      <c r="I1366" s="380" t="s">
        <v>408</v>
      </c>
    </row>
    <row r="1367" spans="1:9" x14ac:dyDescent="0.25">
      <c r="A1367" s="247" t="str">
        <f t="shared" si="21"/>
        <v>横瀬西ＦＣ．ＲｏｓａＣｌａｒｏ_3</v>
      </c>
      <c r="B1367" s="238" t="s">
        <v>2630</v>
      </c>
      <c r="C1367" s="238" t="str">
        <f>("3")</f>
        <v>3</v>
      </c>
      <c r="D1367" s="238" t="s">
        <v>235</v>
      </c>
      <c r="E1367" s="380" t="s">
        <v>9905</v>
      </c>
      <c r="F1367" s="380" t="s">
        <v>15038</v>
      </c>
      <c r="G1367" s="380">
        <v>3</v>
      </c>
      <c r="H1367" s="380" t="s">
        <v>1478</v>
      </c>
    </row>
    <row r="1368" spans="1:9" x14ac:dyDescent="0.25">
      <c r="A1368" s="247" t="str">
        <f t="shared" si="21"/>
        <v>横瀬西ＦＣ．ＲｏｓａＣｌａｒｏ_4</v>
      </c>
      <c r="B1368" s="238" t="s">
        <v>2630</v>
      </c>
      <c r="C1368" s="238" t="str">
        <f>("4")</f>
        <v>4</v>
      </c>
      <c r="D1368" s="238" t="s">
        <v>280</v>
      </c>
      <c r="E1368" s="380" t="s">
        <v>10315</v>
      </c>
      <c r="F1368" s="380" t="s">
        <v>15039</v>
      </c>
      <c r="G1368" s="380">
        <v>2</v>
      </c>
      <c r="H1368" s="380" t="s">
        <v>1478</v>
      </c>
    </row>
    <row r="1369" spans="1:9" x14ac:dyDescent="0.25">
      <c r="A1369" s="247" t="str">
        <f t="shared" si="21"/>
        <v>横瀬西ＦＣ．ＲｏｓａＣｌａｒｏ_5</v>
      </c>
      <c r="B1369" s="238" t="s">
        <v>2630</v>
      </c>
      <c r="C1369" s="238" t="str">
        <f>("5")</f>
        <v>5</v>
      </c>
      <c r="D1369" s="238" t="s">
        <v>798</v>
      </c>
      <c r="E1369" s="380" t="s">
        <v>6182</v>
      </c>
      <c r="F1369" s="380" t="s">
        <v>6717</v>
      </c>
      <c r="G1369" s="380">
        <v>4</v>
      </c>
      <c r="H1369" s="380" t="s">
        <v>1480</v>
      </c>
    </row>
    <row r="1370" spans="1:9" x14ac:dyDescent="0.25">
      <c r="A1370" s="247" t="str">
        <f t="shared" si="21"/>
        <v>横瀬西ＦＣ．ＲｏｓａＣｌａｒｏ_7</v>
      </c>
      <c r="B1370" s="238" t="s">
        <v>2630</v>
      </c>
      <c r="C1370" s="238" t="str">
        <f>("7")</f>
        <v>7</v>
      </c>
      <c r="D1370" s="238" t="s">
        <v>798</v>
      </c>
      <c r="E1370" s="380" t="s">
        <v>6185</v>
      </c>
      <c r="F1370" s="380" t="s">
        <v>6720</v>
      </c>
      <c r="G1370" s="380">
        <v>4</v>
      </c>
      <c r="H1370" s="380" t="s">
        <v>1478</v>
      </c>
    </row>
    <row r="1371" spans="1:9" x14ac:dyDescent="0.25">
      <c r="A1371" s="247" t="str">
        <f t="shared" si="21"/>
        <v>横瀬西ＦＣ．ＲｏｓａＣｌａｒｏ_9</v>
      </c>
      <c r="B1371" s="238" t="s">
        <v>2630</v>
      </c>
      <c r="C1371" s="238" t="str">
        <f>("9")</f>
        <v>9</v>
      </c>
      <c r="D1371" s="238" t="s">
        <v>235</v>
      </c>
      <c r="E1371" s="380" t="s">
        <v>6183</v>
      </c>
      <c r="F1371" s="380" t="s">
        <v>6718</v>
      </c>
      <c r="G1371" s="380">
        <v>4</v>
      </c>
      <c r="H1371" s="380" t="s">
        <v>1478</v>
      </c>
    </row>
    <row r="1372" spans="1:9" x14ac:dyDescent="0.25">
      <c r="A1372" s="247" t="str">
        <f t="shared" si="21"/>
        <v>横瀬西ＦＣ．ＲｏｓａＣｌａｒｏ_11</v>
      </c>
      <c r="B1372" s="238" t="s">
        <v>2630</v>
      </c>
      <c r="C1372" s="238" t="str">
        <f>("11")</f>
        <v>11</v>
      </c>
      <c r="D1372" s="238" t="s">
        <v>798</v>
      </c>
      <c r="E1372" s="380" t="s">
        <v>4172</v>
      </c>
      <c r="F1372" s="380" t="s">
        <v>4173</v>
      </c>
      <c r="G1372" s="380">
        <v>6</v>
      </c>
      <c r="H1372" s="380" t="s">
        <v>1478</v>
      </c>
    </row>
    <row r="1373" spans="1:9" x14ac:dyDescent="0.25">
      <c r="A1373" s="247" t="str">
        <f t="shared" si="21"/>
        <v>横瀬西ＦＣ．ＲｏｓａＣｌａｒｏ_12</v>
      </c>
      <c r="B1373" s="238" t="s">
        <v>2630</v>
      </c>
      <c r="C1373" s="238" t="str">
        <f>("12")</f>
        <v>12</v>
      </c>
      <c r="D1373" s="238" t="s">
        <v>798</v>
      </c>
      <c r="E1373" s="380" t="s">
        <v>6184</v>
      </c>
      <c r="F1373" s="380" t="s">
        <v>6719</v>
      </c>
      <c r="G1373" s="380">
        <v>3</v>
      </c>
      <c r="H1373" s="380" t="s">
        <v>1478</v>
      </c>
    </row>
    <row r="1374" spans="1:9" x14ac:dyDescent="0.25">
      <c r="A1374" s="247" t="str">
        <f t="shared" si="21"/>
        <v>横瀬西ＦＣ．ＲｏｓａＣｌａｒｏ_13</v>
      </c>
      <c r="B1374" s="238" t="s">
        <v>2630</v>
      </c>
      <c r="C1374" s="238" t="str">
        <f>("13")</f>
        <v>13</v>
      </c>
      <c r="D1374" s="238" t="s">
        <v>280</v>
      </c>
      <c r="E1374" s="380" t="s">
        <v>10031</v>
      </c>
      <c r="F1374" s="380" t="s">
        <v>15040</v>
      </c>
      <c r="G1374" s="380">
        <v>3</v>
      </c>
      <c r="H1374" s="380" t="s">
        <v>1480</v>
      </c>
    </row>
    <row r="1375" spans="1:9" x14ac:dyDescent="0.25">
      <c r="A1375" s="247" t="str">
        <f t="shared" si="21"/>
        <v>横瀬西ＦＣ．ＲｏｓａＣｌａｒｏ_14</v>
      </c>
      <c r="B1375" s="238" t="s">
        <v>2630</v>
      </c>
      <c r="C1375" s="238" t="str">
        <f>("14")</f>
        <v>14</v>
      </c>
      <c r="D1375" s="238" t="s">
        <v>280</v>
      </c>
      <c r="E1375" s="380" t="s">
        <v>10382</v>
      </c>
      <c r="F1375" s="380" t="s">
        <v>15041</v>
      </c>
      <c r="G1375" s="380">
        <v>2</v>
      </c>
      <c r="H1375" s="380" t="s">
        <v>1478</v>
      </c>
    </row>
    <row r="1376" spans="1:9" x14ac:dyDescent="0.25">
      <c r="A1376" s="247" t="str">
        <f t="shared" si="21"/>
        <v>横瀬西ＦＣ．ＲｏｓａＣｌａｒｏ_15</v>
      </c>
      <c r="B1376" s="238" t="s">
        <v>2630</v>
      </c>
      <c r="C1376" s="238" t="str">
        <f>("15")</f>
        <v>15</v>
      </c>
      <c r="D1376" s="238" t="s">
        <v>280</v>
      </c>
      <c r="E1376" s="380" t="s">
        <v>10409</v>
      </c>
      <c r="F1376" s="380" t="s">
        <v>15042</v>
      </c>
      <c r="G1376" s="380">
        <v>1</v>
      </c>
      <c r="H1376" s="380" t="s">
        <v>1478</v>
      </c>
    </row>
    <row r="1377" spans="1:9" x14ac:dyDescent="0.25">
      <c r="A1377" s="247" t="str">
        <f t="shared" si="21"/>
        <v>横瀬西ＦＣ．ＲｏｓａＣｌａｒｏ_16</v>
      </c>
      <c r="B1377" s="238" t="s">
        <v>2630</v>
      </c>
      <c r="C1377" s="238" t="str">
        <f>("16")</f>
        <v>16</v>
      </c>
      <c r="D1377" s="238" t="s">
        <v>235</v>
      </c>
      <c r="E1377" s="380" t="s">
        <v>4816</v>
      </c>
      <c r="F1377" s="380" t="s">
        <v>4817</v>
      </c>
      <c r="G1377" s="380">
        <v>4</v>
      </c>
      <c r="H1377" s="380" t="s">
        <v>1478</v>
      </c>
    </row>
    <row r="1378" spans="1:9" x14ac:dyDescent="0.25">
      <c r="A1378" s="247" t="str">
        <f t="shared" si="21"/>
        <v>横瀬西ＦＣ．ＲｏｓａＣｌａｒｏ_17</v>
      </c>
      <c r="B1378" s="238" t="s">
        <v>2630</v>
      </c>
      <c r="C1378" s="238" t="str">
        <f>("17")</f>
        <v>17</v>
      </c>
      <c r="D1378" s="238" t="s">
        <v>798</v>
      </c>
      <c r="E1378" s="380" t="s">
        <v>6069</v>
      </c>
      <c r="F1378" s="380" t="s">
        <v>6630</v>
      </c>
      <c r="G1378" s="380">
        <v>6</v>
      </c>
      <c r="H1378" s="380" t="s">
        <v>1480</v>
      </c>
    </row>
    <row r="1379" spans="1:9" x14ac:dyDescent="0.25">
      <c r="A1379" s="247" t="str">
        <f t="shared" si="21"/>
        <v>Ｍ．Ｓ．Ｓ_1</v>
      </c>
      <c r="B1379" s="238" t="s">
        <v>1014</v>
      </c>
      <c r="C1379" s="238" t="str">
        <f>("1")</f>
        <v>1</v>
      </c>
      <c r="D1379" s="238" t="s">
        <v>796</v>
      </c>
      <c r="E1379" s="380" t="s">
        <v>8000</v>
      </c>
      <c r="F1379" s="380" t="s">
        <v>15043</v>
      </c>
      <c r="G1379" s="380">
        <v>5</v>
      </c>
      <c r="H1379" s="380" t="s">
        <v>1478</v>
      </c>
    </row>
    <row r="1380" spans="1:9" x14ac:dyDescent="0.25">
      <c r="A1380" s="247" t="str">
        <f t="shared" si="21"/>
        <v>Ｍ．Ｓ．Ｓ_2</v>
      </c>
      <c r="B1380" s="238" t="s">
        <v>1014</v>
      </c>
      <c r="C1380" s="238" t="str">
        <f>("2")</f>
        <v>2</v>
      </c>
      <c r="D1380" s="238" t="s">
        <v>235</v>
      </c>
      <c r="E1380" s="380" t="s">
        <v>8467</v>
      </c>
      <c r="F1380" s="380" t="s">
        <v>15044</v>
      </c>
      <c r="G1380" s="380">
        <v>5</v>
      </c>
      <c r="H1380" s="380" t="s">
        <v>1478</v>
      </c>
    </row>
    <row r="1381" spans="1:9" x14ac:dyDescent="0.25">
      <c r="A1381" s="247" t="str">
        <f t="shared" si="21"/>
        <v>Ｍ．Ｓ．Ｓ_3</v>
      </c>
      <c r="B1381" s="238" t="s">
        <v>1014</v>
      </c>
      <c r="C1381" s="238" t="str">
        <f>("3")</f>
        <v>3</v>
      </c>
      <c r="D1381" s="238" t="s">
        <v>235</v>
      </c>
      <c r="E1381" s="380" t="s">
        <v>8052</v>
      </c>
      <c r="F1381" s="380" t="s">
        <v>15045</v>
      </c>
      <c r="G1381" s="380">
        <v>5</v>
      </c>
      <c r="H1381" s="380" t="s">
        <v>1478</v>
      </c>
    </row>
    <row r="1382" spans="1:9" x14ac:dyDescent="0.25">
      <c r="A1382" s="247" t="str">
        <f t="shared" si="21"/>
        <v>Ｍ．Ｓ．Ｓ_4</v>
      </c>
      <c r="B1382" s="238" t="s">
        <v>1014</v>
      </c>
      <c r="C1382" s="238" t="str">
        <f>("4")</f>
        <v>4</v>
      </c>
      <c r="D1382" s="238" t="s">
        <v>235</v>
      </c>
      <c r="E1382" s="380" t="s">
        <v>9413</v>
      </c>
      <c r="F1382" s="380" t="s">
        <v>15046</v>
      </c>
      <c r="G1382" s="380">
        <v>4</v>
      </c>
      <c r="H1382" s="380" t="s">
        <v>1480</v>
      </c>
    </row>
    <row r="1383" spans="1:9" x14ac:dyDescent="0.25">
      <c r="A1383" s="247" t="str">
        <f t="shared" si="21"/>
        <v>Ｍ．Ｓ．Ｓ_5</v>
      </c>
      <c r="B1383" s="238" t="s">
        <v>1014</v>
      </c>
      <c r="C1383" s="238" t="str">
        <f>("5")</f>
        <v>5</v>
      </c>
      <c r="D1383" s="238" t="s">
        <v>798</v>
      </c>
      <c r="E1383" s="380" t="s">
        <v>6193</v>
      </c>
      <c r="F1383" s="380" t="s">
        <v>6725</v>
      </c>
      <c r="G1383" s="380">
        <v>5</v>
      </c>
      <c r="H1383" s="380" t="s">
        <v>1478</v>
      </c>
    </row>
    <row r="1384" spans="1:9" x14ac:dyDescent="0.25">
      <c r="A1384" s="247" t="str">
        <f t="shared" si="21"/>
        <v>Ｍ．Ｓ．Ｓ_6</v>
      </c>
      <c r="B1384" s="238" t="s">
        <v>1014</v>
      </c>
      <c r="C1384" s="238" t="str">
        <f>("6")</f>
        <v>6</v>
      </c>
      <c r="D1384" s="238" t="s">
        <v>235</v>
      </c>
      <c r="E1384" s="380" t="s">
        <v>9577</v>
      </c>
      <c r="F1384" s="380" t="s">
        <v>15047</v>
      </c>
      <c r="G1384" s="380">
        <v>4</v>
      </c>
      <c r="H1384" s="380" t="s">
        <v>1478</v>
      </c>
    </row>
    <row r="1385" spans="1:9" x14ac:dyDescent="0.25">
      <c r="A1385" s="247" t="str">
        <f t="shared" si="21"/>
        <v>Ｍ．Ｓ．Ｓ_7</v>
      </c>
      <c r="B1385" s="238" t="s">
        <v>1014</v>
      </c>
      <c r="C1385" s="238" t="str">
        <f>("7")</f>
        <v>7</v>
      </c>
      <c r="D1385" s="238" t="s">
        <v>235</v>
      </c>
      <c r="E1385" s="380" t="s">
        <v>6188</v>
      </c>
      <c r="F1385" s="380" t="s">
        <v>6722</v>
      </c>
      <c r="G1385" s="380">
        <v>6</v>
      </c>
      <c r="H1385" s="380" t="s">
        <v>1478</v>
      </c>
      <c r="I1385" s="380" t="s">
        <v>408</v>
      </c>
    </row>
    <row r="1386" spans="1:9" x14ac:dyDescent="0.25">
      <c r="A1386" s="247" t="str">
        <f t="shared" si="21"/>
        <v>Ｍ．Ｓ．Ｓ_8</v>
      </c>
      <c r="B1386" s="238" t="s">
        <v>1014</v>
      </c>
      <c r="C1386" s="238" t="str">
        <f>("8")</f>
        <v>8</v>
      </c>
      <c r="D1386" s="238" t="s">
        <v>798</v>
      </c>
      <c r="E1386" s="380" t="s">
        <v>8200</v>
      </c>
      <c r="F1386" s="380" t="s">
        <v>15048</v>
      </c>
      <c r="G1386" s="380">
        <v>5</v>
      </c>
      <c r="H1386" s="380" t="s">
        <v>1478</v>
      </c>
    </row>
    <row r="1387" spans="1:9" x14ac:dyDescent="0.25">
      <c r="A1387" s="247" t="str">
        <f t="shared" si="21"/>
        <v>Ｍ．Ｓ．Ｓ_9</v>
      </c>
      <c r="B1387" s="238" t="s">
        <v>1014</v>
      </c>
      <c r="C1387" s="238" t="str">
        <f>("9")</f>
        <v>9</v>
      </c>
      <c r="D1387" s="238" t="s">
        <v>280</v>
      </c>
      <c r="E1387" s="380" t="s">
        <v>8285</v>
      </c>
      <c r="F1387" s="380" t="s">
        <v>15049</v>
      </c>
      <c r="G1387" s="380">
        <v>5</v>
      </c>
      <c r="H1387" s="380" t="s">
        <v>1478</v>
      </c>
    </row>
    <row r="1388" spans="1:9" x14ac:dyDescent="0.25">
      <c r="A1388" s="247" t="str">
        <f t="shared" si="21"/>
        <v>Ｍ．Ｓ．Ｓ_10</v>
      </c>
      <c r="B1388" s="238" t="s">
        <v>1014</v>
      </c>
      <c r="C1388" s="238" t="str">
        <f>("10")</f>
        <v>10</v>
      </c>
      <c r="D1388" s="238" t="s">
        <v>798</v>
      </c>
      <c r="E1388" s="380" t="s">
        <v>6191</v>
      </c>
      <c r="F1388" s="380" t="s">
        <v>6723</v>
      </c>
      <c r="G1388" s="380">
        <v>5</v>
      </c>
      <c r="H1388" s="380" t="s">
        <v>1478</v>
      </c>
    </row>
    <row r="1389" spans="1:9" x14ac:dyDescent="0.25">
      <c r="A1389" s="247" t="str">
        <f t="shared" si="21"/>
        <v>Ｍ．Ｓ．Ｓ_11</v>
      </c>
      <c r="B1389" s="238" t="s">
        <v>1014</v>
      </c>
      <c r="C1389" s="238" t="str">
        <f>("11")</f>
        <v>11</v>
      </c>
      <c r="D1389" s="238" t="s">
        <v>798</v>
      </c>
      <c r="E1389" s="380" t="s">
        <v>9404</v>
      </c>
      <c r="F1389" s="380" t="s">
        <v>15050</v>
      </c>
      <c r="G1389" s="380">
        <v>4</v>
      </c>
      <c r="H1389" s="380" t="s">
        <v>1478</v>
      </c>
    </row>
    <row r="1390" spans="1:9" x14ac:dyDescent="0.25">
      <c r="A1390" s="247" t="str">
        <f t="shared" si="21"/>
        <v>Ｍ．Ｓ．Ｓ_12</v>
      </c>
      <c r="B1390" s="238" t="s">
        <v>1014</v>
      </c>
      <c r="C1390" s="238" t="str">
        <f>("12")</f>
        <v>12</v>
      </c>
      <c r="D1390" s="238" t="s">
        <v>798</v>
      </c>
      <c r="E1390" s="380" t="s">
        <v>9165</v>
      </c>
      <c r="F1390" s="380" t="s">
        <v>15051</v>
      </c>
      <c r="G1390" s="380">
        <v>4</v>
      </c>
      <c r="H1390" s="380" t="s">
        <v>1478</v>
      </c>
    </row>
    <row r="1391" spans="1:9" x14ac:dyDescent="0.25">
      <c r="A1391" s="247" t="str">
        <f t="shared" si="21"/>
        <v>Ｍ．Ｓ．Ｓ_13</v>
      </c>
      <c r="B1391" s="238" t="s">
        <v>1014</v>
      </c>
      <c r="C1391" s="238" t="str">
        <f>("13")</f>
        <v>13</v>
      </c>
      <c r="D1391" s="238" t="s">
        <v>798</v>
      </c>
      <c r="E1391" s="380" t="s">
        <v>9585</v>
      </c>
      <c r="F1391" s="380" t="s">
        <v>15052</v>
      </c>
      <c r="G1391" s="380">
        <v>4</v>
      </c>
      <c r="H1391" s="380" t="s">
        <v>1480</v>
      </c>
    </row>
    <row r="1392" spans="1:9" x14ac:dyDescent="0.25">
      <c r="A1392" s="247" t="str">
        <f t="shared" si="21"/>
        <v>Ｍ．Ｓ．Ｓ_14</v>
      </c>
      <c r="B1392" s="238" t="s">
        <v>1014</v>
      </c>
      <c r="C1392" s="238" t="str">
        <f>("14")</f>
        <v>14</v>
      </c>
      <c r="D1392" s="238" t="s">
        <v>235</v>
      </c>
      <c r="E1392" s="380" t="s">
        <v>9361</v>
      </c>
      <c r="F1392" s="380" t="s">
        <v>4000</v>
      </c>
      <c r="G1392" s="380">
        <v>4</v>
      </c>
      <c r="H1392" s="380" t="s">
        <v>1478</v>
      </c>
    </row>
    <row r="1393" spans="1:9" x14ac:dyDescent="0.25">
      <c r="A1393" s="247" t="str">
        <f t="shared" si="21"/>
        <v>Ｍ．Ｓ．Ｓ_15</v>
      </c>
      <c r="B1393" s="238" t="s">
        <v>1014</v>
      </c>
      <c r="C1393" s="238" t="str">
        <f>("15")</f>
        <v>15</v>
      </c>
      <c r="D1393" s="238" t="s">
        <v>280</v>
      </c>
      <c r="E1393" s="380" t="s">
        <v>9630</v>
      </c>
      <c r="F1393" s="380" t="s">
        <v>15053</v>
      </c>
      <c r="G1393" s="380">
        <v>3</v>
      </c>
      <c r="H1393" s="380" t="s">
        <v>1478</v>
      </c>
    </row>
    <row r="1394" spans="1:9" x14ac:dyDescent="0.25">
      <c r="A1394" s="247" t="str">
        <f t="shared" si="21"/>
        <v>Ｍ．Ｓ．Ｓ_16</v>
      </c>
      <c r="B1394" s="238" t="s">
        <v>1014</v>
      </c>
      <c r="C1394" s="238" t="str">
        <f>("16")</f>
        <v>16</v>
      </c>
      <c r="D1394" s="238" t="s">
        <v>798</v>
      </c>
      <c r="E1394" s="380" t="s">
        <v>10058</v>
      </c>
      <c r="F1394" s="380" t="s">
        <v>15054</v>
      </c>
      <c r="G1394" s="380">
        <v>3</v>
      </c>
      <c r="H1394" s="380" t="s">
        <v>1478</v>
      </c>
    </row>
    <row r="1395" spans="1:9" x14ac:dyDescent="0.25">
      <c r="A1395" s="247" t="str">
        <f t="shared" si="21"/>
        <v>リノスフットボールクラブ　Ｕ－１２_1</v>
      </c>
      <c r="B1395" s="238" t="s">
        <v>1917</v>
      </c>
      <c r="C1395" s="238" t="str">
        <f>("1")</f>
        <v>1</v>
      </c>
      <c r="D1395" s="238" t="s">
        <v>796</v>
      </c>
      <c r="E1395" s="380" t="s">
        <v>6196</v>
      </c>
      <c r="F1395" s="380" t="s">
        <v>6727</v>
      </c>
      <c r="G1395" s="380">
        <v>6</v>
      </c>
      <c r="H1395" s="380" t="s">
        <v>1478</v>
      </c>
    </row>
    <row r="1396" spans="1:9" x14ac:dyDescent="0.25">
      <c r="A1396" s="247" t="str">
        <f t="shared" si="21"/>
        <v>リノスフットボールクラブ　Ｕ－１２_3</v>
      </c>
      <c r="B1396" s="238" t="s">
        <v>1917</v>
      </c>
      <c r="C1396" s="238" t="str">
        <f>("3")</f>
        <v>3</v>
      </c>
      <c r="D1396" s="238" t="s">
        <v>235</v>
      </c>
      <c r="E1396" s="380" t="s">
        <v>4719</v>
      </c>
      <c r="F1396" s="380" t="s">
        <v>4720</v>
      </c>
      <c r="G1396" s="380">
        <v>6</v>
      </c>
      <c r="H1396" s="380" t="s">
        <v>1478</v>
      </c>
    </row>
    <row r="1397" spans="1:9" x14ac:dyDescent="0.25">
      <c r="A1397" s="247" t="str">
        <f t="shared" si="21"/>
        <v>リノスフットボールクラブ　Ｕ－１２_6</v>
      </c>
      <c r="B1397" s="238" t="s">
        <v>1917</v>
      </c>
      <c r="C1397" s="238" t="str">
        <f>("6")</f>
        <v>6</v>
      </c>
      <c r="D1397" s="238" t="s">
        <v>798</v>
      </c>
      <c r="E1397" s="380" t="s">
        <v>8962</v>
      </c>
      <c r="F1397" s="380" t="s">
        <v>15055</v>
      </c>
      <c r="G1397" s="380">
        <v>6</v>
      </c>
      <c r="H1397" s="380" t="s">
        <v>1478</v>
      </c>
    </row>
    <row r="1398" spans="1:9" x14ac:dyDescent="0.25">
      <c r="A1398" s="247" t="str">
        <f t="shared" si="21"/>
        <v>リノスフットボールクラブ　Ｕ－１２_8</v>
      </c>
      <c r="B1398" s="238" t="s">
        <v>1917</v>
      </c>
      <c r="C1398" s="238" t="str">
        <f>("8")</f>
        <v>8</v>
      </c>
      <c r="D1398" s="238" t="s">
        <v>798</v>
      </c>
      <c r="E1398" s="380" t="s">
        <v>4628</v>
      </c>
      <c r="F1398" s="380" t="s">
        <v>4629</v>
      </c>
      <c r="G1398" s="380">
        <v>6</v>
      </c>
      <c r="H1398" s="380" t="s">
        <v>1478</v>
      </c>
      <c r="I1398" s="380" t="s">
        <v>408</v>
      </c>
    </row>
    <row r="1399" spans="1:9" x14ac:dyDescent="0.25">
      <c r="A1399" s="247" t="str">
        <f t="shared" si="21"/>
        <v>リノスフットボールクラブ　Ｕ－１２_11</v>
      </c>
      <c r="B1399" s="238" t="s">
        <v>1917</v>
      </c>
      <c r="C1399" s="238" t="str">
        <f>("11")</f>
        <v>11</v>
      </c>
      <c r="D1399" s="238" t="s">
        <v>235</v>
      </c>
      <c r="E1399" s="380" t="s">
        <v>6197</v>
      </c>
      <c r="F1399" s="380" t="s">
        <v>6728</v>
      </c>
      <c r="G1399" s="380">
        <v>6</v>
      </c>
      <c r="H1399" s="380" t="s">
        <v>1478</v>
      </c>
    </row>
    <row r="1400" spans="1:9" x14ac:dyDescent="0.25">
      <c r="A1400" s="247" t="str">
        <f t="shared" si="21"/>
        <v>リノスフットボールクラブ　Ｕ－１２_13</v>
      </c>
      <c r="B1400" s="238" t="s">
        <v>1917</v>
      </c>
      <c r="C1400" s="238" t="str">
        <f>("13")</f>
        <v>13</v>
      </c>
      <c r="D1400" s="238" t="s">
        <v>235</v>
      </c>
      <c r="E1400" s="380" t="s">
        <v>6186</v>
      </c>
      <c r="F1400" s="380" t="s">
        <v>6721</v>
      </c>
      <c r="G1400" s="380">
        <v>6</v>
      </c>
      <c r="H1400" s="380" t="s">
        <v>1478</v>
      </c>
    </row>
    <row r="1401" spans="1:9" x14ac:dyDescent="0.25">
      <c r="A1401" s="247" t="str">
        <f t="shared" si="21"/>
        <v>リノスフットボールクラブ　Ｕ－１２_16</v>
      </c>
      <c r="B1401" s="238" t="s">
        <v>1917</v>
      </c>
      <c r="C1401" s="238" t="str">
        <f>("16")</f>
        <v>16</v>
      </c>
      <c r="D1401" s="238" t="s">
        <v>798</v>
      </c>
      <c r="E1401" s="380" t="s">
        <v>4535</v>
      </c>
      <c r="F1401" s="380" t="s">
        <v>4536</v>
      </c>
      <c r="G1401" s="380">
        <v>6</v>
      </c>
      <c r="H1401" s="380" t="s">
        <v>1478</v>
      </c>
    </row>
    <row r="1402" spans="1:9" x14ac:dyDescent="0.25">
      <c r="A1402" s="247" t="str">
        <f t="shared" si="21"/>
        <v>リノスフットボールクラブ　Ｕ－１２_22</v>
      </c>
      <c r="B1402" s="238" t="s">
        <v>1917</v>
      </c>
      <c r="C1402" s="238" t="str">
        <f>("22")</f>
        <v>22</v>
      </c>
      <c r="D1402" s="238" t="s">
        <v>796</v>
      </c>
      <c r="E1402" s="380" t="s">
        <v>6194</v>
      </c>
      <c r="F1402" s="380" t="s">
        <v>6726</v>
      </c>
      <c r="G1402" s="380">
        <v>6</v>
      </c>
      <c r="H1402" s="380" t="s">
        <v>1478</v>
      </c>
    </row>
    <row r="1403" spans="1:9" x14ac:dyDescent="0.25">
      <c r="A1403" s="247" t="str">
        <f t="shared" si="21"/>
        <v>リノスフットボールクラブ　Ｕ－１２_26</v>
      </c>
      <c r="B1403" s="238" t="s">
        <v>1917</v>
      </c>
      <c r="C1403" s="238" t="str">
        <f>("26")</f>
        <v>26</v>
      </c>
      <c r="D1403" s="238" t="s">
        <v>798</v>
      </c>
      <c r="E1403" s="380" t="s">
        <v>8390</v>
      </c>
      <c r="F1403" s="380" t="s">
        <v>15056</v>
      </c>
      <c r="G1403" s="380">
        <v>5</v>
      </c>
      <c r="H1403" s="380" t="s">
        <v>1478</v>
      </c>
    </row>
    <row r="1404" spans="1:9" x14ac:dyDescent="0.25">
      <c r="A1404" s="247" t="str">
        <f t="shared" si="21"/>
        <v>リノスフットボールクラブ　Ｕ－１２_33</v>
      </c>
      <c r="B1404" s="238" t="s">
        <v>1917</v>
      </c>
      <c r="C1404" s="238" t="str">
        <f>("33")</f>
        <v>33</v>
      </c>
      <c r="D1404" s="238" t="s">
        <v>235</v>
      </c>
      <c r="E1404" s="380" t="s">
        <v>4420</v>
      </c>
      <c r="F1404" s="380" t="s">
        <v>4421</v>
      </c>
      <c r="G1404" s="380">
        <v>6</v>
      </c>
      <c r="H1404" s="380" t="s">
        <v>1478</v>
      </c>
    </row>
    <row r="1405" spans="1:9" x14ac:dyDescent="0.25">
      <c r="A1405" s="247" t="str">
        <f t="shared" si="21"/>
        <v>リノスフットボールクラブ　Ｕ－１２_36</v>
      </c>
      <c r="B1405" s="238" t="s">
        <v>1917</v>
      </c>
      <c r="C1405" s="238" t="str">
        <f>("36")</f>
        <v>36</v>
      </c>
      <c r="D1405" s="238" t="s">
        <v>798</v>
      </c>
      <c r="E1405" s="380" t="s">
        <v>7886</v>
      </c>
      <c r="F1405" s="380" t="s">
        <v>15057</v>
      </c>
      <c r="G1405" s="380">
        <v>5</v>
      </c>
      <c r="H1405" s="380" t="s">
        <v>1478</v>
      </c>
    </row>
    <row r="1406" spans="1:9" x14ac:dyDescent="0.25">
      <c r="A1406" s="247" t="str">
        <f t="shared" si="21"/>
        <v>リノスフットボールクラブ　Ｕ－１２_37</v>
      </c>
      <c r="B1406" s="238" t="s">
        <v>1917</v>
      </c>
      <c r="C1406" s="238" t="str">
        <f>("37")</f>
        <v>37</v>
      </c>
      <c r="D1406" s="238" t="s">
        <v>798</v>
      </c>
      <c r="E1406" s="380" t="s">
        <v>4614</v>
      </c>
      <c r="F1406" s="380" t="s">
        <v>4615</v>
      </c>
      <c r="G1406" s="380">
        <v>6</v>
      </c>
      <c r="H1406" s="380" t="s">
        <v>1478</v>
      </c>
    </row>
    <row r="1407" spans="1:9" x14ac:dyDescent="0.25">
      <c r="A1407" s="247" t="str">
        <f t="shared" si="21"/>
        <v>リノスフットボールクラブ　Ｕ－１２_44</v>
      </c>
      <c r="B1407" s="238" t="s">
        <v>1917</v>
      </c>
      <c r="C1407" s="238" t="str">
        <f>("44")</f>
        <v>44</v>
      </c>
      <c r="D1407" s="238" t="s">
        <v>798</v>
      </c>
      <c r="E1407" s="380" t="s">
        <v>6199</v>
      </c>
      <c r="F1407" s="380" t="s">
        <v>6730</v>
      </c>
      <c r="G1407" s="380">
        <v>6</v>
      </c>
      <c r="H1407" s="380" t="s">
        <v>1478</v>
      </c>
    </row>
    <row r="1408" spans="1:9" x14ac:dyDescent="0.25">
      <c r="A1408" s="247" t="str">
        <f t="shared" si="21"/>
        <v>リノスフットボールクラブ　Ｕ－１２_49</v>
      </c>
      <c r="B1408" s="238" t="s">
        <v>1917</v>
      </c>
      <c r="C1408" s="238" t="str">
        <f>("49")</f>
        <v>49</v>
      </c>
      <c r="D1408" s="238" t="s">
        <v>235</v>
      </c>
      <c r="E1408" s="380" t="s">
        <v>8095</v>
      </c>
      <c r="F1408" s="380" t="s">
        <v>15058</v>
      </c>
      <c r="G1408" s="380">
        <v>5</v>
      </c>
      <c r="H1408" s="380" t="s">
        <v>1478</v>
      </c>
    </row>
    <row r="1409" spans="1:9" x14ac:dyDescent="0.25">
      <c r="A1409" s="247" t="str">
        <f t="shared" ref="A1409:A1472" si="22">CONCATENATE(B1409,"_",C1409)</f>
        <v>リノスフットボールクラブ　Ｕ－１２_52</v>
      </c>
      <c r="B1409" s="238" t="s">
        <v>1917</v>
      </c>
      <c r="C1409" s="238" t="str">
        <f>("52")</f>
        <v>52</v>
      </c>
      <c r="D1409" s="238" t="s">
        <v>280</v>
      </c>
      <c r="E1409" s="380" t="s">
        <v>7911</v>
      </c>
      <c r="F1409" s="380" t="s">
        <v>15059</v>
      </c>
      <c r="G1409" s="380">
        <v>5</v>
      </c>
      <c r="H1409" s="380" t="s">
        <v>1478</v>
      </c>
    </row>
    <row r="1410" spans="1:9" x14ac:dyDescent="0.25">
      <c r="A1410" s="247" t="str">
        <f t="shared" si="22"/>
        <v>リノスフットボールクラブ　Ｕ－１２_53</v>
      </c>
      <c r="B1410" s="238" t="s">
        <v>1917</v>
      </c>
      <c r="C1410" s="238" t="str">
        <f>("53")</f>
        <v>53</v>
      </c>
      <c r="D1410" s="238" t="s">
        <v>280</v>
      </c>
      <c r="E1410" s="380" t="s">
        <v>6201</v>
      </c>
      <c r="F1410" s="380" t="s">
        <v>6732</v>
      </c>
      <c r="G1410" s="380">
        <v>6</v>
      </c>
      <c r="H1410" s="380" t="s">
        <v>1478</v>
      </c>
    </row>
    <row r="1411" spans="1:9" x14ac:dyDescent="0.25">
      <c r="A1411" s="247" t="str">
        <f t="shared" si="22"/>
        <v>リノスフットボールクラブ　Ｕ－１２_54</v>
      </c>
      <c r="B1411" s="238" t="s">
        <v>1917</v>
      </c>
      <c r="C1411" s="238" t="str">
        <f>("54")</f>
        <v>54</v>
      </c>
      <c r="D1411" s="238" t="s">
        <v>235</v>
      </c>
      <c r="E1411" s="380" t="s">
        <v>9003</v>
      </c>
      <c r="F1411" s="380" t="s">
        <v>15060</v>
      </c>
      <c r="G1411" s="380">
        <v>6</v>
      </c>
      <c r="H1411" s="380" t="s">
        <v>1478</v>
      </c>
    </row>
    <row r="1412" spans="1:9" x14ac:dyDescent="0.25">
      <c r="A1412" s="247" t="str">
        <f t="shared" si="22"/>
        <v>リノスフットボールクラブ　Ｕ－１２_56</v>
      </c>
      <c r="B1412" s="238" t="s">
        <v>1917</v>
      </c>
      <c r="C1412" s="238" t="str">
        <f>("56")</f>
        <v>56</v>
      </c>
      <c r="D1412" s="238" t="s">
        <v>280</v>
      </c>
      <c r="E1412" s="380" t="s">
        <v>8817</v>
      </c>
      <c r="F1412" s="380" t="s">
        <v>15061</v>
      </c>
      <c r="G1412" s="380">
        <v>6</v>
      </c>
      <c r="H1412" s="380" t="s">
        <v>1478</v>
      </c>
    </row>
    <row r="1413" spans="1:9" x14ac:dyDescent="0.25">
      <c r="A1413" s="247" t="str">
        <f t="shared" si="22"/>
        <v>朝日ＦＣ_1</v>
      </c>
      <c r="B1413" s="238" t="s">
        <v>2647</v>
      </c>
      <c r="C1413" s="238" t="str">
        <f>("1")</f>
        <v>1</v>
      </c>
      <c r="D1413" s="238" t="s">
        <v>796</v>
      </c>
      <c r="E1413" s="380" t="s">
        <v>9094</v>
      </c>
      <c r="F1413" s="380" t="s">
        <v>15062</v>
      </c>
      <c r="G1413" s="380">
        <v>4</v>
      </c>
      <c r="H1413" s="380" t="s">
        <v>1478</v>
      </c>
    </row>
    <row r="1414" spans="1:9" x14ac:dyDescent="0.25">
      <c r="A1414" s="247" t="str">
        <f t="shared" si="22"/>
        <v>朝日ＦＣ_2</v>
      </c>
      <c r="B1414" s="238" t="s">
        <v>2647</v>
      </c>
      <c r="C1414" s="238" t="str">
        <f>("2")</f>
        <v>2</v>
      </c>
      <c r="D1414" s="238" t="s">
        <v>235</v>
      </c>
      <c r="E1414" s="380" t="s">
        <v>4827</v>
      </c>
      <c r="F1414" s="380" t="s">
        <v>4828</v>
      </c>
      <c r="G1414" s="380">
        <v>6</v>
      </c>
      <c r="H1414" s="380" t="s">
        <v>1478</v>
      </c>
      <c r="I1414" s="380" t="s">
        <v>408</v>
      </c>
    </row>
    <row r="1415" spans="1:9" x14ac:dyDescent="0.25">
      <c r="A1415" s="247" t="str">
        <f t="shared" si="22"/>
        <v>朝日ＦＣ_3</v>
      </c>
      <c r="B1415" s="238" t="s">
        <v>2647</v>
      </c>
      <c r="C1415" s="238" t="str">
        <f>("3")</f>
        <v>3</v>
      </c>
      <c r="D1415" s="238" t="s">
        <v>798</v>
      </c>
      <c r="E1415" s="380" t="s">
        <v>8183</v>
      </c>
      <c r="F1415" s="380" t="s">
        <v>15063</v>
      </c>
      <c r="G1415" s="380">
        <v>5</v>
      </c>
      <c r="H1415" s="380" t="s">
        <v>1478</v>
      </c>
    </row>
    <row r="1416" spans="1:9" x14ac:dyDescent="0.25">
      <c r="A1416" s="247" t="str">
        <f t="shared" si="22"/>
        <v>朝日ＦＣ_4</v>
      </c>
      <c r="B1416" s="238" t="s">
        <v>2647</v>
      </c>
      <c r="C1416" s="238" t="str">
        <f>("4")</f>
        <v>4</v>
      </c>
      <c r="D1416" s="238" t="s">
        <v>235</v>
      </c>
      <c r="E1416" s="380" t="s">
        <v>6202</v>
      </c>
      <c r="F1416" s="380" t="s">
        <v>6733</v>
      </c>
      <c r="G1416" s="380">
        <v>5</v>
      </c>
      <c r="H1416" s="380" t="s">
        <v>1478</v>
      </c>
    </row>
    <row r="1417" spans="1:9" x14ac:dyDescent="0.25">
      <c r="A1417" s="247" t="str">
        <f t="shared" si="22"/>
        <v>朝日ＦＣ_5</v>
      </c>
      <c r="B1417" s="238" t="s">
        <v>2647</v>
      </c>
      <c r="C1417" s="238" t="str">
        <f>("5")</f>
        <v>5</v>
      </c>
      <c r="D1417" s="238" t="s">
        <v>235</v>
      </c>
      <c r="E1417" s="380" t="s">
        <v>9065</v>
      </c>
      <c r="F1417" s="380" t="s">
        <v>15064</v>
      </c>
      <c r="G1417" s="380">
        <v>4</v>
      </c>
      <c r="H1417" s="380" t="s">
        <v>1478</v>
      </c>
    </row>
    <row r="1418" spans="1:9" x14ac:dyDescent="0.25">
      <c r="A1418" s="247" t="str">
        <f t="shared" si="22"/>
        <v>朝日ＦＣ_6</v>
      </c>
      <c r="B1418" s="238" t="s">
        <v>2647</v>
      </c>
      <c r="C1418" s="238" t="str">
        <f>("6")</f>
        <v>6</v>
      </c>
      <c r="D1418" s="238" t="s">
        <v>280</v>
      </c>
      <c r="E1418" s="380" t="s">
        <v>8352</v>
      </c>
      <c r="F1418" s="380" t="s">
        <v>15065</v>
      </c>
      <c r="G1418" s="380">
        <v>5</v>
      </c>
      <c r="H1418" s="380" t="s">
        <v>1478</v>
      </c>
    </row>
    <row r="1419" spans="1:9" x14ac:dyDescent="0.25">
      <c r="A1419" s="247" t="str">
        <f t="shared" si="22"/>
        <v>朝日ＦＣ_7</v>
      </c>
      <c r="B1419" s="238" t="s">
        <v>2647</v>
      </c>
      <c r="C1419" s="238" t="str">
        <f>("7")</f>
        <v>7</v>
      </c>
      <c r="D1419" s="238" t="s">
        <v>235</v>
      </c>
      <c r="E1419" s="380" t="s">
        <v>4831</v>
      </c>
      <c r="F1419" s="380" t="s">
        <v>4832</v>
      </c>
      <c r="G1419" s="380">
        <v>6</v>
      </c>
      <c r="H1419" s="380" t="s">
        <v>1478</v>
      </c>
    </row>
    <row r="1420" spans="1:9" x14ac:dyDescent="0.25">
      <c r="A1420" s="247" t="str">
        <f t="shared" si="22"/>
        <v>朝日ＦＣ_8</v>
      </c>
      <c r="B1420" s="238" t="s">
        <v>2647</v>
      </c>
      <c r="C1420" s="238" t="str">
        <f>("8")</f>
        <v>8</v>
      </c>
      <c r="D1420" s="238" t="s">
        <v>280</v>
      </c>
      <c r="E1420" s="380" t="s">
        <v>8037</v>
      </c>
      <c r="F1420" s="380" t="s">
        <v>15066</v>
      </c>
      <c r="G1420" s="380">
        <v>5</v>
      </c>
      <c r="H1420" s="380" t="s">
        <v>1478</v>
      </c>
    </row>
    <row r="1421" spans="1:9" x14ac:dyDescent="0.25">
      <c r="A1421" s="247" t="str">
        <f t="shared" si="22"/>
        <v>朝日ＦＣ_9</v>
      </c>
      <c r="B1421" s="238" t="s">
        <v>2647</v>
      </c>
      <c r="C1421" s="238" t="str">
        <f>("9")</f>
        <v>9</v>
      </c>
      <c r="D1421" s="238" t="s">
        <v>235</v>
      </c>
      <c r="E1421" s="380" t="s">
        <v>7838</v>
      </c>
      <c r="F1421" s="380" t="s">
        <v>4131</v>
      </c>
      <c r="G1421" s="380">
        <v>5</v>
      </c>
      <c r="H1421" s="380" t="s">
        <v>1478</v>
      </c>
    </row>
    <row r="1422" spans="1:9" x14ac:dyDescent="0.25">
      <c r="A1422" s="247" t="str">
        <f t="shared" si="22"/>
        <v>朝日ＦＣ_10</v>
      </c>
      <c r="B1422" s="238" t="s">
        <v>2647</v>
      </c>
      <c r="C1422" s="238" t="str">
        <f>("10")</f>
        <v>10</v>
      </c>
      <c r="D1422" s="238" t="s">
        <v>798</v>
      </c>
      <c r="E1422" s="380" t="s">
        <v>4829</v>
      </c>
      <c r="F1422" s="380" t="s">
        <v>4830</v>
      </c>
      <c r="G1422" s="380">
        <v>6</v>
      </c>
      <c r="H1422" s="380" t="s">
        <v>1480</v>
      </c>
    </row>
    <row r="1423" spans="1:9" x14ac:dyDescent="0.25">
      <c r="A1423" s="247" t="str">
        <f t="shared" si="22"/>
        <v>朝日ＦＣ_11</v>
      </c>
      <c r="B1423" s="238" t="s">
        <v>2647</v>
      </c>
      <c r="C1423" s="238" t="str">
        <f>("11")</f>
        <v>11</v>
      </c>
      <c r="D1423" s="238" t="s">
        <v>798</v>
      </c>
      <c r="E1423" s="380" t="s">
        <v>8464</v>
      </c>
      <c r="F1423" s="380" t="s">
        <v>15067</v>
      </c>
      <c r="G1423" s="380">
        <v>5</v>
      </c>
      <c r="H1423" s="380" t="s">
        <v>1478</v>
      </c>
    </row>
    <row r="1424" spans="1:9" x14ac:dyDescent="0.25">
      <c r="A1424" s="247" t="str">
        <f t="shared" si="22"/>
        <v>朝日ＦＣ_12</v>
      </c>
      <c r="B1424" s="238" t="s">
        <v>2647</v>
      </c>
      <c r="C1424" s="238" t="str">
        <f>("12")</f>
        <v>12</v>
      </c>
      <c r="D1424" s="238" t="s">
        <v>798</v>
      </c>
      <c r="E1424" s="380" t="s">
        <v>6203</v>
      </c>
      <c r="F1424" s="380" t="s">
        <v>6734</v>
      </c>
      <c r="G1424" s="380">
        <v>5</v>
      </c>
      <c r="H1424" s="380" t="s">
        <v>1478</v>
      </c>
    </row>
    <row r="1425" spans="1:9" x14ac:dyDescent="0.25">
      <c r="A1425" s="247" t="str">
        <f t="shared" si="22"/>
        <v>朝日ＦＣ_13</v>
      </c>
      <c r="B1425" s="238" t="s">
        <v>2647</v>
      </c>
      <c r="C1425" s="238" t="str">
        <f>("13")</f>
        <v>13</v>
      </c>
      <c r="D1425" s="238" t="s">
        <v>798</v>
      </c>
      <c r="E1425" s="380" t="s">
        <v>8471</v>
      </c>
      <c r="F1425" s="380" t="s">
        <v>15068</v>
      </c>
      <c r="G1425" s="380">
        <v>5</v>
      </c>
      <c r="H1425" s="380" t="s">
        <v>1478</v>
      </c>
    </row>
    <row r="1426" spans="1:9" x14ac:dyDescent="0.25">
      <c r="A1426" s="247" t="str">
        <f t="shared" si="22"/>
        <v>朝日ＦＣ_14</v>
      </c>
      <c r="B1426" s="238" t="s">
        <v>2647</v>
      </c>
      <c r="C1426" s="238" t="str">
        <f>("14")</f>
        <v>14</v>
      </c>
      <c r="D1426" s="238" t="s">
        <v>235</v>
      </c>
      <c r="E1426" s="380" t="s">
        <v>8248</v>
      </c>
      <c r="F1426" s="380" t="s">
        <v>15069</v>
      </c>
      <c r="G1426" s="380">
        <v>5</v>
      </c>
      <c r="H1426" s="380" t="s">
        <v>1478</v>
      </c>
    </row>
    <row r="1427" spans="1:9" x14ac:dyDescent="0.25">
      <c r="A1427" s="247" t="str">
        <f t="shared" si="22"/>
        <v>朝日ＦＣ_15</v>
      </c>
      <c r="B1427" s="238" t="s">
        <v>2647</v>
      </c>
      <c r="C1427" s="238" t="str">
        <f>("15")</f>
        <v>15</v>
      </c>
      <c r="D1427" s="238" t="s">
        <v>280</v>
      </c>
      <c r="E1427" s="380" t="s">
        <v>4130</v>
      </c>
      <c r="F1427" s="380" t="s">
        <v>4131</v>
      </c>
      <c r="G1427" s="380">
        <v>5</v>
      </c>
      <c r="H1427" s="380" t="s">
        <v>1478</v>
      </c>
    </row>
    <row r="1428" spans="1:9" x14ac:dyDescent="0.25">
      <c r="A1428" s="247" t="str">
        <f t="shared" si="22"/>
        <v>朝日ＦＣ_16</v>
      </c>
      <c r="B1428" s="238" t="s">
        <v>2647</v>
      </c>
      <c r="C1428" s="238" t="str">
        <f>("16")</f>
        <v>16</v>
      </c>
      <c r="D1428" s="238" t="s">
        <v>798</v>
      </c>
      <c r="E1428" s="380" t="s">
        <v>8130</v>
      </c>
      <c r="F1428" s="380" t="s">
        <v>15070</v>
      </c>
      <c r="G1428" s="380">
        <v>5</v>
      </c>
      <c r="H1428" s="380" t="s">
        <v>1478</v>
      </c>
    </row>
    <row r="1429" spans="1:9" x14ac:dyDescent="0.25">
      <c r="A1429" s="247" t="str">
        <f t="shared" si="22"/>
        <v>朝日ＦＣ_17</v>
      </c>
      <c r="B1429" s="238" t="s">
        <v>2647</v>
      </c>
      <c r="C1429" s="238" t="str">
        <f>("17")</f>
        <v>17</v>
      </c>
      <c r="D1429" s="238" t="s">
        <v>798</v>
      </c>
      <c r="E1429" s="380" t="s">
        <v>6204</v>
      </c>
      <c r="F1429" s="380" t="s">
        <v>4395</v>
      </c>
      <c r="G1429" s="380">
        <v>5</v>
      </c>
      <c r="H1429" s="380" t="s">
        <v>1478</v>
      </c>
    </row>
    <row r="1430" spans="1:9" x14ac:dyDescent="0.25">
      <c r="A1430" s="247" t="str">
        <f t="shared" si="22"/>
        <v>朝日ＦＣ_18</v>
      </c>
      <c r="B1430" s="238" t="s">
        <v>2647</v>
      </c>
      <c r="C1430" s="238" t="str">
        <f>("18")</f>
        <v>18</v>
      </c>
      <c r="D1430" s="238" t="s">
        <v>798</v>
      </c>
      <c r="E1430" s="380" t="s">
        <v>8096</v>
      </c>
      <c r="F1430" s="380" t="s">
        <v>15071</v>
      </c>
      <c r="G1430" s="380">
        <v>5</v>
      </c>
      <c r="H1430" s="380" t="s">
        <v>1478</v>
      </c>
    </row>
    <row r="1431" spans="1:9" x14ac:dyDescent="0.25">
      <c r="A1431" s="247" t="str">
        <f t="shared" si="22"/>
        <v>スマイス　セレソン　スポーツクラブ_1</v>
      </c>
      <c r="B1431" s="238" t="s">
        <v>7864</v>
      </c>
      <c r="C1431" s="238" t="str">
        <f>("1")</f>
        <v>1</v>
      </c>
      <c r="D1431" s="238" t="s">
        <v>796</v>
      </c>
      <c r="E1431" s="380" t="s">
        <v>4840</v>
      </c>
      <c r="F1431" s="380" t="s">
        <v>4841</v>
      </c>
      <c r="G1431" s="380">
        <v>6</v>
      </c>
      <c r="H1431" s="380" t="s">
        <v>1478</v>
      </c>
    </row>
    <row r="1432" spans="1:9" x14ac:dyDescent="0.25">
      <c r="A1432" s="247" t="str">
        <f t="shared" si="22"/>
        <v>スマイス　セレソン　スポーツクラブ_2</v>
      </c>
      <c r="B1432" s="238" t="s">
        <v>7864</v>
      </c>
      <c r="C1432" s="238" t="str">
        <f>("2")</f>
        <v>2</v>
      </c>
      <c r="D1432" s="238" t="s">
        <v>798</v>
      </c>
      <c r="E1432" s="380" t="s">
        <v>6192</v>
      </c>
      <c r="F1432" s="380" t="s">
        <v>6724</v>
      </c>
      <c r="G1432" s="380">
        <v>5</v>
      </c>
      <c r="H1432" s="380" t="s">
        <v>1478</v>
      </c>
    </row>
    <row r="1433" spans="1:9" x14ac:dyDescent="0.25">
      <c r="A1433" s="247" t="str">
        <f t="shared" si="22"/>
        <v>スマイス　セレソン　スポーツクラブ_3</v>
      </c>
      <c r="B1433" s="238" t="s">
        <v>7864</v>
      </c>
      <c r="C1433" s="238" t="str">
        <f>("3")</f>
        <v>3</v>
      </c>
      <c r="D1433" s="238" t="s">
        <v>235</v>
      </c>
      <c r="E1433" s="380" t="s">
        <v>6210</v>
      </c>
      <c r="F1433" s="380" t="s">
        <v>6737</v>
      </c>
      <c r="G1433" s="380">
        <v>6</v>
      </c>
      <c r="H1433" s="380" t="s">
        <v>1478</v>
      </c>
    </row>
    <row r="1434" spans="1:9" x14ac:dyDescent="0.25">
      <c r="A1434" s="247" t="str">
        <f t="shared" si="22"/>
        <v>スマイス　セレソン　スポーツクラブ_4</v>
      </c>
      <c r="B1434" s="238" t="s">
        <v>7864</v>
      </c>
      <c r="C1434" s="238" t="str">
        <f>("4")</f>
        <v>4</v>
      </c>
      <c r="D1434" s="238" t="s">
        <v>280</v>
      </c>
      <c r="E1434" s="380" t="s">
        <v>4632</v>
      </c>
      <c r="F1434" s="380" t="s">
        <v>4633</v>
      </c>
      <c r="G1434" s="380">
        <v>5</v>
      </c>
      <c r="H1434" s="380" t="s">
        <v>1478</v>
      </c>
    </row>
    <row r="1435" spans="1:9" x14ac:dyDescent="0.25">
      <c r="A1435" s="247" t="str">
        <f t="shared" si="22"/>
        <v>スマイス　セレソン　スポーツクラブ_5</v>
      </c>
      <c r="B1435" s="238" t="s">
        <v>7864</v>
      </c>
      <c r="C1435" s="238" t="str">
        <f>("5")</f>
        <v>5</v>
      </c>
      <c r="D1435" s="238" t="s">
        <v>798</v>
      </c>
      <c r="E1435" s="380" t="s">
        <v>4483</v>
      </c>
      <c r="F1435" s="380" t="s">
        <v>4484</v>
      </c>
      <c r="G1435" s="380">
        <v>6</v>
      </c>
      <c r="H1435" s="380" t="s">
        <v>1478</v>
      </c>
    </row>
    <row r="1436" spans="1:9" x14ac:dyDescent="0.25">
      <c r="A1436" s="247" t="str">
        <f t="shared" si="22"/>
        <v>スマイス　セレソン　スポーツクラブ_6</v>
      </c>
      <c r="B1436" s="238" t="s">
        <v>7864</v>
      </c>
      <c r="C1436" s="238" t="str">
        <f>("6")</f>
        <v>6</v>
      </c>
      <c r="D1436" s="238" t="s">
        <v>235</v>
      </c>
      <c r="E1436" s="380" t="s">
        <v>8336</v>
      </c>
      <c r="F1436" s="380" t="s">
        <v>15072</v>
      </c>
      <c r="G1436" s="380">
        <v>5</v>
      </c>
      <c r="H1436" s="380" t="s">
        <v>1478</v>
      </c>
    </row>
    <row r="1437" spans="1:9" x14ac:dyDescent="0.25">
      <c r="A1437" s="247" t="str">
        <f t="shared" si="22"/>
        <v>スマイス　セレソン　スポーツクラブ_7</v>
      </c>
      <c r="B1437" s="238" t="s">
        <v>7864</v>
      </c>
      <c r="C1437" s="238" t="str">
        <f>("7")</f>
        <v>7</v>
      </c>
      <c r="D1437" s="238" t="s">
        <v>798</v>
      </c>
      <c r="E1437" s="380" t="s">
        <v>6070</v>
      </c>
      <c r="F1437" s="380" t="s">
        <v>6632</v>
      </c>
      <c r="G1437" s="380">
        <v>6</v>
      </c>
      <c r="H1437" s="380" t="s">
        <v>1478</v>
      </c>
    </row>
    <row r="1438" spans="1:9" x14ac:dyDescent="0.25">
      <c r="A1438" s="247" t="str">
        <f t="shared" si="22"/>
        <v>スマイス　セレソン　スポーツクラブ_8</v>
      </c>
      <c r="B1438" s="238" t="s">
        <v>7864</v>
      </c>
      <c r="C1438" s="238" t="str">
        <f>("8")</f>
        <v>8</v>
      </c>
      <c r="D1438" s="238" t="s">
        <v>798</v>
      </c>
      <c r="E1438" s="380" t="s">
        <v>6218</v>
      </c>
      <c r="F1438" s="380" t="s">
        <v>6742</v>
      </c>
      <c r="G1438" s="380">
        <v>6</v>
      </c>
      <c r="H1438" s="380" t="s">
        <v>1478</v>
      </c>
    </row>
    <row r="1439" spans="1:9" x14ac:dyDescent="0.25">
      <c r="A1439" s="247" t="str">
        <f t="shared" si="22"/>
        <v>スマイス　セレソン　スポーツクラブ_9</v>
      </c>
      <c r="B1439" s="238" t="s">
        <v>7864</v>
      </c>
      <c r="C1439" s="238" t="str">
        <f>("9")</f>
        <v>9</v>
      </c>
      <c r="D1439" s="238" t="s">
        <v>280</v>
      </c>
      <c r="E1439" s="380" t="s">
        <v>6209</v>
      </c>
      <c r="F1439" s="380" t="s">
        <v>6736</v>
      </c>
      <c r="G1439" s="380">
        <v>6</v>
      </c>
      <c r="H1439" s="380" t="s">
        <v>1478</v>
      </c>
      <c r="I1439" s="380" t="s">
        <v>408</v>
      </c>
    </row>
    <row r="1440" spans="1:9" x14ac:dyDescent="0.25">
      <c r="A1440" s="247" t="str">
        <f t="shared" si="22"/>
        <v>スマイス　セレソン　スポーツクラブ_10</v>
      </c>
      <c r="B1440" s="238" t="s">
        <v>7864</v>
      </c>
      <c r="C1440" s="238" t="str">
        <f>("10")</f>
        <v>10</v>
      </c>
      <c r="D1440" s="238" t="s">
        <v>280</v>
      </c>
      <c r="E1440" s="380" t="s">
        <v>6208</v>
      </c>
      <c r="F1440" s="380" t="s">
        <v>4455</v>
      </c>
      <c r="G1440" s="380">
        <v>6</v>
      </c>
      <c r="H1440" s="380" t="s">
        <v>1478</v>
      </c>
    </row>
    <row r="1441" spans="1:9" x14ac:dyDescent="0.25">
      <c r="A1441" s="247" t="str">
        <f t="shared" si="22"/>
        <v>スマイス　セレソン　スポーツクラブ_11</v>
      </c>
      <c r="B1441" s="238" t="s">
        <v>7864</v>
      </c>
      <c r="C1441" s="238" t="str">
        <f>("11")</f>
        <v>11</v>
      </c>
      <c r="D1441" s="238" t="s">
        <v>798</v>
      </c>
      <c r="E1441" s="380" t="s">
        <v>6220</v>
      </c>
      <c r="F1441" s="380" t="s">
        <v>6743</v>
      </c>
      <c r="G1441" s="380">
        <v>5</v>
      </c>
      <c r="H1441" s="380" t="s">
        <v>1478</v>
      </c>
    </row>
    <row r="1442" spans="1:9" x14ac:dyDescent="0.25">
      <c r="A1442" s="247" t="str">
        <f t="shared" si="22"/>
        <v>スマイス　セレソン　スポーツクラブ_12</v>
      </c>
      <c r="B1442" s="238" t="s">
        <v>7864</v>
      </c>
      <c r="C1442" s="238" t="str">
        <f>("12")</f>
        <v>12</v>
      </c>
      <c r="D1442" s="238" t="s">
        <v>235</v>
      </c>
      <c r="E1442" s="380" t="s">
        <v>6211</v>
      </c>
      <c r="F1442" s="380" t="s">
        <v>6738</v>
      </c>
      <c r="G1442" s="380">
        <v>6</v>
      </c>
      <c r="H1442" s="380" t="s">
        <v>1478</v>
      </c>
    </row>
    <row r="1443" spans="1:9" x14ac:dyDescent="0.25">
      <c r="A1443" s="247" t="str">
        <f t="shared" si="22"/>
        <v>スマイス　セレソン　スポーツクラブ_13</v>
      </c>
      <c r="B1443" s="238" t="s">
        <v>7864</v>
      </c>
      <c r="C1443" s="238" t="str">
        <f>("13")</f>
        <v>13</v>
      </c>
      <c r="D1443" s="238" t="s">
        <v>798</v>
      </c>
      <c r="E1443" s="380" t="s">
        <v>6213</v>
      </c>
      <c r="F1443" s="380" t="s">
        <v>6740</v>
      </c>
      <c r="G1443" s="380">
        <v>6</v>
      </c>
      <c r="H1443" s="380" t="s">
        <v>1478</v>
      </c>
    </row>
    <row r="1444" spans="1:9" x14ac:dyDescent="0.25">
      <c r="A1444" s="247" t="str">
        <f t="shared" si="22"/>
        <v>スマイス　セレソン　スポーツクラブ_14</v>
      </c>
      <c r="B1444" s="238" t="s">
        <v>7864</v>
      </c>
      <c r="C1444" s="238" t="str">
        <f>("14")</f>
        <v>14</v>
      </c>
      <c r="D1444" s="238" t="s">
        <v>798</v>
      </c>
      <c r="E1444" s="380" t="s">
        <v>6212</v>
      </c>
      <c r="F1444" s="380" t="s">
        <v>6739</v>
      </c>
      <c r="G1444" s="380">
        <v>5</v>
      </c>
      <c r="H1444" s="380" t="s">
        <v>1480</v>
      </c>
    </row>
    <row r="1445" spans="1:9" x14ac:dyDescent="0.25">
      <c r="A1445" s="247" t="str">
        <f t="shared" si="22"/>
        <v>スマイス　セレソン　スポーツクラブ_15</v>
      </c>
      <c r="B1445" s="238" t="s">
        <v>7864</v>
      </c>
      <c r="C1445" s="238" t="str">
        <f>("15")</f>
        <v>15</v>
      </c>
      <c r="D1445" s="238" t="s">
        <v>280</v>
      </c>
      <c r="E1445" s="380" t="s">
        <v>6221</v>
      </c>
      <c r="F1445" s="380" t="s">
        <v>6744</v>
      </c>
      <c r="G1445" s="380">
        <v>6</v>
      </c>
      <c r="H1445" s="380" t="s">
        <v>1478</v>
      </c>
    </row>
    <row r="1446" spans="1:9" x14ac:dyDescent="0.25">
      <c r="A1446" s="247" t="str">
        <f t="shared" si="22"/>
        <v>スマイス　セレソン　スポーツクラブ_17</v>
      </c>
      <c r="B1446" s="238" t="s">
        <v>7864</v>
      </c>
      <c r="C1446" s="238" t="str">
        <f>("17")</f>
        <v>17</v>
      </c>
      <c r="D1446" s="238" t="s">
        <v>280</v>
      </c>
      <c r="E1446" s="380" t="s">
        <v>4630</v>
      </c>
      <c r="F1446" s="380" t="s">
        <v>4631</v>
      </c>
      <c r="G1446" s="380">
        <v>5</v>
      </c>
      <c r="H1446" s="380" t="s">
        <v>1478</v>
      </c>
    </row>
    <row r="1447" spans="1:9" x14ac:dyDescent="0.25">
      <c r="A1447" s="247" t="str">
        <f t="shared" si="22"/>
        <v>スマイス　セレソン　スポーツクラブＢ_1</v>
      </c>
      <c r="B1447" s="238" t="s">
        <v>4882</v>
      </c>
      <c r="C1447" s="238" t="str">
        <f>("1")</f>
        <v>1</v>
      </c>
      <c r="D1447" s="238" t="s">
        <v>796</v>
      </c>
      <c r="E1447" s="380" t="s">
        <v>6139</v>
      </c>
      <c r="F1447" s="380" t="s">
        <v>6686</v>
      </c>
      <c r="G1447" s="380">
        <v>5</v>
      </c>
      <c r="H1447" s="380" t="s">
        <v>1478</v>
      </c>
    </row>
    <row r="1448" spans="1:9" x14ac:dyDescent="0.25">
      <c r="A1448" s="247" t="str">
        <f t="shared" si="22"/>
        <v>スマイス　セレソン　スポーツクラブＢ_2</v>
      </c>
      <c r="B1448" s="238" t="s">
        <v>4882</v>
      </c>
      <c r="C1448" s="238" t="str">
        <f>("2")</f>
        <v>2</v>
      </c>
      <c r="D1448" s="238" t="s">
        <v>235</v>
      </c>
      <c r="E1448" s="380" t="s">
        <v>8204</v>
      </c>
      <c r="F1448" s="380" t="s">
        <v>15073</v>
      </c>
      <c r="G1448" s="380">
        <v>5</v>
      </c>
      <c r="H1448" s="380" t="s">
        <v>1478</v>
      </c>
    </row>
    <row r="1449" spans="1:9" x14ac:dyDescent="0.25">
      <c r="A1449" s="247" t="str">
        <f t="shared" si="22"/>
        <v>スマイス　セレソン　スポーツクラブＢ_3</v>
      </c>
      <c r="B1449" s="238" t="s">
        <v>4882</v>
      </c>
      <c r="C1449" s="238" t="str">
        <f>("3")</f>
        <v>3</v>
      </c>
      <c r="D1449" s="238" t="s">
        <v>235</v>
      </c>
      <c r="E1449" s="380" t="s">
        <v>8365</v>
      </c>
      <c r="F1449" s="380" t="s">
        <v>15074</v>
      </c>
      <c r="G1449" s="380">
        <v>5</v>
      </c>
      <c r="H1449" s="380" t="s">
        <v>1478</v>
      </c>
    </row>
    <row r="1450" spans="1:9" x14ac:dyDescent="0.25">
      <c r="A1450" s="247" t="str">
        <f t="shared" si="22"/>
        <v>スマイス　セレソン　スポーツクラブＢ_4</v>
      </c>
      <c r="B1450" s="238" t="s">
        <v>4882</v>
      </c>
      <c r="C1450" s="238" t="str">
        <f>("4")</f>
        <v>4</v>
      </c>
      <c r="D1450" s="238" t="s">
        <v>235</v>
      </c>
      <c r="E1450" s="380" t="s">
        <v>4626</v>
      </c>
      <c r="F1450" s="380" t="s">
        <v>4627</v>
      </c>
      <c r="G1450" s="380">
        <v>5</v>
      </c>
      <c r="H1450" s="380" t="s">
        <v>1478</v>
      </c>
    </row>
    <row r="1451" spans="1:9" x14ac:dyDescent="0.25">
      <c r="A1451" s="247" t="str">
        <f t="shared" si="22"/>
        <v>スマイス　セレソン　スポーツクラブＢ_5</v>
      </c>
      <c r="B1451" s="238" t="s">
        <v>4882</v>
      </c>
      <c r="C1451" s="238" t="str">
        <f>("5")</f>
        <v>5</v>
      </c>
      <c r="D1451" s="238" t="s">
        <v>798</v>
      </c>
      <c r="E1451" s="380" t="s">
        <v>4773</v>
      </c>
      <c r="F1451" s="380" t="s">
        <v>4774</v>
      </c>
      <c r="G1451" s="380">
        <v>5</v>
      </c>
      <c r="H1451" s="380" t="s">
        <v>1478</v>
      </c>
    </row>
    <row r="1452" spans="1:9" x14ac:dyDescent="0.25">
      <c r="A1452" s="247" t="str">
        <f t="shared" si="22"/>
        <v>スマイス　セレソン　スポーツクラブＢ_6</v>
      </c>
      <c r="B1452" s="238" t="s">
        <v>4882</v>
      </c>
      <c r="C1452" s="238" t="str">
        <f>("6")</f>
        <v>6</v>
      </c>
      <c r="D1452" s="238" t="s">
        <v>798</v>
      </c>
      <c r="E1452" s="380" t="s">
        <v>6214</v>
      </c>
      <c r="F1452" s="380" t="s">
        <v>6741</v>
      </c>
      <c r="G1452" s="380">
        <v>6</v>
      </c>
      <c r="H1452" s="380" t="s">
        <v>1478</v>
      </c>
    </row>
    <row r="1453" spans="1:9" x14ac:dyDescent="0.25">
      <c r="A1453" s="247" t="str">
        <f t="shared" si="22"/>
        <v>スマイス　セレソン　スポーツクラブＢ_7</v>
      </c>
      <c r="B1453" s="238" t="s">
        <v>4882</v>
      </c>
      <c r="C1453" s="238" t="str">
        <f>("7")</f>
        <v>7</v>
      </c>
      <c r="D1453" s="238" t="s">
        <v>280</v>
      </c>
      <c r="E1453" s="380" t="s">
        <v>8793</v>
      </c>
      <c r="F1453" s="380" t="s">
        <v>15075</v>
      </c>
      <c r="G1453" s="380">
        <v>6</v>
      </c>
      <c r="H1453" s="380" t="s">
        <v>1480</v>
      </c>
    </row>
    <row r="1454" spans="1:9" x14ac:dyDescent="0.25">
      <c r="A1454" s="247" t="str">
        <f t="shared" si="22"/>
        <v>スマイス　セレソン　スポーツクラブＢ_8</v>
      </c>
      <c r="B1454" s="238" t="s">
        <v>4882</v>
      </c>
      <c r="C1454" s="238" t="str">
        <f>("8")</f>
        <v>8</v>
      </c>
      <c r="D1454" s="238" t="s">
        <v>798</v>
      </c>
      <c r="E1454" s="380" t="s">
        <v>8909</v>
      </c>
      <c r="F1454" s="380" t="s">
        <v>15076</v>
      </c>
      <c r="G1454" s="380">
        <v>6</v>
      </c>
      <c r="H1454" s="380" t="s">
        <v>1478</v>
      </c>
    </row>
    <row r="1455" spans="1:9" x14ac:dyDescent="0.25">
      <c r="A1455" s="247" t="str">
        <f t="shared" si="22"/>
        <v>スマイス　セレソン　スポーツクラブＢ_9</v>
      </c>
      <c r="B1455" s="238" t="s">
        <v>4882</v>
      </c>
      <c r="C1455" s="238" t="str">
        <f>("9")</f>
        <v>9</v>
      </c>
      <c r="D1455" s="238" t="s">
        <v>280</v>
      </c>
      <c r="E1455" s="380" t="s">
        <v>8625</v>
      </c>
      <c r="F1455" s="380" t="s">
        <v>15077</v>
      </c>
      <c r="G1455" s="380">
        <v>6</v>
      </c>
      <c r="H1455" s="380" t="s">
        <v>1478</v>
      </c>
    </row>
    <row r="1456" spans="1:9" x14ac:dyDescent="0.25">
      <c r="A1456" s="247" t="str">
        <f t="shared" si="22"/>
        <v>スマイス　セレソン　スポーツクラブＢ_10</v>
      </c>
      <c r="B1456" s="238" t="s">
        <v>4882</v>
      </c>
      <c r="C1456" s="238" t="str">
        <f>("10")</f>
        <v>10</v>
      </c>
      <c r="D1456" s="238" t="s">
        <v>798</v>
      </c>
      <c r="E1456" s="380" t="s">
        <v>6222</v>
      </c>
      <c r="F1456" s="380" t="s">
        <v>6745</v>
      </c>
      <c r="G1456" s="380">
        <v>6</v>
      </c>
      <c r="H1456" s="380" t="s">
        <v>1478</v>
      </c>
      <c r="I1456" s="380" t="s">
        <v>408</v>
      </c>
    </row>
    <row r="1457" spans="1:8" x14ac:dyDescent="0.25">
      <c r="A1457" s="247" t="str">
        <f t="shared" si="22"/>
        <v>スマイス　セレソン　スポーツクラブＢ_11</v>
      </c>
      <c r="B1457" s="238" t="s">
        <v>4882</v>
      </c>
      <c r="C1457" s="238" t="str">
        <f>("11")</f>
        <v>11</v>
      </c>
      <c r="D1457" s="238" t="s">
        <v>280</v>
      </c>
      <c r="E1457" s="380" t="s">
        <v>8723</v>
      </c>
      <c r="F1457" s="380" t="s">
        <v>15078</v>
      </c>
      <c r="G1457" s="380">
        <v>6</v>
      </c>
      <c r="H1457" s="380" t="s">
        <v>1478</v>
      </c>
    </row>
    <row r="1458" spans="1:8" x14ac:dyDescent="0.25">
      <c r="A1458" s="247" t="str">
        <f t="shared" si="22"/>
        <v>スマイス　セレソン　スポーツクラブＢ_12</v>
      </c>
      <c r="B1458" s="238" t="s">
        <v>4882</v>
      </c>
      <c r="C1458" s="238" t="str">
        <f>("12")</f>
        <v>12</v>
      </c>
      <c r="D1458" s="238" t="s">
        <v>280</v>
      </c>
      <c r="E1458" s="380" t="s">
        <v>8969</v>
      </c>
      <c r="F1458" s="380" t="s">
        <v>15079</v>
      </c>
      <c r="G1458" s="380">
        <v>6</v>
      </c>
      <c r="H1458" s="380" t="s">
        <v>1478</v>
      </c>
    </row>
    <row r="1459" spans="1:8" x14ac:dyDescent="0.25">
      <c r="A1459" s="247" t="str">
        <f t="shared" si="22"/>
        <v>スマイス　セレソン　スポーツクラブＢ_13</v>
      </c>
      <c r="B1459" s="238" t="s">
        <v>4882</v>
      </c>
      <c r="C1459" s="238" t="str">
        <f>("13")</f>
        <v>13</v>
      </c>
      <c r="D1459" s="238" t="s">
        <v>798</v>
      </c>
      <c r="E1459" s="380" t="s">
        <v>8803</v>
      </c>
      <c r="F1459" s="380" t="s">
        <v>15080</v>
      </c>
      <c r="G1459" s="380">
        <v>6</v>
      </c>
      <c r="H1459" s="380" t="s">
        <v>1478</v>
      </c>
    </row>
    <row r="1460" spans="1:8" x14ac:dyDescent="0.25">
      <c r="A1460" s="247" t="str">
        <f t="shared" si="22"/>
        <v>スマイス　セレソン　スポーツクラブＢ_14</v>
      </c>
      <c r="B1460" s="238" t="s">
        <v>4882</v>
      </c>
      <c r="C1460" s="238" t="str">
        <f>("14")</f>
        <v>14</v>
      </c>
      <c r="D1460" s="238" t="s">
        <v>798</v>
      </c>
      <c r="E1460" s="380" t="s">
        <v>6140</v>
      </c>
      <c r="F1460" s="380" t="s">
        <v>6687</v>
      </c>
      <c r="G1460" s="380">
        <v>5</v>
      </c>
      <c r="H1460" s="380" t="s">
        <v>1478</v>
      </c>
    </row>
    <row r="1461" spans="1:8" x14ac:dyDescent="0.25">
      <c r="A1461" s="247" t="str">
        <f t="shared" si="22"/>
        <v>スマイス　セレソン　スポーツクラブＢ_15</v>
      </c>
      <c r="B1461" s="238" t="s">
        <v>4882</v>
      </c>
      <c r="C1461" s="238" t="str">
        <f>("15")</f>
        <v>15</v>
      </c>
      <c r="D1461" s="238" t="s">
        <v>235</v>
      </c>
      <c r="E1461" s="380" t="s">
        <v>7912</v>
      </c>
      <c r="F1461" s="380" t="s">
        <v>15081</v>
      </c>
      <c r="G1461" s="380">
        <v>5</v>
      </c>
      <c r="H1461" s="380" t="s">
        <v>1478</v>
      </c>
    </row>
    <row r="1462" spans="1:8" x14ac:dyDescent="0.25">
      <c r="A1462" s="247" t="str">
        <f t="shared" si="22"/>
        <v>スマイス　セレソン　スポーツクラブＢ_17</v>
      </c>
      <c r="B1462" s="238" t="s">
        <v>4882</v>
      </c>
      <c r="C1462" s="238" t="str">
        <f>("17")</f>
        <v>17</v>
      </c>
      <c r="D1462" s="238" t="s">
        <v>280</v>
      </c>
      <c r="E1462" s="380" t="s">
        <v>7934</v>
      </c>
      <c r="F1462" s="380" t="s">
        <v>15082</v>
      </c>
      <c r="G1462" s="380">
        <v>5</v>
      </c>
      <c r="H1462" s="380" t="s">
        <v>1478</v>
      </c>
    </row>
    <row r="1463" spans="1:8" x14ac:dyDescent="0.25">
      <c r="A1463" s="247" t="str">
        <f t="shared" si="22"/>
        <v>スマイス　セレソン　スポーツクラブＢ_19</v>
      </c>
      <c r="B1463" s="238" t="s">
        <v>4882</v>
      </c>
      <c r="C1463" s="238" t="str">
        <f>("19")</f>
        <v>19</v>
      </c>
      <c r="D1463" s="238" t="s">
        <v>798</v>
      </c>
      <c r="E1463" s="380" t="s">
        <v>9251</v>
      </c>
      <c r="F1463" s="380" t="s">
        <v>15083</v>
      </c>
      <c r="G1463" s="380">
        <v>4</v>
      </c>
      <c r="H1463" s="380" t="s">
        <v>1478</v>
      </c>
    </row>
    <row r="1464" spans="1:8" x14ac:dyDescent="0.25">
      <c r="A1464" s="247" t="str">
        <f t="shared" si="22"/>
        <v>ＦＣ　ＪＵＮＩＯＲＳ_1</v>
      </c>
      <c r="B1464" s="238" t="s">
        <v>2648</v>
      </c>
      <c r="C1464" s="238" t="str">
        <f>("1")</f>
        <v>1</v>
      </c>
      <c r="D1464" s="238" t="s">
        <v>796</v>
      </c>
      <c r="E1464" s="380" t="s">
        <v>6227</v>
      </c>
      <c r="F1464" s="380" t="s">
        <v>6749</v>
      </c>
      <c r="G1464" s="380">
        <v>6</v>
      </c>
      <c r="H1464" s="380" t="s">
        <v>1478</v>
      </c>
    </row>
    <row r="1465" spans="1:8" x14ac:dyDescent="0.25">
      <c r="A1465" s="247" t="str">
        <f t="shared" si="22"/>
        <v>ＦＣ　ＪＵＮＩＯＲＳ_2</v>
      </c>
      <c r="B1465" s="238" t="s">
        <v>2648</v>
      </c>
      <c r="C1465" s="238" t="str">
        <f>("2")</f>
        <v>2</v>
      </c>
      <c r="D1465" s="238" t="s">
        <v>235</v>
      </c>
      <c r="E1465" s="380" t="s">
        <v>6234</v>
      </c>
      <c r="F1465" s="380" t="s">
        <v>6754</v>
      </c>
      <c r="G1465" s="380">
        <v>6</v>
      </c>
      <c r="H1465" s="380" t="s">
        <v>1478</v>
      </c>
    </row>
    <row r="1466" spans="1:8" x14ac:dyDescent="0.25">
      <c r="A1466" s="247" t="str">
        <f t="shared" si="22"/>
        <v>ＦＣ　ＪＵＮＩＯＲＳ_3</v>
      </c>
      <c r="B1466" s="238" t="s">
        <v>2648</v>
      </c>
      <c r="C1466" s="238" t="str">
        <f>("3")</f>
        <v>3</v>
      </c>
      <c r="D1466" s="238" t="s">
        <v>235</v>
      </c>
      <c r="E1466" s="380" t="s">
        <v>6233</v>
      </c>
      <c r="F1466" s="380" t="s">
        <v>6753</v>
      </c>
      <c r="G1466" s="380">
        <v>6</v>
      </c>
      <c r="H1466" s="380" t="s">
        <v>1478</v>
      </c>
    </row>
    <row r="1467" spans="1:8" x14ac:dyDescent="0.25">
      <c r="A1467" s="247" t="str">
        <f t="shared" si="22"/>
        <v>ＦＣ　ＪＵＮＩＯＲＳ_4</v>
      </c>
      <c r="B1467" s="238" t="s">
        <v>2648</v>
      </c>
      <c r="C1467" s="238" t="str">
        <f>("4")</f>
        <v>4</v>
      </c>
      <c r="D1467" s="238" t="s">
        <v>235</v>
      </c>
      <c r="E1467" s="380" t="s">
        <v>6230</v>
      </c>
      <c r="F1467" s="380" t="s">
        <v>6751</v>
      </c>
      <c r="G1467" s="380">
        <v>6</v>
      </c>
      <c r="H1467" s="380" t="s">
        <v>1478</v>
      </c>
    </row>
    <row r="1468" spans="1:8" x14ac:dyDescent="0.25">
      <c r="A1468" s="247" t="str">
        <f t="shared" si="22"/>
        <v>ＦＣ　ＪＵＮＩＯＲＳ_5</v>
      </c>
      <c r="B1468" s="238" t="s">
        <v>2648</v>
      </c>
      <c r="C1468" s="238" t="str">
        <f>("5")</f>
        <v>5</v>
      </c>
      <c r="D1468" s="238" t="s">
        <v>235</v>
      </c>
      <c r="E1468" s="380" t="s">
        <v>8782</v>
      </c>
      <c r="F1468" s="380" t="s">
        <v>15084</v>
      </c>
      <c r="G1468" s="380">
        <v>6</v>
      </c>
      <c r="H1468" s="380" t="s">
        <v>1478</v>
      </c>
    </row>
    <row r="1469" spans="1:8" x14ac:dyDescent="0.25">
      <c r="A1469" s="247" t="str">
        <f t="shared" si="22"/>
        <v>ＦＣ　ＪＵＮＩＯＲＳ_6</v>
      </c>
      <c r="B1469" s="238" t="s">
        <v>2648</v>
      </c>
      <c r="C1469" s="238" t="str">
        <f>("6")</f>
        <v>6</v>
      </c>
      <c r="D1469" s="238" t="s">
        <v>798</v>
      </c>
      <c r="E1469" s="380" t="s">
        <v>9325</v>
      </c>
      <c r="F1469" s="380" t="s">
        <v>15085</v>
      </c>
      <c r="G1469" s="380">
        <v>4</v>
      </c>
      <c r="H1469" s="380" t="s">
        <v>1478</v>
      </c>
    </row>
    <row r="1470" spans="1:8" x14ac:dyDescent="0.25">
      <c r="A1470" s="247" t="str">
        <f t="shared" si="22"/>
        <v>ＦＣ　ＪＵＮＩＯＲＳ_7</v>
      </c>
      <c r="B1470" s="238" t="s">
        <v>2648</v>
      </c>
      <c r="C1470" s="238" t="str">
        <f>("7")</f>
        <v>7</v>
      </c>
      <c r="D1470" s="238" t="s">
        <v>235</v>
      </c>
      <c r="E1470" s="380" t="s">
        <v>6226</v>
      </c>
      <c r="F1470" s="380" t="s">
        <v>6748</v>
      </c>
      <c r="G1470" s="380">
        <v>6</v>
      </c>
      <c r="H1470" s="380" t="s">
        <v>1478</v>
      </c>
    </row>
    <row r="1471" spans="1:8" x14ac:dyDescent="0.25">
      <c r="A1471" s="247" t="str">
        <f t="shared" si="22"/>
        <v>ＦＣ　ＪＵＮＩＯＲＳ_8</v>
      </c>
      <c r="B1471" s="238" t="s">
        <v>2648</v>
      </c>
      <c r="C1471" s="238" t="str">
        <f>("8")</f>
        <v>8</v>
      </c>
      <c r="D1471" s="238" t="s">
        <v>798</v>
      </c>
      <c r="E1471" s="380" t="s">
        <v>6228</v>
      </c>
      <c r="F1471" s="380" t="s">
        <v>6750</v>
      </c>
      <c r="G1471" s="380">
        <v>6</v>
      </c>
      <c r="H1471" s="380" t="s">
        <v>1478</v>
      </c>
    </row>
    <row r="1472" spans="1:8" x14ac:dyDescent="0.25">
      <c r="A1472" s="247" t="str">
        <f t="shared" si="22"/>
        <v>ＦＣ　ＪＵＮＩＯＲＳ_9</v>
      </c>
      <c r="B1472" s="238" t="s">
        <v>2648</v>
      </c>
      <c r="C1472" s="238" t="str">
        <f>("9")</f>
        <v>9</v>
      </c>
      <c r="D1472" s="238" t="s">
        <v>280</v>
      </c>
      <c r="E1472" s="380" t="s">
        <v>6225</v>
      </c>
      <c r="F1472" s="380" t="s">
        <v>6747</v>
      </c>
      <c r="G1472" s="380">
        <v>6</v>
      </c>
      <c r="H1472" s="380" t="s">
        <v>1478</v>
      </c>
    </row>
    <row r="1473" spans="1:9" x14ac:dyDescent="0.25">
      <c r="A1473" s="247" t="str">
        <f t="shared" ref="A1473:A1536" si="23">CONCATENATE(B1473,"_",C1473)</f>
        <v>ＦＣ　ＪＵＮＩＯＲＳ_10</v>
      </c>
      <c r="B1473" s="238" t="s">
        <v>2648</v>
      </c>
      <c r="C1473" s="238" t="str">
        <f>("10")</f>
        <v>10</v>
      </c>
      <c r="D1473" s="238" t="s">
        <v>798</v>
      </c>
      <c r="E1473" s="380" t="s">
        <v>8929</v>
      </c>
      <c r="F1473" s="380" t="s">
        <v>6746</v>
      </c>
      <c r="G1473" s="380">
        <v>6</v>
      </c>
      <c r="H1473" s="380" t="s">
        <v>1478</v>
      </c>
      <c r="I1473" s="380" t="s">
        <v>408</v>
      </c>
    </row>
    <row r="1474" spans="1:9" x14ac:dyDescent="0.25">
      <c r="A1474" s="247" t="str">
        <f t="shared" si="23"/>
        <v>ＦＣ　ＪＵＮＩＯＲＳ_11</v>
      </c>
      <c r="B1474" s="238" t="s">
        <v>2648</v>
      </c>
      <c r="C1474" s="238" t="str">
        <f>("11")</f>
        <v>11</v>
      </c>
      <c r="D1474" s="238" t="s">
        <v>280</v>
      </c>
      <c r="E1474" s="380" t="s">
        <v>6235</v>
      </c>
      <c r="F1474" s="380" t="s">
        <v>6755</v>
      </c>
      <c r="G1474" s="380">
        <v>6</v>
      </c>
      <c r="H1474" s="380" t="s">
        <v>1478</v>
      </c>
    </row>
    <row r="1475" spans="1:9" x14ac:dyDescent="0.25">
      <c r="A1475" s="247" t="str">
        <f t="shared" si="23"/>
        <v>ＦＣ　ＪＵＮＩＯＲＳ_12</v>
      </c>
      <c r="B1475" s="238" t="s">
        <v>2648</v>
      </c>
      <c r="C1475" s="238" t="str">
        <f>("12")</f>
        <v>12</v>
      </c>
      <c r="D1475" s="238" t="s">
        <v>796</v>
      </c>
      <c r="E1475" s="380" t="s">
        <v>8457</v>
      </c>
      <c r="F1475" s="380" t="s">
        <v>15086</v>
      </c>
      <c r="G1475" s="380">
        <v>5</v>
      </c>
      <c r="H1475" s="380" t="s">
        <v>1478</v>
      </c>
    </row>
    <row r="1476" spans="1:9" x14ac:dyDescent="0.25">
      <c r="A1476" s="247" t="str">
        <f t="shared" si="23"/>
        <v>ＦＣ　ＪＵＮＩＯＲＳ_13</v>
      </c>
      <c r="B1476" s="238" t="s">
        <v>2648</v>
      </c>
      <c r="C1476" s="238" t="str">
        <f>("13")</f>
        <v>13</v>
      </c>
      <c r="D1476" s="238" t="s">
        <v>280</v>
      </c>
      <c r="E1476" s="380" t="s">
        <v>8535</v>
      </c>
      <c r="F1476" s="380" t="s">
        <v>15087</v>
      </c>
      <c r="G1476" s="380">
        <v>5</v>
      </c>
      <c r="H1476" s="380" t="s">
        <v>1478</v>
      </c>
    </row>
    <row r="1477" spans="1:9" x14ac:dyDescent="0.25">
      <c r="A1477" s="247" t="str">
        <f t="shared" si="23"/>
        <v>ＦＣ　ＪＵＮＩＯＲＳ_14</v>
      </c>
      <c r="B1477" s="238" t="s">
        <v>2648</v>
      </c>
      <c r="C1477" s="238" t="str">
        <f>("14")</f>
        <v>14</v>
      </c>
      <c r="D1477" s="238" t="s">
        <v>280</v>
      </c>
      <c r="E1477" s="380" t="s">
        <v>6231</v>
      </c>
      <c r="F1477" s="380" t="s">
        <v>6752</v>
      </c>
      <c r="G1477" s="380">
        <v>6</v>
      </c>
      <c r="H1477" s="380" t="s">
        <v>1478</v>
      </c>
    </row>
    <row r="1478" spans="1:9" x14ac:dyDescent="0.25">
      <c r="A1478" s="247" t="str">
        <f t="shared" si="23"/>
        <v>ＦＣ　ＪＵＮＩＯＲＳ_15</v>
      </c>
      <c r="B1478" s="238" t="s">
        <v>2648</v>
      </c>
      <c r="C1478" s="238" t="str">
        <f>("15")</f>
        <v>15</v>
      </c>
      <c r="D1478" s="238" t="s">
        <v>798</v>
      </c>
      <c r="E1478" s="380" t="s">
        <v>8392</v>
      </c>
      <c r="F1478" s="380" t="s">
        <v>15088</v>
      </c>
      <c r="G1478" s="380">
        <v>5</v>
      </c>
      <c r="H1478" s="380" t="s">
        <v>1478</v>
      </c>
    </row>
    <row r="1479" spans="1:9" x14ac:dyDescent="0.25">
      <c r="A1479" s="247" t="str">
        <f t="shared" si="23"/>
        <v>ＦＣ　ＪＵＮＩＯＲＳ_16</v>
      </c>
      <c r="B1479" s="238" t="s">
        <v>2648</v>
      </c>
      <c r="C1479" s="238" t="str">
        <f>("16")</f>
        <v>16</v>
      </c>
      <c r="D1479" s="238" t="s">
        <v>280</v>
      </c>
      <c r="E1479" s="380" t="s">
        <v>8816</v>
      </c>
      <c r="F1479" s="380" t="s">
        <v>15089</v>
      </c>
      <c r="G1479" s="380">
        <v>6</v>
      </c>
      <c r="H1479" s="380" t="s">
        <v>1480</v>
      </c>
    </row>
    <row r="1480" spans="1:9" x14ac:dyDescent="0.25">
      <c r="A1480" s="247" t="str">
        <f t="shared" si="23"/>
        <v>ＦＣ中津ジュニア_1</v>
      </c>
      <c r="B1480" s="238" t="s">
        <v>1692</v>
      </c>
      <c r="C1480" s="238" t="str">
        <f>("1")</f>
        <v>1</v>
      </c>
      <c r="D1480" s="238" t="s">
        <v>796</v>
      </c>
      <c r="E1480" s="380" t="s">
        <v>6243</v>
      </c>
      <c r="F1480" s="380" t="s">
        <v>6762</v>
      </c>
      <c r="G1480" s="380">
        <v>6</v>
      </c>
      <c r="H1480" s="380" t="s">
        <v>1478</v>
      </c>
    </row>
    <row r="1481" spans="1:9" x14ac:dyDescent="0.25">
      <c r="A1481" s="247" t="str">
        <f t="shared" si="23"/>
        <v>ＦＣ中津ジュニア_2</v>
      </c>
      <c r="B1481" s="238" t="s">
        <v>1692</v>
      </c>
      <c r="C1481" s="238" t="str">
        <f>("2")</f>
        <v>2</v>
      </c>
      <c r="D1481" s="238" t="s">
        <v>235</v>
      </c>
      <c r="E1481" s="380" t="s">
        <v>8887</v>
      </c>
      <c r="F1481" s="380" t="s">
        <v>15090</v>
      </c>
      <c r="G1481" s="380">
        <v>6</v>
      </c>
      <c r="H1481" s="380" t="s">
        <v>1478</v>
      </c>
    </row>
    <row r="1482" spans="1:9" x14ac:dyDescent="0.25">
      <c r="A1482" s="247" t="str">
        <f t="shared" si="23"/>
        <v>ＦＣ中津ジュニア_3</v>
      </c>
      <c r="B1482" s="238" t="s">
        <v>1692</v>
      </c>
      <c r="C1482" s="238" t="str">
        <f>("3")</f>
        <v>3</v>
      </c>
      <c r="D1482" s="238" t="s">
        <v>798</v>
      </c>
      <c r="E1482" s="380" t="s">
        <v>6245</v>
      </c>
      <c r="F1482" s="380" t="s">
        <v>6606</v>
      </c>
      <c r="G1482" s="380">
        <v>6</v>
      </c>
      <c r="H1482" s="380" t="s">
        <v>1478</v>
      </c>
    </row>
    <row r="1483" spans="1:9" x14ac:dyDescent="0.25">
      <c r="A1483" s="247" t="str">
        <f t="shared" si="23"/>
        <v>ＦＣ中津ジュニア_4</v>
      </c>
      <c r="B1483" s="238" t="s">
        <v>1692</v>
      </c>
      <c r="C1483" s="238" t="str">
        <f>("4")</f>
        <v>4</v>
      </c>
      <c r="D1483" s="238" t="s">
        <v>235</v>
      </c>
      <c r="E1483" s="380" t="s">
        <v>6242</v>
      </c>
      <c r="F1483" s="380" t="s">
        <v>6761</v>
      </c>
      <c r="G1483" s="380">
        <v>6</v>
      </c>
      <c r="H1483" s="380" t="s">
        <v>1478</v>
      </c>
    </row>
    <row r="1484" spans="1:9" x14ac:dyDescent="0.25">
      <c r="A1484" s="247" t="str">
        <f t="shared" si="23"/>
        <v>ＦＣ中津ジュニア_5</v>
      </c>
      <c r="B1484" s="238" t="s">
        <v>1692</v>
      </c>
      <c r="C1484" s="238" t="str">
        <f>("5")</f>
        <v>5</v>
      </c>
      <c r="D1484" s="238" t="s">
        <v>235</v>
      </c>
      <c r="E1484" s="380" t="s">
        <v>8624</v>
      </c>
      <c r="F1484" s="380" t="s">
        <v>15091</v>
      </c>
      <c r="G1484" s="380">
        <v>6</v>
      </c>
      <c r="H1484" s="380" t="s">
        <v>1478</v>
      </c>
    </row>
    <row r="1485" spans="1:9" x14ac:dyDescent="0.25">
      <c r="A1485" s="247" t="str">
        <f t="shared" si="23"/>
        <v>ＦＣ中津ジュニア_6</v>
      </c>
      <c r="B1485" s="238" t="s">
        <v>1692</v>
      </c>
      <c r="C1485" s="238" t="str">
        <f>("6")</f>
        <v>6</v>
      </c>
      <c r="D1485" s="238" t="s">
        <v>798</v>
      </c>
      <c r="E1485" s="380" t="s">
        <v>6240</v>
      </c>
      <c r="F1485" s="380" t="s">
        <v>6759</v>
      </c>
      <c r="G1485" s="380">
        <v>6</v>
      </c>
      <c r="H1485" s="380" t="s">
        <v>1478</v>
      </c>
    </row>
    <row r="1486" spans="1:9" x14ac:dyDescent="0.25">
      <c r="A1486" s="247" t="str">
        <f t="shared" si="23"/>
        <v>ＦＣ中津ジュニア_7</v>
      </c>
      <c r="B1486" s="238" t="s">
        <v>1692</v>
      </c>
      <c r="C1486" s="238" t="str">
        <f>("7")</f>
        <v>7</v>
      </c>
      <c r="D1486" s="238" t="s">
        <v>798</v>
      </c>
      <c r="E1486" s="380" t="s">
        <v>6237</v>
      </c>
      <c r="F1486" s="380" t="s">
        <v>6756</v>
      </c>
      <c r="G1486" s="380">
        <v>6</v>
      </c>
      <c r="H1486" s="380" t="s">
        <v>1478</v>
      </c>
    </row>
    <row r="1487" spans="1:9" x14ac:dyDescent="0.25">
      <c r="A1487" s="247" t="str">
        <f t="shared" si="23"/>
        <v>ＦＣ中津ジュニア_8</v>
      </c>
      <c r="B1487" s="238" t="s">
        <v>1692</v>
      </c>
      <c r="C1487" s="238" t="str">
        <f>("8")</f>
        <v>8</v>
      </c>
      <c r="D1487" s="238" t="s">
        <v>798</v>
      </c>
      <c r="E1487" s="380" t="s">
        <v>6239</v>
      </c>
      <c r="F1487" s="380" t="s">
        <v>6758</v>
      </c>
      <c r="G1487" s="380">
        <v>6</v>
      </c>
      <c r="H1487" s="380" t="s">
        <v>1478</v>
      </c>
    </row>
    <row r="1488" spans="1:9" x14ac:dyDescent="0.25">
      <c r="A1488" s="247" t="str">
        <f t="shared" si="23"/>
        <v>ＦＣ中津ジュニア_9</v>
      </c>
      <c r="B1488" s="238" t="s">
        <v>1692</v>
      </c>
      <c r="C1488" s="238" t="str">
        <f>("9")</f>
        <v>9</v>
      </c>
      <c r="D1488" s="238" t="s">
        <v>798</v>
      </c>
      <c r="E1488" s="380" t="s">
        <v>4855</v>
      </c>
      <c r="F1488" s="380" t="s">
        <v>4856</v>
      </c>
      <c r="G1488" s="380">
        <v>6</v>
      </c>
      <c r="H1488" s="380" t="s">
        <v>1478</v>
      </c>
      <c r="I1488" s="380" t="s">
        <v>408</v>
      </c>
    </row>
    <row r="1489" spans="1:9" x14ac:dyDescent="0.25">
      <c r="A1489" s="247" t="str">
        <f t="shared" si="23"/>
        <v>ＦＣ中津ジュニア_10</v>
      </c>
      <c r="B1489" s="238" t="s">
        <v>1692</v>
      </c>
      <c r="C1489" s="238" t="str">
        <f>("10")</f>
        <v>10</v>
      </c>
      <c r="D1489" s="238" t="s">
        <v>280</v>
      </c>
      <c r="E1489" s="380" t="s">
        <v>6238</v>
      </c>
      <c r="F1489" s="380" t="s">
        <v>6757</v>
      </c>
      <c r="G1489" s="380">
        <v>6</v>
      </c>
      <c r="H1489" s="380" t="s">
        <v>1478</v>
      </c>
    </row>
    <row r="1490" spans="1:9" x14ac:dyDescent="0.25">
      <c r="A1490" s="247" t="str">
        <f t="shared" si="23"/>
        <v>ＦＣ中津ジュニア_11</v>
      </c>
      <c r="B1490" s="238" t="s">
        <v>1692</v>
      </c>
      <c r="C1490" s="238" t="str">
        <f>("11")</f>
        <v>11</v>
      </c>
      <c r="D1490" s="238" t="s">
        <v>798</v>
      </c>
      <c r="E1490" s="380" t="s">
        <v>6244</v>
      </c>
      <c r="F1490" s="380" t="s">
        <v>6763</v>
      </c>
      <c r="G1490" s="380">
        <v>6</v>
      </c>
      <c r="H1490" s="380" t="s">
        <v>1478</v>
      </c>
    </row>
    <row r="1491" spans="1:9" x14ac:dyDescent="0.25">
      <c r="A1491" s="247" t="str">
        <f t="shared" si="23"/>
        <v>ＦＣ中津ジュニア_12</v>
      </c>
      <c r="B1491" s="238" t="s">
        <v>1692</v>
      </c>
      <c r="C1491" s="238" t="str">
        <f>("12")</f>
        <v>12</v>
      </c>
      <c r="D1491" s="238" t="s">
        <v>796</v>
      </c>
      <c r="E1491" s="380" t="s">
        <v>8339</v>
      </c>
      <c r="F1491" s="380" t="s">
        <v>15092</v>
      </c>
      <c r="G1491" s="380">
        <v>5</v>
      </c>
      <c r="H1491" s="380" t="s">
        <v>1478</v>
      </c>
    </row>
    <row r="1492" spans="1:9" x14ac:dyDescent="0.25">
      <c r="A1492" s="247" t="str">
        <f t="shared" si="23"/>
        <v>ＦＣ中津ジュニア_13</v>
      </c>
      <c r="B1492" s="238" t="s">
        <v>1692</v>
      </c>
      <c r="C1492" s="238" t="str">
        <f>("13")</f>
        <v>13</v>
      </c>
      <c r="D1492" s="238" t="s">
        <v>280</v>
      </c>
      <c r="E1492" s="380" t="s">
        <v>6246</v>
      </c>
      <c r="F1492" s="380" t="s">
        <v>6764</v>
      </c>
      <c r="G1492" s="380">
        <v>6</v>
      </c>
      <c r="H1492" s="380" t="s">
        <v>1478</v>
      </c>
    </row>
    <row r="1493" spans="1:9" x14ac:dyDescent="0.25">
      <c r="A1493" s="247" t="str">
        <f t="shared" si="23"/>
        <v>ＦＣ中津ジュニア_14</v>
      </c>
      <c r="B1493" s="238" t="s">
        <v>1692</v>
      </c>
      <c r="C1493" s="238" t="str">
        <f>("14")</f>
        <v>14</v>
      </c>
      <c r="D1493" s="238" t="s">
        <v>798</v>
      </c>
      <c r="E1493" s="380" t="s">
        <v>8913</v>
      </c>
      <c r="F1493" s="380" t="s">
        <v>15093</v>
      </c>
      <c r="G1493" s="380">
        <v>6</v>
      </c>
      <c r="H1493" s="380" t="s">
        <v>1478</v>
      </c>
    </row>
    <row r="1494" spans="1:9" x14ac:dyDescent="0.25">
      <c r="A1494" s="247" t="str">
        <f t="shared" si="23"/>
        <v>ＦＣ中津ジュニア_15</v>
      </c>
      <c r="B1494" s="238" t="s">
        <v>1692</v>
      </c>
      <c r="C1494" s="238" t="str">
        <f>("15")</f>
        <v>15</v>
      </c>
      <c r="D1494" s="238" t="s">
        <v>798</v>
      </c>
      <c r="E1494" s="380" t="s">
        <v>6241</v>
      </c>
      <c r="F1494" s="380" t="s">
        <v>6760</v>
      </c>
      <c r="G1494" s="380">
        <v>5</v>
      </c>
      <c r="H1494" s="380" t="s">
        <v>1478</v>
      </c>
    </row>
    <row r="1495" spans="1:9" x14ac:dyDescent="0.25">
      <c r="A1495" s="247" t="str">
        <f t="shared" si="23"/>
        <v>ＦＣ中津ジュニア_16</v>
      </c>
      <c r="B1495" s="238" t="s">
        <v>1692</v>
      </c>
      <c r="C1495" s="238" t="str">
        <f>("16")</f>
        <v>16</v>
      </c>
      <c r="D1495" s="238" t="s">
        <v>798</v>
      </c>
      <c r="E1495" s="380" t="s">
        <v>8404</v>
      </c>
      <c r="F1495" s="380" t="s">
        <v>15094</v>
      </c>
      <c r="G1495" s="380">
        <v>5</v>
      </c>
      <c r="H1495" s="380" t="s">
        <v>1478</v>
      </c>
    </row>
    <row r="1496" spans="1:9" x14ac:dyDescent="0.25">
      <c r="A1496" s="247" t="str">
        <f t="shared" si="23"/>
        <v>ＦＣリーベル_1</v>
      </c>
      <c r="B1496" s="238" t="s">
        <v>2299</v>
      </c>
      <c r="C1496" s="238" t="str">
        <f>("1")</f>
        <v>1</v>
      </c>
      <c r="D1496" s="238" t="s">
        <v>796</v>
      </c>
      <c r="E1496" s="380" t="s">
        <v>4862</v>
      </c>
      <c r="F1496" s="380" t="s">
        <v>4863</v>
      </c>
      <c r="G1496" s="380">
        <v>5</v>
      </c>
      <c r="H1496" s="380" t="s">
        <v>1478</v>
      </c>
    </row>
    <row r="1497" spans="1:9" x14ac:dyDescent="0.25">
      <c r="A1497" s="247" t="str">
        <f t="shared" si="23"/>
        <v>ＦＣリーベル_2</v>
      </c>
      <c r="B1497" s="238" t="s">
        <v>2299</v>
      </c>
      <c r="C1497" s="238" t="str">
        <f>("2")</f>
        <v>2</v>
      </c>
      <c r="D1497" s="238" t="s">
        <v>235</v>
      </c>
      <c r="E1497" s="380" t="s">
        <v>7982</v>
      </c>
      <c r="F1497" s="380" t="s">
        <v>15095</v>
      </c>
      <c r="G1497" s="380">
        <v>5</v>
      </c>
      <c r="H1497" s="380" t="s">
        <v>1480</v>
      </c>
    </row>
    <row r="1498" spans="1:9" x14ac:dyDescent="0.25">
      <c r="A1498" s="247" t="str">
        <f t="shared" si="23"/>
        <v>ＦＣリーベル_4</v>
      </c>
      <c r="B1498" s="238" t="s">
        <v>2299</v>
      </c>
      <c r="C1498" s="238" t="str">
        <f>("4")</f>
        <v>4</v>
      </c>
      <c r="D1498" s="238" t="s">
        <v>280</v>
      </c>
      <c r="E1498" s="380" t="s">
        <v>7834</v>
      </c>
      <c r="F1498" s="380" t="s">
        <v>15096</v>
      </c>
      <c r="G1498" s="380">
        <v>5</v>
      </c>
      <c r="H1498" s="380" t="s">
        <v>1478</v>
      </c>
    </row>
    <row r="1499" spans="1:9" x14ac:dyDescent="0.25">
      <c r="A1499" s="247" t="str">
        <f t="shared" si="23"/>
        <v>ＦＣリーベル_5</v>
      </c>
      <c r="B1499" s="238" t="s">
        <v>2299</v>
      </c>
      <c r="C1499" s="238" t="str">
        <f>("5")</f>
        <v>5</v>
      </c>
      <c r="D1499" s="238" t="s">
        <v>235</v>
      </c>
      <c r="E1499" s="380" t="s">
        <v>6248</v>
      </c>
      <c r="F1499" s="380" t="s">
        <v>6766</v>
      </c>
      <c r="G1499" s="380">
        <v>6</v>
      </c>
      <c r="H1499" s="380" t="s">
        <v>1478</v>
      </c>
    </row>
    <row r="1500" spans="1:9" x14ac:dyDescent="0.25">
      <c r="A1500" s="247" t="str">
        <f t="shared" si="23"/>
        <v>ＦＣリーベル_6</v>
      </c>
      <c r="B1500" s="238" t="s">
        <v>2299</v>
      </c>
      <c r="C1500" s="238" t="str">
        <f>("6")</f>
        <v>6</v>
      </c>
      <c r="D1500" s="238" t="s">
        <v>235</v>
      </c>
      <c r="E1500" s="380" t="s">
        <v>4860</v>
      </c>
      <c r="F1500" s="380" t="s">
        <v>4861</v>
      </c>
      <c r="G1500" s="380">
        <v>6</v>
      </c>
      <c r="H1500" s="380" t="s">
        <v>1478</v>
      </c>
    </row>
    <row r="1501" spans="1:9" x14ac:dyDescent="0.25">
      <c r="A1501" s="247" t="str">
        <f t="shared" si="23"/>
        <v>ＦＣリーベル_7</v>
      </c>
      <c r="B1501" s="238" t="s">
        <v>2299</v>
      </c>
      <c r="C1501" s="238" t="str">
        <f>("7")</f>
        <v>7</v>
      </c>
      <c r="D1501" s="238" t="s">
        <v>798</v>
      </c>
      <c r="E1501" s="380" t="s">
        <v>8239</v>
      </c>
      <c r="F1501" s="380" t="s">
        <v>15097</v>
      </c>
      <c r="G1501" s="380">
        <v>5</v>
      </c>
      <c r="H1501" s="380" t="s">
        <v>1478</v>
      </c>
    </row>
    <row r="1502" spans="1:9" x14ac:dyDescent="0.25">
      <c r="A1502" s="247" t="str">
        <f t="shared" si="23"/>
        <v>ＦＣリーベル_8</v>
      </c>
      <c r="B1502" s="238" t="s">
        <v>2299</v>
      </c>
      <c r="C1502" s="238" t="str">
        <f>("8")</f>
        <v>8</v>
      </c>
      <c r="D1502" s="238" t="s">
        <v>280</v>
      </c>
      <c r="E1502" s="380" t="s">
        <v>6247</v>
      </c>
      <c r="F1502" s="380" t="s">
        <v>6765</v>
      </c>
      <c r="G1502" s="380">
        <v>6</v>
      </c>
      <c r="H1502" s="380" t="s">
        <v>1478</v>
      </c>
    </row>
    <row r="1503" spans="1:9" x14ac:dyDescent="0.25">
      <c r="A1503" s="247" t="str">
        <f t="shared" si="23"/>
        <v>ＦＣリーベル_9</v>
      </c>
      <c r="B1503" s="238" t="s">
        <v>2299</v>
      </c>
      <c r="C1503" s="238" t="str">
        <f>("9")</f>
        <v>9</v>
      </c>
      <c r="D1503" s="238" t="s">
        <v>235</v>
      </c>
      <c r="E1503" s="380" t="s">
        <v>7844</v>
      </c>
      <c r="F1503" s="380" t="s">
        <v>15098</v>
      </c>
      <c r="G1503" s="380">
        <v>5</v>
      </c>
      <c r="H1503" s="380" t="s">
        <v>1478</v>
      </c>
    </row>
    <row r="1504" spans="1:9" x14ac:dyDescent="0.25">
      <c r="A1504" s="247" t="str">
        <f t="shared" si="23"/>
        <v>ＦＣリーベル_10</v>
      </c>
      <c r="B1504" s="238" t="s">
        <v>2299</v>
      </c>
      <c r="C1504" s="238" t="str">
        <f>("10")</f>
        <v>10</v>
      </c>
      <c r="D1504" s="238" t="s">
        <v>798</v>
      </c>
      <c r="E1504" s="380" t="s">
        <v>2249</v>
      </c>
      <c r="F1504" s="380" t="s">
        <v>2879</v>
      </c>
      <c r="G1504" s="380">
        <v>6</v>
      </c>
      <c r="H1504" s="380" t="s">
        <v>1478</v>
      </c>
      <c r="I1504" s="380" t="s">
        <v>408</v>
      </c>
    </row>
    <row r="1505" spans="1:8" x14ac:dyDescent="0.25">
      <c r="A1505" s="247" t="str">
        <f t="shared" si="23"/>
        <v>ＦＣリーベル_11</v>
      </c>
      <c r="B1505" s="238" t="s">
        <v>2299</v>
      </c>
      <c r="C1505" s="238" t="str">
        <f>("11")</f>
        <v>11</v>
      </c>
      <c r="D1505" s="238" t="s">
        <v>280</v>
      </c>
      <c r="E1505" s="380" t="s">
        <v>7992</v>
      </c>
      <c r="F1505" s="380" t="s">
        <v>15099</v>
      </c>
      <c r="G1505" s="380">
        <v>5</v>
      </c>
      <c r="H1505" s="380" t="s">
        <v>1478</v>
      </c>
    </row>
    <row r="1506" spans="1:8" x14ac:dyDescent="0.25">
      <c r="A1506" s="247" t="str">
        <f t="shared" si="23"/>
        <v>ＦＣリーベル_12</v>
      </c>
      <c r="B1506" s="238" t="s">
        <v>2299</v>
      </c>
      <c r="C1506" s="238" t="str">
        <f>("12")</f>
        <v>12</v>
      </c>
      <c r="D1506" s="238" t="s">
        <v>796</v>
      </c>
      <c r="E1506" s="380" t="s">
        <v>6249</v>
      </c>
      <c r="F1506" s="380" t="s">
        <v>6767</v>
      </c>
      <c r="G1506" s="380">
        <v>6</v>
      </c>
      <c r="H1506" s="380" t="s">
        <v>1478</v>
      </c>
    </row>
    <row r="1507" spans="1:8" x14ac:dyDescent="0.25">
      <c r="A1507" s="247" t="str">
        <f t="shared" si="23"/>
        <v>ＦＣリーベル_14</v>
      </c>
      <c r="B1507" s="238" t="s">
        <v>2299</v>
      </c>
      <c r="C1507" s="238" t="str">
        <f>("14")</f>
        <v>14</v>
      </c>
      <c r="D1507" s="238" t="s">
        <v>235</v>
      </c>
      <c r="E1507" s="380" t="s">
        <v>8443</v>
      </c>
      <c r="F1507" s="380" t="s">
        <v>15100</v>
      </c>
      <c r="G1507" s="380">
        <v>5</v>
      </c>
      <c r="H1507" s="380" t="s">
        <v>1480</v>
      </c>
    </row>
    <row r="1508" spans="1:8" x14ac:dyDescent="0.25">
      <c r="A1508" s="247" t="str">
        <f t="shared" si="23"/>
        <v>ＦＣリーベル_15</v>
      </c>
      <c r="B1508" s="238" t="s">
        <v>2299</v>
      </c>
      <c r="C1508" s="238" t="str">
        <f>("15")</f>
        <v>15</v>
      </c>
      <c r="D1508" s="238" t="s">
        <v>798</v>
      </c>
      <c r="E1508" s="380" t="s">
        <v>7891</v>
      </c>
      <c r="F1508" s="380" t="s">
        <v>15101</v>
      </c>
      <c r="G1508" s="380">
        <v>5</v>
      </c>
      <c r="H1508" s="380" t="s">
        <v>1478</v>
      </c>
    </row>
    <row r="1509" spans="1:8" x14ac:dyDescent="0.25">
      <c r="A1509" s="247" t="str">
        <f t="shared" si="23"/>
        <v>ＦＣリーベル_17</v>
      </c>
      <c r="B1509" s="238" t="s">
        <v>2299</v>
      </c>
      <c r="C1509" s="238" t="str">
        <f>("17")</f>
        <v>17</v>
      </c>
      <c r="D1509" s="238" t="s">
        <v>798</v>
      </c>
      <c r="E1509" s="380" t="s">
        <v>8139</v>
      </c>
      <c r="F1509" s="380" t="s">
        <v>15102</v>
      </c>
      <c r="G1509" s="380">
        <v>5</v>
      </c>
      <c r="H1509" s="380" t="s">
        <v>1478</v>
      </c>
    </row>
    <row r="1510" spans="1:8" x14ac:dyDescent="0.25">
      <c r="A1510" s="247" t="str">
        <f t="shared" si="23"/>
        <v>ＦＣリーベル_18</v>
      </c>
      <c r="B1510" s="238" t="s">
        <v>2299</v>
      </c>
      <c r="C1510" s="238" t="str">
        <f>("18")</f>
        <v>18</v>
      </c>
      <c r="D1510" s="238" t="s">
        <v>798</v>
      </c>
      <c r="E1510" s="380" t="s">
        <v>8318</v>
      </c>
      <c r="F1510" s="380" t="s">
        <v>15103</v>
      </c>
      <c r="G1510" s="380">
        <v>5</v>
      </c>
      <c r="H1510" s="380" t="s">
        <v>1478</v>
      </c>
    </row>
    <row r="1511" spans="1:8" x14ac:dyDescent="0.25">
      <c r="A1511" s="247" t="str">
        <f t="shared" si="23"/>
        <v>ＦＣリーベル_19</v>
      </c>
      <c r="B1511" s="238" t="s">
        <v>2299</v>
      </c>
      <c r="C1511" s="238" t="str">
        <f>("19")</f>
        <v>19</v>
      </c>
      <c r="D1511" s="238" t="s">
        <v>280</v>
      </c>
      <c r="E1511" s="380" t="s">
        <v>9445</v>
      </c>
      <c r="F1511" s="380" t="s">
        <v>15104</v>
      </c>
      <c r="G1511" s="380">
        <v>4</v>
      </c>
      <c r="H1511" s="380" t="s">
        <v>1478</v>
      </c>
    </row>
    <row r="1512" spans="1:8" x14ac:dyDescent="0.25">
      <c r="A1512" s="247" t="str">
        <f t="shared" si="23"/>
        <v>ＦＣリーベル_31</v>
      </c>
      <c r="B1512" s="238" t="s">
        <v>2299</v>
      </c>
      <c r="C1512" s="238" t="str">
        <f>("31")</f>
        <v>31</v>
      </c>
      <c r="D1512" s="238" t="s">
        <v>798</v>
      </c>
      <c r="E1512" s="380" t="s">
        <v>7835</v>
      </c>
      <c r="F1512" s="380" t="s">
        <v>15105</v>
      </c>
      <c r="G1512" s="380">
        <v>5</v>
      </c>
      <c r="H1512" s="380" t="s">
        <v>1480</v>
      </c>
    </row>
    <row r="1513" spans="1:8" x14ac:dyDescent="0.25">
      <c r="A1513" s="247" t="str">
        <f t="shared" si="23"/>
        <v>如水ジュニアサッカークラブ_1</v>
      </c>
      <c r="B1513" s="238" t="s">
        <v>2651</v>
      </c>
      <c r="C1513" s="238" t="str">
        <f>("1")</f>
        <v>1</v>
      </c>
      <c r="D1513" s="238" t="s">
        <v>796</v>
      </c>
      <c r="E1513" s="380" t="s">
        <v>6253</v>
      </c>
      <c r="F1513" s="380" t="s">
        <v>6771</v>
      </c>
      <c r="G1513" s="380">
        <v>6</v>
      </c>
      <c r="H1513" s="380" t="s">
        <v>1478</v>
      </c>
    </row>
    <row r="1514" spans="1:8" x14ac:dyDescent="0.25">
      <c r="A1514" s="247" t="str">
        <f t="shared" si="23"/>
        <v>如水ジュニアサッカークラブ_2</v>
      </c>
      <c r="B1514" s="238" t="s">
        <v>2651</v>
      </c>
      <c r="C1514" s="238" t="str">
        <f>("2")</f>
        <v>2</v>
      </c>
      <c r="D1514" s="238" t="s">
        <v>235</v>
      </c>
      <c r="E1514" s="380" t="s">
        <v>8965</v>
      </c>
      <c r="F1514" s="380" t="s">
        <v>15106</v>
      </c>
      <c r="G1514" s="380">
        <v>6</v>
      </c>
      <c r="H1514" s="380" t="s">
        <v>1478</v>
      </c>
    </row>
    <row r="1515" spans="1:8" x14ac:dyDescent="0.25">
      <c r="A1515" s="247" t="str">
        <f t="shared" si="23"/>
        <v>如水ジュニアサッカークラブ_3</v>
      </c>
      <c r="B1515" s="238" t="s">
        <v>2651</v>
      </c>
      <c r="C1515" s="238" t="str">
        <f>("3")</f>
        <v>3</v>
      </c>
      <c r="D1515" s="238" t="s">
        <v>235</v>
      </c>
      <c r="E1515" s="380" t="s">
        <v>8690</v>
      </c>
      <c r="F1515" s="380" t="s">
        <v>15107</v>
      </c>
      <c r="G1515" s="380">
        <v>6</v>
      </c>
      <c r="H1515" s="380" t="s">
        <v>1480</v>
      </c>
    </row>
    <row r="1516" spans="1:8" x14ac:dyDescent="0.25">
      <c r="A1516" s="247" t="str">
        <f t="shared" si="23"/>
        <v>如水ジュニアサッカークラブ_4</v>
      </c>
      <c r="B1516" s="238" t="s">
        <v>2651</v>
      </c>
      <c r="C1516" s="238" t="str">
        <f>("4")</f>
        <v>4</v>
      </c>
      <c r="D1516" s="238" t="s">
        <v>235</v>
      </c>
      <c r="E1516" s="380" t="s">
        <v>8635</v>
      </c>
      <c r="F1516" s="380" t="s">
        <v>15108</v>
      </c>
      <c r="G1516" s="380">
        <v>6</v>
      </c>
      <c r="H1516" s="380" t="s">
        <v>1480</v>
      </c>
    </row>
    <row r="1517" spans="1:8" x14ac:dyDescent="0.25">
      <c r="A1517" s="247" t="str">
        <f t="shared" si="23"/>
        <v>如水ジュニアサッカークラブ_5</v>
      </c>
      <c r="B1517" s="238" t="s">
        <v>2651</v>
      </c>
      <c r="C1517" s="238" t="str">
        <f>("5")</f>
        <v>5</v>
      </c>
      <c r="D1517" s="238" t="s">
        <v>798</v>
      </c>
      <c r="E1517" s="380" t="s">
        <v>8715</v>
      </c>
      <c r="F1517" s="380" t="s">
        <v>15109</v>
      </c>
      <c r="G1517" s="380">
        <v>6</v>
      </c>
      <c r="H1517" s="380" t="s">
        <v>1480</v>
      </c>
    </row>
    <row r="1518" spans="1:8" x14ac:dyDescent="0.25">
      <c r="A1518" s="247" t="str">
        <f t="shared" si="23"/>
        <v>如水ジュニアサッカークラブ_6</v>
      </c>
      <c r="B1518" s="238" t="s">
        <v>2651</v>
      </c>
      <c r="C1518" s="238" t="str">
        <f>("6")</f>
        <v>6</v>
      </c>
      <c r="D1518" s="238" t="s">
        <v>280</v>
      </c>
      <c r="E1518" s="380" t="s">
        <v>8869</v>
      </c>
      <c r="F1518" s="380" t="s">
        <v>15110</v>
      </c>
      <c r="G1518" s="380">
        <v>6</v>
      </c>
      <c r="H1518" s="380" t="s">
        <v>1478</v>
      </c>
    </row>
    <row r="1519" spans="1:8" x14ac:dyDescent="0.25">
      <c r="A1519" s="247" t="str">
        <f t="shared" si="23"/>
        <v>如水ジュニアサッカークラブ_7</v>
      </c>
      <c r="B1519" s="238" t="s">
        <v>2651</v>
      </c>
      <c r="C1519" s="238" t="str">
        <f>("7")</f>
        <v>7</v>
      </c>
      <c r="D1519" s="238" t="s">
        <v>235</v>
      </c>
      <c r="E1519" s="380" t="s">
        <v>6254</v>
      </c>
      <c r="F1519" s="380" t="s">
        <v>6772</v>
      </c>
      <c r="G1519" s="380">
        <v>6</v>
      </c>
      <c r="H1519" s="380" t="s">
        <v>1478</v>
      </c>
    </row>
    <row r="1520" spans="1:8" x14ac:dyDescent="0.25">
      <c r="A1520" s="247" t="str">
        <f t="shared" si="23"/>
        <v>如水ジュニアサッカークラブ_8</v>
      </c>
      <c r="B1520" s="238" t="s">
        <v>2651</v>
      </c>
      <c r="C1520" s="238" t="str">
        <f>("8")</f>
        <v>8</v>
      </c>
      <c r="D1520" s="238" t="s">
        <v>798</v>
      </c>
      <c r="E1520" s="380" t="s">
        <v>8897</v>
      </c>
      <c r="F1520" s="380" t="s">
        <v>15111</v>
      </c>
      <c r="G1520" s="380">
        <v>6</v>
      </c>
      <c r="H1520" s="380" t="s">
        <v>1478</v>
      </c>
    </row>
    <row r="1521" spans="1:9" x14ac:dyDescent="0.25">
      <c r="A1521" s="247" t="str">
        <f t="shared" si="23"/>
        <v>如水ジュニアサッカークラブ_9</v>
      </c>
      <c r="B1521" s="238" t="s">
        <v>2651</v>
      </c>
      <c r="C1521" s="238" t="str">
        <f>("9")</f>
        <v>9</v>
      </c>
      <c r="D1521" s="238" t="s">
        <v>235</v>
      </c>
      <c r="E1521" s="380" t="s">
        <v>6250</v>
      </c>
      <c r="F1521" s="380" t="s">
        <v>6768</v>
      </c>
      <c r="G1521" s="380">
        <v>6</v>
      </c>
      <c r="H1521" s="380" t="s">
        <v>1478</v>
      </c>
    </row>
    <row r="1522" spans="1:9" x14ac:dyDescent="0.25">
      <c r="A1522" s="247" t="str">
        <f t="shared" si="23"/>
        <v>如水ジュニアサッカークラブ_10</v>
      </c>
      <c r="B1522" s="238" t="s">
        <v>2651</v>
      </c>
      <c r="C1522" s="238" t="str">
        <f>("10")</f>
        <v>10</v>
      </c>
      <c r="D1522" s="238" t="s">
        <v>798</v>
      </c>
      <c r="E1522" s="380" t="s">
        <v>6251</v>
      </c>
      <c r="F1522" s="380" t="s">
        <v>6769</v>
      </c>
      <c r="G1522" s="380">
        <v>6</v>
      </c>
      <c r="H1522" s="380" t="s">
        <v>1478</v>
      </c>
    </row>
    <row r="1523" spans="1:9" x14ac:dyDescent="0.25">
      <c r="A1523" s="247" t="str">
        <f t="shared" si="23"/>
        <v>如水ジュニアサッカークラブ_11</v>
      </c>
      <c r="B1523" s="238" t="s">
        <v>2651</v>
      </c>
      <c r="C1523" s="238" t="str">
        <f>("11")</f>
        <v>11</v>
      </c>
      <c r="D1523" s="238" t="s">
        <v>235</v>
      </c>
      <c r="E1523" s="380" t="s">
        <v>8984</v>
      </c>
      <c r="F1523" s="380" t="s">
        <v>15112</v>
      </c>
      <c r="G1523" s="380">
        <v>6</v>
      </c>
      <c r="H1523" s="380" t="s">
        <v>1480</v>
      </c>
    </row>
    <row r="1524" spans="1:9" x14ac:dyDescent="0.25">
      <c r="A1524" s="247" t="str">
        <f t="shared" si="23"/>
        <v>如水ジュニアサッカークラブ_12</v>
      </c>
      <c r="B1524" s="238" t="s">
        <v>2651</v>
      </c>
      <c r="C1524" s="238" t="str">
        <f>("12")</f>
        <v>12</v>
      </c>
      <c r="D1524" s="238" t="s">
        <v>796</v>
      </c>
      <c r="E1524" s="380" t="s">
        <v>8442</v>
      </c>
      <c r="F1524" s="380" t="s">
        <v>15113</v>
      </c>
      <c r="G1524" s="380">
        <v>5</v>
      </c>
      <c r="H1524" s="380" t="s">
        <v>1478</v>
      </c>
    </row>
    <row r="1525" spans="1:9" x14ac:dyDescent="0.25">
      <c r="A1525" s="247" t="str">
        <f t="shared" si="23"/>
        <v>如水ジュニアサッカークラブ_13</v>
      </c>
      <c r="B1525" s="238" t="s">
        <v>2651</v>
      </c>
      <c r="C1525" s="238" t="str">
        <f>("13")</f>
        <v>13</v>
      </c>
      <c r="D1525" s="238" t="s">
        <v>280</v>
      </c>
      <c r="E1525" s="380" t="s">
        <v>9416</v>
      </c>
      <c r="F1525" s="380" t="s">
        <v>15114</v>
      </c>
      <c r="G1525" s="380">
        <v>4</v>
      </c>
      <c r="H1525" s="380" t="s">
        <v>1478</v>
      </c>
    </row>
    <row r="1526" spans="1:9" x14ac:dyDescent="0.25">
      <c r="A1526" s="247" t="str">
        <f t="shared" si="23"/>
        <v>如水ジュニアサッカークラブ_14</v>
      </c>
      <c r="B1526" s="238" t="s">
        <v>2651</v>
      </c>
      <c r="C1526" s="238" t="str">
        <f>("14")</f>
        <v>14</v>
      </c>
      <c r="D1526" s="238" t="s">
        <v>280</v>
      </c>
      <c r="E1526" s="380" t="s">
        <v>8982</v>
      </c>
      <c r="F1526" s="380" t="s">
        <v>15115</v>
      </c>
      <c r="G1526" s="380">
        <v>5</v>
      </c>
      <c r="H1526" s="380" t="s">
        <v>1480</v>
      </c>
    </row>
    <row r="1527" spans="1:9" x14ac:dyDescent="0.25">
      <c r="A1527" s="247" t="str">
        <f t="shared" si="23"/>
        <v>如水ジュニアサッカークラブ_18</v>
      </c>
      <c r="B1527" s="238" t="s">
        <v>2651</v>
      </c>
      <c r="C1527" s="238" t="str">
        <f>("18")</f>
        <v>18</v>
      </c>
      <c r="D1527" s="238" t="s">
        <v>798</v>
      </c>
      <c r="E1527" s="380" t="s">
        <v>6252</v>
      </c>
      <c r="F1527" s="380" t="s">
        <v>6770</v>
      </c>
      <c r="G1527" s="380">
        <v>6</v>
      </c>
      <c r="H1527" s="380" t="s">
        <v>1478</v>
      </c>
      <c r="I1527" s="380" t="s">
        <v>408</v>
      </c>
    </row>
    <row r="1528" spans="1:9" x14ac:dyDescent="0.25">
      <c r="A1528" s="247" t="str">
        <f t="shared" si="23"/>
        <v>ＦＣ．ＲＥ．ＳＴＡＲＴ　_2</v>
      </c>
      <c r="B1528" s="238" t="s">
        <v>3104</v>
      </c>
      <c r="C1528" s="238" t="str">
        <f>("2")</f>
        <v>2</v>
      </c>
      <c r="D1528" s="238" t="s">
        <v>798</v>
      </c>
      <c r="E1528" s="380" t="s">
        <v>4866</v>
      </c>
      <c r="F1528" s="380" t="s">
        <v>4867</v>
      </c>
      <c r="G1528" s="380">
        <v>6</v>
      </c>
      <c r="H1528" s="380" t="s">
        <v>1478</v>
      </c>
      <c r="I1528" s="380" t="s">
        <v>408</v>
      </c>
    </row>
    <row r="1529" spans="1:9" x14ac:dyDescent="0.25">
      <c r="A1529" s="247" t="str">
        <f t="shared" si="23"/>
        <v>ＦＣ．ＲＥ．ＳＴＡＲＴ　_3</v>
      </c>
      <c r="B1529" s="238" t="s">
        <v>3104</v>
      </c>
      <c r="C1529" s="238" t="str">
        <f>("3")</f>
        <v>3</v>
      </c>
      <c r="D1529" s="238" t="s">
        <v>235</v>
      </c>
      <c r="E1529" s="380" t="s">
        <v>9582</v>
      </c>
      <c r="F1529" s="380" t="s">
        <v>15116</v>
      </c>
      <c r="G1529" s="380">
        <v>4</v>
      </c>
      <c r="H1529" s="380" t="s">
        <v>1478</v>
      </c>
    </row>
    <row r="1530" spans="1:9" x14ac:dyDescent="0.25">
      <c r="A1530" s="247" t="str">
        <f t="shared" si="23"/>
        <v>ＦＣ．ＲＥ．ＳＴＡＲＴ　_4</v>
      </c>
      <c r="B1530" s="238" t="s">
        <v>3104</v>
      </c>
      <c r="C1530" s="238" t="str">
        <f>("4")</f>
        <v>4</v>
      </c>
      <c r="D1530" s="238" t="s">
        <v>235</v>
      </c>
      <c r="E1530" s="380" t="s">
        <v>3883</v>
      </c>
      <c r="F1530" s="380" t="s">
        <v>3884</v>
      </c>
      <c r="G1530" s="380">
        <v>5</v>
      </c>
      <c r="H1530" s="380" t="s">
        <v>1478</v>
      </c>
    </row>
    <row r="1531" spans="1:9" x14ac:dyDescent="0.25">
      <c r="A1531" s="247" t="str">
        <f t="shared" si="23"/>
        <v>ＦＣ．ＲＥ．ＳＴＡＲＴ　_5</v>
      </c>
      <c r="B1531" s="238" t="s">
        <v>3104</v>
      </c>
      <c r="C1531" s="238" t="str">
        <f>("5")</f>
        <v>5</v>
      </c>
      <c r="D1531" s="238" t="s">
        <v>235</v>
      </c>
      <c r="E1531" s="380" t="s">
        <v>9104</v>
      </c>
      <c r="F1531" s="380" t="s">
        <v>15117</v>
      </c>
      <c r="G1531" s="380">
        <v>4</v>
      </c>
      <c r="H1531" s="380" t="s">
        <v>1478</v>
      </c>
    </row>
    <row r="1532" spans="1:9" x14ac:dyDescent="0.25">
      <c r="A1532" s="247" t="str">
        <f t="shared" si="23"/>
        <v>ＦＣ．ＲＥ．ＳＴＡＲＴ　_6</v>
      </c>
      <c r="B1532" s="238" t="s">
        <v>3104</v>
      </c>
      <c r="C1532" s="238" t="str">
        <f>("6")</f>
        <v>6</v>
      </c>
      <c r="D1532" s="238" t="s">
        <v>798</v>
      </c>
      <c r="E1532" s="380" t="s">
        <v>6255</v>
      </c>
      <c r="F1532" s="380" t="s">
        <v>6773</v>
      </c>
      <c r="G1532" s="380">
        <v>5</v>
      </c>
      <c r="H1532" s="380" t="s">
        <v>1478</v>
      </c>
    </row>
    <row r="1533" spans="1:9" x14ac:dyDescent="0.25">
      <c r="A1533" s="247" t="str">
        <f t="shared" si="23"/>
        <v>ＦＣ．ＲＥ．ＳＴＡＲＴ　_7</v>
      </c>
      <c r="B1533" s="238" t="s">
        <v>3104</v>
      </c>
      <c r="C1533" s="238" t="str">
        <f>("7")</f>
        <v>7</v>
      </c>
      <c r="D1533" s="238" t="s">
        <v>798</v>
      </c>
      <c r="E1533" s="380" t="s">
        <v>4864</v>
      </c>
      <c r="F1533" s="380" t="s">
        <v>4865</v>
      </c>
      <c r="G1533" s="380">
        <v>6</v>
      </c>
      <c r="H1533" s="380" t="s">
        <v>1478</v>
      </c>
    </row>
    <row r="1534" spans="1:9" x14ac:dyDescent="0.25">
      <c r="A1534" s="247" t="str">
        <f t="shared" si="23"/>
        <v>ＦＣ．ＲＥ．ＳＴＡＲＴ　_8</v>
      </c>
      <c r="B1534" s="238" t="s">
        <v>3104</v>
      </c>
      <c r="C1534" s="238" t="str">
        <f>("8")</f>
        <v>8</v>
      </c>
      <c r="D1534" s="238" t="s">
        <v>798</v>
      </c>
      <c r="E1534" s="380" t="s">
        <v>6258</v>
      </c>
      <c r="F1534" s="380" t="s">
        <v>6775</v>
      </c>
      <c r="G1534" s="380">
        <v>4</v>
      </c>
      <c r="H1534" s="380" t="s">
        <v>1478</v>
      </c>
    </row>
    <row r="1535" spans="1:9" x14ac:dyDescent="0.25">
      <c r="A1535" s="247" t="str">
        <f t="shared" si="23"/>
        <v>ＦＣ．ＲＥ．ＳＴＡＲＴ　_9</v>
      </c>
      <c r="B1535" s="238" t="s">
        <v>3104</v>
      </c>
      <c r="C1535" s="238" t="str">
        <f>("9")</f>
        <v>9</v>
      </c>
      <c r="D1535" s="238" t="s">
        <v>280</v>
      </c>
      <c r="E1535" s="380" t="s">
        <v>6257</v>
      </c>
      <c r="F1535" s="380" t="s">
        <v>6774</v>
      </c>
      <c r="G1535" s="380">
        <v>4</v>
      </c>
      <c r="H1535" s="380" t="s">
        <v>1478</v>
      </c>
    </row>
    <row r="1536" spans="1:9" x14ac:dyDescent="0.25">
      <c r="A1536" s="247" t="str">
        <f t="shared" si="23"/>
        <v>ＦＣ．ＲＥ．ＳＴＡＲＴ　_10</v>
      </c>
      <c r="B1536" s="238" t="s">
        <v>3104</v>
      </c>
      <c r="C1536" s="238" t="str">
        <f>("10")</f>
        <v>10</v>
      </c>
      <c r="D1536" s="238" t="s">
        <v>798</v>
      </c>
      <c r="E1536" s="380" t="s">
        <v>4201</v>
      </c>
      <c r="F1536" s="380" t="s">
        <v>4202</v>
      </c>
      <c r="G1536" s="380">
        <v>6</v>
      </c>
      <c r="H1536" s="380" t="s">
        <v>1478</v>
      </c>
    </row>
    <row r="1537" spans="1:9" x14ac:dyDescent="0.25">
      <c r="A1537" s="247" t="str">
        <f t="shared" ref="A1537:A1601" si="24">CONCATENATE(B1537,"_",C1537)</f>
        <v>ＦＣ．ＲＥ．ＳＴＡＲＴ　_11</v>
      </c>
      <c r="B1537" s="238" t="s">
        <v>3104</v>
      </c>
      <c r="C1537" s="238" t="str">
        <f>("11")</f>
        <v>11</v>
      </c>
      <c r="D1537" s="238" t="s">
        <v>280</v>
      </c>
      <c r="E1537" s="380" t="s">
        <v>9792</v>
      </c>
      <c r="F1537" s="380" t="s">
        <v>15118</v>
      </c>
      <c r="G1537" s="380">
        <v>3</v>
      </c>
      <c r="H1537" s="380" t="s">
        <v>1480</v>
      </c>
    </row>
    <row r="1538" spans="1:9" x14ac:dyDescent="0.25">
      <c r="A1538" s="247" t="str">
        <f t="shared" si="24"/>
        <v>ＦＣ．ＲＥ．ＳＴＡＲＴ　_12</v>
      </c>
      <c r="B1538" s="238" t="s">
        <v>3104</v>
      </c>
      <c r="C1538" s="238" t="str">
        <f>("12")</f>
        <v>12</v>
      </c>
      <c r="D1538" s="238" t="s">
        <v>798</v>
      </c>
      <c r="E1538" s="380" t="s">
        <v>9726</v>
      </c>
      <c r="F1538" s="380" t="s">
        <v>15119</v>
      </c>
      <c r="G1538" s="380">
        <v>3</v>
      </c>
      <c r="H1538" s="380" t="s">
        <v>1478</v>
      </c>
    </row>
    <row r="1539" spans="1:9" x14ac:dyDescent="0.25">
      <c r="A1539" s="247" t="str">
        <f t="shared" si="24"/>
        <v>ＦＣ．ＲＥ．ＳＴＡＲＴ　_13</v>
      </c>
      <c r="B1539" s="238" t="s">
        <v>3104</v>
      </c>
      <c r="C1539" s="238" t="str">
        <f>("13")</f>
        <v>13</v>
      </c>
      <c r="D1539" s="238" t="s">
        <v>796</v>
      </c>
      <c r="E1539" s="380" t="s">
        <v>9595</v>
      </c>
      <c r="F1539" s="380" t="s">
        <v>15120</v>
      </c>
      <c r="G1539" s="380">
        <v>4</v>
      </c>
      <c r="H1539" s="380" t="s">
        <v>1478</v>
      </c>
    </row>
    <row r="1540" spans="1:9" x14ac:dyDescent="0.25">
      <c r="A1540" s="247" t="str">
        <f t="shared" si="24"/>
        <v>ＦＣ．ＲＥ．ＳＴＡＲＴ　_14</v>
      </c>
      <c r="B1540" s="238" t="s">
        <v>3104</v>
      </c>
      <c r="C1540" s="238" t="str">
        <f>("14")</f>
        <v>14</v>
      </c>
      <c r="D1540" s="238" t="s">
        <v>235</v>
      </c>
      <c r="E1540" s="380" t="s">
        <v>9754</v>
      </c>
      <c r="F1540" s="380" t="s">
        <v>15121</v>
      </c>
      <c r="G1540" s="380">
        <v>3</v>
      </c>
      <c r="H1540" s="380" t="s">
        <v>1478</v>
      </c>
    </row>
    <row r="1541" spans="1:9" x14ac:dyDescent="0.25">
      <c r="A1541" s="247" t="str">
        <f t="shared" si="24"/>
        <v>ＦＣ．ＲＥ．ＳＴＡＲＴ　_15</v>
      </c>
      <c r="B1541" s="238" t="s">
        <v>3104</v>
      </c>
      <c r="C1541" s="238" t="str">
        <f>("15")</f>
        <v>15</v>
      </c>
      <c r="D1541" s="238" t="s">
        <v>796</v>
      </c>
      <c r="E1541" s="380" t="s">
        <v>4868</v>
      </c>
      <c r="F1541" s="380" t="s">
        <v>4869</v>
      </c>
      <c r="G1541" s="380">
        <v>5</v>
      </c>
      <c r="H1541" s="380" t="s">
        <v>1478</v>
      </c>
    </row>
    <row r="1542" spans="1:9" x14ac:dyDescent="0.25">
      <c r="A1542" s="247" t="str">
        <f t="shared" si="24"/>
        <v>大分セントラルＦＣ_1</v>
      </c>
      <c r="B1542" s="238" t="s">
        <v>5619</v>
      </c>
      <c r="C1542" s="238" t="str">
        <f>("1")</f>
        <v>1</v>
      </c>
      <c r="D1542" s="238" t="s">
        <v>796</v>
      </c>
      <c r="E1542" s="380" t="s">
        <v>4687</v>
      </c>
      <c r="F1542" s="380" t="s">
        <v>4688</v>
      </c>
      <c r="G1542" s="380">
        <v>6</v>
      </c>
      <c r="H1542" s="380" t="s">
        <v>1478</v>
      </c>
    </row>
    <row r="1543" spans="1:9" x14ac:dyDescent="0.25">
      <c r="A1543" s="247" t="str">
        <f t="shared" si="24"/>
        <v>大分セントラルＦＣ_2</v>
      </c>
      <c r="B1543" s="238" t="s">
        <v>5619</v>
      </c>
      <c r="C1543" s="238" t="str">
        <f>("2")</f>
        <v>2</v>
      </c>
      <c r="D1543" s="238" t="s">
        <v>235</v>
      </c>
      <c r="E1543" s="380" t="s">
        <v>4111</v>
      </c>
      <c r="F1543" s="380" t="s">
        <v>4112</v>
      </c>
      <c r="G1543" s="380">
        <v>6</v>
      </c>
      <c r="H1543" s="380" t="s">
        <v>1478</v>
      </c>
    </row>
    <row r="1544" spans="1:9" x14ac:dyDescent="0.25">
      <c r="A1544" s="247" t="str">
        <f t="shared" si="24"/>
        <v>大分セントラルＦＣ_3</v>
      </c>
      <c r="B1544" s="238" t="s">
        <v>5619</v>
      </c>
      <c r="C1544" s="238" t="str">
        <f>("3")</f>
        <v>3</v>
      </c>
      <c r="D1544" s="238" t="s">
        <v>235</v>
      </c>
      <c r="E1544" s="380" t="s">
        <v>8828</v>
      </c>
      <c r="F1544" s="380" t="s">
        <v>15122</v>
      </c>
      <c r="G1544" s="380">
        <v>6</v>
      </c>
      <c r="H1544" s="380" t="s">
        <v>1478</v>
      </c>
      <c r="I1544" s="380" t="s">
        <v>408</v>
      </c>
    </row>
    <row r="1545" spans="1:9" x14ac:dyDescent="0.25">
      <c r="A1545" s="247" t="str">
        <f t="shared" si="24"/>
        <v>大分セントラルＦＣ_4</v>
      </c>
      <c r="B1545" s="238" t="s">
        <v>5619</v>
      </c>
      <c r="C1545" s="238" t="str">
        <f>("4")</f>
        <v>4</v>
      </c>
      <c r="D1545" s="238" t="s">
        <v>235</v>
      </c>
      <c r="E1545" s="380" t="s">
        <v>6265</v>
      </c>
      <c r="F1545" s="380" t="s">
        <v>6780</v>
      </c>
      <c r="G1545" s="380">
        <v>6</v>
      </c>
      <c r="H1545" s="380" t="s">
        <v>1478</v>
      </c>
    </row>
    <row r="1546" spans="1:9" x14ac:dyDescent="0.25">
      <c r="A1546" s="247" t="str">
        <f t="shared" si="24"/>
        <v>大分セントラルＦＣ_5</v>
      </c>
      <c r="B1546" s="238" t="s">
        <v>5619</v>
      </c>
      <c r="C1546" s="238" t="str">
        <f>("5")</f>
        <v>5</v>
      </c>
      <c r="D1546" s="238" t="s">
        <v>235</v>
      </c>
      <c r="E1546" s="380" t="s">
        <v>5901</v>
      </c>
      <c r="F1546" s="380" t="s">
        <v>6507</v>
      </c>
      <c r="G1546" s="380">
        <v>4</v>
      </c>
      <c r="H1546" s="380" t="s">
        <v>1478</v>
      </c>
    </row>
    <row r="1547" spans="1:9" x14ac:dyDescent="0.25">
      <c r="A1547" s="247" t="str">
        <f t="shared" si="24"/>
        <v>大分セントラルＦＣ_6</v>
      </c>
      <c r="B1547" s="238" t="s">
        <v>5619</v>
      </c>
      <c r="C1547" s="238" t="str">
        <f>("6")</f>
        <v>6</v>
      </c>
      <c r="D1547" s="238" t="s">
        <v>235</v>
      </c>
      <c r="E1547" s="380" t="s">
        <v>6262</v>
      </c>
      <c r="F1547" s="380" t="s">
        <v>6777</v>
      </c>
      <c r="G1547" s="380">
        <v>5</v>
      </c>
      <c r="H1547" s="380" t="s">
        <v>1478</v>
      </c>
    </row>
    <row r="1548" spans="1:9" x14ac:dyDescent="0.25">
      <c r="A1548" s="247" t="str">
        <f t="shared" si="24"/>
        <v>大分セントラルＦＣ_7</v>
      </c>
      <c r="B1548" s="238" t="s">
        <v>5619</v>
      </c>
      <c r="C1548" s="238" t="str">
        <f>("7")</f>
        <v>7</v>
      </c>
      <c r="D1548" s="238" t="s">
        <v>280</v>
      </c>
      <c r="E1548" s="380" t="s">
        <v>9588</v>
      </c>
      <c r="F1548" s="380" t="s">
        <v>15123</v>
      </c>
      <c r="G1548" s="380">
        <v>4</v>
      </c>
      <c r="H1548" s="380" t="s">
        <v>1478</v>
      </c>
    </row>
    <row r="1549" spans="1:9" x14ac:dyDescent="0.25">
      <c r="A1549" s="247" t="str">
        <f t="shared" si="24"/>
        <v>大分セントラルＦＣ_8</v>
      </c>
      <c r="B1549" s="238" t="s">
        <v>5619</v>
      </c>
      <c r="C1549" s="238" t="str">
        <f>("8")</f>
        <v>8</v>
      </c>
      <c r="D1549" s="238" t="s">
        <v>798</v>
      </c>
      <c r="E1549" s="380" t="s">
        <v>4107</v>
      </c>
      <c r="F1549" s="380" t="s">
        <v>4108</v>
      </c>
      <c r="G1549" s="380">
        <v>6</v>
      </c>
      <c r="H1549" s="380" t="s">
        <v>1478</v>
      </c>
    </row>
    <row r="1550" spans="1:9" x14ac:dyDescent="0.25">
      <c r="A1550" s="247" t="str">
        <f t="shared" si="24"/>
        <v>大分セントラルＦＣ_9</v>
      </c>
      <c r="B1550" s="238" t="s">
        <v>5619</v>
      </c>
      <c r="C1550" s="238" t="str">
        <f>("9")</f>
        <v>9</v>
      </c>
      <c r="D1550" s="238" t="s">
        <v>235</v>
      </c>
      <c r="E1550" s="380" t="s">
        <v>7859</v>
      </c>
      <c r="F1550" s="380" t="s">
        <v>15124</v>
      </c>
      <c r="G1550" s="380">
        <v>5</v>
      </c>
      <c r="H1550" s="380" t="s">
        <v>1478</v>
      </c>
    </row>
    <row r="1551" spans="1:9" x14ac:dyDescent="0.25">
      <c r="A1551" s="247" t="str">
        <f t="shared" si="24"/>
        <v>大分セントラルＦＣ_10</v>
      </c>
      <c r="B1551" s="238" t="s">
        <v>5619</v>
      </c>
      <c r="C1551" s="238" t="str">
        <f>("10")</f>
        <v>10</v>
      </c>
      <c r="D1551" s="238" t="s">
        <v>798</v>
      </c>
      <c r="E1551" s="380" t="s">
        <v>6261</v>
      </c>
      <c r="F1551" s="380" t="s">
        <v>6776</v>
      </c>
      <c r="G1551" s="380">
        <v>4</v>
      </c>
      <c r="H1551" s="380" t="s">
        <v>1478</v>
      </c>
    </row>
    <row r="1552" spans="1:9" x14ac:dyDescent="0.25">
      <c r="A1552" s="247" t="str">
        <f t="shared" si="24"/>
        <v>大分セントラルＦＣ_11</v>
      </c>
      <c r="B1552" s="238" t="s">
        <v>5619</v>
      </c>
      <c r="C1552" s="238" t="str">
        <f>("11")</f>
        <v>11</v>
      </c>
      <c r="D1552" s="238" t="s">
        <v>798</v>
      </c>
      <c r="E1552" s="380" t="s">
        <v>6264</v>
      </c>
      <c r="F1552" s="380" t="s">
        <v>6779</v>
      </c>
      <c r="G1552" s="380">
        <v>4</v>
      </c>
      <c r="H1552" s="380" t="s">
        <v>1478</v>
      </c>
    </row>
    <row r="1553" spans="1:9" x14ac:dyDescent="0.25">
      <c r="A1553" s="247" t="str">
        <f t="shared" si="24"/>
        <v>大分セントラルＦＣ_12</v>
      </c>
      <c r="B1553" s="238" t="s">
        <v>5619</v>
      </c>
      <c r="C1553" s="238" t="str">
        <f>("12")</f>
        <v>12</v>
      </c>
      <c r="D1553" s="238" t="s">
        <v>796</v>
      </c>
      <c r="E1553" s="380" t="s">
        <v>9185</v>
      </c>
      <c r="F1553" s="380" t="s">
        <v>15125</v>
      </c>
      <c r="G1553" s="380">
        <v>4</v>
      </c>
      <c r="H1553" s="380" t="s">
        <v>1478</v>
      </c>
    </row>
    <row r="1554" spans="1:9" x14ac:dyDescent="0.25">
      <c r="A1554" s="247" t="str">
        <f t="shared" si="24"/>
        <v>大分セントラルＦＣ_13</v>
      </c>
      <c r="B1554" s="238" t="s">
        <v>5619</v>
      </c>
      <c r="C1554" s="238" t="str">
        <f>("13")</f>
        <v>13</v>
      </c>
      <c r="D1554" s="238" t="s">
        <v>235</v>
      </c>
      <c r="E1554" s="380" t="s">
        <v>6263</v>
      </c>
      <c r="F1554" s="380" t="s">
        <v>6778</v>
      </c>
      <c r="G1554" s="380">
        <v>4</v>
      </c>
      <c r="H1554" s="380" t="s">
        <v>1478</v>
      </c>
    </row>
    <row r="1555" spans="1:9" x14ac:dyDescent="0.25">
      <c r="A1555" s="247" t="str">
        <f t="shared" si="24"/>
        <v>大分セントラルＦＣ_14</v>
      </c>
      <c r="B1555" s="238" t="s">
        <v>5619</v>
      </c>
      <c r="C1555" s="238" t="str">
        <f>("14")</f>
        <v>14</v>
      </c>
      <c r="D1555" s="238" t="s">
        <v>280</v>
      </c>
      <c r="E1555" s="380" t="s">
        <v>6022</v>
      </c>
      <c r="F1555" s="380" t="s">
        <v>6591</v>
      </c>
      <c r="G1555" s="380">
        <v>5</v>
      </c>
      <c r="H1555" s="380" t="s">
        <v>1478</v>
      </c>
    </row>
    <row r="1556" spans="1:9" x14ac:dyDescent="0.25">
      <c r="A1556" s="247" t="str">
        <f t="shared" si="24"/>
        <v>大分セントラルＦＣ_15</v>
      </c>
      <c r="B1556" s="238" t="s">
        <v>5619</v>
      </c>
      <c r="C1556" s="238" t="str">
        <f>("15")</f>
        <v>15</v>
      </c>
      <c r="D1556" s="238" t="s">
        <v>798</v>
      </c>
      <c r="E1556" s="380" t="s">
        <v>8529</v>
      </c>
      <c r="F1556" s="380" t="s">
        <v>15126</v>
      </c>
      <c r="G1556" s="380">
        <v>5</v>
      </c>
      <c r="H1556" s="380" t="s">
        <v>1478</v>
      </c>
    </row>
    <row r="1557" spans="1:9" x14ac:dyDescent="0.25">
      <c r="A1557" s="247" t="str">
        <f t="shared" si="24"/>
        <v>大分セントラルＦＣ_16</v>
      </c>
      <c r="B1557" s="238" t="s">
        <v>5619</v>
      </c>
      <c r="C1557" s="238" t="str">
        <f>("16")</f>
        <v>16</v>
      </c>
      <c r="D1557" s="238" t="s">
        <v>798</v>
      </c>
      <c r="E1557" s="380" t="s">
        <v>8652</v>
      </c>
      <c r="F1557" s="380" t="s">
        <v>15127</v>
      </c>
      <c r="G1557" s="380">
        <v>6</v>
      </c>
      <c r="H1557" s="380" t="s">
        <v>1478</v>
      </c>
    </row>
    <row r="1558" spans="1:9" x14ac:dyDescent="0.25">
      <c r="A1558" s="247" t="str">
        <f t="shared" si="24"/>
        <v>大分セントラルＦＣ_17</v>
      </c>
      <c r="B1558" s="238" t="s">
        <v>5619</v>
      </c>
      <c r="C1558" s="238" t="str">
        <f>("17")</f>
        <v>17</v>
      </c>
      <c r="D1558" s="238" t="s">
        <v>798</v>
      </c>
      <c r="E1558" s="380" t="s">
        <v>8899</v>
      </c>
      <c r="F1558" s="380" t="s">
        <v>15128</v>
      </c>
      <c r="G1558" s="380">
        <v>6</v>
      </c>
      <c r="H1558" s="380" t="s">
        <v>1478</v>
      </c>
    </row>
    <row r="1559" spans="1:9" x14ac:dyDescent="0.25">
      <c r="A1559" s="247" t="str">
        <f t="shared" si="24"/>
        <v>大分セントラルＦＣ_19</v>
      </c>
      <c r="B1559" s="238" t="s">
        <v>5619</v>
      </c>
      <c r="C1559" s="238" t="str">
        <f>("19")</f>
        <v>19</v>
      </c>
      <c r="D1559" s="238" t="s">
        <v>280</v>
      </c>
      <c r="E1559" s="380" t="s">
        <v>6266</v>
      </c>
      <c r="F1559" s="380" t="s">
        <v>6781</v>
      </c>
      <c r="G1559" s="380">
        <v>2</v>
      </c>
      <c r="H1559" s="380" t="s">
        <v>1478</v>
      </c>
    </row>
    <row r="1560" spans="1:9" x14ac:dyDescent="0.25">
      <c r="A1560" s="247" t="str">
        <f t="shared" si="24"/>
        <v>彦陽ジュニアサッカークラブ_3</v>
      </c>
      <c r="B1560" s="238" t="s">
        <v>3870</v>
      </c>
      <c r="C1560" s="238" t="str">
        <f>("3")</f>
        <v>3</v>
      </c>
      <c r="D1560" s="238" t="s">
        <v>235</v>
      </c>
      <c r="E1560" s="380" t="s">
        <v>6270</v>
      </c>
      <c r="F1560" s="380" t="s">
        <v>6784</v>
      </c>
      <c r="G1560" s="380">
        <v>5</v>
      </c>
      <c r="H1560" s="380" t="s">
        <v>1478</v>
      </c>
    </row>
    <row r="1561" spans="1:9" x14ac:dyDescent="0.25">
      <c r="A1561" s="247" t="str">
        <f t="shared" si="24"/>
        <v>彦陽ジュニアサッカークラブ_6</v>
      </c>
      <c r="B1561" s="238" t="s">
        <v>3870</v>
      </c>
      <c r="C1561" s="238" t="str">
        <f>("6")</f>
        <v>6</v>
      </c>
      <c r="D1561" s="238" t="s">
        <v>798</v>
      </c>
      <c r="E1561" s="380" t="s">
        <v>4875</v>
      </c>
      <c r="F1561" s="380" t="s">
        <v>4876</v>
      </c>
      <c r="G1561" s="380">
        <v>5</v>
      </c>
      <c r="H1561" s="380" t="s">
        <v>1478</v>
      </c>
    </row>
    <row r="1562" spans="1:9" x14ac:dyDescent="0.25">
      <c r="A1562" s="247" t="str">
        <f t="shared" si="24"/>
        <v>彦陽ジュニアサッカークラブ_7</v>
      </c>
      <c r="B1562" s="238" t="s">
        <v>3870</v>
      </c>
      <c r="C1562" s="238" t="str">
        <f>("7")</f>
        <v>7</v>
      </c>
      <c r="D1562" s="238" t="s">
        <v>235</v>
      </c>
      <c r="E1562" s="380" t="s">
        <v>6267</v>
      </c>
      <c r="F1562" s="380" t="s">
        <v>6782</v>
      </c>
      <c r="G1562" s="380">
        <v>5</v>
      </c>
      <c r="H1562" s="380" t="s">
        <v>1478</v>
      </c>
    </row>
    <row r="1563" spans="1:9" x14ac:dyDescent="0.25">
      <c r="A1563" s="247" t="str">
        <f t="shared" si="24"/>
        <v>彦陽ジュニアサッカークラブ_8</v>
      </c>
      <c r="B1563" s="238" t="s">
        <v>3870</v>
      </c>
      <c r="C1563" s="238" t="str">
        <f>("8")</f>
        <v>8</v>
      </c>
      <c r="D1563" s="238" t="s">
        <v>235</v>
      </c>
      <c r="E1563" s="380" t="s">
        <v>4879</v>
      </c>
      <c r="F1563" s="380" t="s">
        <v>4880</v>
      </c>
      <c r="G1563" s="380">
        <v>5</v>
      </c>
      <c r="H1563" s="380" t="s">
        <v>1478</v>
      </c>
    </row>
    <row r="1564" spans="1:9" x14ac:dyDescent="0.25">
      <c r="A1564" s="247" t="str">
        <f t="shared" si="24"/>
        <v>彦陽ジュニアサッカークラブ_9</v>
      </c>
      <c r="B1564" s="238" t="s">
        <v>3870</v>
      </c>
      <c r="C1564" s="238" t="str">
        <f>("9")</f>
        <v>9</v>
      </c>
      <c r="D1564" s="238" t="s">
        <v>798</v>
      </c>
      <c r="E1564" s="380" t="s">
        <v>6268</v>
      </c>
      <c r="F1564" s="380" t="s">
        <v>6783</v>
      </c>
      <c r="G1564" s="380">
        <v>6</v>
      </c>
      <c r="H1564" s="380" t="s">
        <v>1480</v>
      </c>
    </row>
    <row r="1565" spans="1:9" x14ac:dyDescent="0.25">
      <c r="A1565" s="247" t="str">
        <f t="shared" si="24"/>
        <v>彦陽ジュニアサッカークラブ_10</v>
      </c>
      <c r="B1565" s="238" t="s">
        <v>3870</v>
      </c>
      <c r="C1565" s="238" t="str">
        <f>("10")</f>
        <v>10</v>
      </c>
      <c r="D1565" s="238" t="s">
        <v>235</v>
      </c>
      <c r="E1565" s="380" t="s">
        <v>4873</v>
      </c>
      <c r="F1565" s="380" t="s">
        <v>4874</v>
      </c>
      <c r="G1565" s="380">
        <v>6</v>
      </c>
      <c r="H1565" s="380" t="s">
        <v>1478</v>
      </c>
      <c r="I1565" s="380" t="s">
        <v>408</v>
      </c>
    </row>
    <row r="1566" spans="1:9" x14ac:dyDescent="0.25">
      <c r="A1566" s="247" t="str">
        <f t="shared" si="24"/>
        <v>彦陽ジュニアサッカークラブ_11</v>
      </c>
      <c r="B1566" s="238" t="s">
        <v>3870</v>
      </c>
      <c r="C1566" s="238" t="str">
        <f>("11")</f>
        <v>11</v>
      </c>
      <c r="D1566" s="238" t="s">
        <v>235</v>
      </c>
      <c r="E1566" s="380" t="s">
        <v>4871</v>
      </c>
      <c r="F1566" s="380" t="s">
        <v>4872</v>
      </c>
      <c r="G1566" s="380">
        <v>6</v>
      </c>
      <c r="H1566" s="380" t="s">
        <v>1478</v>
      </c>
    </row>
    <row r="1567" spans="1:9" x14ac:dyDescent="0.25">
      <c r="A1567" s="247" t="str">
        <f t="shared" si="24"/>
        <v>彦陽ジュニアサッカークラブ_12</v>
      </c>
      <c r="B1567" s="238" t="s">
        <v>3870</v>
      </c>
      <c r="C1567" s="238" t="str">
        <f>("12")</f>
        <v>12</v>
      </c>
      <c r="D1567" s="238" t="s">
        <v>796</v>
      </c>
      <c r="E1567" s="380" t="s">
        <v>4877</v>
      </c>
      <c r="F1567" s="380" t="s">
        <v>4878</v>
      </c>
      <c r="G1567" s="380">
        <v>5</v>
      </c>
      <c r="H1567" s="380" t="s">
        <v>1478</v>
      </c>
    </row>
    <row r="1568" spans="1:9" x14ac:dyDescent="0.25">
      <c r="A1568" s="247" t="str">
        <f t="shared" si="24"/>
        <v>彦陽ジュニアサッカークラブ_13</v>
      </c>
      <c r="B1568" s="238" t="s">
        <v>3870</v>
      </c>
      <c r="C1568" s="238" t="str">
        <f>("13")</f>
        <v>13</v>
      </c>
      <c r="D1568" s="238" t="s">
        <v>798</v>
      </c>
      <c r="E1568" s="380" t="s">
        <v>6271</v>
      </c>
      <c r="F1568" s="380" t="s">
        <v>6785</v>
      </c>
      <c r="G1568" s="380">
        <v>4</v>
      </c>
      <c r="H1568" s="380" t="s">
        <v>1478</v>
      </c>
    </row>
    <row r="1569" spans="1:9" x14ac:dyDescent="0.25">
      <c r="A1569" s="247" t="str">
        <f t="shared" si="24"/>
        <v>彦陽ジュニアサッカークラブ_14</v>
      </c>
      <c r="B1569" s="238" t="s">
        <v>3870</v>
      </c>
      <c r="C1569" s="238" t="str">
        <f>("14")</f>
        <v>14</v>
      </c>
      <c r="D1569" s="238" t="s">
        <v>798</v>
      </c>
      <c r="E1569" s="380" t="s">
        <v>10033</v>
      </c>
      <c r="F1569" s="380" t="s">
        <v>15129</v>
      </c>
      <c r="G1569" s="380">
        <v>2</v>
      </c>
      <c r="H1569" s="380" t="s">
        <v>1478</v>
      </c>
    </row>
    <row r="1570" spans="1:9" x14ac:dyDescent="0.25">
      <c r="A1570" s="247" t="str">
        <f t="shared" si="24"/>
        <v>彦陽ジュニアサッカークラブ_17</v>
      </c>
      <c r="B1570" s="238" t="s">
        <v>3870</v>
      </c>
      <c r="C1570" s="238" t="str">
        <f>("17")</f>
        <v>17</v>
      </c>
      <c r="D1570" s="238" t="s">
        <v>280</v>
      </c>
      <c r="E1570" s="380" t="s">
        <v>10305</v>
      </c>
      <c r="F1570" s="380" t="s">
        <v>15130</v>
      </c>
      <c r="G1570" s="380">
        <v>1</v>
      </c>
      <c r="H1570" s="380" t="s">
        <v>1478</v>
      </c>
    </row>
    <row r="1571" spans="1:9" x14ac:dyDescent="0.25">
      <c r="A1571" s="247" t="str">
        <f t="shared" si="24"/>
        <v>Ｄｉｖｅｒｔ．ＦＣ_1</v>
      </c>
      <c r="B1571" s="238" t="s">
        <v>5620</v>
      </c>
      <c r="C1571" s="238" t="str">
        <f>("1")</f>
        <v>1</v>
      </c>
      <c r="D1571" s="238" t="s">
        <v>796</v>
      </c>
      <c r="E1571" s="380" t="s">
        <v>6275</v>
      </c>
      <c r="F1571" s="380" t="s">
        <v>6788</v>
      </c>
      <c r="G1571" s="380">
        <v>6</v>
      </c>
      <c r="H1571" s="380" t="s">
        <v>1478</v>
      </c>
    </row>
    <row r="1572" spans="1:9" x14ac:dyDescent="0.25">
      <c r="A1572" s="247" t="str">
        <f t="shared" si="24"/>
        <v>Ｄｉｖｅｒｔ．ＦＣ_2</v>
      </c>
      <c r="B1572" s="238" t="s">
        <v>5620</v>
      </c>
      <c r="C1572" s="238" t="str">
        <f>("2")</f>
        <v>2</v>
      </c>
      <c r="D1572" s="238" t="s">
        <v>235</v>
      </c>
      <c r="E1572" s="380" t="s">
        <v>6276</v>
      </c>
      <c r="F1572" s="380" t="s">
        <v>6789</v>
      </c>
      <c r="G1572" s="380">
        <v>4</v>
      </c>
      <c r="H1572" s="380" t="s">
        <v>1480</v>
      </c>
    </row>
    <row r="1573" spans="1:9" x14ac:dyDescent="0.25">
      <c r="A1573" s="247" t="str">
        <f t="shared" si="24"/>
        <v>Ｄｉｖｅｒｔ．ＦＣ_3</v>
      </c>
      <c r="B1573" s="238" t="s">
        <v>5620</v>
      </c>
      <c r="C1573" s="238" t="str">
        <f>("3")</f>
        <v>3</v>
      </c>
      <c r="D1573" s="238" t="s">
        <v>798</v>
      </c>
      <c r="E1573" s="380" t="s">
        <v>6280</v>
      </c>
      <c r="F1573" s="380" t="s">
        <v>6792</v>
      </c>
      <c r="G1573" s="380">
        <v>4</v>
      </c>
      <c r="H1573" s="380" t="s">
        <v>1478</v>
      </c>
    </row>
    <row r="1574" spans="1:9" x14ac:dyDescent="0.25">
      <c r="A1574" s="247" t="str">
        <f t="shared" si="24"/>
        <v>Ｄｉｖｅｒｔ．ＦＣ_4</v>
      </c>
      <c r="B1574" s="238" t="s">
        <v>5620</v>
      </c>
      <c r="C1574" s="238" t="str">
        <f>("4")</f>
        <v>4</v>
      </c>
      <c r="D1574" s="238" t="s">
        <v>280</v>
      </c>
      <c r="E1574" s="380" t="s">
        <v>9510</v>
      </c>
      <c r="F1574" s="380" t="s">
        <v>15131</v>
      </c>
      <c r="G1574" s="380">
        <v>4</v>
      </c>
      <c r="H1574" s="380" t="s">
        <v>1478</v>
      </c>
    </row>
    <row r="1575" spans="1:9" x14ac:dyDescent="0.25">
      <c r="A1575" s="247" t="str">
        <f t="shared" si="24"/>
        <v>Ｄｉｖｅｒｔ．ＦＣ_5</v>
      </c>
      <c r="B1575" s="238" t="s">
        <v>5620</v>
      </c>
      <c r="C1575" s="238" t="str">
        <f>("5")</f>
        <v>5</v>
      </c>
      <c r="D1575" s="238" t="s">
        <v>798</v>
      </c>
      <c r="E1575" s="380" t="s">
        <v>9885</v>
      </c>
      <c r="F1575" s="380" t="s">
        <v>15132</v>
      </c>
      <c r="G1575" s="380">
        <v>3</v>
      </c>
      <c r="H1575" s="380" t="s">
        <v>1478</v>
      </c>
    </row>
    <row r="1576" spans="1:9" x14ac:dyDescent="0.25">
      <c r="A1576" s="247" t="str">
        <f t="shared" si="24"/>
        <v>Ｄｉｖｅｒｔ．ＦＣ_6</v>
      </c>
      <c r="B1576" s="238" t="s">
        <v>5620</v>
      </c>
      <c r="C1576" s="238" t="str">
        <f>("6")</f>
        <v>6</v>
      </c>
      <c r="D1576" s="238" t="s">
        <v>235</v>
      </c>
      <c r="E1576" s="380" t="s">
        <v>9733</v>
      </c>
      <c r="F1576" s="380" t="s">
        <v>15133</v>
      </c>
      <c r="G1576" s="380">
        <v>3</v>
      </c>
      <c r="H1576" s="380" t="s">
        <v>1478</v>
      </c>
    </row>
    <row r="1577" spans="1:9" x14ac:dyDescent="0.25">
      <c r="A1577" s="247" t="str">
        <f t="shared" si="24"/>
        <v>Ｄｉｖｅｒｔ．ＦＣ_7</v>
      </c>
      <c r="B1577" s="238" t="s">
        <v>5620</v>
      </c>
      <c r="C1577" s="238" t="str">
        <f>("7")</f>
        <v>7</v>
      </c>
      <c r="D1577" s="238" t="s">
        <v>798</v>
      </c>
      <c r="E1577" s="380" t="s">
        <v>6277</v>
      </c>
      <c r="F1577" s="380" t="s">
        <v>6790</v>
      </c>
      <c r="G1577" s="380">
        <v>6</v>
      </c>
      <c r="H1577" s="380" t="s">
        <v>1478</v>
      </c>
      <c r="I1577" s="380" t="s">
        <v>408</v>
      </c>
    </row>
    <row r="1578" spans="1:9" x14ac:dyDescent="0.25">
      <c r="A1578" s="247" t="str">
        <f t="shared" si="24"/>
        <v>Ｄｉｖｅｒｔ．ＦＣ_8</v>
      </c>
      <c r="B1578" s="238" t="s">
        <v>5620</v>
      </c>
      <c r="C1578" s="238" t="str">
        <f>("8")</f>
        <v>8</v>
      </c>
      <c r="D1578" s="238" t="s">
        <v>235</v>
      </c>
      <c r="E1578" s="380" t="s">
        <v>6273</v>
      </c>
      <c r="F1578" s="380" t="s">
        <v>6786</v>
      </c>
      <c r="G1578" s="380">
        <v>6</v>
      </c>
      <c r="H1578" s="380" t="s">
        <v>1478</v>
      </c>
    </row>
    <row r="1579" spans="1:9" x14ac:dyDescent="0.25">
      <c r="A1579" s="247" t="str">
        <f t="shared" si="24"/>
        <v>Ｄｉｖｅｒｔ．ＦＣ_9</v>
      </c>
      <c r="B1579" s="238" t="s">
        <v>5620</v>
      </c>
      <c r="C1579" s="238" t="str">
        <f>("9")</f>
        <v>9</v>
      </c>
      <c r="D1579" s="238" t="s">
        <v>280</v>
      </c>
      <c r="E1579" s="380" t="s">
        <v>10135</v>
      </c>
      <c r="F1579" s="380" t="s">
        <v>15134</v>
      </c>
      <c r="G1579" s="380">
        <v>3</v>
      </c>
      <c r="H1579" s="380" t="s">
        <v>1478</v>
      </c>
    </row>
    <row r="1580" spans="1:9" x14ac:dyDescent="0.25">
      <c r="A1580" s="247" t="str">
        <f t="shared" si="24"/>
        <v>ＮＦＣ・ＯＩＴＡ　Ｕ１２_2</v>
      </c>
      <c r="B1580" s="238" t="s">
        <v>5621</v>
      </c>
      <c r="C1580" s="238" t="str">
        <f>("2")</f>
        <v>2</v>
      </c>
      <c r="D1580" s="238" t="s">
        <v>235</v>
      </c>
      <c r="E1580" s="380" t="s">
        <v>4771</v>
      </c>
      <c r="F1580" s="380" t="s">
        <v>4772</v>
      </c>
      <c r="G1580" s="380">
        <v>6</v>
      </c>
      <c r="H1580" s="380" t="s">
        <v>1478</v>
      </c>
      <c r="I1580" s="380" t="s">
        <v>408</v>
      </c>
    </row>
    <row r="1581" spans="1:9" x14ac:dyDescent="0.25">
      <c r="A1581" s="247" t="str">
        <f t="shared" si="24"/>
        <v>ＮＦＣ・ＯＩＴＡ　Ｕ１２_4</v>
      </c>
      <c r="B1581" s="238" t="s">
        <v>5621</v>
      </c>
      <c r="C1581" s="238" t="str">
        <f>("4")</f>
        <v>4</v>
      </c>
      <c r="D1581" s="238" t="s">
        <v>235</v>
      </c>
      <c r="E1581" s="380" t="s">
        <v>6200</v>
      </c>
      <c r="F1581" s="380" t="s">
        <v>6731</v>
      </c>
      <c r="G1581" s="380">
        <v>6</v>
      </c>
      <c r="H1581" s="380" t="s">
        <v>1478</v>
      </c>
    </row>
    <row r="1582" spans="1:9" x14ac:dyDescent="0.25">
      <c r="A1582" s="247" t="str">
        <f t="shared" si="24"/>
        <v>ＮＦＣ・ＯＩＴＡ　Ｕ１２_5</v>
      </c>
      <c r="B1582" s="238" t="s">
        <v>5621</v>
      </c>
      <c r="C1582" s="238" t="str">
        <f>("5")</f>
        <v>5</v>
      </c>
      <c r="D1582" s="238" t="s">
        <v>798</v>
      </c>
      <c r="E1582" s="380" t="s">
        <v>8121</v>
      </c>
      <c r="F1582" s="380" t="s">
        <v>15135</v>
      </c>
      <c r="G1582" s="380">
        <v>5</v>
      </c>
      <c r="H1582" s="380" t="s">
        <v>1478</v>
      </c>
    </row>
    <row r="1583" spans="1:9" x14ac:dyDescent="0.25">
      <c r="A1583" s="247" t="str">
        <f t="shared" si="24"/>
        <v>ＮＦＣ・ＯＩＴＡ　Ｕ１２_7</v>
      </c>
      <c r="B1583" s="238" t="s">
        <v>5621</v>
      </c>
      <c r="C1583" s="238" t="str">
        <f>("7")</f>
        <v>7</v>
      </c>
      <c r="D1583" s="238" t="s">
        <v>798</v>
      </c>
      <c r="E1583" s="380" t="s">
        <v>6286</v>
      </c>
      <c r="F1583" s="380" t="s">
        <v>6797</v>
      </c>
      <c r="G1583" s="380">
        <v>5</v>
      </c>
      <c r="H1583" s="380" t="s">
        <v>1478</v>
      </c>
    </row>
    <row r="1584" spans="1:9" x14ac:dyDescent="0.25">
      <c r="A1584" s="247" t="str">
        <f t="shared" si="24"/>
        <v>ＮＦＣ・ＯＩＴＡ　Ｕ１２_8</v>
      </c>
      <c r="B1584" s="238" t="s">
        <v>5621</v>
      </c>
      <c r="C1584" s="238" t="str">
        <f>("8")</f>
        <v>8</v>
      </c>
      <c r="D1584" s="238" t="s">
        <v>798</v>
      </c>
      <c r="E1584" s="380" t="s">
        <v>4058</v>
      </c>
      <c r="F1584" s="380" t="s">
        <v>4059</v>
      </c>
      <c r="G1584" s="380">
        <v>6</v>
      </c>
      <c r="H1584" s="380" t="s">
        <v>1478</v>
      </c>
    </row>
    <row r="1585" spans="1:9" x14ac:dyDescent="0.25">
      <c r="A1585" s="247" t="str">
        <f t="shared" si="24"/>
        <v>ＮＦＣ・ＯＩＴＡ　Ｕ１２_9</v>
      </c>
      <c r="B1585" s="238" t="s">
        <v>5621</v>
      </c>
      <c r="C1585" s="238" t="str">
        <f>("9")</f>
        <v>9</v>
      </c>
      <c r="D1585" s="238" t="s">
        <v>235</v>
      </c>
      <c r="E1585" s="380" t="s">
        <v>8122</v>
      </c>
      <c r="F1585" s="380" t="s">
        <v>15136</v>
      </c>
      <c r="G1585" s="380">
        <v>5</v>
      </c>
      <c r="H1585" s="380" t="s">
        <v>1478</v>
      </c>
    </row>
    <row r="1586" spans="1:9" x14ac:dyDescent="0.25">
      <c r="A1586" s="247" t="str">
        <f t="shared" si="24"/>
        <v>ＮＦＣ・ＯＩＴＡ　Ｕ１２_10</v>
      </c>
      <c r="B1586" s="238" t="s">
        <v>5621</v>
      </c>
      <c r="C1586" s="238" t="str">
        <f>("10")</f>
        <v>10</v>
      </c>
      <c r="D1586" s="238" t="s">
        <v>798</v>
      </c>
      <c r="E1586" s="380" t="s">
        <v>6289</v>
      </c>
      <c r="F1586" s="380" t="s">
        <v>6800</v>
      </c>
      <c r="G1586" s="380">
        <v>5</v>
      </c>
      <c r="H1586" s="380" t="s">
        <v>1478</v>
      </c>
    </row>
    <row r="1587" spans="1:9" x14ac:dyDescent="0.25">
      <c r="A1587" s="247" t="str">
        <f t="shared" si="24"/>
        <v>ＮＦＣ・ＯＩＴＡ　Ｕ１２_11</v>
      </c>
      <c r="B1587" s="238" t="s">
        <v>5621</v>
      </c>
      <c r="C1587" s="238" t="str">
        <f>("11")</f>
        <v>11</v>
      </c>
      <c r="D1587" s="238" t="s">
        <v>280</v>
      </c>
      <c r="E1587" s="380" t="s">
        <v>4617</v>
      </c>
      <c r="F1587" s="380" t="s">
        <v>4618</v>
      </c>
      <c r="G1587" s="380">
        <v>6</v>
      </c>
      <c r="H1587" s="380" t="s">
        <v>1478</v>
      </c>
    </row>
    <row r="1588" spans="1:9" x14ac:dyDescent="0.25">
      <c r="A1588" s="247" t="str">
        <f t="shared" si="24"/>
        <v>ＮＦＣ・ＯＩＴＡ　Ｕ１２_16</v>
      </c>
      <c r="B1588" s="238" t="s">
        <v>5621</v>
      </c>
      <c r="C1588" s="238" t="str">
        <f>("16")</f>
        <v>16</v>
      </c>
      <c r="D1588" s="238" t="s">
        <v>235</v>
      </c>
      <c r="E1588" s="380" t="s">
        <v>6290</v>
      </c>
      <c r="F1588" s="380" t="s">
        <v>6801</v>
      </c>
      <c r="G1588" s="380">
        <v>6</v>
      </c>
      <c r="H1588" s="380" t="s">
        <v>1478</v>
      </c>
    </row>
    <row r="1589" spans="1:9" x14ac:dyDescent="0.25">
      <c r="A1589" s="247" t="str">
        <f t="shared" si="24"/>
        <v>ＮＦＣ・ＯＩＴＡ　Ｕ１２_17</v>
      </c>
      <c r="B1589" s="238" t="s">
        <v>5621</v>
      </c>
      <c r="C1589" s="238" t="str">
        <f>("17")</f>
        <v>17</v>
      </c>
      <c r="D1589" s="238" t="s">
        <v>798</v>
      </c>
      <c r="E1589" s="380" t="s">
        <v>6198</v>
      </c>
      <c r="F1589" s="380" t="s">
        <v>6729</v>
      </c>
      <c r="G1589" s="380">
        <v>6</v>
      </c>
      <c r="H1589" s="380" t="s">
        <v>1478</v>
      </c>
    </row>
    <row r="1590" spans="1:9" x14ac:dyDescent="0.25">
      <c r="A1590" s="247" t="str">
        <f t="shared" si="24"/>
        <v>ＮＦＣ・ＯＩＴＡ　Ｕ１２_18</v>
      </c>
      <c r="B1590" s="238" t="s">
        <v>5621</v>
      </c>
      <c r="C1590" s="238" t="str">
        <f>("18")</f>
        <v>18</v>
      </c>
      <c r="D1590" s="238" t="s">
        <v>796</v>
      </c>
      <c r="E1590" s="380" t="s">
        <v>4763</v>
      </c>
      <c r="F1590" s="380" t="s">
        <v>4764</v>
      </c>
      <c r="G1590" s="380">
        <v>6</v>
      </c>
      <c r="H1590" s="380" t="s">
        <v>1478</v>
      </c>
    </row>
    <row r="1591" spans="1:9" x14ac:dyDescent="0.25">
      <c r="A1591" s="247" t="str">
        <f t="shared" si="24"/>
        <v>ＮＦＣ・ＯＩＴＡ　Ｕ１２_20</v>
      </c>
      <c r="B1591" s="238" t="s">
        <v>5621</v>
      </c>
      <c r="C1591" s="238" t="str">
        <f>("20")</f>
        <v>20</v>
      </c>
      <c r="D1591" s="238" t="s">
        <v>235</v>
      </c>
      <c r="E1591" s="380" t="s">
        <v>4043</v>
      </c>
      <c r="F1591" s="380" t="s">
        <v>4044</v>
      </c>
      <c r="G1591" s="380">
        <v>6</v>
      </c>
      <c r="H1591" s="380" t="s">
        <v>1478</v>
      </c>
    </row>
    <row r="1592" spans="1:9" x14ac:dyDescent="0.25">
      <c r="A1592" s="247" t="str">
        <f t="shared" si="24"/>
        <v>ＮＦＣ・ＯＩＴＡ　Ｕ１２Ｂ_1</v>
      </c>
      <c r="B1592" s="238" t="s">
        <v>14399</v>
      </c>
      <c r="C1592" s="238" t="str">
        <f>("1")</f>
        <v>1</v>
      </c>
      <c r="D1592" s="238" t="s">
        <v>796</v>
      </c>
      <c r="E1592" s="380" t="s">
        <v>6294</v>
      </c>
      <c r="F1592" s="380" t="s">
        <v>4093</v>
      </c>
      <c r="G1592" s="380">
        <v>6</v>
      </c>
      <c r="H1592" s="380" t="s">
        <v>1478</v>
      </c>
    </row>
    <row r="1593" spans="1:9" x14ac:dyDescent="0.25">
      <c r="A1593" s="247" t="str">
        <f t="shared" si="24"/>
        <v>ＮＦＣ・ＯＩＴＡ　Ｕ１２Ｂ_2</v>
      </c>
      <c r="B1593" s="238" t="s">
        <v>14399</v>
      </c>
      <c r="C1593" s="238" t="str">
        <f>("2")</f>
        <v>2</v>
      </c>
      <c r="D1593" s="238" t="s">
        <v>235</v>
      </c>
      <c r="E1593" s="380" t="s">
        <v>6288</v>
      </c>
      <c r="F1593" s="380" t="s">
        <v>6799</v>
      </c>
      <c r="G1593" s="380">
        <v>5</v>
      </c>
      <c r="H1593" s="380" t="s">
        <v>1478</v>
      </c>
    </row>
    <row r="1594" spans="1:9" x14ac:dyDescent="0.25">
      <c r="A1594" s="247" t="str">
        <f t="shared" si="24"/>
        <v>ＮＦＣ・ＯＩＴＡ　Ｕ１２Ｂ_3</v>
      </c>
      <c r="B1594" s="238" t="s">
        <v>14399</v>
      </c>
      <c r="C1594" s="238" t="str">
        <f>("3")</f>
        <v>3</v>
      </c>
      <c r="D1594" s="238" t="s">
        <v>798</v>
      </c>
      <c r="E1594" s="380" t="s">
        <v>10060</v>
      </c>
      <c r="F1594" s="380" t="s">
        <v>15137</v>
      </c>
      <c r="G1594" s="380">
        <v>3</v>
      </c>
      <c r="H1594" s="380" t="s">
        <v>1478</v>
      </c>
    </row>
    <row r="1595" spans="1:9" x14ac:dyDescent="0.25">
      <c r="A1595" s="247" t="str">
        <f t="shared" si="24"/>
        <v>ＮＦＣ・ＯＩＴＡ　Ｕ１２Ｂ_4</v>
      </c>
      <c r="B1595" s="238" t="s">
        <v>14399</v>
      </c>
      <c r="C1595" s="238" t="str">
        <f>("4")</f>
        <v>4</v>
      </c>
      <c r="D1595" s="238" t="s">
        <v>235</v>
      </c>
      <c r="E1595" s="380" t="s">
        <v>6078</v>
      </c>
      <c r="F1595" s="380" t="s">
        <v>6638</v>
      </c>
      <c r="G1595" s="380">
        <v>5</v>
      </c>
      <c r="H1595" s="380" t="s">
        <v>1478</v>
      </c>
    </row>
    <row r="1596" spans="1:9" x14ac:dyDescent="0.25">
      <c r="A1596" s="247" t="str">
        <f t="shared" si="24"/>
        <v>ＮＦＣ・ＯＩＴＡ　Ｕ１２Ｂ_5</v>
      </c>
      <c r="B1596" s="238" t="s">
        <v>14399</v>
      </c>
      <c r="C1596" s="238" t="str">
        <f>("5")</f>
        <v>5</v>
      </c>
      <c r="D1596" s="238" t="s">
        <v>798</v>
      </c>
      <c r="E1596" s="380" t="s">
        <v>6285</v>
      </c>
      <c r="F1596" s="380" t="s">
        <v>6796</v>
      </c>
      <c r="G1596" s="380">
        <v>6</v>
      </c>
      <c r="H1596" s="380" t="s">
        <v>1478</v>
      </c>
      <c r="I1596" s="380" t="s">
        <v>408</v>
      </c>
    </row>
    <row r="1597" spans="1:9" x14ac:dyDescent="0.25">
      <c r="A1597" s="247" t="str">
        <f t="shared" si="24"/>
        <v>ＮＦＣ・ＯＩＴＡ　Ｕ１２Ｂ_6</v>
      </c>
      <c r="B1597" s="238" t="s">
        <v>14399</v>
      </c>
      <c r="C1597" s="238" t="str">
        <f>("6")</f>
        <v>6</v>
      </c>
      <c r="D1597" s="238" t="s">
        <v>798</v>
      </c>
      <c r="E1597" s="380" t="s">
        <v>6284</v>
      </c>
      <c r="F1597" s="380" t="s">
        <v>6795</v>
      </c>
      <c r="G1597" s="380">
        <v>5</v>
      </c>
      <c r="H1597" s="380" t="s">
        <v>1478</v>
      </c>
    </row>
    <row r="1598" spans="1:9" x14ac:dyDescent="0.25">
      <c r="A1598" s="247" t="str">
        <f t="shared" si="24"/>
        <v>ＮＦＣ・ＯＩＴＡ　Ｕ１２Ｂ_7</v>
      </c>
      <c r="B1598" s="238" t="s">
        <v>14399</v>
      </c>
      <c r="C1598" s="238" t="str">
        <f>("7")</f>
        <v>7</v>
      </c>
      <c r="D1598" s="238" t="s">
        <v>280</v>
      </c>
      <c r="E1598" s="380" t="s">
        <v>5961</v>
      </c>
      <c r="F1598" s="380" t="s">
        <v>6540</v>
      </c>
      <c r="G1598" s="380">
        <v>5</v>
      </c>
      <c r="H1598" s="380" t="s">
        <v>1478</v>
      </c>
    </row>
    <row r="1599" spans="1:9" x14ac:dyDescent="0.25">
      <c r="A1599" s="247" t="str">
        <f t="shared" si="24"/>
        <v>ＮＦＣ・ＯＩＴＡ　Ｕ１２Ｂ_8</v>
      </c>
      <c r="B1599" s="238" t="s">
        <v>14399</v>
      </c>
      <c r="C1599" s="238" t="str">
        <f>("8")</f>
        <v>8</v>
      </c>
      <c r="D1599" s="238" t="s">
        <v>798</v>
      </c>
      <c r="E1599" s="380" t="s">
        <v>6283</v>
      </c>
      <c r="F1599" s="380" t="s">
        <v>6794</v>
      </c>
      <c r="G1599" s="380">
        <v>5</v>
      </c>
      <c r="H1599" s="380" t="s">
        <v>1478</v>
      </c>
    </row>
    <row r="1600" spans="1:9" x14ac:dyDescent="0.25">
      <c r="A1600" s="247" t="str">
        <f t="shared" si="24"/>
        <v>ＮＦＣ・ＯＩＴＡ　Ｕ１２Ｂ_9</v>
      </c>
      <c r="B1600" s="238" t="s">
        <v>14399</v>
      </c>
      <c r="C1600" s="238" t="str">
        <f>("9")</f>
        <v>9</v>
      </c>
      <c r="D1600" s="238" t="s">
        <v>798</v>
      </c>
      <c r="E1600" s="380" t="s">
        <v>6291</v>
      </c>
      <c r="F1600" s="380" t="s">
        <v>6802</v>
      </c>
      <c r="G1600" s="380">
        <v>5</v>
      </c>
      <c r="H1600" s="380" t="s">
        <v>1478</v>
      </c>
    </row>
    <row r="1601" spans="1:8" x14ac:dyDescent="0.25">
      <c r="A1601" s="247" t="str">
        <f t="shared" si="24"/>
        <v>ＮＦＣ・ＯＩＴＡ　Ｕ１２Ｂ_10</v>
      </c>
      <c r="B1601" s="238" t="s">
        <v>14399</v>
      </c>
      <c r="C1601" s="238" t="str">
        <f>("10")</f>
        <v>10</v>
      </c>
      <c r="D1601" s="238" t="s">
        <v>798</v>
      </c>
      <c r="E1601" s="380" t="s">
        <v>8429</v>
      </c>
      <c r="F1601" s="380" t="s">
        <v>15138</v>
      </c>
      <c r="G1601" s="380">
        <v>5</v>
      </c>
      <c r="H1601" s="380" t="s">
        <v>1478</v>
      </c>
    </row>
    <row r="1602" spans="1:8" x14ac:dyDescent="0.25">
      <c r="A1602" s="247" t="str">
        <f t="shared" ref="A1602:A1652" si="25">CONCATENATE(B1602,"_",C1602)</f>
        <v>ＮＦＣ・ＯＩＴＡ　Ｕ１２Ｂ_11</v>
      </c>
      <c r="B1602" s="238" t="s">
        <v>14399</v>
      </c>
      <c r="C1602" s="238" t="str">
        <f>("11")</f>
        <v>11</v>
      </c>
      <c r="D1602" s="238" t="s">
        <v>280</v>
      </c>
      <c r="E1602" s="380" t="s">
        <v>8306</v>
      </c>
      <c r="F1602" s="380" t="s">
        <v>15139</v>
      </c>
      <c r="G1602" s="380">
        <v>5</v>
      </c>
      <c r="H1602" s="380" t="s">
        <v>1478</v>
      </c>
    </row>
    <row r="1603" spans="1:8" x14ac:dyDescent="0.25">
      <c r="A1603" s="247" t="str">
        <f t="shared" si="25"/>
        <v>ＮＦＣ・ＯＩＴＡ　Ｕ１２Ｂ_12</v>
      </c>
      <c r="B1603" s="238" t="s">
        <v>14399</v>
      </c>
      <c r="C1603" s="238" t="str">
        <f>("12")</f>
        <v>12</v>
      </c>
      <c r="D1603" s="238" t="s">
        <v>796</v>
      </c>
      <c r="E1603" s="380" t="s">
        <v>8519</v>
      </c>
      <c r="F1603" s="380" t="s">
        <v>15140</v>
      </c>
      <c r="G1603" s="380">
        <v>5</v>
      </c>
      <c r="H1603" s="380" t="s">
        <v>1478</v>
      </c>
    </row>
    <row r="1604" spans="1:8" x14ac:dyDescent="0.25">
      <c r="A1604" s="247" t="str">
        <f t="shared" si="25"/>
        <v>ＮＦＣ・ＯＩＴＡ　Ｕ１２Ｂ_13</v>
      </c>
      <c r="B1604" s="238" t="s">
        <v>14399</v>
      </c>
      <c r="C1604" s="238" t="str">
        <f>("13")</f>
        <v>13</v>
      </c>
      <c r="D1604" s="238" t="s">
        <v>798</v>
      </c>
      <c r="E1604" s="380" t="s">
        <v>6292</v>
      </c>
      <c r="F1604" s="380" t="s">
        <v>6803</v>
      </c>
      <c r="G1604" s="380">
        <v>4</v>
      </c>
      <c r="H1604" s="380" t="s">
        <v>1478</v>
      </c>
    </row>
    <row r="1605" spans="1:8" x14ac:dyDescent="0.25">
      <c r="A1605" s="247" t="str">
        <f t="shared" si="25"/>
        <v>ＮＦＣ・ＯＩＴＡ　Ｕ１２Ｂ_14</v>
      </c>
      <c r="B1605" s="238" t="s">
        <v>14399</v>
      </c>
      <c r="C1605" s="238" t="str">
        <f>("14")</f>
        <v>14</v>
      </c>
      <c r="D1605" s="238" t="s">
        <v>280</v>
      </c>
      <c r="E1605" s="380" t="s">
        <v>9965</v>
      </c>
      <c r="F1605" s="380" t="s">
        <v>15141</v>
      </c>
      <c r="G1605" s="380">
        <v>3</v>
      </c>
      <c r="H1605" s="380" t="s">
        <v>1478</v>
      </c>
    </row>
    <row r="1606" spans="1:8" x14ac:dyDescent="0.25">
      <c r="A1606" s="247" t="str">
        <f t="shared" si="25"/>
        <v>ＮＦＣ・ＯＩＴＡ　Ｕ１２Ｂ_15</v>
      </c>
      <c r="B1606" s="238" t="s">
        <v>14399</v>
      </c>
      <c r="C1606" s="238" t="str">
        <f>("15")</f>
        <v>15</v>
      </c>
      <c r="D1606" s="238" t="s">
        <v>798</v>
      </c>
      <c r="E1606" s="380" t="s">
        <v>6293</v>
      </c>
      <c r="F1606" s="380" t="s">
        <v>6804</v>
      </c>
      <c r="G1606" s="380">
        <v>6</v>
      </c>
      <c r="H1606" s="380" t="s">
        <v>1478</v>
      </c>
    </row>
    <row r="1607" spans="1:8" x14ac:dyDescent="0.25">
      <c r="A1607" s="247" t="str">
        <f t="shared" si="25"/>
        <v>ＮＦＣ・ＯＩＴＡ　Ｕ１２Ｂ_16</v>
      </c>
      <c r="B1607" s="238" t="s">
        <v>14399</v>
      </c>
      <c r="C1607" s="238" t="str">
        <f>("16")</f>
        <v>16</v>
      </c>
      <c r="D1607" s="238" t="s">
        <v>798</v>
      </c>
      <c r="E1607" s="380" t="s">
        <v>6282</v>
      </c>
      <c r="F1607" s="380" t="s">
        <v>6793</v>
      </c>
      <c r="G1607" s="380">
        <v>5</v>
      </c>
      <c r="H1607" s="380" t="s">
        <v>1478</v>
      </c>
    </row>
    <row r="1608" spans="1:8" x14ac:dyDescent="0.25">
      <c r="A1608" s="247" t="str">
        <f t="shared" si="25"/>
        <v>_</v>
      </c>
    </row>
    <row r="1609" spans="1:8" x14ac:dyDescent="0.25">
      <c r="A1609" s="247" t="str">
        <f t="shared" si="25"/>
        <v>_</v>
      </c>
    </row>
    <row r="1610" spans="1:8" x14ac:dyDescent="0.25">
      <c r="A1610" s="247" t="str">
        <f t="shared" si="25"/>
        <v>_</v>
      </c>
    </row>
    <row r="1611" spans="1:8" x14ac:dyDescent="0.25">
      <c r="A1611" s="247" t="str">
        <f t="shared" si="25"/>
        <v>_</v>
      </c>
    </row>
    <row r="1612" spans="1:8" x14ac:dyDescent="0.25">
      <c r="A1612" s="247" t="str">
        <f t="shared" si="25"/>
        <v>_</v>
      </c>
    </row>
    <row r="1613" spans="1:8" x14ac:dyDescent="0.25">
      <c r="A1613" s="247" t="str">
        <f t="shared" si="25"/>
        <v>_</v>
      </c>
    </row>
    <row r="1614" spans="1:8" x14ac:dyDescent="0.25">
      <c r="A1614" s="247" t="str">
        <f t="shared" si="25"/>
        <v>_</v>
      </c>
    </row>
    <row r="1615" spans="1:8" x14ac:dyDescent="0.25">
      <c r="A1615" s="247" t="str">
        <f t="shared" si="25"/>
        <v>_</v>
      </c>
    </row>
    <row r="1616" spans="1:8" x14ac:dyDescent="0.25">
      <c r="A1616" s="247" t="str">
        <f t="shared" si="25"/>
        <v>_</v>
      </c>
    </row>
    <row r="1617" spans="1:1" x14ac:dyDescent="0.25">
      <c r="A1617" s="247" t="str">
        <f t="shared" si="25"/>
        <v>_</v>
      </c>
    </row>
    <row r="1618" spans="1:1" x14ac:dyDescent="0.25">
      <c r="A1618" s="247" t="str">
        <f t="shared" si="25"/>
        <v>_</v>
      </c>
    </row>
    <row r="1619" spans="1:1" x14ac:dyDescent="0.25">
      <c r="A1619" s="247" t="str">
        <f t="shared" si="25"/>
        <v>_</v>
      </c>
    </row>
    <row r="1620" spans="1:1" x14ac:dyDescent="0.25">
      <c r="A1620" s="247" t="str">
        <f t="shared" si="25"/>
        <v>_</v>
      </c>
    </row>
    <row r="1621" spans="1:1" x14ac:dyDescent="0.25">
      <c r="A1621" s="247" t="str">
        <f t="shared" si="25"/>
        <v>_</v>
      </c>
    </row>
    <row r="1622" spans="1:1" x14ac:dyDescent="0.25">
      <c r="A1622" s="247" t="str">
        <f t="shared" si="25"/>
        <v>_</v>
      </c>
    </row>
    <row r="1623" spans="1:1" x14ac:dyDescent="0.25">
      <c r="A1623" s="247" t="str">
        <f t="shared" si="25"/>
        <v>_</v>
      </c>
    </row>
    <row r="1624" spans="1:1" x14ac:dyDescent="0.25">
      <c r="A1624" s="247" t="str">
        <f t="shared" si="25"/>
        <v>_</v>
      </c>
    </row>
    <row r="1625" spans="1:1" x14ac:dyDescent="0.25">
      <c r="A1625" s="247" t="str">
        <f t="shared" si="25"/>
        <v>_</v>
      </c>
    </row>
    <row r="1626" spans="1:1" x14ac:dyDescent="0.25">
      <c r="A1626" s="247" t="str">
        <f t="shared" si="25"/>
        <v>_</v>
      </c>
    </row>
    <row r="1627" spans="1:1" x14ac:dyDescent="0.25">
      <c r="A1627" s="247" t="str">
        <f t="shared" si="25"/>
        <v>_</v>
      </c>
    </row>
    <row r="1628" spans="1:1" x14ac:dyDescent="0.25">
      <c r="A1628" s="247" t="str">
        <f t="shared" si="25"/>
        <v>_</v>
      </c>
    </row>
    <row r="1629" spans="1:1" x14ac:dyDescent="0.25">
      <c r="A1629" s="247" t="str">
        <f t="shared" si="25"/>
        <v>_</v>
      </c>
    </row>
    <row r="1630" spans="1:1" x14ac:dyDescent="0.25">
      <c r="A1630" s="247" t="str">
        <f t="shared" si="25"/>
        <v>_</v>
      </c>
    </row>
    <row r="1631" spans="1:1" x14ac:dyDescent="0.25">
      <c r="A1631" s="247" t="str">
        <f t="shared" si="25"/>
        <v>_</v>
      </c>
    </row>
    <row r="1632" spans="1:1" x14ac:dyDescent="0.25">
      <c r="A1632" s="247" t="str">
        <f t="shared" si="25"/>
        <v>_</v>
      </c>
    </row>
    <row r="1633" spans="1:1" x14ac:dyDescent="0.25">
      <c r="A1633" s="247" t="str">
        <f t="shared" si="25"/>
        <v>_</v>
      </c>
    </row>
    <row r="1634" spans="1:1" x14ac:dyDescent="0.25">
      <c r="A1634" s="247" t="str">
        <f t="shared" si="25"/>
        <v>_</v>
      </c>
    </row>
    <row r="1635" spans="1:1" x14ac:dyDescent="0.25">
      <c r="A1635" s="247" t="str">
        <f t="shared" si="25"/>
        <v>_</v>
      </c>
    </row>
    <row r="1636" spans="1:1" x14ac:dyDescent="0.25">
      <c r="A1636" s="247" t="str">
        <f t="shared" si="25"/>
        <v>_</v>
      </c>
    </row>
    <row r="1637" spans="1:1" x14ac:dyDescent="0.25">
      <c r="A1637" s="247" t="str">
        <f t="shared" si="25"/>
        <v>_</v>
      </c>
    </row>
    <row r="1638" spans="1:1" x14ac:dyDescent="0.25">
      <c r="A1638" s="247" t="str">
        <f t="shared" si="25"/>
        <v>_</v>
      </c>
    </row>
    <row r="1639" spans="1:1" x14ac:dyDescent="0.25">
      <c r="A1639" s="247" t="str">
        <f t="shared" si="25"/>
        <v>_</v>
      </c>
    </row>
    <row r="1640" spans="1:1" x14ac:dyDescent="0.25">
      <c r="A1640" s="247" t="str">
        <f t="shared" si="25"/>
        <v>_</v>
      </c>
    </row>
    <row r="1641" spans="1:1" x14ac:dyDescent="0.25">
      <c r="A1641" s="247" t="str">
        <f t="shared" si="25"/>
        <v>_</v>
      </c>
    </row>
    <row r="1642" spans="1:1" x14ac:dyDescent="0.25">
      <c r="A1642" s="247" t="str">
        <f t="shared" si="25"/>
        <v>_</v>
      </c>
    </row>
    <row r="1643" spans="1:1" x14ac:dyDescent="0.25">
      <c r="A1643" s="247" t="str">
        <f t="shared" si="25"/>
        <v>_</v>
      </c>
    </row>
    <row r="1644" spans="1:1" x14ac:dyDescent="0.25">
      <c r="A1644" s="247" t="str">
        <f t="shared" si="25"/>
        <v>_</v>
      </c>
    </row>
    <row r="1645" spans="1:1" x14ac:dyDescent="0.25">
      <c r="A1645" s="247" t="str">
        <f t="shared" si="25"/>
        <v>_</v>
      </c>
    </row>
    <row r="1646" spans="1:1" x14ac:dyDescent="0.25">
      <c r="A1646" s="247" t="str">
        <f t="shared" si="25"/>
        <v>_</v>
      </c>
    </row>
    <row r="1647" spans="1:1" x14ac:dyDescent="0.25">
      <c r="A1647" s="247" t="str">
        <f t="shared" si="25"/>
        <v>_</v>
      </c>
    </row>
    <row r="1648" spans="1:1" x14ac:dyDescent="0.25">
      <c r="A1648" s="247" t="str">
        <f t="shared" si="25"/>
        <v>_</v>
      </c>
    </row>
    <row r="1649" spans="1:1" x14ac:dyDescent="0.25">
      <c r="A1649" s="247" t="str">
        <f t="shared" si="25"/>
        <v>_</v>
      </c>
    </row>
    <row r="1650" spans="1:1" x14ac:dyDescent="0.25">
      <c r="A1650" s="247" t="str">
        <f t="shared" si="25"/>
        <v>_</v>
      </c>
    </row>
    <row r="1651" spans="1:1" x14ac:dyDescent="0.25">
      <c r="A1651" s="247" t="str">
        <f t="shared" si="25"/>
        <v>_</v>
      </c>
    </row>
    <row r="1652" spans="1:1" x14ac:dyDescent="0.25">
      <c r="A1652" s="247" t="str">
        <f t="shared" si="25"/>
        <v>_</v>
      </c>
    </row>
  </sheetData>
  <phoneticPr fontId="29"/>
  <pageMargins left="0.7" right="0.7" top="0.75" bottom="0.75" header="0.3" footer="0.3"/>
  <pageSetup paperSize="9" orientation="portrait" horizontalDpi="65532"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0000"/>
  </sheetPr>
  <dimension ref="A1:I3166"/>
  <sheetViews>
    <sheetView workbookViewId="0">
      <selection activeCell="I16" sqref="I16"/>
    </sheetView>
  </sheetViews>
  <sheetFormatPr defaultColWidth="9" defaultRowHeight="12.75" x14ac:dyDescent="0.25"/>
  <cols>
    <col min="1" max="1" width="13" style="39" bestFit="1" customWidth="1"/>
    <col min="2" max="2" width="24.46484375" style="39" bestFit="1" customWidth="1"/>
    <col min="3" max="3" width="5.265625" style="39" bestFit="1" customWidth="1"/>
    <col min="4" max="4" width="9" style="39"/>
    <col min="5" max="5" width="13" style="39" bestFit="1" customWidth="1"/>
    <col min="6" max="6" width="9" style="97"/>
    <col min="7" max="7" width="10.1328125" style="97" bestFit="1" customWidth="1"/>
    <col min="8" max="8" width="9" style="97"/>
    <col min="9" max="9" width="15.1328125" style="97" bestFit="1" customWidth="1"/>
    <col min="10" max="16384" width="9" style="97"/>
  </cols>
  <sheetData>
    <row r="1" spans="1:9" x14ac:dyDescent="0.25">
      <c r="A1" s="39" t="s">
        <v>871</v>
      </c>
      <c r="B1" s="39" t="s">
        <v>775</v>
      </c>
      <c r="C1" s="39" t="s">
        <v>253</v>
      </c>
      <c r="D1" s="39" t="s">
        <v>2121</v>
      </c>
      <c r="E1" s="39" t="s">
        <v>1313</v>
      </c>
      <c r="G1" s="97" t="s">
        <v>873</v>
      </c>
      <c r="I1" s="97" t="s">
        <v>739</v>
      </c>
    </row>
    <row r="2" spans="1:9" x14ac:dyDescent="0.25">
      <c r="A2" s="39" t="s">
        <v>10462</v>
      </c>
      <c r="B2" s="39" t="s">
        <v>10463</v>
      </c>
      <c r="C2" s="39">
        <v>3</v>
      </c>
      <c r="D2" s="39" t="s">
        <v>10464</v>
      </c>
      <c r="E2" s="39" t="s">
        <v>2122</v>
      </c>
      <c r="G2" s="97" t="s">
        <v>579</v>
      </c>
      <c r="I2" s="97" t="s">
        <v>742</v>
      </c>
    </row>
    <row r="3" spans="1:9" x14ac:dyDescent="0.25">
      <c r="A3" s="39" t="s">
        <v>10465</v>
      </c>
      <c r="B3" s="39" t="s">
        <v>10466</v>
      </c>
      <c r="C3" s="39">
        <v>3</v>
      </c>
      <c r="D3" s="39" t="s">
        <v>9013</v>
      </c>
      <c r="E3" s="39" t="s">
        <v>2122</v>
      </c>
      <c r="G3" s="97" t="s">
        <v>748</v>
      </c>
      <c r="I3" s="97" t="s">
        <v>749</v>
      </c>
    </row>
    <row r="4" spans="1:9" x14ac:dyDescent="0.25">
      <c r="A4" s="39" t="s">
        <v>3108</v>
      </c>
      <c r="B4" s="39" t="s">
        <v>3109</v>
      </c>
      <c r="C4" s="39">
        <v>3</v>
      </c>
      <c r="D4" s="39" t="s">
        <v>2035</v>
      </c>
      <c r="E4" s="39" t="s">
        <v>2122</v>
      </c>
      <c r="I4" s="97" t="s">
        <v>752</v>
      </c>
    </row>
    <row r="5" spans="1:9" x14ac:dyDescent="0.25">
      <c r="A5" s="39" t="s">
        <v>6805</v>
      </c>
      <c r="B5" s="39" t="s">
        <v>826</v>
      </c>
      <c r="C5" s="39">
        <v>1</v>
      </c>
      <c r="D5" s="39" t="s">
        <v>2122</v>
      </c>
      <c r="I5" s="97" t="s">
        <v>754</v>
      </c>
    </row>
    <row r="6" spans="1:9" x14ac:dyDescent="0.25">
      <c r="A6" s="39" t="s">
        <v>1913</v>
      </c>
      <c r="B6" s="39" t="s">
        <v>3107</v>
      </c>
      <c r="C6" s="39">
        <v>1</v>
      </c>
      <c r="D6" s="39" t="s">
        <v>2122</v>
      </c>
      <c r="I6" s="97" t="s">
        <v>757</v>
      </c>
    </row>
    <row r="7" spans="1:9" x14ac:dyDescent="0.25">
      <c r="A7" s="39" t="s">
        <v>767</v>
      </c>
      <c r="B7" s="39" t="s">
        <v>854</v>
      </c>
      <c r="C7" s="39">
        <v>2</v>
      </c>
      <c r="D7" s="39" t="s">
        <v>2122</v>
      </c>
      <c r="I7" s="97" t="s">
        <v>760</v>
      </c>
    </row>
    <row r="8" spans="1:9" x14ac:dyDescent="0.25">
      <c r="A8" s="39" t="s">
        <v>747</v>
      </c>
      <c r="B8" s="39" t="s">
        <v>1181</v>
      </c>
      <c r="C8" s="39">
        <v>2</v>
      </c>
      <c r="D8" s="39" t="s">
        <v>2122</v>
      </c>
      <c r="I8" s="97" t="s">
        <v>765</v>
      </c>
    </row>
    <row r="9" spans="1:9" x14ac:dyDescent="0.25">
      <c r="A9" s="39" t="s">
        <v>831</v>
      </c>
      <c r="B9" s="39" t="s">
        <v>597</v>
      </c>
      <c r="C9" s="39">
        <v>2</v>
      </c>
      <c r="D9" s="39" t="s">
        <v>2122</v>
      </c>
      <c r="I9" s="97" t="s">
        <v>770</v>
      </c>
    </row>
    <row r="10" spans="1:9" x14ac:dyDescent="0.25">
      <c r="A10" s="39" t="s">
        <v>717</v>
      </c>
      <c r="B10" s="39" t="s">
        <v>888</v>
      </c>
      <c r="C10" s="39">
        <v>2</v>
      </c>
      <c r="D10" s="39" t="s">
        <v>2122</v>
      </c>
      <c r="I10" s="97" t="s">
        <v>771</v>
      </c>
    </row>
    <row r="11" spans="1:9" x14ac:dyDescent="0.25">
      <c r="A11" s="39" t="s">
        <v>128</v>
      </c>
      <c r="B11" s="39" t="s">
        <v>1654</v>
      </c>
      <c r="C11" s="39">
        <v>2</v>
      </c>
      <c r="D11" s="39" t="s">
        <v>2122</v>
      </c>
      <c r="I11" s="97" t="s">
        <v>270</v>
      </c>
    </row>
    <row r="12" spans="1:9" x14ac:dyDescent="0.25">
      <c r="A12" s="39" t="s">
        <v>2327</v>
      </c>
      <c r="B12" s="39" t="s">
        <v>3113</v>
      </c>
      <c r="C12" s="39">
        <v>2</v>
      </c>
      <c r="D12" s="39" t="s">
        <v>2122</v>
      </c>
      <c r="I12" s="97" t="s">
        <v>212</v>
      </c>
    </row>
    <row r="13" spans="1:9" x14ac:dyDescent="0.25">
      <c r="A13" s="39" t="s">
        <v>1083</v>
      </c>
      <c r="B13" s="39" t="s">
        <v>1507</v>
      </c>
      <c r="C13" s="39">
        <v>2</v>
      </c>
      <c r="D13" s="39" t="s">
        <v>2122</v>
      </c>
      <c r="I13" s="97" t="s">
        <v>773</v>
      </c>
    </row>
    <row r="14" spans="1:9" x14ac:dyDescent="0.25">
      <c r="A14" s="39" t="s">
        <v>3164</v>
      </c>
      <c r="B14" s="39" t="s">
        <v>3165</v>
      </c>
      <c r="C14" s="39">
        <v>2</v>
      </c>
      <c r="D14" s="39" t="s">
        <v>2122</v>
      </c>
      <c r="I14" s="97" t="s">
        <v>231</v>
      </c>
    </row>
    <row r="15" spans="1:9" x14ac:dyDescent="0.25">
      <c r="A15" s="39" t="s">
        <v>282</v>
      </c>
      <c r="B15" s="39" t="s">
        <v>244</v>
      </c>
      <c r="C15" s="39">
        <v>2</v>
      </c>
      <c r="D15" s="39" t="s">
        <v>2122</v>
      </c>
      <c r="I15" s="97" t="s">
        <v>683</v>
      </c>
    </row>
    <row r="16" spans="1:9" x14ac:dyDescent="0.25">
      <c r="A16" s="39" t="s">
        <v>17</v>
      </c>
      <c r="B16" s="39" t="s">
        <v>2161</v>
      </c>
      <c r="C16" s="39">
        <v>2</v>
      </c>
      <c r="D16" s="39" t="s">
        <v>2122</v>
      </c>
      <c r="I16" s="97" t="s">
        <v>308</v>
      </c>
    </row>
    <row r="17" spans="1:9" x14ac:dyDescent="0.25">
      <c r="A17" s="39" t="s">
        <v>2365</v>
      </c>
      <c r="B17" s="39" t="s">
        <v>2366</v>
      </c>
      <c r="C17" s="39">
        <v>2</v>
      </c>
      <c r="D17" s="39" t="s">
        <v>2122</v>
      </c>
      <c r="I17" s="97" t="s">
        <v>66</v>
      </c>
    </row>
    <row r="18" spans="1:9" x14ac:dyDescent="0.25">
      <c r="A18" s="39" t="s">
        <v>1508</v>
      </c>
      <c r="B18" s="39" t="s">
        <v>575</v>
      </c>
      <c r="C18" s="39">
        <v>2</v>
      </c>
      <c r="D18" s="39" t="s">
        <v>2122</v>
      </c>
    </row>
    <row r="19" spans="1:9" x14ac:dyDescent="0.25">
      <c r="A19" s="39" t="s">
        <v>1509</v>
      </c>
      <c r="B19" s="39" t="s">
        <v>583</v>
      </c>
      <c r="C19" s="39">
        <v>2</v>
      </c>
      <c r="D19" s="39" t="s">
        <v>2122</v>
      </c>
    </row>
    <row r="20" spans="1:9" x14ac:dyDescent="0.25">
      <c r="A20" s="39" t="s">
        <v>1071</v>
      </c>
      <c r="B20" s="39" t="s">
        <v>2215</v>
      </c>
      <c r="C20" s="39">
        <v>2</v>
      </c>
      <c r="D20" s="39" t="s">
        <v>2122</v>
      </c>
    </row>
    <row r="21" spans="1:9" x14ac:dyDescent="0.25">
      <c r="A21" s="39" t="s">
        <v>1510</v>
      </c>
      <c r="B21" s="39" t="s">
        <v>476</v>
      </c>
      <c r="C21" s="39">
        <v>2</v>
      </c>
      <c r="D21" s="39" t="s">
        <v>2122</v>
      </c>
    </row>
    <row r="22" spans="1:9" x14ac:dyDescent="0.25">
      <c r="A22" s="39" t="s">
        <v>1511</v>
      </c>
      <c r="B22" s="39" t="s">
        <v>434</v>
      </c>
      <c r="C22" s="39">
        <v>2</v>
      </c>
      <c r="D22" s="39" t="s">
        <v>2122</v>
      </c>
    </row>
    <row r="23" spans="1:9" x14ac:dyDescent="0.25">
      <c r="A23" s="39" t="s">
        <v>6806</v>
      </c>
      <c r="B23" s="39" t="s">
        <v>6807</v>
      </c>
      <c r="C23" s="39">
        <v>2</v>
      </c>
      <c r="D23" s="39" t="s">
        <v>2122</v>
      </c>
    </row>
    <row r="24" spans="1:9" x14ac:dyDescent="0.25">
      <c r="A24" s="39" t="s">
        <v>1512</v>
      </c>
      <c r="B24" s="39" t="s">
        <v>801</v>
      </c>
      <c r="C24" s="39">
        <v>2</v>
      </c>
      <c r="D24" s="39" t="s">
        <v>2122</v>
      </c>
    </row>
    <row r="25" spans="1:9" x14ac:dyDescent="0.25">
      <c r="A25" s="39" t="s">
        <v>205</v>
      </c>
      <c r="B25" s="39" t="s">
        <v>815</v>
      </c>
      <c r="C25" s="39">
        <v>2</v>
      </c>
      <c r="D25" s="39" t="s">
        <v>2122</v>
      </c>
    </row>
    <row r="26" spans="1:9" x14ac:dyDescent="0.25">
      <c r="A26" s="39" t="s">
        <v>2875</v>
      </c>
      <c r="B26" s="39" t="s">
        <v>3106</v>
      </c>
      <c r="C26" s="39">
        <v>2</v>
      </c>
      <c r="D26" s="39" t="s">
        <v>2122</v>
      </c>
    </row>
    <row r="27" spans="1:9" x14ac:dyDescent="0.25">
      <c r="A27" s="39" t="s">
        <v>1515</v>
      </c>
      <c r="B27" s="39" t="s">
        <v>879</v>
      </c>
      <c r="C27" s="39">
        <v>2</v>
      </c>
      <c r="D27" s="39" t="s">
        <v>2122</v>
      </c>
    </row>
    <row r="28" spans="1:9" x14ac:dyDescent="0.25">
      <c r="A28" s="39" t="s">
        <v>1516</v>
      </c>
      <c r="B28" s="39" t="s">
        <v>910</v>
      </c>
      <c r="C28" s="39">
        <v>2</v>
      </c>
      <c r="D28" s="39" t="s">
        <v>2122</v>
      </c>
    </row>
    <row r="29" spans="1:9" x14ac:dyDescent="0.25">
      <c r="A29" s="39" t="s">
        <v>1680</v>
      </c>
      <c r="B29" s="39" t="s">
        <v>1199</v>
      </c>
      <c r="C29" s="39">
        <v>2</v>
      </c>
      <c r="D29" s="39" t="s">
        <v>2122</v>
      </c>
    </row>
    <row r="30" spans="1:9" x14ac:dyDescent="0.25">
      <c r="A30" s="39" t="s">
        <v>1691</v>
      </c>
      <c r="B30" s="39" t="s">
        <v>376</v>
      </c>
      <c r="C30" s="39">
        <v>2</v>
      </c>
      <c r="D30" s="39" t="s">
        <v>2122</v>
      </c>
    </row>
    <row r="31" spans="1:9" x14ac:dyDescent="0.25">
      <c r="A31" s="39" t="s">
        <v>1518</v>
      </c>
      <c r="B31" s="39" t="s">
        <v>496</v>
      </c>
      <c r="C31" s="39">
        <v>2</v>
      </c>
      <c r="D31" s="39" t="s">
        <v>2122</v>
      </c>
    </row>
    <row r="32" spans="1:9" x14ac:dyDescent="0.25">
      <c r="A32" s="39" t="s">
        <v>546</v>
      </c>
      <c r="B32" s="39" t="s">
        <v>1182</v>
      </c>
      <c r="C32" s="39">
        <v>2</v>
      </c>
      <c r="D32" s="39" t="s">
        <v>2122</v>
      </c>
    </row>
    <row r="33" spans="1:4" x14ac:dyDescent="0.25">
      <c r="A33" s="39" t="s">
        <v>386</v>
      </c>
      <c r="B33" s="39" t="s">
        <v>878</v>
      </c>
      <c r="C33" s="39">
        <v>2</v>
      </c>
      <c r="D33" s="39" t="s">
        <v>2122</v>
      </c>
    </row>
    <row r="34" spans="1:4" x14ac:dyDescent="0.25">
      <c r="A34" s="39" t="s">
        <v>1520</v>
      </c>
      <c r="B34" s="39" t="s">
        <v>894</v>
      </c>
      <c r="C34" s="39">
        <v>2</v>
      </c>
      <c r="D34" s="39" t="s">
        <v>2122</v>
      </c>
    </row>
    <row r="35" spans="1:4" x14ac:dyDescent="0.25">
      <c r="A35" s="39" t="s">
        <v>1521</v>
      </c>
      <c r="B35" s="39" t="s">
        <v>901</v>
      </c>
      <c r="C35" s="39">
        <v>2</v>
      </c>
      <c r="D35" s="39" t="s">
        <v>2122</v>
      </c>
    </row>
    <row r="36" spans="1:4" x14ac:dyDescent="0.25">
      <c r="A36" s="39" t="s">
        <v>2368</v>
      </c>
      <c r="B36" s="39" t="s">
        <v>1213</v>
      </c>
      <c r="C36" s="39">
        <v>2</v>
      </c>
      <c r="D36" s="39" t="s">
        <v>2122</v>
      </c>
    </row>
    <row r="37" spans="1:4" x14ac:dyDescent="0.25">
      <c r="A37" s="39" t="s">
        <v>1522</v>
      </c>
      <c r="B37" s="39" t="s">
        <v>734</v>
      </c>
      <c r="C37" s="39">
        <v>2</v>
      </c>
      <c r="D37" s="39" t="s">
        <v>2122</v>
      </c>
    </row>
    <row r="38" spans="1:4" x14ac:dyDescent="0.25">
      <c r="A38" s="39" t="s">
        <v>2758</v>
      </c>
      <c r="B38" s="39" t="s">
        <v>2759</v>
      </c>
      <c r="C38" s="39">
        <v>2</v>
      </c>
      <c r="D38" s="39" t="s">
        <v>2122</v>
      </c>
    </row>
    <row r="39" spans="1:4" x14ac:dyDescent="0.25">
      <c r="A39" s="39" t="s">
        <v>702</v>
      </c>
      <c r="B39" s="39" t="s">
        <v>573</v>
      </c>
      <c r="C39" s="39">
        <v>2</v>
      </c>
      <c r="D39" s="39" t="s">
        <v>2122</v>
      </c>
    </row>
    <row r="40" spans="1:4" x14ac:dyDescent="0.25">
      <c r="A40" s="39" t="s">
        <v>1525</v>
      </c>
      <c r="B40" s="39" t="s">
        <v>1527</v>
      </c>
      <c r="C40" s="39">
        <v>2</v>
      </c>
      <c r="D40" s="39" t="s">
        <v>2122</v>
      </c>
    </row>
    <row r="41" spans="1:4" x14ac:dyDescent="0.25">
      <c r="A41" s="39" t="s">
        <v>265</v>
      </c>
      <c r="B41" s="39" t="s">
        <v>3664</v>
      </c>
      <c r="C41" s="39">
        <v>2</v>
      </c>
      <c r="D41" s="39" t="s">
        <v>2122</v>
      </c>
    </row>
    <row r="42" spans="1:4" x14ac:dyDescent="0.25">
      <c r="A42" s="39" t="s">
        <v>2106</v>
      </c>
      <c r="B42" s="39" t="s">
        <v>2107</v>
      </c>
      <c r="C42" s="39">
        <v>2</v>
      </c>
      <c r="D42" s="39" t="s">
        <v>2122</v>
      </c>
    </row>
    <row r="43" spans="1:4" x14ac:dyDescent="0.25">
      <c r="A43" s="39" t="s">
        <v>1957</v>
      </c>
      <c r="B43" s="39" t="s">
        <v>866</v>
      </c>
      <c r="C43" s="39">
        <v>2</v>
      </c>
      <c r="D43" s="39" t="s">
        <v>2122</v>
      </c>
    </row>
    <row r="44" spans="1:4" x14ac:dyDescent="0.25">
      <c r="A44" s="39" t="s">
        <v>1528</v>
      </c>
      <c r="B44" s="39" t="s">
        <v>884</v>
      </c>
      <c r="C44" s="39">
        <v>2</v>
      </c>
      <c r="D44" s="39" t="s">
        <v>2122</v>
      </c>
    </row>
    <row r="45" spans="1:4" x14ac:dyDescent="0.25">
      <c r="A45" s="39" t="s">
        <v>1530</v>
      </c>
      <c r="B45" s="39" t="s">
        <v>46</v>
      </c>
      <c r="C45" s="39">
        <v>2</v>
      </c>
      <c r="D45" s="39" t="s">
        <v>2122</v>
      </c>
    </row>
    <row r="46" spans="1:4" x14ac:dyDescent="0.25">
      <c r="A46" s="39" t="s">
        <v>1531</v>
      </c>
      <c r="B46" s="39" t="s">
        <v>904</v>
      </c>
      <c r="C46" s="39">
        <v>2</v>
      </c>
      <c r="D46" s="39" t="s">
        <v>2122</v>
      </c>
    </row>
    <row r="47" spans="1:4" x14ac:dyDescent="0.25">
      <c r="A47" s="39" t="s">
        <v>294</v>
      </c>
      <c r="B47" s="39" t="s">
        <v>578</v>
      </c>
      <c r="C47" s="39">
        <v>2</v>
      </c>
      <c r="D47" s="39" t="s">
        <v>2122</v>
      </c>
    </row>
    <row r="48" spans="1:4" x14ac:dyDescent="0.25">
      <c r="A48" s="39" t="s">
        <v>1534</v>
      </c>
      <c r="B48" s="39" t="s">
        <v>908</v>
      </c>
      <c r="C48" s="39">
        <v>2</v>
      </c>
      <c r="D48" s="39" t="s">
        <v>2122</v>
      </c>
    </row>
    <row r="49" spans="1:4" x14ac:dyDescent="0.25">
      <c r="A49" s="39" t="s">
        <v>2374</v>
      </c>
      <c r="B49" s="39" t="s">
        <v>2375</v>
      </c>
      <c r="C49" s="39">
        <v>2</v>
      </c>
      <c r="D49" s="39" t="s">
        <v>2122</v>
      </c>
    </row>
    <row r="50" spans="1:4" x14ac:dyDescent="0.25">
      <c r="A50" s="39" t="s">
        <v>1538</v>
      </c>
      <c r="B50" s="39" t="s">
        <v>882</v>
      </c>
      <c r="C50" s="39">
        <v>2</v>
      </c>
      <c r="D50" s="39" t="s">
        <v>2122</v>
      </c>
    </row>
    <row r="51" spans="1:4" x14ac:dyDescent="0.25">
      <c r="A51" s="39" t="s">
        <v>703</v>
      </c>
      <c r="B51" s="39" t="s">
        <v>384</v>
      </c>
      <c r="C51" s="39">
        <v>2</v>
      </c>
      <c r="D51" s="39" t="s">
        <v>2122</v>
      </c>
    </row>
    <row r="52" spans="1:4" x14ac:dyDescent="0.25">
      <c r="A52" s="39" t="s">
        <v>1539</v>
      </c>
      <c r="B52" s="39" t="s">
        <v>353</v>
      </c>
      <c r="C52" s="39">
        <v>2</v>
      </c>
      <c r="D52" s="39" t="s">
        <v>2122</v>
      </c>
    </row>
    <row r="53" spans="1:4" x14ac:dyDescent="0.25">
      <c r="A53" s="39" t="s">
        <v>844</v>
      </c>
      <c r="B53" s="39" t="s">
        <v>1412</v>
      </c>
      <c r="C53" s="39">
        <v>2</v>
      </c>
      <c r="D53" s="39" t="s">
        <v>2122</v>
      </c>
    </row>
    <row r="54" spans="1:4" x14ac:dyDescent="0.25">
      <c r="A54" s="39" t="s">
        <v>1799</v>
      </c>
      <c r="B54" s="39" t="s">
        <v>1178</v>
      </c>
      <c r="C54" s="39">
        <v>2</v>
      </c>
      <c r="D54" s="39" t="s">
        <v>2122</v>
      </c>
    </row>
    <row r="55" spans="1:4" x14ac:dyDescent="0.25">
      <c r="A55" s="39" t="s">
        <v>2036</v>
      </c>
      <c r="B55" s="39" t="s">
        <v>2225</v>
      </c>
      <c r="C55" s="39">
        <v>2</v>
      </c>
      <c r="D55" s="39" t="s">
        <v>2122</v>
      </c>
    </row>
    <row r="56" spans="1:4" x14ac:dyDescent="0.25">
      <c r="A56" s="39" t="s">
        <v>1373</v>
      </c>
      <c r="B56" s="39" t="s">
        <v>885</v>
      </c>
      <c r="C56" s="39">
        <v>2</v>
      </c>
      <c r="D56" s="39" t="s">
        <v>2122</v>
      </c>
    </row>
    <row r="57" spans="1:4" x14ac:dyDescent="0.25">
      <c r="A57" s="39" t="s">
        <v>4914</v>
      </c>
      <c r="B57" s="39" t="s">
        <v>4915</v>
      </c>
      <c r="C57" s="39">
        <v>3</v>
      </c>
      <c r="D57" s="39" t="s">
        <v>2122</v>
      </c>
    </row>
    <row r="58" spans="1:4" x14ac:dyDescent="0.25">
      <c r="A58" s="39" t="s">
        <v>6808</v>
      </c>
      <c r="B58" s="39" t="s">
        <v>6809</v>
      </c>
      <c r="C58" s="39">
        <v>3</v>
      </c>
      <c r="D58" s="39" t="s">
        <v>2122</v>
      </c>
    </row>
    <row r="59" spans="1:4" x14ac:dyDescent="0.25">
      <c r="A59" s="39" t="s">
        <v>1352</v>
      </c>
      <c r="B59" s="39" t="s">
        <v>3665</v>
      </c>
      <c r="C59" s="39">
        <v>3</v>
      </c>
      <c r="D59" s="39" t="s">
        <v>2122</v>
      </c>
    </row>
    <row r="60" spans="1:4" x14ac:dyDescent="0.25">
      <c r="A60" s="39" t="s">
        <v>1218</v>
      </c>
      <c r="B60" s="39" t="s">
        <v>2157</v>
      </c>
      <c r="C60" s="39">
        <v>3</v>
      </c>
      <c r="D60" s="39" t="s">
        <v>2122</v>
      </c>
    </row>
    <row r="61" spans="1:4" x14ac:dyDescent="0.25">
      <c r="A61" s="39" t="s">
        <v>1504</v>
      </c>
      <c r="B61" s="39" t="s">
        <v>109</v>
      </c>
      <c r="C61" s="39">
        <v>3</v>
      </c>
      <c r="D61" s="39" t="s">
        <v>2122</v>
      </c>
    </row>
    <row r="62" spans="1:4" x14ac:dyDescent="0.25">
      <c r="A62" s="39" t="s">
        <v>1540</v>
      </c>
      <c r="B62" s="39" t="s">
        <v>923</v>
      </c>
      <c r="C62" s="39">
        <v>3</v>
      </c>
      <c r="D62" s="39" t="s">
        <v>2122</v>
      </c>
    </row>
    <row r="63" spans="1:4" x14ac:dyDescent="0.25">
      <c r="A63" s="39" t="s">
        <v>970</v>
      </c>
      <c r="B63" s="39" t="s">
        <v>780</v>
      </c>
      <c r="C63" s="39">
        <v>3</v>
      </c>
      <c r="D63" s="39" t="s">
        <v>2122</v>
      </c>
    </row>
    <row r="64" spans="1:4" x14ac:dyDescent="0.25">
      <c r="A64" s="39" t="s">
        <v>1043</v>
      </c>
      <c r="B64" s="39" t="s">
        <v>2672</v>
      </c>
      <c r="C64" s="39">
        <v>3</v>
      </c>
      <c r="D64" s="39" t="s">
        <v>2122</v>
      </c>
    </row>
    <row r="65" spans="1:4" x14ac:dyDescent="0.25">
      <c r="A65" s="39" t="s">
        <v>1541</v>
      </c>
      <c r="B65" s="39" t="s">
        <v>1238</v>
      </c>
      <c r="C65" s="39">
        <v>3</v>
      </c>
      <c r="D65" s="39" t="s">
        <v>2122</v>
      </c>
    </row>
    <row r="66" spans="1:4" x14ac:dyDescent="0.25">
      <c r="A66" s="39" t="s">
        <v>1542</v>
      </c>
      <c r="B66" s="39" t="s">
        <v>1226</v>
      </c>
      <c r="C66" s="39">
        <v>3</v>
      </c>
      <c r="D66" s="39" t="s">
        <v>2122</v>
      </c>
    </row>
    <row r="67" spans="1:4" x14ac:dyDescent="0.25">
      <c r="A67" s="39" t="s">
        <v>1484</v>
      </c>
      <c r="B67" s="39" t="s">
        <v>444</v>
      </c>
      <c r="C67" s="39">
        <v>3</v>
      </c>
      <c r="D67" s="39" t="s">
        <v>2122</v>
      </c>
    </row>
    <row r="68" spans="1:4" x14ac:dyDescent="0.25">
      <c r="A68" s="39" t="s">
        <v>905</v>
      </c>
      <c r="B68" s="39" t="s">
        <v>508</v>
      </c>
      <c r="C68" s="39">
        <v>3</v>
      </c>
      <c r="D68" s="39" t="s">
        <v>2122</v>
      </c>
    </row>
    <row r="69" spans="1:4" x14ac:dyDescent="0.25">
      <c r="A69" s="39" t="s">
        <v>4883</v>
      </c>
      <c r="B69" s="39" t="s">
        <v>4884</v>
      </c>
      <c r="C69" s="39">
        <v>3</v>
      </c>
      <c r="D69" s="39" t="s">
        <v>2122</v>
      </c>
    </row>
    <row r="70" spans="1:4" x14ac:dyDescent="0.25">
      <c r="A70" s="39" t="s">
        <v>1544</v>
      </c>
      <c r="B70" s="39" t="s">
        <v>924</v>
      </c>
      <c r="C70" s="39">
        <v>3</v>
      </c>
      <c r="D70" s="39" t="s">
        <v>2122</v>
      </c>
    </row>
    <row r="71" spans="1:4" x14ac:dyDescent="0.25">
      <c r="A71" s="39" t="s">
        <v>1808</v>
      </c>
      <c r="B71" s="39" t="s">
        <v>79</v>
      </c>
      <c r="C71" s="39">
        <v>3</v>
      </c>
      <c r="D71" s="39" t="s">
        <v>2122</v>
      </c>
    </row>
    <row r="72" spans="1:4" x14ac:dyDescent="0.25">
      <c r="A72" s="39" t="s">
        <v>3371</v>
      </c>
      <c r="B72" s="39" t="s">
        <v>3666</v>
      </c>
      <c r="C72" s="39">
        <v>3</v>
      </c>
      <c r="D72" s="39" t="s">
        <v>2122</v>
      </c>
    </row>
    <row r="73" spans="1:4" x14ac:dyDescent="0.25">
      <c r="A73" s="39" t="s">
        <v>2158</v>
      </c>
      <c r="B73" s="39" t="s">
        <v>1064</v>
      </c>
      <c r="C73" s="39">
        <v>3</v>
      </c>
      <c r="D73" s="39" t="s">
        <v>2122</v>
      </c>
    </row>
    <row r="74" spans="1:4" x14ac:dyDescent="0.25">
      <c r="A74" s="39" t="s">
        <v>2376</v>
      </c>
      <c r="B74" s="39" t="s">
        <v>2174</v>
      </c>
      <c r="C74" s="39">
        <v>3</v>
      </c>
      <c r="D74" s="39" t="s">
        <v>2122</v>
      </c>
    </row>
    <row r="75" spans="1:4" x14ac:dyDescent="0.25">
      <c r="A75" s="39" t="s">
        <v>772</v>
      </c>
      <c r="B75" s="39" t="s">
        <v>1579</v>
      </c>
      <c r="C75" s="39">
        <v>3</v>
      </c>
      <c r="D75" s="39" t="s">
        <v>2122</v>
      </c>
    </row>
    <row r="76" spans="1:4" x14ac:dyDescent="0.25">
      <c r="A76" s="39" t="s">
        <v>4933</v>
      </c>
      <c r="B76" s="39" t="s">
        <v>4934</v>
      </c>
      <c r="C76" s="39">
        <v>3</v>
      </c>
      <c r="D76" s="39" t="s">
        <v>2122</v>
      </c>
    </row>
    <row r="77" spans="1:4" x14ac:dyDescent="0.25">
      <c r="A77" s="39" t="s">
        <v>1547</v>
      </c>
      <c r="B77" s="39" t="s">
        <v>964</v>
      </c>
      <c r="C77" s="39">
        <v>3</v>
      </c>
      <c r="D77" s="39" t="s">
        <v>2122</v>
      </c>
    </row>
    <row r="78" spans="1:4" x14ac:dyDescent="0.25">
      <c r="A78" s="39" t="s">
        <v>892</v>
      </c>
      <c r="B78" s="39" t="s">
        <v>1185</v>
      </c>
      <c r="C78" s="39">
        <v>3</v>
      </c>
      <c r="D78" s="39" t="s">
        <v>2122</v>
      </c>
    </row>
    <row r="79" spans="1:4" x14ac:dyDescent="0.25">
      <c r="A79" s="39" t="s">
        <v>3396</v>
      </c>
      <c r="B79" s="39" t="s">
        <v>3686</v>
      </c>
      <c r="C79" s="39">
        <v>3</v>
      </c>
      <c r="D79" s="39" t="s">
        <v>2122</v>
      </c>
    </row>
    <row r="80" spans="1:4" x14ac:dyDescent="0.25">
      <c r="A80" s="39" t="s">
        <v>647</v>
      </c>
      <c r="B80" s="39" t="s">
        <v>1451</v>
      </c>
      <c r="C80" s="39">
        <v>3</v>
      </c>
      <c r="D80" s="39" t="s">
        <v>2122</v>
      </c>
    </row>
    <row r="81" spans="1:4" x14ac:dyDescent="0.25">
      <c r="A81" s="39" t="s">
        <v>2159</v>
      </c>
      <c r="B81" s="39" t="s">
        <v>2160</v>
      </c>
      <c r="C81" s="39">
        <v>3</v>
      </c>
      <c r="D81" s="39" t="s">
        <v>2122</v>
      </c>
    </row>
    <row r="82" spans="1:4" x14ac:dyDescent="0.25">
      <c r="A82" s="39" t="s">
        <v>1812</v>
      </c>
      <c r="B82" s="39" t="s">
        <v>1009</v>
      </c>
      <c r="C82" s="39">
        <v>3</v>
      </c>
      <c r="D82" s="39" t="s">
        <v>2122</v>
      </c>
    </row>
    <row r="83" spans="1:4" x14ac:dyDescent="0.25">
      <c r="A83" s="39" t="s">
        <v>1548</v>
      </c>
      <c r="B83" s="39" t="s">
        <v>969</v>
      </c>
      <c r="C83" s="39">
        <v>3</v>
      </c>
      <c r="D83" s="39" t="s">
        <v>2122</v>
      </c>
    </row>
    <row r="84" spans="1:4" x14ac:dyDescent="0.25">
      <c r="A84" s="39" t="s">
        <v>1780</v>
      </c>
      <c r="B84" s="39" t="s">
        <v>605</v>
      </c>
      <c r="C84" s="39">
        <v>3</v>
      </c>
      <c r="D84" s="39" t="s">
        <v>2122</v>
      </c>
    </row>
    <row r="85" spans="1:4" x14ac:dyDescent="0.25">
      <c r="A85" s="39" t="s">
        <v>3399</v>
      </c>
      <c r="B85" s="39" t="s">
        <v>3689</v>
      </c>
      <c r="C85" s="39">
        <v>3</v>
      </c>
      <c r="D85" s="39" t="s">
        <v>2122</v>
      </c>
    </row>
    <row r="86" spans="1:4" x14ac:dyDescent="0.25">
      <c r="A86" s="39" t="s">
        <v>10467</v>
      </c>
      <c r="B86" s="39" t="s">
        <v>10468</v>
      </c>
      <c r="C86" s="39">
        <v>3</v>
      </c>
      <c r="D86" s="39" t="s">
        <v>2122</v>
      </c>
    </row>
    <row r="87" spans="1:4" x14ac:dyDescent="0.25">
      <c r="A87" s="39" t="s">
        <v>3401</v>
      </c>
      <c r="B87" s="39" t="s">
        <v>3690</v>
      </c>
      <c r="C87" s="39">
        <v>3</v>
      </c>
      <c r="D87" s="39" t="s">
        <v>2122</v>
      </c>
    </row>
    <row r="88" spans="1:4" x14ac:dyDescent="0.25">
      <c r="A88" s="39" t="s">
        <v>10469</v>
      </c>
      <c r="B88" s="39" t="s">
        <v>10470</v>
      </c>
      <c r="C88" s="39">
        <v>3</v>
      </c>
      <c r="D88" s="39" t="s">
        <v>2122</v>
      </c>
    </row>
    <row r="89" spans="1:4" x14ac:dyDescent="0.25">
      <c r="A89" s="39" t="s">
        <v>1549</v>
      </c>
      <c r="B89" s="39" t="s">
        <v>1157</v>
      </c>
      <c r="C89" s="39">
        <v>3</v>
      </c>
      <c r="D89" s="39" t="s">
        <v>2122</v>
      </c>
    </row>
    <row r="90" spans="1:4" x14ac:dyDescent="0.25">
      <c r="A90" s="39" t="s">
        <v>3403</v>
      </c>
      <c r="B90" s="39" t="s">
        <v>3691</v>
      </c>
      <c r="C90" s="39">
        <v>3</v>
      </c>
      <c r="D90" s="39" t="s">
        <v>2122</v>
      </c>
    </row>
    <row r="91" spans="1:4" x14ac:dyDescent="0.25">
      <c r="A91" s="39" t="s">
        <v>2171</v>
      </c>
      <c r="B91" s="39" t="s">
        <v>913</v>
      </c>
      <c r="C91" s="39">
        <v>3</v>
      </c>
      <c r="D91" s="39" t="s">
        <v>2122</v>
      </c>
    </row>
    <row r="92" spans="1:4" x14ac:dyDescent="0.25">
      <c r="A92" s="39" t="s">
        <v>1814</v>
      </c>
      <c r="B92" s="39" t="s">
        <v>129</v>
      </c>
      <c r="C92" s="39">
        <v>3</v>
      </c>
      <c r="D92" s="39" t="s">
        <v>2122</v>
      </c>
    </row>
    <row r="93" spans="1:4" x14ac:dyDescent="0.25">
      <c r="A93" s="39" t="s">
        <v>3406</v>
      </c>
      <c r="B93" s="39" t="s">
        <v>3693</v>
      </c>
      <c r="C93" s="39">
        <v>3</v>
      </c>
      <c r="D93" s="39" t="s">
        <v>2122</v>
      </c>
    </row>
    <row r="94" spans="1:4" x14ac:dyDescent="0.25">
      <c r="A94" s="39" t="s">
        <v>1552</v>
      </c>
      <c r="B94" s="39" t="s">
        <v>1206</v>
      </c>
      <c r="C94" s="39">
        <v>3</v>
      </c>
      <c r="D94" s="39" t="s">
        <v>2122</v>
      </c>
    </row>
    <row r="95" spans="1:4" x14ac:dyDescent="0.25">
      <c r="A95" s="39" t="s">
        <v>1553</v>
      </c>
      <c r="B95" s="39" t="s">
        <v>580</v>
      </c>
      <c r="C95" s="39">
        <v>3</v>
      </c>
      <c r="D95" s="39" t="s">
        <v>2122</v>
      </c>
    </row>
    <row r="96" spans="1:4" x14ac:dyDescent="0.25">
      <c r="A96" s="39" t="s">
        <v>6810</v>
      </c>
      <c r="B96" s="39" t="s">
        <v>6811</v>
      </c>
      <c r="C96" s="39">
        <v>3</v>
      </c>
      <c r="D96" s="39" t="s">
        <v>2122</v>
      </c>
    </row>
    <row r="97" spans="1:4" x14ac:dyDescent="0.25">
      <c r="A97" s="39" t="s">
        <v>1815</v>
      </c>
      <c r="B97" s="39" t="s">
        <v>1817</v>
      </c>
      <c r="C97" s="39">
        <v>3</v>
      </c>
      <c r="D97" s="39" t="s">
        <v>2122</v>
      </c>
    </row>
    <row r="98" spans="1:4" x14ac:dyDescent="0.25">
      <c r="A98" s="39" t="s">
        <v>1556</v>
      </c>
      <c r="B98" s="39" t="s">
        <v>636</v>
      </c>
      <c r="C98" s="39">
        <v>3</v>
      </c>
      <c r="D98" s="39" t="s">
        <v>2122</v>
      </c>
    </row>
    <row r="99" spans="1:4" x14ac:dyDescent="0.25">
      <c r="A99" s="39" t="s">
        <v>402</v>
      </c>
      <c r="B99" s="39" t="s">
        <v>552</v>
      </c>
      <c r="C99" s="39">
        <v>3</v>
      </c>
      <c r="D99" s="39" t="s">
        <v>2122</v>
      </c>
    </row>
    <row r="100" spans="1:4" x14ac:dyDescent="0.25">
      <c r="A100" s="39" t="s">
        <v>1163</v>
      </c>
      <c r="B100" s="39" t="s">
        <v>971</v>
      </c>
      <c r="C100" s="39">
        <v>3</v>
      </c>
      <c r="D100" s="39" t="s">
        <v>2122</v>
      </c>
    </row>
    <row r="101" spans="1:4" x14ac:dyDescent="0.25">
      <c r="A101" s="39" t="s">
        <v>1900</v>
      </c>
      <c r="B101" s="39" t="s">
        <v>2034</v>
      </c>
      <c r="C101" s="39">
        <v>3</v>
      </c>
      <c r="D101" s="39" t="s">
        <v>2122</v>
      </c>
    </row>
    <row r="102" spans="1:4" x14ac:dyDescent="0.25">
      <c r="A102" s="39" t="s">
        <v>1467</v>
      </c>
      <c r="B102" s="39" t="s">
        <v>1237</v>
      </c>
      <c r="C102" s="39">
        <v>3</v>
      </c>
      <c r="D102" s="39" t="s">
        <v>2122</v>
      </c>
    </row>
    <row r="103" spans="1:4" x14ac:dyDescent="0.25">
      <c r="A103" s="39" t="s">
        <v>613</v>
      </c>
      <c r="B103" s="39" t="s">
        <v>744</v>
      </c>
      <c r="C103" s="39">
        <v>3</v>
      </c>
      <c r="D103" s="39" t="s">
        <v>2122</v>
      </c>
    </row>
    <row r="104" spans="1:4" x14ac:dyDescent="0.25">
      <c r="A104" s="39" t="s">
        <v>1026</v>
      </c>
      <c r="B104" s="39" t="s">
        <v>2360</v>
      </c>
      <c r="C104" s="39">
        <v>3</v>
      </c>
      <c r="D104" s="39" t="s">
        <v>2122</v>
      </c>
    </row>
    <row r="105" spans="1:4" x14ac:dyDescent="0.25">
      <c r="A105" s="39" t="s">
        <v>1174</v>
      </c>
      <c r="B105" s="39" t="s">
        <v>1088</v>
      </c>
      <c r="C105" s="39">
        <v>3</v>
      </c>
      <c r="D105" s="39" t="s">
        <v>2122</v>
      </c>
    </row>
    <row r="106" spans="1:4" x14ac:dyDescent="0.25">
      <c r="A106" s="39" t="s">
        <v>2048</v>
      </c>
      <c r="B106" s="39" t="s">
        <v>890</v>
      </c>
      <c r="C106" s="39">
        <v>3</v>
      </c>
      <c r="D106" s="39" t="s">
        <v>2122</v>
      </c>
    </row>
    <row r="107" spans="1:4" x14ac:dyDescent="0.25">
      <c r="A107" s="39" t="s">
        <v>240</v>
      </c>
      <c r="B107" s="39" t="s">
        <v>869</v>
      </c>
      <c r="C107" s="39">
        <v>3</v>
      </c>
      <c r="D107" s="39" t="s">
        <v>2122</v>
      </c>
    </row>
    <row r="108" spans="1:4" x14ac:dyDescent="0.25">
      <c r="A108" s="39" t="s">
        <v>6812</v>
      </c>
      <c r="B108" s="39" t="s">
        <v>1505</v>
      </c>
      <c r="C108" s="39">
        <v>3</v>
      </c>
      <c r="D108" s="39" t="s">
        <v>2122</v>
      </c>
    </row>
    <row r="109" spans="1:4" x14ac:dyDescent="0.25">
      <c r="A109" s="39" t="s">
        <v>1561</v>
      </c>
      <c r="B109" s="39" t="s">
        <v>1260</v>
      </c>
      <c r="C109" s="39">
        <v>3</v>
      </c>
      <c r="D109" s="39" t="s">
        <v>2122</v>
      </c>
    </row>
    <row r="110" spans="1:4" x14ac:dyDescent="0.25">
      <c r="A110" s="39" t="s">
        <v>1562</v>
      </c>
      <c r="B110" s="39" t="s">
        <v>975</v>
      </c>
      <c r="C110" s="39">
        <v>3</v>
      </c>
      <c r="D110" s="39" t="s">
        <v>2122</v>
      </c>
    </row>
    <row r="111" spans="1:4" x14ac:dyDescent="0.25">
      <c r="A111" s="39" t="s">
        <v>1503</v>
      </c>
      <c r="B111" s="39" t="s">
        <v>1820</v>
      </c>
      <c r="C111" s="39">
        <v>3</v>
      </c>
      <c r="D111" s="39" t="s">
        <v>2122</v>
      </c>
    </row>
    <row r="112" spans="1:4" x14ac:dyDescent="0.25">
      <c r="A112" s="39" t="s">
        <v>1564</v>
      </c>
      <c r="B112" s="39" t="s">
        <v>1136</v>
      </c>
      <c r="C112" s="39">
        <v>3</v>
      </c>
      <c r="D112" s="39" t="s">
        <v>2122</v>
      </c>
    </row>
    <row r="113" spans="1:4" x14ac:dyDescent="0.25">
      <c r="A113" s="39" t="s">
        <v>3413</v>
      </c>
      <c r="B113" s="39" t="s">
        <v>3698</v>
      </c>
      <c r="C113" s="39">
        <v>3</v>
      </c>
      <c r="D113" s="39" t="s">
        <v>2122</v>
      </c>
    </row>
    <row r="114" spans="1:4" x14ac:dyDescent="0.25">
      <c r="A114" s="39" t="s">
        <v>4977</v>
      </c>
      <c r="B114" s="39" t="s">
        <v>4978</v>
      </c>
      <c r="C114" s="39">
        <v>3</v>
      </c>
      <c r="D114" s="39" t="s">
        <v>2122</v>
      </c>
    </row>
    <row r="115" spans="1:4" x14ac:dyDescent="0.25">
      <c r="A115" s="39" t="s">
        <v>1565</v>
      </c>
      <c r="B115" s="39" t="s">
        <v>456</v>
      </c>
      <c r="C115" s="39">
        <v>3</v>
      </c>
      <c r="D115" s="39" t="s">
        <v>2122</v>
      </c>
    </row>
    <row r="116" spans="1:4" x14ac:dyDescent="0.25">
      <c r="A116" s="39" t="s">
        <v>626</v>
      </c>
      <c r="B116" s="39" t="s">
        <v>1390</v>
      </c>
      <c r="C116" s="39">
        <v>3</v>
      </c>
      <c r="D116" s="39" t="s">
        <v>2122</v>
      </c>
    </row>
    <row r="117" spans="1:4" x14ac:dyDescent="0.25">
      <c r="A117" s="39" t="s">
        <v>1499</v>
      </c>
      <c r="B117" s="39" t="s">
        <v>1789</v>
      </c>
      <c r="C117" s="39">
        <v>3</v>
      </c>
      <c r="D117" s="39" t="s">
        <v>2122</v>
      </c>
    </row>
    <row r="118" spans="1:4" x14ac:dyDescent="0.25">
      <c r="A118" s="39" t="s">
        <v>1474</v>
      </c>
      <c r="B118" s="39" t="s">
        <v>378</v>
      </c>
      <c r="C118" s="39">
        <v>3</v>
      </c>
      <c r="D118" s="39" t="s">
        <v>2122</v>
      </c>
    </row>
    <row r="119" spans="1:4" x14ac:dyDescent="0.25">
      <c r="A119" s="39" t="s">
        <v>3414</v>
      </c>
      <c r="B119" s="39" t="s">
        <v>3699</v>
      </c>
      <c r="C119" s="39">
        <v>3</v>
      </c>
      <c r="D119" s="39" t="s">
        <v>2122</v>
      </c>
    </row>
    <row r="120" spans="1:4" x14ac:dyDescent="0.25">
      <c r="A120" s="39" t="s">
        <v>6813</v>
      </c>
      <c r="B120" s="39" t="s">
        <v>6814</v>
      </c>
      <c r="C120" s="39">
        <v>3</v>
      </c>
      <c r="D120" s="39" t="s">
        <v>2122</v>
      </c>
    </row>
    <row r="121" spans="1:4" x14ac:dyDescent="0.25">
      <c r="A121" s="39" t="s">
        <v>1376</v>
      </c>
      <c r="B121" s="39" t="s">
        <v>358</v>
      </c>
      <c r="C121" s="39">
        <v>3</v>
      </c>
      <c r="D121" s="39" t="s">
        <v>2122</v>
      </c>
    </row>
    <row r="122" spans="1:4" x14ac:dyDescent="0.25">
      <c r="A122" s="39" t="s">
        <v>1811</v>
      </c>
      <c r="B122" s="39" t="s">
        <v>2680</v>
      </c>
      <c r="C122" s="39">
        <v>3</v>
      </c>
      <c r="D122" s="39" t="s">
        <v>2122</v>
      </c>
    </row>
    <row r="123" spans="1:4" x14ac:dyDescent="0.25">
      <c r="A123" s="39" t="s">
        <v>1567</v>
      </c>
      <c r="B123" s="39" t="s">
        <v>1168</v>
      </c>
      <c r="C123" s="39">
        <v>3</v>
      </c>
      <c r="D123" s="39" t="s">
        <v>2122</v>
      </c>
    </row>
    <row r="124" spans="1:4" x14ac:dyDescent="0.25">
      <c r="A124" s="39" t="s">
        <v>1823</v>
      </c>
      <c r="B124" s="39" t="s">
        <v>1308</v>
      </c>
      <c r="C124" s="39">
        <v>3</v>
      </c>
      <c r="D124" s="39" t="s">
        <v>2122</v>
      </c>
    </row>
    <row r="125" spans="1:4" x14ac:dyDescent="0.25">
      <c r="A125" s="39" t="s">
        <v>2384</v>
      </c>
      <c r="B125" s="39" t="s">
        <v>1550</v>
      </c>
      <c r="C125" s="39">
        <v>3</v>
      </c>
      <c r="D125" s="39" t="s">
        <v>2122</v>
      </c>
    </row>
    <row r="126" spans="1:4" x14ac:dyDescent="0.25">
      <c r="A126" s="39" t="s">
        <v>1824</v>
      </c>
      <c r="B126" s="39" t="s">
        <v>968</v>
      </c>
      <c r="C126" s="39">
        <v>3</v>
      </c>
      <c r="D126" s="39" t="s">
        <v>2122</v>
      </c>
    </row>
    <row r="127" spans="1:4" x14ac:dyDescent="0.25">
      <c r="A127" s="39" t="s">
        <v>1569</v>
      </c>
      <c r="B127" s="39" t="s">
        <v>1223</v>
      </c>
      <c r="C127" s="39">
        <v>3</v>
      </c>
      <c r="D127" s="39" t="s">
        <v>2122</v>
      </c>
    </row>
    <row r="128" spans="1:4" x14ac:dyDescent="0.25">
      <c r="A128" s="39" t="s">
        <v>980</v>
      </c>
      <c r="B128" s="39" t="s">
        <v>1093</v>
      </c>
      <c r="C128" s="39">
        <v>3</v>
      </c>
      <c r="D128" s="39" t="s">
        <v>2122</v>
      </c>
    </row>
    <row r="129" spans="1:4" x14ac:dyDescent="0.25">
      <c r="A129" s="39" t="s">
        <v>3372</v>
      </c>
      <c r="B129" s="39" t="s">
        <v>3667</v>
      </c>
      <c r="C129" s="39">
        <v>3</v>
      </c>
      <c r="D129" s="39" t="s">
        <v>2122</v>
      </c>
    </row>
    <row r="130" spans="1:4" x14ac:dyDescent="0.25">
      <c r="A130" s="39" t="s">
        <v>1570</v>
      </c>
      <c r="B130" s="39" t="s">
        <v>374</v>
      </c>
      <c r="C130" s="39">
        <v>3</v>
      </c>
      <c r="D130" s="39" t="s">
        <v>2122</v>
      </c>
    </row>
    <row r="131" spans="1:4" x14ac:dyDescent="0.25">
      <c r="A131" s="39" t="s">
        <v>4885</v>
      </c>
      <c r="B131" s="39" t="s">
        <v>4886</v>
      </c>
      <c r="C131" s="39">
        <v>3</v>
      </c>
      <c r="D131" s="39" t="s">
        <v>2122</v>
      </c>
    </row>
    <row r="132" spans="1:4" x14ac:dyDescent="0.25">
      <c r="A132" s="39" t="s">
        <v>4887</v>
      </c>
      <c r="B132" s="39" t="s">
        <v>4888</v>
      </c>
      <c r="C132" s="39">
        <v>3</v>
      </c>
      <c r="D132" s="39" t="s">
        <v>2122</v>
      </c>
    </row>
    <row r="133" spans="1:4" x14ac:dyDescent="0.25">
      <c r="A133" s="39" t="s">
        <v>3419</v>
      </c>
      <c r="B133" s="39" t="s">
        <v>3703</v>
      </c>
      <c r="C133" s="39">
        <v>3</v>
      </c>
      <c r="D133" s="39" t="s">
        <v>2122</v>
      </c>
    </row>
    <row r="134" spans="1:4" x14ac:dyDescent="0.25">
      <c r="A134" s="39" t="s">
        <v>3420</v>
      </c>
      <c r="B134" s="39" t="s">
        <v>3704</v>
      </c>
      <c r="C134" s="39">
        <v>3</v>
      </c>
      <c r="D134" s="39" t="s">
        <v>2122</v>
      </c>
    </row>
    <row r="135" spans="1:4" x14ac:dyDescent="0.25">
      <c r="A135" s="39" t="s">
        <v>233</v>
      </c>
      <c r="B135" s="39" t="s">
        <v>7</v>
      </c>
      <c r="C135" s="39">
        <v>3</v>
      </c>
      <c r="D135" s="39" t="s">
        <v>2122</v>
      </c>
    </row>
    <row r="136" spans="1:4" x14ac:dyDescent="0.25">
      <c r="A136" s="39" t="s">
        <v>2361</v>
      </c>
      <c r="B136" s="39" t="s">
        <v>2362</v>
      </c>
      <c r="C136" s="39">
        <v>3</v>
      </c>
      <c r="D136" s="39" t="s">
        <v>2122</v>
      </c>
    </row>
    <row r="137" spans="1:4" x14ac:dyDescent="0.25">
      <c r="A137" s="39" t="s">
        <v>1254</v>
      </c>
      <c r="B137" s="39" t="s">
        <v>645</v>
      </c>
      <c r="C137" s="39">
        <v>3</v>
      </c>
      <c r="D137" s="39" t="s">
        <v>2122</v>
      </c>
    </row>
    <row r="138" spans="1:4" x14ac:dyDescent="0.25">
      <c r="A138" s="39" t="s">
        <v>995</v>
      </c>
      <c r="B138" s="39" t="s">
        <v>581</v>
      </c>
      <c r="C138" s="39">
        <v>3</v>
      </c>
      <c r="D138" s="39" t="s">
        <v>2122</v>
      </c>
    </row>
    <row r="139" spans="1:4" x14ac:dyDescent="0.25">
      <c r="A139" s="39" t="s">
        <v>1571</v>
      </c>
      <c r="B139" s="39" t="s">
        <v>102</v>
      </c>
      <c r="C139" s="39">
        <v>3</v>
      </c>
      <c r="D139" s="39" t="s">
        <v>2122</v>
      </c>
    </row>
    <row r="140" spans="1:4" x14ac:dyDescent="0.25">
      <c r="A140" s="39" t="s">
        <v>1288</v>
      </c>
      <c r="B140" s="39" t="s">
        <v>978</v>
      </c>
      <c r="C140" s="39">
        <v>3</v>
      </c>
      <c r="D140" s="39" t="s">
        <v>2122</v>
      </c>
    </row>
    <row r="141" spans="1:4" x14ac:dyDescent="0.25">
      <c r="A141" s="39" t="s">
        <v>872</v>
      </c>
      <c r="B141" s="39" t="s">
        <v>979</v>
      </c>
      <c r="C141" s="39">
        <v>3</v>
      </c>
      <c r="D141" s="39" t="s">
        <v>2122</v>
      </c>
    </row>
    <row r="142" spans="1:4" x14ac:dyDescent="0.25">
      <c r="A142" s="39" t="s">
        <v>1892</v>
      </c>
      <c r="B142" s="39" t="s">
        <v>3110</v>
      </c>
      <c r="C142" s="39">
        <v>3</v>
      </c>
      <c r="D142" s="39" t="s">
        <v>2122</v>
      </c>
    </row>
    <row r="143" spans="1:4" x14ac:dyDescent="0.25">
      <c r="A143" s="39" t="s">
        <v>1098</v>
      </c>
      <c r="B143" s="39" t="s">
        <v>1132</v>
      </c>
      <c r="C143" s="39">
        <v>3</v>
      </c>
      <c r="D143" s="39" t="s">
        <v>2122</v>
      </c>
    </row>
    <row r="144" spans="1:4" x14ac:dyDescent="0.25">
      <c r="A144" s="39" t="s">
        <v>3141</v>
      </c>
      <c r="B144" s="39" t="s">
        <v>3142</v>
      </c>
      <c r="C144" s="39">
        <v>3</v>
      </c>
      <c r="D144" s="39" t="s">
        <v>2122</v>
      </c>
    </row>
    <row r="145" spans="1:4" x14ac:dyDescent="0.25">
      <c r="A145" s="39" t="s">
        <v>828</v>
      </c>
      <c r="B145" s="39" t="s">
        <v>178</v>
      </c>
      <c r="C145" s="39">
        <v>3</v>
      </c>
      <c r="D145" s="39" t="s">
        <v>2122</v>
      </c>
    </row>
    <row r="146" spans="1:4" x14ac:dyDescent="0.25">
      <c r="A146" s="39" t="s">
        <v>2050</v>
      </c>
      <c r="B146" s="39" t="s">
        <v>1784</v>
      </c>
      <c r="C146" s="39">
        <v>3</v>
      </c>
      <c r="D146" s="39" t="s">
        <v>2122</v>
      </c>
    </row>
    <row r="147" spans="1:4" x14ac:dyDescent="0.25">
      <c r="A147" s="39" t="s">
        <v>1572</v>
      </c>
      <c r="B147" s="39" t="s">
        <v>1144</v>
      </c>
      <c r="C147" s="39">
        <v>3</v>
      </c>
      <c r="D147" s="39" t="s">
        <v>2122</v>
      </c>
    </row>
    <row r="148" spans="1:4" x14ac:dyDescent="0.25">
      <c r="A148" s="39" t="s">
        <v>5011</v>
      </c>
      <c r="B148" s="39" t="s">
        <v>5012</v>
      </c>
      <c r="C148" s="39">
        <v>3</v>
      </c>
      <c r="D148" s="39" t="s">
        <v>2122</v>
      </c>
    </row>
    <row r="149" spans="1:4" x14ac:dyDescent="0.25">
      <c r="A149" s="39" t="s">
        <v>1576</v>
      </c>
      <c r="B149" s="39" t="s">
        <v>78</v>
      </c>
      <c r="C149" s="39">
        <v>3</v>
      </c>
      <c r="D149" s="39" t="s">
        <v>2122</v>
      </c>
    </row>
    <row r="150" spans="1:4" x14ac:dyDescent="0.25">
      <c r="A150" s="39" t="s">
        <v>1577</v>
      </c>
      <c r="B150" s="39" t="s">
        <v>911</v>
      </c>
      <c r="C150" s="39">
        <v>3</v>
      </c>
      <c r="D150" s="39" t="s">
        <v>2122</v>
      </c>
    </row>
    <row r="151" spans="1:4" x14ac:dyDescent="0.25">
      <c r="A151" s="39" t="s">
        <v>1031</v>
      </c>
      <c r="B151" s="39" t="s">
        <v>820</v>
      </c>
      <c r="C151" s="39">
        <v>3</v>
      </c>
      <c r="D151" s="39" t="s">
        <v>2122</v>
      </c>
    </row>
    <row r="152" spans="1:4" x14ac:dyDescent="0.25">
      <c r="A152" s="39" t="s">
        <v>660</v>
      </c>
      <c r="B152" s="39" t="s">
        <v>982</v>
      </c>
      <c r="C152" s="39">
        <v>3</v>
      </c>
      <c r="D152" s="39" t="s">
        <v>2122</v>
      </c>
    </row>
    <row r="153" spans="1:4" x14ac:dyDescent="0.25">
      <c r="A153" s="39" t="s">
        <v>2689</v>
      </c>
      <c r="B153" s="39" t="s">
        <v>2330</v>
      </c>
      <c r="C153" s="39">
        <v>3</v>
      </c>
      <c r="D153" s="39" t="s">
        <v>2122</v>
      </c>
    </row>
    <row r="154" spans="1:4" x14ac:dyDescent="0.25">
      <c r="A154" s="39" t="s">
        <v>6972</v>
      </c>
      <c r="B154" s="39" t="s">
        <v>6973</v>
      </c>
      <c r="C154" s="39">
        <v>3</v>
      </c>
      <c r="D154" s="39" t="s">
        <v>2122</v>
      </c>
    </row>
    <row r="155" spans="1:4" x14ac:dyDescent="0.25">
      <c r="A155" s="39" t="s">
        <v>1394</v>
      </c>
      <c r="B155" s="39" t="s">
        <v>6815</v>
      </c>
      <c r="C155" s="39">
        <v>3</v>
      </c>
      <c r="D155" s="39" t="s">
        <v>2122</v>
      </c>
    </row>
    <row r="156" spans="1:4" x14ac:dyDescent="0.25">
      <c r="A156" s="39" t="s">
        <v>1097</v>
      </c>
      <c r="B156" s="39" t="s">
        <v>2052</v>
      </c>
      <c r="C156" s="39">
        <v>3</v>
      </c>
      <c r="D156" s="39" t="s">
        <v>2122</v>
      </c>
    </row>
    <row r="157" spans="1:4" x14ac:dyDescent="0.25">
      <c r="A157" s="39" t="s">
        <v>3150</v>
      </c>
      <c r="B157" s="39" t="s">
        <v>3151</v>
      </c>
      <c r="C157" s="39">
        <v>3</v>
      </c>
      <c r="D157" s="39" t="s">
        <v>2122</v>
      </c>
    </row>
    <row r="158" spans="1:4" x14ac:dyDescent="0.25">
      <c r="A158" s="39" t="s">
        <v>1578</v>
      </c>
      <c r="B158" s="39" t="s">
        <v>1123</v>
      </c>
      <c r="C158" s="39">
        <v>3</v>
      </c>
      <c r="D158" s="39" t="s">
        <v>2122</v>
      </c>
    </row>
    <row r="159" spans="1:4" x14ac:dyDescent="0.25">
      <c r="A159" s="39" t="s">
        <v>2654</v>
      </c>
      <c r="B159" s="39" t="s">
        <v>2607</v>
      </c>
      <c r="C159" s="39">
        <v>3</v>
      </c>
      <c r="D159" s="39" t="s">
        <v>2122</v>
      </c>
    </row>
    <row r="160" spans="1:4" x14ac:dyDescent="0.25">
      <c r="A160" s="39" t="s">
        <v>2037</v>
      </c>
      <c r="B160" s="39" t="s">
        <v>2038</v>
      </c>
      <c r="C160" s="39">
        <v>3</v>
      </c>
      <c r="D160" s="39" t="s">
        <v>2122</v>
      </c>
    </row>
    <row r="161" spans="1:4" x14ac:dyDescent="0.25">
      <c r="A161" s="39" t="s">
        <v>1581</v>
      </c>
      <c r="B161" s="39" t="s">
        <v>611</v>
      </c>
      <c r="C161" s="39">
        <v>3</v>
      </c>
      <c r="D161" s="39" t="s">
        <v>2122</v>
      </c>
    </row>
    <row r="162" spans="1:4" x14ac:dyDescent="0.25">
      <c r="A162" s="39" t="s">
        <v>1582</v>
      </c>
      <c r="B162" s="39" t="s">
        <v>1169</v>
      </c>
      <c r="C162" s="39">
        <v>3</v>
      </c>
      <c r="D162" s="39" t="s">
        <v>2122</v>
      </c>
    </row>
    <row r="163" spans="1:4" x14ac:dyDescent="0.25">
      <c r="A163" s="39" t="s">
        <v>455</v>
      </c>
      <c r="B163" s="39" t="s">
        <v>745</v>
      </c>
      <c r="C163" s="39">
        <v>3</v>
      </c>
      <c r="D163" s="39" t="s">
        <v>2122</v>
      </c>
    </row>
    <row r="164" spans="1:4" x14ac:dyDescent="0.25">
      <c r="A164" s="39" t="s">
        <v>2192</v>
      </c>
      <c r="B164" s="39" t="s">
        <v>985</v>
      </c>
      <c r="C164" s="39">
        <v>3</v>
      </c>
      <c r="D164" s="39" t="s">
        <v>2122</v>
      </c>
    </row>
    <row r="165" spans="1:4" x14ac:dyDescent="0.25">
      <c r="A165" s="39" t="s">
        <v>1317</v>
      </c>
      <c r="B165" s="39" t="s">
        <v>2193</v>
      </c>
      <c r="C165" s="39">
        <v>3</v>
      </c>
      <c r="D165" s="39" t="s">
        <v>2122</v>
      </c>
    </row>
    <row r="166" spans="1:4" x14ac:dyDescent="0.25">
      <c r="A166" s="39" t="s">
        <v>2054</v>
      </c>
      <c r="B166" s="39" t="s">
        <v>2055</v>
      </c>
      <c r="C166" s="39">
        <v>3</v>
      </c>
      <c r="D166" s="39" t="s">
        <v>2122</v>
      </c>
    </row>
    <row r="167" spans="1:4" x14ac:dyDescent="0.25">
      <c r="A167" s="39" t="s">
        <v>1583</v>
      </c>
      <c r="B167" s="39" t="s">
        <v>1016</v>
      </c>
      <c r="C167" s="39">
        <v>3</v>
      </c>
      <c r="D167" s="39" t="s">
        <v>2122</v>
      </c>
    </row>
    <row r="168" spans="1:4" x14ac:dyDescent="0.25">
      <c r="A168" s="39" t="s">
        <v>1585</v>
      </c>
      <c r="B168" s="39" t="s">
        <v>1092</v>
      </c>
      <c r="C168" s="39">
        <v>3</v>
      </c>
      <c r="D168" s="39" t="s">
        <v>2122</v>
      </c>
    </row>
    <row r="169" spans="1:4" x14ac:dyDescent="0.25">
      <c r="A169" s="39" t="s">
        <v>853</v>
      </c>
      <c r="B169" s="39" t="s">
        <v>930</v>
      </c>
      <c r="C169" s="39">
        <v>3</v>
      </c>
      <c r="D169" s="39" t="s">
        <v>2122</v>
      </c>
    </row>
    <row r="170" spans="1:4" x14ac:dyDescent="0.25">
      <c r="A170" s="39" t="s">
        <v>1193</v>
      </c>
      <c r="B170" s="39" t="s">
        <v>1091</v>
      </c>
      <c r="C170" s="39">
        <v>3</v>
      </c>
      <c r="D170" s="39" t="s">
        <v>2122</v>
      </c>
    </row>
    <row r="171" spans="1:4" x14ac:dyDescent="0.25">
      <c r="A171" s="39" t="s">
        <v>1588</v>
      </c>
      <c r="B171" s="39" t="s">
        <v>315</v>
      </c>
      <c r="C171" s="39">
        <v>3</v>
      </c>
      <c r="D171" s="39" t="s">
        <v>2122</v>
      </c>
    </row>
    <row r="172" spans="1:4" x14ac:dyDescent="0.25">
      <c r="A172" s="39" t="s">
        <v>10471</v>
      </c>
      <c r="B172" s="39" t="s">
        <v>10472</v>
      </c>
      <c r="C172" s="39">
        <v>3</v>
      </c>
      <c r="D172" s="39" t="s">
        <v>2122</v>
      </c>
    </row>
    <row r="173" spans="1:4" x14ac:dyDescent="0.25">
      <c r="A173" s="39" t="s">
        <v>700</v>
      </c>
      <c r="B173" s="39" t="s">
        <v>929</v>
      </c>
      <c r="C173" s="39">
        <v>3</v>
      </c>
      <c r="D173" s="39" t="s">
        <v>2122</v>
      </c>
    </row>
    <row r="174" spans="1:4" x14ac:dyDescent="0.25">
      <c r="A174" s="39" t="s">
        <v>10473</v>
      </c>
      <c r="B174" s="39" t="s">
        <v>10474</v>
      </c>
      <c r="C174" s="39">
        <v>3</v>
      </c>
      <c r="D174" s="39" t="s">
        <v>2122</v>
      </c>
    </row>
    <row r="175" spans="1:4" x14ac:dyDescent="0.25">
      <c r="A175" s="39" t="s">
        <v>394</v>
      </c>
      <c r="B175" s="39" t="s">
        <v>493</v>
      </c>
      <c r="C175" s="39">
        <v>3</v>
      </c>
      <c r="D175" s="39" t="s">
        <v>2122</v>
      </c>
    </row>
    <row r="176" spans="1:4" x14ac:dyDescent="0.25">
      <c r="A176" s="39" t="s">
        <v>1590</v>
      </c>
      <c r="B176" s="39" t="s">
        <v>1089</v>
      </c>
      <c r="C176" s="39">
        <v>3</v>
      </c>
      <c r="D176" s="39" t="s">
        <v>2122</v>
      </c>
    </row>
    <row r="177" spans="1:4" x14ac:dyDescent="0.25">
      <c r="A177" s="39" t="s">
        <v>3111</v>
      </c>
      <c r="B177" s="39" t="s">
        <v>2742</v>
      </c>
      <c r="C177" s="39">
        <v>3</v>
      </c>
      <c r="D177" s="39" t="s">
        <v>2122</v>
      </c>
    </row>
    <row r="178" spans="1:4" x14ac:dyDescent="0.25">
      <c r="A178" s="39" t="s">
        <v>140</v>
      </c>
      <c r="B178" s="39" t="s">
        <v>984</v>
      </c>
      <c r="C178" s="39">
        <v>3</v>
      </c>
      <c r="D178" s="39" t="s">
        <v>2122</v>
      </c>
    </row>
    <row r="179" spans="1:4" x14ac:dyDescent="0.25">
      <c r="A179" s="39" t="s">
        <v>2346</v>
      </c>
      <c r="B179" s="39" t="s">
        <v>6816</v>
      </c>
      <c r="C179" s="39">
        <v>3</v>
      </c>
      <c r="D179" s="39" t="s">
        <v>2122</v>
      </c>
    </row>
    <row r="180" spans="1:4" x14ac:dyDescent="0.25">
      <c r="A180" s="39" t="s">
        <v>1850</v>
      </c>
      <c r="B180" s="39" t="s">
        <v>119</v>
      </c>
      <c r="C180" s="39">
        <v>3</v>
      </c>
      <c r="D180" s="39" t="s">
        <v>2122</v>
      </c>
    </row>
    <row r="181" spans="1:4" x14ac:dyDescent="0.25">
      <c r="A181" s="39" t="s">
        <v>1529</v>
      </c>
      <c r="B181" s="39" t="s">
        <v>2194</v>
      </c>
      <c r="C181" s="39">
        <v>3</v>
      </c>
      <c r="D181" s="39" t="s">
        <v>2122</v>
      </c>
    </row>
    <row r="182" spans="1:4" x14ac:dyDescent="0.25">
      <c r="A182" s="39" t="s">
        <v>5056</v>
      </c>
      <c r="B182" s="39" t="s">
        <v>5057</v>
      </c>
      <c r="C182" s="39">
        <v>3</v>
      </c>
      <c r="D182" s="39" t="s">
        <v>2122</v>
      </c>
    </row>
    <row r="183" spans="1:4" x14ac:dyDescent="0.25">
      <c r="A183" s="39" t="s">
        <v>1591</v>
      </c>
      <c r="B183" s="39" t="s">
        <v>847</v>
      </c>
      <c r="C183" s="39">
        <v>3</v>
      </c>
      <c r="D183" s="39" t="s">
        <v>2122</v>
      </c>
    </row>
    <row r="184" spans="1:4" x14ac:dyDescent="0.25">
      <c r="A184" s="39" t="s">
        <v>1424</v>
      </c>
      <c r="B184" s="39" t="s">
        <v>555</v>
      </c>
      <c r="C184" s="39">
        <v>3</v>
      </c>
      <c r="D184" s="39" t="s">
        <v>2122</v>
      </c>
    </row>
    <row r="185" spans="1:4" x14ac:dyDescent="0.25">
      <c r="A185" s="39" t="s">
        <v>2061</v>
      </c>
      <c r="B185" s="39" t="s">
        <v>1486</v>
      </c>
      <c r="C185" s="39">
        <v>3</v>
      </c>
      <c r="D185" s="39" t="s">
        <v>2122</v>
      </c>
    </row>
    <row r="186" spans="1:4" x14ac:dyDescent="0.25">
      <c r="A186" s="39" t="s">
        <v>1593</v>
      </c>
      <c r="B186" s="39" t="s">
        <v>614</v>
      </c>
      <c r="C186" s="39">
        <v>3</v>
      </c>
      <c r="D186" s="39" t="s">
        <v>2122</v>
      </c>
    </row>
    <row r="187" spans="1:4" x14ac:dyDescent="0.25">
      <c r="A187" s="39" t="s">
        <v>1594</v>
      </c>
      <c r="B187" s="39" t="s">
        <v>1243</v>
      </c>
      <c r="C187" s="39">
        <v>3</v>
      </c>
      <c r="D187" s="39" t="s">
        <v>2122</v>
      </c>
    </row>
    <row r="188" spans="1:4" x14ac:dyDescent="0.25">
      <c r="A188" s="39" t="s">
        <v>3114</v>
      </c>
      <c r="B188" s="39" t="s">
        <v>1114</v>
      </c>
      <c r="C188" s="39">
        <v>3</v>
      </c>
      <c r="D188" s="39" t="s">
        <v>2122</v>
      </c>
    </row>
    <row r="189" spans="1:4" x14ac:dyDescent="0.25">
      <c r="A189" s="39" t="s">
        <v>1598</v>
      </c>
      <c r="B189" s="39" t="s">
        <v>584</v>
      </c>
      <c r="C189" s="39">
        <v>3</v>
      </c>
      <c r="D189" s="39" t="s">
        <v>2122</v>
      </c>
    </row>
    <row r="190" spans="1:4" x14ac:dyDescent="0.25">
      <c r="A190" s="39" t="s">
        <v>3115</v>
      </c>
      <c r="B190" s="39" t="s">
        <v>110</v>
      </c>
      <c r="C190" s="39">
        <v>3</v>
      </c>
      <c r="D190" s="39" t="s">
        <v>2122</v>
      </c>
    </row>
    <row r="191" spans="1:4" x14ac:dyDescent="0.25">
      <c r="A191" s="39" t="s">
        <v>1599</v>
      </c>
      <c r="B191" s="39" t="s">
        <v>726</v>
      </c>
      <c r="C191" s="39">
        <v>3</v>
      </c>
      <c r="D191" s="39" t="s">
        <v>2122</v>
      </c>
    </row>
    <row r="192" spans="1:4" x14ac:dyDescent="0.25">
      <c r="A192" s="39" t="s">
        <v>10475</v>
      </c>
      <c r="B192" s="39" t="s">
        <v>10476</v>
      </c>
      <c r="C192" s="39">
        <v>3</v>
      </c>
      <c r="D192" s="39" t="s">
        <v>2122</v>
      </c>
    </row>
    <row r="193" spans="1:4" x14ac:dyDescent="0.25">
      <c r="A193" s="39" t="s">
        <v>3160</v>
      </c>
      <c r="B193" s="39" t="s">
        <v>3161</v>
      </c>
      <c r="C193" s="39">
        <v>3</v>
      </c>
      <c r="D193" s="39" t="s">
        <v>2122</v>
      </c>
    </row>
    <row r="194" spans="1:4" x14ac:dyDescent="0.25">
      <c r="A194" s="39" t="s">
        <v>5067</v>
      </c>
      <c r="B194" s="39" t="s">
        <v>5068</v>
      </c>
      <c r="C194" s="39">
        <v>3</v>
      </c>
      <c r="D194" s="39" t="s">
        <v>2122</v>
      </c>
    </row>
    <row r="195" spans="1:4" x14ac:dyDescent="0.25">
      <c r="A195" s="39" t="s">
        <v>1245</v>
      </c>
      <c r="B195" s="39" t="s">
        <v>2063</v>
      </c>
      <c r="C195" s="39">
        <v>3</v>
      </c>
      <c r="D195" s="39" t="s">
        <v>2122</v>
      </c>
    </row>
    <row r="196" spans="1:4" x14ac:dyDescent="0.25">
      <c r="A196" s="39" t="s">
        <v>1573</v>
      </c>
      <c r="B196" s="39" t="s">
        <v>2196</v>
      </c>
      <c r="C196" s="39">
        <v>3</v>
      </c>
      <c r="D196" s="39" t="s">
        <v>2122</v>
      </c>
    </row>
    <row r="197" spans="1:4" x14ac:dyDescent="0.25">
      <c r="A197" s="39" t="s">
        <v>2392</v>
      </c>
      <c r="B197" s="39" t="s">
        <v>1085</v>
      </c>
      <c r="C197" s="39">
        <v>3</v>
      </c>
      <c r="D197" s="39" t="s">
        <v>2122</v>
      </c>
    </row>
    <row r="198" spans="1:4" x14ac:dyDescent="0.25">
      <c r="A198" s="39" t="s">
        <v>114</v>
      </c>
      <c r="B198" s="39" t="s">
        <v>2659</v>
      </c>
      <c r="C198" s="39">
        <v>3</v>
      </c>
      <c r="D198" s="39" t="s">
        <v>2122</v>
      </c>
    </row>
    <row r="199" spans="1:4" x14ac:dyDescent="0.25">
      <c r="A199" s="39" t="s">
        <v>782</v>
      </c>
      <c r="B199" s="39" t="s">
        <v>841</v>
      </c>
      <c r="C199" s="39">
        <v>3</v>
      </c>
      <c r="D199" s="39" t="s">
        <v>2122</v>
      </c>
    </row>
    <row r="200" spans="1:4" x14ac:dyDescent="0.25">
      <c r="A200" s="39" t="s">
        <v>1600</v>
      </c>
      <c r="B200" s="39" t="s">
        <v>932</v>
      </c>
      <c r="C200" s="39">
        <v>3</v>
      </c>
      <c r="D200" s="39" t="s">
        <v>2122</v>
      </c>
    </row>
    <row r="201" spans="1:4" x14ac:dyDescent="0.25">
      <c r="A201" s="39" t="s">
        <v>3445</v>
      </c>
      <c r="B201" s="39" t="s">
        <v>3722</v>
      </c>
      <c r="C201" s="39">
        <v>3</v>
      </c>
      <c r="D201" s="39" t="s">
        <v>2122</v>
      </c>
    </row>
    <row r="202" spans="1:4" x14ac:dyDescent="0.25">
      <c r="A202" s="39" t="s">
        <v>2588</v>
      </c>
      <c r="B202" s="39" t="s">
        <v>390</v>
      </c>
      <c r="C202" s="39">
        <v>3</v>
      </c>
      <c r="D202" s="39" t="s">
        <v>2122</v>
      </c>
    </row>
    <row r="203" spans="1:4" x14ac:dyDescent="0.25">
      <c r="A203" s="39" t="s">
        <v>2972</v>
      </c>
      <c r="B203" s="39" t="s">
        <v>2769</v>
      </c>
      <c r="C203" s="39">
        <v>3</v>
      </c>
      <c r="D203" s="39" t="s">
        <v>2122</v>
      </c>
    </row>
    <row r="204" spans="1:4" x14ac:dyDescent="0.25">
      <c r="A204" s="39" t="s">
        <v>10477</v>
      </c>
      <c r="B204" s="39" t="s">
        <v>4889</v>
      </c>
      <c r="C204" s="39">
        <v>3</v>
      </c>
      <c r="D204" s="39" t="s">
        <v>2122</v>
      </c>
    </row>
    <row r="205" spans="1:4" x14ac:dyDescent="0.25">
      <c r="A205" s="39" t="s">
        <v>931</v>
      </c>
      <c r="B205" s="39" t="s">
        <v>1172</v>
      </c>
      <c r="C205" s="39">
        <v>3</v>
      </c>
      <c r="D205" s="39" t="s">
        <v>2122</v>
      </c>
    </row>
    <row r="206" spans="1:4" x14ac:dyDescent="0.25">
      <c r="A206" s="39" t="s">
        <v>2351</v>
      </c>
      <c r="B206" s="39" t="s">
        <v>2310</v>
      </c>
      <c r="C206" s="39">
        <v>3</v>
      </c>
      <c r="D206" s="39" t="s">
        <v>2122</v>
      </c>
    </row>
    <row r="207" spans="1:4" x14ac:dyDescent="0.25">
      <c r="A207" s="39" t="s">
        <v>1602</v>
      </c>
      <c r="B207" s="39" t="s">
        <v>986</v>
      </c>
      <c r="C207" s="39">
        <v>3</v>
      </c>
      <c r="D207" s="39" t="s">
        <v>2122</v>
      </c>
    </row>
    <row r="208" spans="1:4" x14ac:dyDescent="0.25">
      <c r="A208" s="39" t="s">
        <v>1603</v>
      </c>
      <c r="B208" s="39" t="s">
        <v>1604</v>
      </c>
      <c r="C208" s="39">
        <v>3</v>
      </c>
      <c r="D208" s="39" t="s">
        <v>2122</v>
      </c>
    </row>
    <row r="209" spans="1:4" x14ac:dyDescent="0.25">
      <c r="A209" s="39" t="s">
        <v>2676</v>
      </c>
      <c r="B209" s="39" t="s">
        <v>996</v>
      </c>
      <c r="C209" s="39">
        <v>3</v>
      </c>
      <c r="D209" s="39" t="s">
        <v>2122</v>
      </c>
    </row>
    <row r="210" spans="1:4" x14ac:dyDescent="0.25">
      <c r="A210" s="39" t="s">
        <v>719</v>
      </c>
      <c r="B210" s="39" t="s">
        <v>1262</v>
      </c>
      <c r="C210" s="39">
        <v>3</v>
      </c>
      <c r="D210" s="39" t="s">
        <v>2122</v>
      </c>
    </row>
    <row r="211" spans="1:4" x14ac:dyDescent="0.25">
      <c r="A211" s="39" t="s">
        <v>537</v>
      </c>
      <c r="B211" s="39" t="s">
        <v>2066</v>
      </c>
      <c r="C211" s="39">
        <v>3</v>
      </c>
      <c r="D211" s="39" t="s">
        <v>2122</v>
      </c>
    </row>
    <row r="212" spans="1:4" x14ac:dyDescent="0.25">
      <c r="A212" s="39" t="s">
        <v>1606</v>
      </c>
      <c r="B212" s="39" t="s">
        <v>850</v>
      </c>
      <c r="C212" s="39">
        <v>3</v>
      </c>
      <c r="D212" s="39" t="s">
        <v>2122</v>
      </c>
    </row>
    <row r="213" spans="1:4" x14ac:dyDescent="0.25">
      <c r="A213" s="39" t="s">
        <v>1326</v>
      </c>
      <c r="B213" s="39" t="s">
        <v>519</v>
      </c>
      <c r="C213" s="39">
        <v>3</v>
      </c>
      <c r="D213" s="39" t="s">
        <v>2122</v>
      </c>
    </row>
    <row r="214" spans="1:4" x14ac:dyDescent="0.25">
      <c r="A214" s="39" t="s">
        <v>1395</v>
      </c>
      <c r="B214" s="39" t="s">
        <v>610</v>
      </c>
      <c r="C214" s="39">
        <v>3</v>
      </c>
      <c r="D214" s="39" t="s">
        <v>2122</v>
      </c>
    </row>
    <row r="215" spans="1:4" x14ac:dyDescent="0.25">
      <c r="A215" s="39" t="s">
        <v>1860</v>
      </c>
      <c r="B215" s="39" t="s">
        <v>1371</v>
      </c>
      <c r="C215" s="39">
        <v>3</v>
      </c>
      <c r="D215" s="39" t="s">
        <v>2122</v>
      </c>
    </row>
    <row r="216" spans="1:4" x14ac:dyDescent="0.25">
      <c r="A216" s="39" t="s">
        <v>2364</v>
      </c>
      <c r="B216" s="39" t="s">
        <v>1413</v>
      </c>
      <c r="C216" s="39">
        <v>3</v>
      </c>
      <c r="D216" s="39" t="s">
        <v>2122</v>
      </c>
    </row>
    <row r="217" spans="1:4" x14ac:dyDescent="0.25">
      <c r="A217" s="39" t="s">
        <v>1608</v>
      </c>
      <c r="B217" s="39" t="s">
        <v>533</v>
      </c>
      <c r="C217" s="39">
        <v>3</v>
      </c>
      <c r="D217" s="39" t="s">
        <v>2122</v>
      </c>
    </row>
    <row r="218" spans="1:4" x14ac:dyDescent="0.25">
      <c r="A218" s="39" t="s">
        <v>1609</v>
      </c>
      <c r="B218" s="39" t="s">
        <v>1103</v>
      </c>
      <c r="C218" s="39">
        <v>3</v>
      </c>
      <c r="D218" s="39" t="s">
        <v>2122</v>
      </c>
    </row>
    <row r="219" spans="1:4" x14ac:dyDescent="0.25">
      <c r="A219" s="39" t="s">
        <v>3171</v>
      </c>
      <c r="B219" s="39" t="s">
        <v>2537</v>
      </c>
      <c r="C219" s="39">
        <v>3</v>
      </c>
      <c r="D219" s="39" t="s">
        <v>2122</v>
      </c>
    </row>
    <row r="220" spans="1:4" x14ac:dyDescent="0.25">
      <c r="A220" s="39" t="s">
        <v>668</v>
      </c>
      <c r="B220" s="39" t="s">
        <v>232</v>
      </c>
      <c r="C220" s="39">
        <v>3</v>
      </c>
      <c r="D220" s="39" t="s">
        <v>2122</v>
      </c>
    </row>
    <row r="221" spans="1:4" x14ac:dyDescent="0.25">
      <c r="A221" s="39" t="s">
        <v>691</v>
      </c>
      <c r="B221" s="39" t="s">
        <v>1175</v>
      </c>
      <c r="C221" s="39">
        <v>3</v>
      </c>
      <c r="D221" s="39" t="s">
        <v>2122</v>
      </c>
    </row>
    <row r="222" spans="1:4" x14ac:dyDescent="0.25">
      <c r="A222" s="39" t="s">
        <v>538</v>
      </c>
      <c r="B222" s="39" t="s">
        <v>933</v>
      </c>
      <c r="C222" s="39">
        <v>3</v>
      </c>
      <c r="D222" s="39" t="s">
        <v>2122</v>
      </c>
    </row>
    <row r="223" spans="1:4" x14ac:dyDescent="0.25">
      <c r="A223" s="39" t="s">
        <v>34</v>
      </c>
      <c r="B223" s="39" t="s">
        <v>250</v>
      </c>
      <c r="C223" s="39">
        <v>3</v>
      </c>
      <c r="D223" s="39" t="s">
        <v>2122</v>
      </c>
    </row>
    <row r="224" spans="1:4" x14ac:dyDescent="0.25">
      <c r="A224" s="39" t="s">
        <v>1610</v>
      </c>
      <c r="B224" s="39" t="s">
        <v>122</v>
      </c>
      <c r="C224" s="39">
        <v>3</v>
      </c>
      <c r="D224" s="39" t="s">
        <v>2122</v>
      </c>
    </row>
    <row r="225" spans="1:4" x14ac:dyDescent="0.25">
      <c r="A225" s="39" t="s">
        <v>2655</v>
      </c>
      <c r="B225" s="39" t="s">
        <v>1212</v>
      </c>
      <c r="C225" s="39">
        <v>3</v>
      </c>
      <c r="D225" s="39" t="s">
        <v>2122</v>
      </c>
    </row>
    <row r="226" spans="1:4" x14ac:dyDescent="0.25">
      <c r="A226" s="39" t="s">
        <v>1614</v>
      </c>
      <c r="B226" s="39" t="s">
        <v>1055</v>
      </c>
      <c r="C226" s="39">
        <v>3</v>
      </c>
      <c r="D226" s="39" t="s">
        <v>2122</v>
      </c>
    </row>
    <row r="227" spans="1:4" x14ac:dyDescent="0.25">
      <c r="A227" s="39" t="s">
        <v>1675</v>
      </c>
      <c r="B227" s="39" t="s">
        <v>1402</v>
      </c>
      <c r="C227" s="39">
        <v>3</v>
      </c>
      <c r="D227" s="39" t="s">
        <v>2122</v>
      </c>
    </row>
    <row r="228" spans="1:4" x14ac:dyDescent="0.25">
      <c r="A228" s="39" t="s">
        <v>3174</v>
      </c>
      <c r="B228" s="39" t="s">
        <v>3175</v>
      </c>
      <c r="C228" s="39">
        <v>3</v>
      </c>
      <c r="D228" s="39" t="s">
        <v>2122</v>
      </c>
    </row>
    <row r="229" spans="1:4" x14ac:dyDescent="0.25">
      <c r="A229" s="39" t="s">
        <v>210</v>
      </c>
      <c r="B229" s="39" t="s">
        <v>1149</v>
      </c>
      <c r="C229" s="39">
        <v>3</v>
      </c>
      <c r="D229" s="39" t="s">
        <v>2122</v>
      </c>
    </row>
    <row r="230" spans="1:4" x14ac:dyDescent="0.25">
      <c r="A230" s="39" t="s">
        <v>1618</v>
      </c>
      <c r="B230" s="39" t="s">
        <v>392</v>
      </c>
      <c r="C230" s="39">
        <v>3</v>
      </c>
      <c r="D230" s="39" t="s">
        <v>2122</v>
      </c>
    </row>
    <row r="231" spans="1:4" x14ac:dyDescent="0.25">
      <c r="A231" s="39" t="s">
        <v>10478</v>
      </c>
      <c r="B231" s="39" t="s">
        <v>5108</v>
      </c>
      <c r="C231" s="39">
        <v>3</v>
      </c>
      <c r="D231" s="39" t="s">
        <v>2122</v>
      </c>
    </row>
    <row r="232" spans="1:4" x14ac:dyDescent="0.25">
      <c r="A232" s="39" t="s">
        <v>331</v>
      </c>
      <c r="B232" s="39" t="s">
        <v>849</v>
      </c>
      <c r="C232" s="39">
        <v>3</v>
      </c>
      <c r="D232" s="39" t="s">
        <v>2122</v>
      </c>
    </row>
    <row r="233" spans="1:4" x14ac:dyDescent="0.25">
      <c r="A233" s="39" t="s">
        <v>2162</v>
      </c>
      <c r="B233" s="39" t="s">
        <v>2163</v>
      </c>
      <c r="C233" s="39">
        <v>3</v>
      </c>
      <c r="D233" s="39" t="s">
        <v>2122</v>
      </c>
    </row>
    <row r="234" spans="1:4" x14ac:dyDescent="0.25">
      <c r="A234" s="39" t="s">
        <v>470</v>
      </c>
      <c r="B234" s="39" t="s">
        <v>987</v>
      </c>
      <c r="C234" s="39">
        <v>3</v>
      </c>
      <c r="D234" s="39" t="s">
        <v>2122</v>
      </c>
    </row>
    <row r="235" spans="1:4" x14ac:dyDescent="0.25">
      <c r="A235" s="39" t="s">
        <v>2039</v>
      </c>
      <c r="B235" s="39" t="s">
        <v>2040</v>
      </c>
      <c r="C235" s="39">
        <v>3</v>
      </c>
      <c r="D235" s="39" t="s">
        <v>2122</v>
      </c>
    </row>
    <row r="236" spans="1:4" x14ac:dyDescent="0.25">
      <c r="A236" s="39" t="s">
        <v>3116</v>
      </c>
      <c r="B236" s="39" t="s">
        <v>3019</v>
      </c>
      <c r="C236" s="39">
        <v>3</v>
      </c>
      <c r="D236" s="39" t="s">
        <v>2122</v>
      </c>
    </row>
    <row r="237" spans="1:4" x14ac:dyDescent="0.25">
      <c r="A237" s="39" t="s">
        <v>1867</v>
      </c>
      <c r="B237" s="39" t="s">
        <v>29</v>
      </c>
      <c r="C237" s="39">
        <v>3</v>
      </c>
      <c r="D237" s="39" t="s">
        <v>2122</v>
      </c>
    </row>
    <row r="238" spans="1:4" x14ac:dyDescent="0.25">
      <c r="A238" s="39" t="s">
        <v>2203</v>
      </c>
      <c r="B238" s="39" t="s">
        <v>1993</v>
      </c>
      <c r="C238" s="39">
        <v>3</v>
      </c>
      <c r="D238" s="39" t="s">
        <v>2122</v>
      </c>
    </row>
    <row r="239" spans="1:4" x14ac:dyDescent="0.25">
      <c r="A239" s="39" t="s">
        <v>259</v>
      </c>
      <c r="B239" s="39" t="s">
        <v>3117</v>
      </c>
      <c r="C239" s="39">
        <v>3</v>
      </c>
      <c r="D239" s="39" t="s">
        <v>2122</v>
      </c>
    </row>
    <row r="240" spans="1:4" x14ac:dyDescent="0.25">
      <c r="A240" s="39" t="s">
        <v>3179</v>
      </c>
      <c r="B240" s="39" t="s">
        <v>3180</v>
      </c>
      <c r="C240" s="39">
        <v>3</v>
      </c>
      <c r="D240" s="39" t="s">
        <v>2122</v>
      </c>
    </row>
    <row r="241" spans="1:4" x14ac:dyDescent="0.25">
      <c r="A241" s="39" t="s">
        <v>1115</v>
      </c>
      <c r="B241" s="39" t="s">
        <v>860</v>
      </c>
      <c r="C241" s="39">
        <v>3</v>
      </c>
      <c r="D241" s="39" t="s">
        <v>2122</v>
      </c>
    </row>
    <row r="242" spans="1:4" x14ac:dyDescent="0.25">
      <c r="A242" s="39" t="s">
        <v>2204</v>
      </c>
      <c r="B242" s="39" t="s">
        <v>85</v>
      </c>
      <c r="C242" s="39">
        <v>3</v>
      </c>
      <c r="D242" s="39" t="s">
        <v>2122</v>
      </c>
    </row>
    <row r="243" spans="1:4" x14ac:dyDescent="0.25">
      <c r="A243" s="39" t="s">
        <v>3460</v>
      </c>
      <c r="B243" s="39" t="s">
        <v>3730</v>
      </c>
      <c r="C243" s="39">
        <v>3</v>
      </c>
      <c r="D243" s="39" t="s">
        <v>2122</v>
      </c>
    </row>
    <row r="244" spans="1:4" x14ac:dyDescent="0.25">
      <c r="A244" s="39" t="s">
        <v>1378</v>
      </c>
      <c r="B244" s="39" t="s">
        <v>2624</v>
      </c>
      <c r="C244" s="39">
        <v>3</v>
      </c>
      <c r="D244" s="39" t="s">
        <v>2122</v>
      </c>
    </row>
    <row r="245" spans="1:4" x14ac:dyDescent="0.25">
      <c r="A245" s="39" t="s">
        <v>3462</v>
      </c>
      <c r="B245" s="39" t="s">
        <v>3732</v>
      </c>
      <c r="C245" s="39">
        <v>3</v>
      </c>
      <c r="D245" s="39" t="s">
        <v>2122</v>
      </c>
    </row>
    <row r="246" spans="1:4" x14ac:dyDescent="0.25">
      <c r="A246" s="39" t="s">
        <v>2656</v>
      </c>
      <c r="B246" s="39" t="s">
        <v>2381</v>
      </c>
      <c r="C246" s="39">
        <v>3</v>
      </c>
      <c r="D246" s="39" t="s">
        <v>2122</v>
      </c>
    </row>
    <row r="247" spans="1:4" x14ac:dyDescent="0.25">
      <c r="A247" s="39" t="s">
        <v>2658</v>
      </c>
      <c r="B247" s="39" t="s">
        <v>2660</v>
      </c>
      <c r="C247" s="39">
        <v>3</v>
      </c>
      <c r="D247" s="39" t="s">
        <v>2122</v>
      </c>
    </row>
    <row r="248" spans="1:4" x14ac:dyDescent="0.25">
      <c r="A248" s="39" t="s">
        <v>1456</v>
      </c>
      <c r="B248" s="39" t="s">
        <v>988</v>
      </c>
      <c r="C248" s="39">
        <v>3</v>
      </c>
      <c r="D248" s="39" t="s">
        <v>2122</v>
      </c>
    </row>
    <row r="249" spans="1:4" x14ac:dyDescent="0.25">
      <c r="A249" s="39" t="s">
        <v>2205</v>
      </c>
      <c r="B249" s="39" t="s">
        <v>2207</v>
      </c>
      <c r="C249" s="39">
        <v>3</v>
      </c>
      <c r="D249" s="39" t="s">
        <v>2122</v>
      </c>
    </row>
    <row r="250" spans="1:4" x14ac:dyDescent="0.25">
      <c r="A250" s="39" t="s">
        <v>1621</v>
      </c>
      <c r="B250" s="39" t="s">
        <v>935</v>
      </c>
      <c r="C250" s="39">
        <v>3</v>
      </c>
      <c r="D250" s="39" t="s">
        <v>2122</v>
      </c>
    </row>
    <row r="251" spans="1:4" x14ac:dyDescent="0.25">
      <c r="A251" s="39" t="s">
        <v>23</v>
      </c>
      <c r="B251" s="39" t="s">
        <v>1230</v>
      </c>
      <c r="C251" s="39">
        <v>3</v>
      </c>
      <c r="D251" s="39" t="s">
        <v>2122</v>
      </c>
    </row>
    <row r="252" spans="1:4" x14ac:dyDescent="0.25">
      <c r="A252" s="39" t="s">
        <v>2787</v>
      </c>
      <c r="B252" s="39" t="s">
        <v>3102</v>
      </c>
      <c r="C252" s="39">
        <v>3</v>
      </c>
      <c r="D252" s="39" t="s">
        <v>2122</v>
      </c>
    </row>
    <row r="253" spans="1:4" x14ac:dyDescent="0.25">
      <c r="A253" s="39" t="s">
        <v>3467</v>
      </c>
      <c r="B253" s="39" t="s">
        <v>3734</v>
      </c>
      <c r="C253" s="39">
        <v>3</v>
      </c>
      <c r="D253" s="39" t="s">
        <v>2122</v>
      </c>
    </row>
    <row r="254" spans="1:4" x14ac:dyDescent="0.25">
      <c r="A254" s="39" t="s">
        <v>3468</v>
      </c>
      <c r="B254" s="39" t="s">
        <v>3735</v>
      </c>
      <c r="C254" s="39">
        <v>3</v>
      </c>
      <c r="D254" s="39" t="s">
        <v>2122</v>
      </c>
    </row>
    <row r="255" spans="1:4" x14ac:dyDescent="0.25">
      <c r="A255" s="39" t="s">
        <v>169</v>
      </c>
      <c r="B255" s="39" t="s">
        <v>1101</v>
      </c>
      <c r="C255" s="39">
        <v>3</v>
      </c>
      <c r="D255" s="39" t="s">
        <v>2122</v>
      </c>
    </row>
    <row r="256" spans="1:4" x14ac:dyDescent="0.25">
      <c r="A256" s="39" t="s">
        <v>5129</v>
      </c>
      <c r="B256" s="39" t="s">
        <v>5130</v>
      </c>
      <c r="C256" s="39">
        <v>3</v>
      </c>
      <c r="D256" s="39" t="s">
        <v>2122</v>
      </c>
    </row>
    <row r="257" spans="1:4" x14ac:dyDescent="0.25">
      <c r="A257" s="39" t="s">
        <v>619</v>
      </c>
      <c r="B257" s="39" t="s">
        <v>1150</v>
      </c>
      <c r="C257" s="39">
        <v>3</v>
      </c>
      <c r="D257" s="39" t="s">
        <v>2122</v>
      </c>
    </row>
    <row r="258" spans="1:4" x14ac:dyDescent="0.25">
      <c r="A258" s="39" t="s">
        <v>1324</v>
      </c>
      <c r="B258" s="39" t="s">
        <v>939</v>
      </c>
      <c r="C258" s="39">
        <v>3</v>
      </c>
      <c r="D258" s="39" t="s">
        <v>2122</v>
      </c>
    </row>
    <row r="259" spans="1:4" x14ac:dyDescent="0.25">
      <c r="A259" s="39" t="s">
        <v>1623</v>
      </c>
      <c r="B259" s="39" t="s">
        <v>644</v>
      </c>
      <c r="C259" s="39">
        <v>3</v>
      </c>
      <c r="D259" s="39" t="s">
        <v>2122</v>
      </c>
    </row>
    <row r="260" spans="1:4" x14ac:dyDescent="0.25">
      <c r="A260" s="39" t="s">
        <v>517</v>
      </c>
      <c r="B260" s="39" t="s">
        <v>11</v>
      </c>
      <c r="C260" s="39">
        <v>3</v>
      </c>
      <c r="D260" s="39" t="s">
        <v>2122</v>
      </c>
    </row>
    <row r="261" spans="1:4" x14ac:dyDescent="0.25">
      <c r="A261" s="39" t="s">
        <v>1236</v>
      </c>
      <c r="B261" s="39" t="s">
        <v>2209</v>
      </c>
      <c r="C261" s="39">
        <v>3</v>
      </c>
      <c r="D261" s="39" t="s">
        <v>2122</v>
      </c>
    </row>
    <row r="262" spans="1:4" x14ac:dyDescent="0.25">
      <c r="A262" s="39" t="s">
        <v>2710</v>
      </c>
      <c r="B262" s="39" t="s">
        <v>531</v>
      </c>
      <c r="C262" s="39">
        <v>3</v>
      </c>
      <c r="D262" s="39" t="s">
        <v>2122</v>
      </c>
    </row>
    <row r="263" spans="1:4" x14ac:dyDescent="0.25">
      <c r="A263" s="39" t="s">
        <v>2266</v>
      </c>
      <c r="B263" s="39" t="s">
        <v>490</v>
      </c>
      <c r="C263" s="39">
        <v>3</v>
      </c>
      <c r="D263" s="39" t="s">
        <v>2122</v>
      </c>
    </row>
    <row r="264" spans="1:4" x14ac:dyDescent="0.25">
      <c r="A264" s="39" t="s">
        <v>1624</v>
      </c>
      <c r="B264" s="39" t="s">
        <v>793</v>
      </c>
      <c r="C264" s="39">
        <v>3</v>
      </c>
      <c r="D264" s="39" t="s">
        <v>2122</v>
      </c>
    </row>
    <row r="265" spans="1:4" x14ac:dyDescent="0.25">
      <c r="A265" s="39" t="s">
        <v>373</v>
      </c>
      <c r="B265" s="39" t="s">
        <v>942</v>
      </c>
      <c r="C265" s="39">
        <v>3</v>
      </c>
      <c r="D265" s="39" t="s">
        <v>2122</v>
      </c>
    </row>
    <row r="266" spans="1:4" x14ac:dyDescent="0.25">
      <c r="A266" s="39" t="s">
        <v>3473</v>
      </c>
      <c r="B266" s="39" t="s">
        <v>3737</v>
      </c>
      <c r="C266" s="39">
        <v>3</v>
      </c>
      <c r="D266" s="39" t="s">
        <v>2122</v>
      </c>
    </row>
    <row r="267" spans="1:4" x14ac:dyDescent="0.25">
      <c r="A267" s="39" t="s">
        <v>5142</v>
      </c>
      <c r="B267" s="39" t="s">
        <v>5143</v>
      </c>
      <c r="C267" s="39">
        <v>3</v>
      </c>
      <c r="D267" s="39" t="s">
        <v>2122</v>
      </c>
    </row>
    <row r="268" spans="1:4" x14ac:dyDescent="0.25">
      <c r="A268" s="39" t="s">
        <v>1678</v>
      </c>
      <c r="B268" s="39" t="s">
        <v>2172</v>
      </c>
      <c r="C268" s="39">
        <v>3</v>
      </c>
      <c r="D268" s="39" t="s">
        <v>2122</v>
      </c>
    </row>
    <row r="269" spans="1:4" x14ac:dyDescent="0.25">
      <c r="A269" s="39" t="s">
        <v>3476</v>
      </c>
      <c r="B269" s="39" t="s">
        <v>3739</v>
      </c>
      <c r="C269" s="39">
        <v>3</v>
      </c>
      <c r="D269" s="39" t="s">
        <v>2122</v>
      </c>
    </row>
    <row r="270" spans="1:4" x14ac:dyDescent="0.25">
      <c r="A270" s="39" t="s">
        <v>1628</v>
      </c>
      <c r="B270" s="39" t="s">
        <v>1113</v>
      </c>
      <c r="C270" s="39">
        <v>3</v>
      </c>
      <c r="D270" s="39" t="s">
        <v>2122</v>
      </c>
    </row>
    <row r="271" spans="1:4" x14ac:dyDescent="0.25">
      <c r="A271" s="39" t="s">
        <v>2348</v>
      </c>
      <c r="B271" s="39" t="s">
        <v>526</v>
      </c>
      <c r="C271" s="39">
        <v>3</v>
      </c>
      <c r="D271" s="39" t="s">
        <v>2122</v>
      </c>
    </row>
    <row r="272" spans="1:4" x14ac:dyDescent="0.25">
      <c r="A272" s="39" t="s">
        <v>3373</v>
      </c>
      <c r="B272" s="39" t="s">
        <v>3669</v>
      </c>
      <c r="C272" s="39">
        <v>3</v>
      </c>
      <c r="D272" s="39" t="s">
        <v>2122</v>
      </c>
    </row>
    <row r="273" spans="1:4" x14ac:dyDescent="0.25">
      <c r="A273" s="39" t="s">
        <v>2373</v>
      </c>
      <c r="B273" s="39" t="s">
        <v>2661</v>
      </c>
      <c r="C273" s="39">
        <v>3</v>
      </c>
      <c r="D273" s="39" t="s">
        <v>2122</v>
      </c>
    </row>
    <row r="274" spans="1:4" x14ac:dyDescent="0.25">
      <c r="A274" s="39" t="s">
        <v>3118</v>
      </c>
      <c r="B274" s="39" t="s">
        <v>832</v>
      </c>
      <c r="C274" s="39">
        <v>3</v>
      </c>
      <c r="D274" s="39" t="s">
        <v>2122</v>
      </c>
    </row>
    <row r="275" spans="1:4" x14ac:dyDescent="0.25">
      <c r="A275" s="39" t="s">
        <v>2623</v>
      </c>
      <c r="B275" s="39" t="s">
        <v>3100</v>
      </c>
      <c r="C275" s="39">
        <v>3</v>
      </c>
      <c r="D275" s="39" t="s">
        <v>2122</v>
      </c>
    </row>
    <row r="276" spans="1:4" x14ac:dyDescent="0.25">
      <c r="A276" s="39" t="s">
        <v>1629</v>
      </c>
      <c r="B276" s="39" t="s">
        <v>943</v>
      </c>
      <c r="C276" s="39">
        <v>3</v>
      </c>
      <c r="D276" s="39" t="s">
        <v>2122</v>
      </c>
    </row>
    <row r="277" spans="1:4" x14ac:dyDescent="0.25">
      <c r="A277" s="39" t="s">
        <v>2717</v>
      </c>
      <c r="B277" s="39" t="s">
        <v>671</v>
      </c>
      <c r="C277" s="39">
        <v>3</v>
      </c>
      <c r="D277" s="39" t="s">
        <v>2122</v>
      </c>
    </row>
    <row r="278" spans="1:4" x14ac:dyDescent="0.25">
      <c r="A278" s="39" t="s">
        <v>718</v>
      </c>
      <c r="B278" s="39" t="s">
        <v>912</v>
      </c>
      <c r="C278" s="39">
        <v>3</v>
      </c>
      <c r="D278" s="39" t="s">
        <v>2122</v>
      </c>
    </row>
    <row r="279" spans="1:4" x14ac:dyDescent="0.25">
      <c r="A279" s="39" t="s">
        <v>560</v>
      </c>
      <c r="B279" s="39" t="s">
        <v>1053</v>
      </c>
      <c r="C279" s="39">
        <v>3</v>
      </c>
      <c r="D279" s="39" t="s">
        <v>2122</v>
      </c>
    </row>
    <row r="280" spans="1:4" x14ac:dyDescent="0.25">
      <c r="A280" s="39" t="s">
        <v>3484</v>
      </c>
      <c r="B280" s="39" t="s">
        <v>3745</v>
      </c>
      <c r="C280" s="39">
        <v>3</v>
      </c>
      <c r="D280" s="39" t="s">
        <v>2122</v>
      </c>
    </row>
    <row r="281" spans="1:4" x14ac:dyDescent="0.25">
      <c r="A281" s="39" t="s">
        <v>1630</v>
      </c>
      <c r="B281" s="39" t="s">
        <v>848</v>
      </c>
      <c r="C281" s="39">
        <v>3</v>
      </c>
      <c r="D281" s="39" t="s">
        <v>2122</v>
      </c>
    </row>
    <row r="282" spans="1:4" x14ac:dyDescent="0.25">
      <c r="A282" s="39" t="s">
        <v>1632</v>
      </c>
      <c r="B282" s="39" t="s">
        <v>741</v>
      </c>
      <c r="C282" s="39">
        <v>3</v>
      </c>
      <c r="D282" s="39" t="s">
        <v>2122</v>
      </c>
    </row>
    <row r="283" spans="1:4" x14ac:dyDescent="0.25">
      <c r="A283" s="39" t="s">
        <v>1586</v>
      </c>
      <c r="B283" s="39" t="s">
        <v>859</v>
      </c>
      <c r="C283" s="39">
        <v>3</v>
      </c>
      <c r="D283" s="39" t="s">
        <v>2122</v>
      </c>
    </row>
    <row r="284" spans="1:4" x14ac:dyDescent="0.25">
      <c r="A284" s="39" t="s">
        <v>1633</v>
      </c>
      <c r="B284" s="39" t="s">
        <v>794</v>
      </c>
      <c r="C284" s="39">
        <v>3</v>
      </c>
      <c r="D284" s="39" t="s">
        <v>2122</v>
      </c>
    </row>
    <row r="285" spans="1:4" x14ac:dyDescent="0.25">
      <c r="A285" s="39" t="s">
        <v>3195</v>
      </c>
      <c r="B285" s="39" t="s">
        <v>3196</v>
      </c>
      <c r="C285" s="39">
        <v>3</v>
      </c>
      <c r="D285" s="39" t="s">
        <v>2122</v>
      </c>
    </row>
    <row r="286" spans="1:4" x14ac:dyDescent="0.25">
      <c r="A286" s="39" t="s">
        <v>194</v>
      </c>
      <c r="B286" s="39" t="s">
        <v>993</v>
      </c>
      <c r="C286" s="39">
        <v>3</v>
      </c>
      <c r="D286" s="39" t="s">
        <v>2122</v>
      </c>
    </row>
    <row r="287" spans="1:4" x14ac:dyDescent="0.25">
      <c r="A287" s="39" t="s">
        <v>965</v>
      </c>
      <c r="B287" s="39" t="s">
        <v>422</v>
      </c>
      <c r="C287" s="39">
        <v>3</v>
      </c>
      <c r="D287" s="39" t="s">
        <v>2122</v>
      </c>
    </row>
    <row r="288" spans="1:4" x14ac:dyDescent="0.25">
      <c r="A288" s="39" t="s">
        <v>1635</v>
      </c>
      <c r="B288" s="39" t="s">
        <v>1203</v>
      </c>
      <c r="C288" s="39">
        <v>3</v>
      </c>
      <c r="D288" s="39" t="s">
        <v>2122</v>
      </c>
    </row>
    <row r="289" spans="1:4" x14ac:dyDescent="0.25">
      <c r="A289" s="39" t="s">
        <v>1636</v>
      </c>
      <c r="B289" s="39" t="s">
        <v>990</v>
      </c>
      <c r="C289" s="39">
        <v>3</v>
      </c>
      <c r="D289" s="39" t="s">
        <v>2122</v>
      </c>
    </row>
    <row r="290" spans="1:4" x14ac:dyDescent="0.25">
      <c r="A290" s="39" t="s">
        <v>1301</v>
      </c>
      <c r="B290" s="39" t="s">
        <v>345</v>
      </c>
      <c r="C290" s="39">
        <v>3</v>
      </c>
      <c r="D290" s="39" t="s">
        <v>2122</v>
      </c>
    </row>
    <row r="291" spans="1:4" x14ac:dyDescent="0.25">
      <c r="A291" s="39" t="s">
        <v>3119</v>
      </c>
      <c r="B291" s="39" t="s">
        <v>2191</v>
      </c>
      <c r="C291" s="39">
        <v>3</v>
      </c>
      <c r="D291" s="39" t="s">
        <v>2122</v>
      </c>
    </row>
    <row r="292" spans="1:4" x14ac:dyDescent="0.25">
      <c r="A292" s="39" t="s">
        <v>3198</v>
      </c>
      <c r="B292" s="39" t="s">
        <v>3069</v>
      </c>
      <c r="C292" s="39">
        <v>3</v>
      </c>
      <c r="D292" s="39" t="s">
        <v>2122</v>
      </c>
    </row>
    <row r="293" spans="1:4" x14ac:dyDescent="0.25">
      <c r="A293" s="39" t="s">
        <v>1410</v>
      </c>
      <c r="B293" s="39" t="s">
        <v>1133</v>
      </c>
      <c r="C293" s="39">
        <v>3</v>
      </c>
      <c r="D293" s="39" t="s">
        <v>2122</v>
      </c>
    </row>
    <row r="294" spans="1:4" x14ac:dyDescent="0.25">
      <c r="A294" s="39" t="s">
        <v>1637</v>
      </c>
      <c r="B294" s="39" t="s">
        <v>418</v>
      </c>
      <c r="C294" s="39">
        <v>3</v>
      </c>
      <c r="D294" s="39" t="s">
        <v>2122</v>
      </c>
    </row>
    <row r="295" spans="1:4" x14ac:dyDescent="0.25">
      <c r="A295" s="39" t="s">
        <v>1639</v>
      </c>
      <c r="B295" s="39" t="s">
        <v>116</v>
      </c>
      <c r="C295" s="39">
        <v>3</v>
      </c>
      <c r="D295" s="39" t="s">
        <v>2122</v>
      </c>
    </row>
    <row r="296" spans="1:4" x14ac:dyDescent="0.25">
      <c r="A296" s="39" t="s">
        <v>1640</v>
      </c>
      <c r="B296" s="39" t="s">
        <v>997</v>
      </c>
      <c r="C296" s="39">
        <v>3</v>
      </c>
      <c r="D296" s="39" t="s">
        <v>2122</v>
      </c>
    </row>
    <row r="297" spans="1:4" x14ac:dyDescent="0.25">
      <c r="A297" s="39" t="s">
        <v>1364</v>
      </c>
      <c r="B297" s="39" t="s">
        <v>1382</v>
      </c>
      <c r="C297" s="39">
        <v>3</v>
      </c>
      <c r="D297" s="39" t="s">
        <v>2122</v>
      </c>
    </row>
    <row r="298" spans="1:4" x14ac:dyDescent="0.25">
      <c r="A298" s="39" t="s">
        <v>3200</v>
      </c>
      <c r="B298" s="39" t="s">
        <v>3201</v>
      </c>
      <c r="C298" s="39">
        <v>3</v>
      </c>
      <c r="D298" s="39" t="s">
        <v>2122</v>
      </c>
    </row>
    <row r="299" spans="1:4" x14ac:dyDescent="0.25">
      <c r="A299" s="39" t="s">
        <v>570</v>
      </c>
      <c r="B299" s="39" t="s">
        <v>1000</v>
      </c>
      <c r="C299" s="39">
        <v>3</v>
      </c>
      <c r="D299" s="39" t="s">
        <v>2122</v>
      </c>
    </row>
    <row r="300" spans="1:4" x14ac:dyDescent="0.25">
      <c r="A300" s="39" t="s">
        <v>1641</v>
      </c>
      <c r="B300" s="39" t="s">
        <v>1253</v>
      </c>
      <c r="C300" s="39">
        <v>3</v>
      </c>
      <c r="D300" s="39" t="s">
        <v>2122</v>
      </c>
    </row>
    <row r="301" spans="1:4" x14ac:dyDescent="0.25">
      <c r="A301" s="39" t="s">
        <v>1642</v>
      </c>
      <c r="B301" s="39" t="s">
        <v>822</v>
      </c>
      <c r="C301" s="39">
        <v>3</v>
      </c>
      <c r="D301" s="39" t="s">
        <v>2122</v>
      </c>
    </row>
    <row r="302" spans="1:4" x14ac:dyDescent="0.25">
      <c r="A302" s="39" t="s">
        <v>1643</v>
      </c>
      <c r="B302" s="39" t="s">
        <v>640</v>
      </c>
      <c r="C302" s="39">
        <v>3</v>
      </c>
      <c r="D302" s="39" t="s">
        <v>2122</v>
      </c>
    </row>
    <row r="303" spans="1:4" x14ac:dyDescent="0.25">
      <c r="A303" s="39" t="s">
        <v>1560</v>
      </c>
      <c r="B303" s="39" t="s">
        <v>816</v>
      </c>
      <c r="C303" s="39">
        <v>3</v>
      </c>
      <c r="D303" s="39" t="s">
        <v>2122</v>
      </c>
    </row>
    <row r="304" spans="1:4" x14ac:dyDescent="0.25">
      <c r="A304" s="39" t="s">
        <v>2905</v>
      </c>
      <c r="B304" s="39" t="s">
        <v>3120</v>
      </c>
      <c r="C304" s="39">
        <v>3</v>
      </c>
      <c r="D304" s="39" t="s">
        <v>2122</v>
      </c>
    </row>
    <row r="305" spans="1:4" x14ac:dyDescent="0.25">
      <c r="A305" s="39" t="s">
        <v>921</v>
      </c>
      <c r="B305" s="39" t="s">
        <v>1443</v>
      </c>
      <c r="C305" s="39">
        <v>3</v>
      </c>
      <c r="D305" s="39" t="s">
        <v>2122</v>
      </c>
    </row>
    <row r="306" spans="1:4" x14ac:dyDescent="0.25">
      <c r="A306" s="39" t="s">
        <v>594</v>
      </c>
      <c r="B306" s="39" t="s">
        <v>2976</v>
      </c>
      <c r="C306" s="39">
        <v>3</v>
      </c>
      <c r="D306" s="39" t="s">
        <v>2122</v>
      </c>
    </row>
    <row r="307" spans="1:4" x14ac:dyDescent="0.25">
      <c r="A307" s="39" t="s">
        <v>1309</v>
      </c>
      <c r="B307" s="39" t="s">
        <v>662</v>
      </c>
      <c r="C307" s="39">
        <v>3</v>
      </c>
      <c r="D307" s="39" t="s">
        <v>2122</v>
      </c>
    </row>
    <row r="308" spans="1:4" x14ac:dyDescent="0.25">
      <c r="A308" s="39" t="s">
        <v>10479</v>
      </c>
      <c r="B308" s="39" t="s">
        <v>10480</v>
      </c>
      <c r="C308" s="39">
        <v>3</v>
      </c>
      <c r="D308" s="39" t="s">
        <v>2122</v>
      </c>
    </row>
    <row r="309" spans="1:4" x14ac:dyDescent="0.25">
      <c r="A309" s="39" t="s">
        <v>2901</v>
      </c>
      <c r="B309" s="39" t="s">
        <v>2183</v>
      </c>
      <c r="C309" s="39">
        <v>3</v>
      </c>
      <c r="D309" s="39" t="s">
        <v>2122</v>
      </c>
    </row>
    <row r="310" spans="1:4" x14ac:dyDescent="0.25">
      <c r="A310" s="39" t="s">
        <v>173</v>
      </c>
      <c r="B310" s="39" t="s">
        <v>1668</v>
      </c>
      <c r="C310" s="39">
        <v>3</v>
      </c>
      <c r="D310" s="39" t="s">
        <v>2122</v>
      </c>
    </row>
    <row r="311" spans="1:4" x14ac:dyDescent="0.25">
      <c r="A311" s="39" t="s">
        <v>1648</v>
      </c>
      <c r="B311" s="39" t="s">
        <v>1001</v>
      </c>
      <c r="C311" s="39">
        <v>3</v>
      </c>
      <c r="D311" s="39" t="s">
        <v>2122</v>
      </c>
    </row>
    <row r="312" spans="1:4" x14ac:dyDescent="0.25">
      <c r="A312" s="39" t="s">
        <v>307</v>
      </c>
      <c r="B312" s="39" t="s">
        <v>2724</v>
      </c>
      <c r="C312" s="39">
        <v>3</v>
      </c>
      <c r="D312" s="39" t="s">
        <v>2122</v>
      </c>
    </row>
    <row r="313" spans="1:4" x14ac:dyDescent="0.25">
      <c r="A313" s="39" t="s">
        <v>808</v>
      </c>
      <c r="B313" s="39" t="s">
        <v>790</v>
      </c>
      <c r="C313" s="39">
        <v>3</v>
      </c>
      <c r="D313" s="39" t="s">
        <v>2122</v>
      </c>
    </row>
    <row r="314" spans="1:4" x14ac:dyDescent="0.25">
      <c r="A314" s="39" t="s">
        <v>2662</v>
      </c>
      <c r="B314" s="39" t="s">
        <v>1666</v>
      </c>
      <c r="C314" s="39">
        <v>3</v>
      </c>
      <c r="D314" s="39" t="s">
        <v>2122</v>
      </c>
    </row>
    <row r="315" spans="1:4" x14ac:dyDescent="0.25">
      <c r="A315" s="39" t="s">
        <v>3205</v>
      </c>
      <c r="B315" s="39" t="s">
        <v>3206</v>
      </c>
      <c r="C315" s="39">
        <v>3</v>
      </c>
      <c r="D315" s="39" t="s">
        <v>2122</v>
      </c>
    </row>
    <row r="316" spans="1:4" x14ac:dyDescent="0.25">
      <c r="A316" s="39" t="s">
        <v>4891</v>
      </c>
      <c r="B316" s="39" t="s">
        <v>4892</v>
      </c>
      <c r="C316" s="39">
        <v>3</v>
      </c>
      <c r="D316" s="39" t="s">
        <v>2122</v>
      </c>
    </row>
    <row r="317" spans="1:4" x14ac:dyDescent="0.25">
      <c r="A317" s="39" t="s">
        <v>1039</v>
      </c>
      <c r="B317" s="39" t="s">
        <v>1257</v>
      </c>
      <c r="C317" s="39">
        <v>3</v>
      </c>
      <c r="D317" s="39" t="s">
        <v>2122</v>
      </c>
    </row>
    <row r="318" spans="1:4" x14ac:dyDescent="0.25">
      <c r="A318" s="39" t="s">
        <v>3121</v>
      </c>
      <c r="B318" s="39" t="s">
        <v>3122</v>
      </c>
      <c r="C318" s="39">
        <v>3</v>
      </c>
      <c r="D318" s="39" t="s">
        <v>2122</v>
      </c>
    </row>
    <row r="319" spans="1:4" x14ac:dyDescent="0.25">
      <c r="A319" s="39" t="s">
        <v>1418</v>
      </c>
      <c r="B319" s="39" t="s">
        <v>804</v>
      </c>
      <c r="C319" s="39">
        <v>3</v>
      </c>
      <c r="D319" s="39" t="s">
        <v>2122</v>
      </c>
    </row>
    <row r="320" spans="1:4" x14ac:dyDescent="0.25">
      <c r="A320" s="39" t="s">
        <v>1651</v>
      </c>
      <c r="B320" s="39" t="s">
        <v>944</v>
      </c>
      <c r="C320" s="39">
        <v>3</v>
      </c>
      <c r="D320" s="39" t="s">
        <v>2122</v>
      </c>
    </row>
    <row r="321" spans="1:4" x14ac:dyDescent="0.25">
      <c r="A321" s="39" t="s">
        <v>1652</v>
      </c>
      <c r="B321" s="39" t="s">
        <v>285</v>
      </c>
      <c r="C321" s="39">
        <v>3</v>
      </c>
      <c r="D321" s="39" t="s">
        <v>2122</v>
      </c>
    </row>
    <row r="322" spans="1:4" x14ac:dyDescent="0.25">
      <c r="A322" s="39" t="s">
        <v>7209</v>
      </c>
      <c r="B322" s="39" t="s">
        <v>7210</v>
      </c>
      <c r="C322" s="39">
        <v>3</v>
      </c>
      <c r="D322" s="39" t="s">
        <v>2122</v>
      </c>
    </row>
    <row r="323" spans="1:4" x14ac:dyDescent="0.25">
      <c r="A323" s="39" t="s">
        <v>33</v>
      </c>
      <c r="B323" s="39" t="s">
        <v>1086</v>
      </c>
      <c r="C323" s="39">
        <v>3</v>
      </c>
      <c r="D323" s="39" t="s">
        <v>2122</v>
      </c>
    </row>
    <row r="324" spans="1:4" x14ac:dyDescent="0.25">
      <c r="A324" s="39" t="s">
        <v>5210</v>
      </c>
      <c r="B324" s="39" t="s">
        <v>5211</v>
      </c>
      <c r="C324" s="39">
        <v>3</v>
      </c>
      <c r="D324" s="39" t="s">
        <v>2122</v>
      </c>
    </row>
    <row r="325" spans="1:4" x14ac:dyDescent="0.25">
      <c r="A325" s="39" t="s">
        <v>1653</v>
      </c>
      <c r="B325" s="39" t="s">
        <v>465</v>
      </c>
      <c r="C325" s="39">
        <v>3</v>
      </c>
      <c r="D325" s="39" t="s">
        <v>2122</v>
      </c>
    </row>
    <row r="326" spans="1:4" x14ac:dyDescent="0.25">
      <c r="A326" s="39" t="s">
        <v>1645</v>
      </c>
      <c r="B326" s="39" t="s">
        <v>19</v>
      </c>
      <c r="C326" s="39">
        <v>3</v>
      </c>
      <c r="D326" s="39" t="s">
        <v>2122</v>
      </c>
    </row>
    <row r="327" spans="1:4" x14ac:dyDescent="0.25">
      <c r="A327" s="39" t="s">
        <v>3503</v>
      </c>
      <c r="B327" s="39" t="s">
        <v>3756</v>
      </c>
      <c r="C327" s="39">
        <v>3</v>
      </c>
      <c r="D327" s="39" t="s">
        <v>2122</v>
      </c>
    </row>
    <row r="328" spans="1:4" x14ac:dyDescent="0.25">
      <c r="A328" s="39" t="s">
        <v>1658</v>
      </c>
      <c r="B328" s="39" t="s">
        <v>785</v>
      </c>
      <c r="C328" s="39">
        <v>3</v>
      </c>
      <c r="D328" s="39" t="s">
        <v>2122</v>
      </c>
    </row>
    <row r="329" spans="1:4" x14ac:dyDescent="0.25">
      <c r="A329" s="39" t="s">
        <v>314</v>
      </c>
      <c r="B329" s="39" t="s">
        <v>2663</v>
      </c>
      <c r="C329" s="39">
        <v>3</v>
      </c>
      <c r="D329" s="39" t="s">
        <v>2122</v>
      </c>
    </row>
    <row r="330" spans="1:4" x14ac:dyDescent="0.25">
      <c r="A330" s="39" t="s">
        <v>3212</v>
      </c>
      <c r="B330" s="39" t="s">
        <v>551</v>
      </c>
      <c r="C330" s="39">
        <v>3</v>
      </c>
      <c r="D330" s="39" t="s">
        <v>2122</v>
      </c>
    </row>
    <row r="331" spans="1:4" x14ac:dyDescent="0.25">
      <c r="A331" s="39" t="s">
        <v>1661</v>
      </c>
      <c r="B331" s="39" t="s">
        <v>24</v>
      </c>
      <c r="C331" s="39">
        <v>3</v>
      </c>
      <c r="D331" s="39" t="s">
        <v>2122</v>
      </c>
    </row>
    <row r="332" spans="1:4" x14ac:dyDescent="0.25">
      <c r="A332" s="39" t="s">
        <v>1662</v>
      </c>
      <c r="B332" s="39" t="s">
        <v>896</v>
      </c>
      <c r="C332" s="39">
        <v>3</v>
      </c>
      <c r="D332" s="39" t="s">
        <v>2122</v>
      </c>
    </row>
    <row r="333" spans="1:4" x14ac:dyDescent="0.25">
      <c r="A333" s="39" t="s">
        <v>1271</v>
      </c>
      <c r="B333" s="39" t="s">
        <v>311</v>
      </c>
      <c r="C333" s="39">
        <v>3</v>
      </c>
      <c r="D333" s="39" t="s">
        <v>2122</v>
      </c>
    </row>
    <row r="334" spans="1:4" x14ac:dyDescent="0.25">
      <c r="A334" s="39" t="s">
        <v>1889</v>
      </c>
      <c r="B334" s="39" t="s">
        <v>766</v>
      </c>
      <c r="C334" s="39">
        <v>3</v>
      </c>
      <c r="D334" s="39" t="s">
        <v>2122</v>
      </c>
    </row>
    <row r="335" spans="1:4" x14ac:dyDescent="0.25">
      <c r="A335" s="39" t="s">
        <v>679</v>
      </c>
      <c r="B335" s="39" t="s">
        <v>18</v>
      </c>
      <c r="C335" s="39">
        <v>3</v>
      </c>
      <c r="D335" s="39" t="s">
        <v>2122</v>
      </c>
    </row>
    <row r="336" spans="1:4" x14ac:dyDescent="0.25">
      <c r="A336" s="39" t="s">
        <v>1665</v>
      </c>
      <c r="B336" s="39" t="s">
        <v>1188</v>
      </c>
      <c r="C336" s="39">
        <v>3</v>
      </c>
      <c r="D336" s="39" t="s">
        <v>2122</v>
      </c>
    </row>
    <row r="337" spans="1:4" x14ac:dyDescent="0.25">
      <c r="A337" s="39" t="s">
        <v>206</v>
      </c>
      <c r="B337" s="39" t="s">
        <v>1369</v>
      </c>
      <c r="C337" s="39">
        <v>3</v>
      </c>
      <c r="D337" s="39" t="s">
        <v>2122</v>
      </c>
    </row>
    <row r="338" spans="1:4" x14ac:dyDescent="0.25">
      <c r="A338" s="39" t="s">
        <v>1667</v>
      </c>
      <c r="B338" s="39" t="s">
        <v>1033</v>
      </c>
      <c r="C338" s="39">
        <v>3</v>
      </c>
      <c r="D338" s="39" t="s">
        <v>2122</v>
      </c>
    </row>
    <row r="339" spans="1:4" x14ac:dyDescent="0.25">
      <c r="A339" s="39" t="s">
        <v>3374</v>
      </c>
      <c r="B339" s="39" t="s">
        <v>3670</v>
      </c>
      <c r="C339" s="39">
        <v>3</v>
      </c>
      <c r="D339" s="39" t="s">
        <v>2122</v>
      </c>
    </row>
    <row r="340" spans="1:4" x14ac:dyDescent="0.25">
      <c r="A340" s="39" t="s">
        <v>6817</v>
      </c>
      <c r="B340" s="39" t="s">
        <v>6818</v>
      </c>
      <c r="C340" s="39">
        <v>3</v>
      </c>
      <c r="D340" s="39" t="s">
        <v>2122</v>
      </c>
    </row>
    <row r="341" spans="1:4" x14ac:dyDescent="0.25">
      <c r="A341" s="39" t="s">
        <v>3375</v>
      </c>
      <c r="B341" s="39" t="s">
        <v>3671</v>
      </c>
      <c r="C341" s="39">
        <v>3</v>
      </c>
      <c r="D341" s="39" t="s">
        <v>2122</v>
      </c>
    </row>
    <row r="342" spans="1:4" x14ac:dyDescent="0.25">
      <c r="A342" s="39" t="s">
        <v>1670</v>
      </c>
      <c r="B342" s="39" t="s">
        <v>705</v>
      </c>
      <c r="C342" s="39">
        <v>3</v>
      </c>
      <c r="D342" s="39" t="s">
        <v>2122</v>
      </c>
    </row>
    <row r="343" spans="1:4" x14ac:dyDescent="0.25">
      <c r="A343" s="39" t="s">
        <v>1671</v>
      </c>
      <c r="B343" s="39" t="s">
        <v>1002</v>
      </c>
      <c r="C343" s="39">
        <v>3</v>
      </c>
      <c r="D343" s="39" t="s">
        <v>2122</v>
      </c>
    </row>
    <row r="344" spans="1:4" x14ac:dyDescent="0.25">
      <c r="A344" s="39" t="s">
        <v>1672</v>
      </c>
      <c r="B344" s="39" t="s">
        <v>1003</v>
      </c>
      <c r="C344" s="39">
        <v>3</v>
      </c>
      <c r="D344" s="39" t="s">
        <v>2122</v>
      </c>
    </row>
    <row r="345" spans="1:4" x14ac:dyDescent="0.25">
      <c r="A345" s="39" t="s">
        <v>1379</v>
      </c>
      <c r="B345" s="39" t="s">
        <v>1006</v>
      </c>
      <c r="C345" s="39">
        <v>3</v>
      </c>
      <c r="D345" s="39" t="s">
        <v>2122</v>
      </c>
    </row>
    <row r="346" spans="1:4" x14ac:dyDescent="0.25">
      <c r="A346" s="39" t="s">
        <v>852</v>
      </c>
      <c r="B346" s="39" t="s">
        <v>181</v>
      </c>
      <c r="C346" s="39">
        <v>3</v>
      </c>
      <c r="D346" s="39" t="s">
        <v>2122</v>
      </c>
    </row>
    <row r="347" spans="1:4" x14ac:dyDescent="0.25">
      <c r="A347" s="39" t="s">
        <v>761</v>
      </c>
      <c r="B347" s="39" t="s">
        <v>875</v>
      </c>
      <c r="C347" s="39">
        <v>3</v>
      </c>
      <c r="D347" s="39" t="s">
        <v>2122</v>
      </c>
    </row>
    <row r="348" spans="1:4" x14ac:dyDescent="0.25">
      <c r="A348" s="39" t="s">
        <v>1893</v>
      </c>
      <c r="B348" s="39" t="s">
        <v>1419</v>
      </c>
      <c r="C348" s="39">
        <v>3</v>
      </c>
      <c r="D348" s="39" t="s">
        <v>2122</v>
      </c>
    </row>
    <row r="349" spans="1:4" x14ac:dyDescent="0.25">
      <c r="A349" s="39" t="s">
        <v>1952</v>
      </c>
      <c r="B349" s="39" t="s">
        <v>2399</v>
      </c>
      <c r="C349" s="39">
        <v>3</v>
      </c>
      <c r="D349" s="39" t="s">
        <v>2122</v>
      </c>
    </row>
    <row r="350" spans="1:4" x14ac:dyDescent="0.25">
      <c r="A350" s="39" t="s">
        <v>2231</v>
      </c>
      <c r="B350" s="39" t="s">
        <v>2232</v>
      </c>
      <c r="C350" s="39">
        <v>3</v>
      </c>
      <c r="D350" s="39" t="s">
        <v>2122</v>
      </c>
    </row>
    <row r="351" spans="1:4" x14ac:dyDescent="0.25">
      <c r="A351" s="39" t="s">
        <v>3224</v>
      </c>
      <c r="B351" s="39" t="s">
        <v>3225</v>
      </c>
      <c r="C351" s="39">
        <v>3</v>
      </c>
      <c r="D351" s="39" t="s">
        <v>2122</v>
      </c>
    </row>
    <row r="352" spans="1:4" x14ac:dyDescent="0.25">
      <c r="A352" s="39" t="s">
        <v>1673</v>
      </c>
      <c r="B352" s="39" t="s">
        <v>1232</v>
      </c>
      <c r="C352" s="39">
        <v>3</v>
      </c>
      <c r="D352" s="39" t="s">
        <v>2122</v>
      </c>
    </row>
    <row r="353" spans="1:4" x14ac:dyDescent="0.25">
      <c r="A353" s="39" t="s">
        <v>2620</v>
      </c>
      <c r="B353" s="39" t="s">
        <v>810</v>
      </c>
      <c r="C353" s="39">
        <v>3</v>
      </c>
      <c r="D353" s="39" t="s">
        <v>2122</v>
      </c>
    </row>
    <row r="354" spans="1:4" x14ac:dyDescent="0.25">
      <c r="A354" s="39" t="s">
        <v>322</v>
      </c>
      <c r="B354" s="39" t="s">
        <v>1210</v>
      </c>
      <c r="C354" s="39">
        <v>3</v>
      </c>
      <c r="D354" s="39" t="s">
        <v>2122</v>
      </c>
    </row>
    <row r="355" spans="1:4" x14ac:dyDescent="0.25">
      <c r="A355" s="39" t="s">
        <v>2664</v>
      </c>
      <c r="B355" s="39" t="s">
        <v>1887</v>
      </c>
      <c r="C355" s="39">
        <v>3</v>
      </c>
      <c r="D355" s="39" t="s">
        <v>2122</v>
      </c>
    </row>
    <row r="356" spans="1:4" x14ac:dyDescent="0.25">
      <c r="A356" s="39" t="s">
        <v>1674</v>
      </c>
      <c r="B356" s="39" t="s">
        <v>1004</v>
      </c>
      <c r="C356" s="39">
        <v>3</v>
      </c>
      <c r="D356" s="39" t="s">
        <v>2122</v>
      </c>
    </row>
    <row r="357" spans="1:4" x14ac:dyDescent="0.25">
      <c r="A357" s="39" t="s">
        <v>1898</v>
      </c>
      <c r="B357" s="39" t="s">
        <v>1464</v>
      </c>
      <c r="C357" s="39">
        <v>3</v>
      </c>
      <c r="D357" s="39" t="s">
        <v>2122</v>
      </c>
    </row>
    <row r="358" spans="1:4" x14ac:dyDescent="0.25">
      <c r="A358" s="39" t="s">
        <v>7265</v>
      </c>
      <c r="B358" s="39" t="s">
        <v>7266</v>
      </c>
      <c r="C358" s="39">
        <v>3</v>
      </c>
      <c r="D358" s="39" t="s">
        <v>2122</v>
      </c>
    </row>
    <row r="359" spans="1:4" x14ac:dyDescent="0.25">
      <c r="A359" s="39" t="s">
        <v>656</v>
      </c>
      <c r="B359" s="39" t="s">
        <v>946</v>
      </c>
      <c r="C359" s="39">
        <v>3</v>
      </c>
      <c r="D359" s="39" t="s">
        <v>2122</v>
      </c>
    </row>
    <row r="360" spans="1:4" x14ac:dyDescent="0.25">
      <c r="A360" s="39" t="s">
        <v>1676</v>
      </c>
      <c r="B360" s="39" t="s">
        <v>1152</v>
      </c>
      <c r="C360" s="39">
        <v>3</v>
      </c>
      <c r="D360" s="39" t="s">
        <v>2122</v>
      </c>
    </row>
    <row r="361" spans="1:4" x14ac:dyDescent="0.25">
      <c r="A361" s="39" t="s">
        <v>3125</v>
      </c>
      <c r="B361" s="39" t="s">
        <v>3126</v>
      </c>
      <c r="C361" s="39">
        <v>3</v>
      </c>
      <c r="D361" s="39" t="s">
        <v>2122</v>
      </c>
    </row>
    <row r="362" spans="1:4" x14ac:dyDescent="0.25">
      <c r="A362" s="39" t="s">
        <v>6819</v>
      </c>
      <c r="B362" s="39" t="s">
        <v>6820</v>
      </c>
      <c r="C362" s="39">
        <v>3</v>
      </c>
      <c r="D362" s="39" t="s">
        <v>2122</v>
      </c>
    </row>
    <row r="363" spans="1:4" x14ac:dyDescent="0.25">
      <c r="A363" s="39" t="s">
        <v>898</v>
      </c>
      <c r="B363" s="39" t="s">
        <v>527</v>
      </c>
      <c r="C363" s="39">
        <v>3</v>
      </c>
      <c r="D363" s="39" t="s">
        <v>2122</v>
      </c>
    </row>
    <row r="364" spans="1:4" x14ac:dyDescent="0.25">
      <c r="A364" s="39" t="s">
        <v>2736</v>
      </c>
      <c r="B364" s="39" t="s">
        <v>2737</v>
      </c>
      <c r="C364" s="39">
        <v>3</v>
      </c>
      <c r="D364" s="39" t="s">
        <v>2122</v>
      </c>
    </row>
    <row r="365" spans="1:4" x14ac:dyDescent="0.25">
      <c r="A365" s="39" t="s">
        <v>920</v>
      </c>
      <c r="B365" s="39" t="s">
        <v>1141</v>
      </c>
      <c r="C365" s="39">
        <v>3</v>
      </c>
      <c r="D365" s="39" t="s">
        <v>2122</v>
      </c>
    </row>
    <row r="366" spans="1:4" x14ac:dyDescent="0.25">
      <c r="A366" s="39" t="s">
        <v>6821</v>
      </c>
      <c r="B366" s="39" t="s">
        <v>6822</v>
      </c>
      <c r="C366" s="39">
        <v>3</v>
      </c>
      <c r="D366" s="39" t="s">
        <v>2122</v>
      </c>
    </row>
    <row r="367" spans="1:4" x14ac:dyDescent="0.25">
      <c r="A367" s="39" t="s">
        <v>190</v>
      </c>
      <c r="B367" s="39" t="s">
        <v>442</v>
      </c>
      <c r="C367" s="39">
        <v>3</v>
      </c>
      <c r="D367" s="39" t="s">
        <v>2122</v>
      </c>
    </row>
    <row r="368" spans="1:4" x14ac:dyDescent="0.25">
      <c r="A368" s="39" t="s">
        <v>1679</v>
      </c>
      <c r="B368" s="39" t="s">
        <v>592</v>
      </c>
      <c r="C368" s="39">
        <v>3</v>
      </c>
      <c r="D368" s="39" t="s">
        <v>2122</v>
      </c>
    </row>
    <row r="369" spans="1:4" x14ac:dyDescent="0.25">
      <c r="A369" s="39" t="s">
        <v>2219</v>
      </c>
      <c r="B369" s="39" t="s">
        <v>2234</v>
      </c>
      <c r="C369" s="39">
        <v>3</v>
      </c>
      <c r="D369" s="39" t="s">
        <v>2122</v>
      </c>
    </row>
    <row r="370" spans="1:4" x14ac:dyDescent="0.25">
      <c r="A370" s="39" t="s">
        <v>158</v>
      </c>
      <c r="B370" s="39" t="s">
        <v>917</v>
      </c>
      <c r="C370" s="39">
        <v>3</v>
      </c>
      <c r="D370" s="39" t="s">
        <v>2122</v>
      </c>
    </row>
    <row r="371" spans="1:4" x14ac:dyDescent="0.25">
      <c r="A371" s="39" t="s">
        <v>2401</v>
      </c>
      <c r="B371" s="39" t="s">
        <v>2402</v>
      </c>
      <c r="C371" s="39">
        <v>3</v>
      </c>
      <c r="D371" s="39" t="s">
        <v>2122</v>
      </c>
    </row>
    <row r="372" spans="1:4" x14ac:dyDescent="0.25">
      <c r="A372" s="39" t="s">
        <v>585</v>
      </c>
      <c r="B372" s="39" t="s">
        <v>1389</v>
      </c>
      <c r="C372" s="39">
        <v>3</v>
      </c>
      <c r="D372" s="39" t="s">
        <v>2122</v>
      </c>
    </row>
    <row r="373" spans="1:4" x14ac:dyDescent="0.25">
      <c r="A373" s="39" t="s">
        <v>2739</v>
      </c>
      <c r="B373" s="39" t="s">
        <v>2740</v>
      </c>
      <c r="C373" s="39">
        <v>3</v>
      </c>
      <c r="D373" s="39" t="s">
        <v>2122</v>
      </c>
    </row>
    <row r="374" spans="1:4" x14ac:dyDescent="0.25">
      <c r="A374" s="39" t="s">
        <v>3376</v>
      </c>
      <c r="B374" s="39" t="s">
        <v>3672</v>
      </c>
      <c r="C374" s="39">
        <v>3</v>
      </c>
      <c r="D374" s="39" t="s">
        <v>2122</v>
      </c>
    </row>
    <row r="375" spans="1:4" x14ac:dyDescent="0.25">
      <c r="A375" s="39" t="s">
        <v>1229</v>
      </c>
      <c r="B375" s="39" t="s">
        <v>687</v>
      </c>
      <c r="C375" s="39">
        <v>3</v>
      </c>
      <c r="D375" s="39" t="s">
        <v>2122</v>
      </c>
    </row>
    <row r="376" spans="1:4" x14ac:dyDescent="0.25">
      <c r="A376" s="39" t="s">
        <v>3529</v>
      </c>
      <c r="B376" s="39" t="s">
        <v>3775</v>
      </c>
      <c r="C376" s="39">
        <v>3</v>
      </c>
      <c r="D376" s="39" t="s">
        <v>2122</v>
      </c>
    </row>
    <row r="377" spans="1:4" x14ac:dyDescent="0.25">
      <c r="A377" s="39" t="s">
        <v>1681</v>
      </c>
      <c r="B377" s="39" t="s">
        <v>1008</v>
      </c>
      <c r="C377" s="39">
        <v>3</v>
      </c>
      <c r="D377" s="39" t="s">
        <v>2122</v>
      </c>
    </row>
    <row r="378" spans="1:4" x14ac:dyDescent="0.25">
      <c r="A378" s="39" t="s">
        <v>1660</v>
      </c>
      <c r="B378" s="39" t="s">
        <v>1087</v>
      </c>
      <c r="C378" s="39">
        <v>3</v>
      </c>
      <c r="D378" s="39" t="s">
        <v>2122</v>
      </c>
    </row>
    <row r="379" spans="1:4" x14ac:dyDescent="0.25">
      <c r="A379" s="39" t="s">
        <v>3233</v>
      </c>
      <c r="B379" s="39" t="s">
        <v>1365</v>
      </c>
      <c r="C379" s="39">
        <v>3</v>
      </c>
      <c r="D379" s="39" t="s">
        <v>2122</v>
      </c>
    </row>
    <row r="380" spans="1:4" x14ac:dyDescent="0.25">
      <c r="A380" s="39" t="s">
        <v>333</v>
      </c>
      <c r="B380" s="39" t="s">
        <v>2404</v>
      </c>
      <c r="C380" s="39">
        <v>3</v>
      </c>
      <c r="D380" s="39" t="s">
        <v>2122</v>
      </c>
    </row>
    <row r="381" spans="1:4" x14ac:dyDescent="0.25">
      <c r="A381" s="39" t="s">
        <v>1713</v>
      </c>
      <c r="B381" s="39" t="s">
        <v>1904</v>
      </c>
      <c r="C381" s="39">
        <v>3</v>
      </c>
      <c r="D381" s="39" t="s">
        <v>2122</v>
      </c>
    </row>
    <row r="382" spans="1:4" x14ac:dyDescent="0.25">
      <c r="A382" s="39" t="s">
        <v>1607</v>
      </c>
      <c r="B382" s="39" t="s">
        <v>1194</v>
      </c>
      <c r="C382" s="39">
        <v>3</v>
      </c>
      <c r="D382" s="39" t="s">
        <v>2122</v>
      </c>
    </row>
    <row r="383" spans="1:4" x14ac:dyDescent="0.25">
      <c r="A383" s="39" t="s">
        <v>1683</v>
      </c>
      <c r="B383" s="39" t="s">
        <v>1011</v>
      </c>
      <c r="C383" s="39">
        <v>3</v>
      </c>
      <c r="D383" s="39" t="s">
        <v>2122</v>
      </c>
    </row>
    <row r="384" spans="1:4" x14ac:dyDescent="0.25">
      <c r="A384" s="39" t="s">
        <v>1685</v>
      </c>
      <c r="B384" s="39" t="s">
        <v>802</v>
      </c>
      <c r="C384" s="39">
        <v>3</v>
      </c>
      <c r="D384" s="39" t="s">
        <v>2122</v>
      </c>
    </row>
    <row r="385" spans="1:4" x14ac:dyDescent="0.25">
      <c r="A385" s="39" t="s">
        <v>1687</v>
      </c>
      <c r="B385" s="39" t="s">
        <v>1012</v>
      </c>
      <c r="C385" s="39">
        <v>3</v>
      </c>
      <c r="D385" s="39" t="s">
        <v>2122</v>
      </c>
    </row>
    <row r="386" spans="1:4" x14ac:dyDescent="0.25">
      <c r="A386" s="39" t="s">
        <v>1905</v>
      </c>
      <c r="B386" s="39" t="s">
        <v>1441</v>
      </c>
      <c r="C386" s="39">
        <v>3</v>
      </c>
      <c r="D386" s="39" t="s">
        <v>2122</v>
      </c>
    </row>
    <row r="387" spans="1:4" x14ac:dyDescent="0.25">
      <c r="A387" s="39" t="s">
        <v>4893</v>
      </c>
      <c r="B387" s="39" t="s">
        <v>4894</v>
      </c>
      <c r="C387" s="39">
        <v>3</v>
      </c>
      <c r="D387" s="39" t="s">
        <v>2122</v>
      </c>
    </row>
    <row r="388" spans="1:4" x14ac:dyDescent="0.25">
      <c r="A388" s="39" t="s">
        <v>1690</v>
      </c>
      <c r="B388" s="39" t="s">
        <v>105</v>
      </c>
      <c r="C388" s="39">
        <v>3</v>
      </c>
      <c r="D388" s="39" t="s">
        <v>2122</v>
      </c>
    </row>
    <row r="389" spans="1:4" x14ac:dyDescent="0.25">
      <c r="A389" s="39" t="s">
        <v>5279</v>
      </c>
      <c r="B389" s="39" t="s">
        <v>5280</v>
      </c>
      <c r="C389" s="39">
        <v>3</v>
      </c>
      <c r="D389" s="39" t="s">
        <v>2122</v>
      </c>
    </row>
    <row r="390" spans="1:4" x14ac:dyDescent="0.25">
      <c r="A390" s="39" t="s">
        <v>1693</v>
      </c>
      <c r="B390" s="39" t="s">
        <v>1162</v>
      </c>
      <c r="C390" s="39">
        <v>3</v>
      </c>
      <c r="D390" s="39" t="s">
        <v>2122</v>
      </c>
    </row>
    <row r="391" spans="1:4" x14ac:dyDescent="0.25">
      <c r="A391" s="39" t="s">
        <v>1694</v>
      </c>
      <c r="B391" s="39" t="s">
        <v>1696</v>
      </c>
      <c r="C391" s="39">
        <v>3</v>
      </c>
      <c r="D391" s="39" t="s">
        <v>2122</v>
      </c>
    </row>
    <row r="392" spans="1:4" x14ac:dyDescent="0.25">
      <c r="A392" s="39" t="s">
        <v>1908</v>
      </c>
      <c r="B392" s="39" t="s">
        <v>1433</v>
      </c>
      <c r="C392" s="39">
        <v>3</v>
      </c>
      <c r="D392" s="39" t="s">
        <v>2122</v>
      </c>
    </row>
    <row r="393" spans="1:4" x14ac:dyDescent="0.25">
      <c r="A393" s="39" t="s">
        <v>2140</v>
      </c>
      <c r="B393" s="39" t="s">
        <v>2359</v>
      </c>
      <c r="C393" s="39">
        <v>3</v>
      </c>
      <c r="D393" s="39" t="s">
        <v>2122</v>
      </c>
    </row>
    <row r="394" spans="1:4" x14ac:dyDescent="0.25">
      <c r="A394" s="39" t="s">
        <v>1911</v>
      </c>
      <c r="B394" s="39" t="s">
        <v>251</v>
      </c>
      <c r="C394" s="39">
        <v>3</v>
      </c>
      <c r="D394" s="39" t="s">
        <v>2122</v>
      </c>
    </row>
    <row r="395" spans="1:4" x14ac:dyDescent="0.25">
      <c r="A395" s="39" t="s">
        <v>1697</v>
      </c>
      <c r="B395" s="39" t="s">
        <v>1423</v>
      </c>
      <c r="C395" s="39">
        <v>3</v>
      </c>
      <c r="D395" s="39" t="s">
        <v>2122</v>
      </c>
    </row>
    <row r="396" spans="1:4" x14ac:dyDescent="0.25">
      <c r="A396" s="39" t="s">
        <v>2238</v>
      </c>
      <c r="B396" s="39" t="s">
        <v>2027</v>
      </c>
      <c r="C396" s="39">
        <v>3</v>
      </c>
      <c r="D396" s="39" t="s">
        <v>2122</v>
      </c>
    </row>
    <row r="397" spans="1:4" x14ac:dyDescent="0.25">
      <c r="A397" s="39" t="s">
        <v>423</v>
      </c>
      <c r="B397" s="39" t="s">
        <v>1909</v>
      </c>
      <c r="C397" s="39">
        <v>3</v>
      </c>
      <c r="D397" s="39" t="s">
        <v>2122</v>
      </c>
    </row>
    <row r="398" spans="1:4" x14ac:dyDescent="0.25">
      <c r="A398" s="39" t="s">
        <v>1698</v>
      </c>
      <c r="B398" s="39" t="s">
        <v>115</v>
      </c>
      <c r="C398" s="39">
        <v>3</v>
      </c>
      <c r="D398" s="39" t="s">
        <v>2122</v>
      </c>
    </row>
    <row r="399" spans="1:4" x14ac:dyDescent="0.25">
      <c r="A399" s="39" t="s">
        <v>1361</v>
      </c>
      <c r="B399" s="39" t="s">
        <v>1428</v>
      </c>
      <c r="C399" s="39">
        <v>3</v>
      </c>
      <c r="D399" s="39" t="s">
        <v>2122</v>
      </c>
    </row>
    <row r="400" spans="1:4" x14ac:dyDescent="0.25">
      <c r="A400" s="39" t="s">
        <v>1700</v>
      </c>
      <c r="B400" s="39" t="s">
        <v>1015</v>
      </c>
      <c r="C400" s="39">
        <v>3</v>
      </c>
      <c r="D400" s="39" t="s">
        <v>2122</v>
      </c>
    </row>
    <row r="401" spans="1:4" x14ac:dyDescent="0.25">
      <c r="A401" s="39" t="s">
        <v>1252</v>
      </c>
      <c r="B401" s="39" t="s">
        <v>1388</v>
      </c>
      <c r="C401" s="39">
        <v>3</v>
      </c>
      <c r="D401" s="39" t="s">
        <v>2122</v>
      </c>
    </row>
    <row r="402" spans="1:4" x14ac:dyDescent="0.25">
      <c r="A402" s="39" t="s">
        <v>2240</v>
      </c>
      <c r="B402" s="39" t="s">
        <v>2241</v>
      </c>
      <c r="C402" s="39">
        <v>3</v>
      </c>
      <c r="D402" s="39" t="s">
        <v>2122</v>
      </c>
    </row>
    <row r="403" spans="1:4" x14ac:dyDescent="0.25">
      <c r="A403" s="39" t="s">
        <v>708</v>
      </c>
      <c r="B403" s="39" t="s">
        <v>620</v>
      </c>
      <c r="C403" s="39">
        <v>3</v>
      </c>
      <c r="D403" s="39" t="s">
        <v>2122</v>
      </c>
    </row>
    <row r="404" spans="1:4" x14ac:dyDescent="0.25">
      <c r="A404" s="39" t="s">
        <v>3533</v>
      </c>
      <c r="B404" s="39" t="s">
        <v>3779</v>
      </c>
      <c r="C404" s="39">
        <v>3</v>
      </c>
      <c r="D404" s="39" t="s">
        <v>2122</v>
      </c>
    </row>
    <row r="405" spans="1:4" x14ac:dyDescent="0.25">
      <c r="A405" s="39" t="s">
        <v>2393</v>
      </c>
      <c r="B405" s="39" t="s">
        <v>1723</v>
      </c>
      <c r="C405" s="39">
        <v>3</v>
      </c>
      <c r="D405" s="39" t="s">
        <v>2122</v>
      </c>
    </row>
    <row r="406" spans="1:4" x14ac:dyDescent="0.25">
      <c r="A406" s="39" t="s">
        <v>1910</v>
      </c>
      <c r="B406" s="39" t="s">
        <v>1354</v>
      </c>
      <c r="C406" s="39">
        <v>3</v>
      </c>
      <c r="D406" s="39" t="s">
        <v>2122</v>
      </c>
    </row>
    <row r="407" spans="1:4" x14ac:dyDescent="0.25">
      <c r="A407" s="39" t="s">
        <v>1896</v>
      </c>
      <c r="B407" s="39" t="s">
        <v>893</v>
      </c>
      <c r="C407" s="39">
        <v>3</v>
      </c>
      <c r="D407" s="39" t="s">
        <v>2122</v>
      </c>
    </row>
    <row r="408" spans="1:4" x14ac:dyDescent="0.25">
      <c r="A408" s="39" t="s">
        <v>5293</v>
      </c>
      <c r="B408" s="39" t="s">
        <v>5294</v>
      </c>
      <c r="C408" s="39">
        <v>3</v>
      </c>
      <c r="D408" s="39" t="s">
        <v>2122</v>
      </c>
    </row>
    <row r="409" spans="1:4" x14ac:dyDescent="0.25">
      <c r="A409" s="39" t="s">
        <v>521</v>
      </c>
      <c r="B409" s="39" t="s">
        <v>883</v>
      </c>
      <c r="C409" s="39">
        <v>3</v>
      </c>
      <c r="D409" s="39" t="s">
        <v>2122</v>
      </c>
    </row>
    <row r="410" spans="1:4" x14ac:dyDescent="0.25">
      <c r="A410" s="39" t="s">
        <v>4895</v>
      </c>
      <c r="B410" s="39" t="s">
        <v>4896</v>
      </c>
      <c r="C410" s="39">
        <v>3</v>
      </c>
      <c r="D410" s="39" t="s">
        <v>2122</v>
      </c>
    </row>
    <row r="411" spans="1:4" x14ac:dyDescent="0.25">
      <c r="A411" s="39" t="s">
        <v>5295</v>
      </c>
      <c r="B411" s="39" t="s">
        <v>5296</v>
      </c>
      <c r="C411" s="39">
        <v>3</v>
      </c>
      <c r="D411" s="39" t="s">
        <v>2122</v>
      </c>
    </row>
    <row r="412" spans="1:4" x14ac:dyDescent="0.25">
      <c r="A412" s="39" t="s">
        <v>3536</v>
      </c>
      <c r="B412" s="39" t="s">
        <v>3781</v>
      </c>
      <c r="C412" s="39">
        <v>3</v>
      </c>
      <c r="D412" s="39" t="s">
        <v>2122</v>
      </c>
    </row>
    <row r="413" spans="1:4" x14ac:dyDescent="0.25">
      <c r="A413" s="39" t="s">
        <v>3240</v>
      </c>
      <c r="B413" s="39" t="s">
        <v>3241</v>
      </c>
      <c r="C413" s="39">
        <v>3</v>
      </c>
      <c r="D413" s="39" t="s">
        <v>2122</v>
      </c>
    </row>
    <row r="414" spans="1:4" x14ac:dyDescent="0.25">
      <c r="A414" s="39" t="s">
        <v>564</v>
      </c>
      <c r="B414" s="39" t="s">
        <v>2201</v>
      </c>
      <c r="C414" s="39">
        <v>3</v>
      </c>
      <c r="D414" s="39" t="s">
        <v>2122</v>
      </c>
    </row>
    <row r="415" spans="1:4" x14ac:dyDescent="0.25">
      <c r="A415" s="39" t="s">
        <v>7331</v>
      </c>
      <c r="B415" s="39" t="s">
        <v>7332</v>
      </c>
      <c r="C415" s="39">
        <v>3</v>
      </c>
      <c r="D415" s="39" t="s">
        <v>2122</v>
      </c>
    </row>
    <row r="416" spans="1:4" x14ac:dyDescent="0.25">
      <c r="A416" s="39" t="s">
        <v>1044</v>
      </c>
      <c r="B416" s="39" t="s">
        <v>2751</v>
      </c>
      <c r="C416" s="39">
        <v>3</v>
      </c>
      <c r="D416" s="39" t="s">
        <v>2122</v>
      </c>
    </row>
    <row r="417" spans="1:4" x14ac:dyDescent="0.25">
      <c r="A417" s="39" t="s">
        <v>10481</v>
      </c>
      <c r="B417" s="39" t="s">
        <v>3782</v>
      </c>
      <c r="C417" s="39">
        <v>3</v>
      </c>
      <c r="D417" s="39" t="s">
        <v>2122</v>
      </c>
    </row>
    <row r="418" spans="1:4" x14ac:dyDescent="0.25">
      <c r="A418" s="39" t="s">
        <v>3377</v>
      </c>
      <c r="B418" s="39" t="s">
        <v>3673</v>
      </c>
      <c r="C418" s="39">
        <v>3</v>
      </c>
      <c r="D418" s="39" t="s">
        <v>2122</v>
      </c>
    </row>
    <row r="419" spans="1:4" x14ac:dyDescent="0.25">
      <c r="A419" s="39" t="s">
        <v>5302</v>
      </c>
      <c r="B419" s="39" t="s">
        <v>5303</v>
      </c>
      <c r="C419" s="39">
        <v>3</v>
      </c>
      <c r="D419" s="39" t="s">
        <v>2122</v>
      </c>
    </row>
    <row r="420" spans="1:4" x14ac:dyDescent="0.25">
      <c r="A420" s="39" t="s">
        <v>1702</v>
      </c>
      <c r="B420" s="39" t="s">
        <v>1020</v>
      </c>
      <c r="C420" s="39">
        <v>3</v>
      </c>
      <c r="D420" s="39" t="s">
        <v>2122</v>
      </c>
    </row>
    <row r="421" spans="1:4" x14ac:dyDescent="0.25">
      <c r="A421" s="39" t="s">
        <v>1460</v>
      </c>
      <c r="B421" s="39" t="s">
        <v>1017</v>
      </c>
      <c r="C421" s="39">
        <v>3</v>
      </c>
      <c r="D421" s="39" t="s">
        <v>2122</v>
      </c>
    </row>
    <row r="422" spans="1:4" x14ac:dyDescent="0.25">
      <c r="A422" s="39" t="s">
        <v>1704</v>
      </c>
      <c r="B422" s="39" t="s">
        <v>67</v>
      </c>
      <c r="C422" s="39">
        <v>3</v>
      </c>
      <c r="D422" s="39" t="s">
        <v>2122</v>
      </c>
    </row>
    <row r="423" spans="1:4" x14ac:dyDescent="0.25">
      <c r="A423" s="39" t="s">
        <v>1705</v>
      </c>
      <c r="B423" s="39" t="s">
        <v>1029</v>
      </c>
      <c r="C423" s="39">
        <v>3</v>
      </c>
      <c r="D423" s="39" t="s">
        <v>2122</v>
      </c>
    </row>
    <row r="424" spans="1:4" x14ac:dyDescent="0.25">
      <c r="A424" s="39" t="s">
        <v>1706</v>
      </c>
      <c r="B424" s="39" t="s">
        <v>1023</v>
      </c>
      <c r="C424" s="39">
        <v>3</v>
      </c>
      <c r="D424" s="39" t="s">
        <v>2122</v>
      </c>
    </row>
    <row r="425" spans="1:4" x14ac:dyDescent="0.25">
      <c r="A425" s="39" t="s">
        <v>1689</v>
      </c>
      <c r="B425" s="39" t="s">
        <v>221</v>
      </c>
      <c r="C425" s="39">
        <v>3</v>
      </c>
      <c r="D425" s="39" t="s">
        <v>2122</v>
      </c>
    </row>
    <row r="426" spans="1:4" x14ac:dyDescent="0.25">
      <c r="A426" s="39" t="s">
        <v>382</v>
      </c>
      <c r="B426" s="39" t="s">
        <v>602</v>
      </c>
      <c r="C426" s="39">
        <v>3</v>
      </c>
      <c r="D426" s="39" t="s">
        <v>2122</v>
      </c>
    </row>
    <row r="427" spans="1:4" x14ac:dyDescent="0.25">
      <c r="A427" s="39" t="s">
        <v>1918</v>
      </c>
      <c r="B427" s="39" t="s">
        <v>123</v>
      </c>
      <c r="C427" s="39">
        <v>3</v>
      </c>
      <c r="D427" s="39" t="s">
        <v>2122</v>
      </c>
    </row>
    <row r="428" spans="1:4" x14ac:dyDescent="0.25">
      <c r="A428" s="39" t="s">
        <v>1710</v>
      </c>
      <c r="B428" s="39" t="s">
        <v>1180</v>
      </c>
      <c r="C428" s="39">
        <v>3</v>
      </c>
      <c r="D428" s="39" t="s">
        <v>2122</v>
      </c>
    </row>
    <row r="429" spans="1:4" x14ac:dyDescent="0.25">
      <c r="A429" s="39" t="s">
        <v>5324</v>
      </c>
      <c r="B429" s="39" t="s">
        <v>3787</v>
      </c>
      <c r="C429" s="39">
        <v>3</v>
      </c>
      <c r="D429" s="39" t="s">
        <v>2122</v>
      </c>
    </row>
    <row r="430" spans="1:4" x14ac:dyDescent="0.25">
      <c r="A430" s="39" t="s">
        <v>1712</v>
      </c>
      <c r="B430" s="39" t="s">
        <v>1235</v>
      </c>
      <c r="C430" s="39">
        <v>3</v>
      </c>
      <c r="D430" s="39" t="s">
        <v>2122</v>
      </c>
    </row>
    <row r="431" spans="1:4" x14ac:dyDescent="0.25">
      <c r="A431" s="39" t="s">
        <v>983</v>
      </c>
      <c r="B431" s="39" t="s">
        <v>1176</v>
      </c>
      <c r="C431" s="39">
        <v>3</v>
      </c>
      <c r="D431" s="39" t="s">
        <v>2122</v>
      </c>
    </row>
    <row r="432" spans="1:4" x14ac:dyDescent="0.25">
      <c r="A432" s="39" t="s">
        <v>4897</v>
      </c>
      <c r="B432" s="39" t="s">
        <v>4898</v>
      </c>
      <c r="C432" s="39">
        <v>3</v>
      </c>
      <c r="D432" s="39" t="s">
        <v>2122</v>
      </c>
    </row>
    <row r="433" spans="1:4" x14ac:dyDescent="0.25">
      <c r="A433" s="39" t="s">
        <v>132</v>
      </c>
      <c r="B433" s="39" t="s">
        <v>223</v>
      </c>
      <c r="C433" s="39">
        <v>3</v>
      </c>
      <c r="D433" s="39" t="s">
        <v>2122</v>
      </c>
    </row>
    <row r="434" spans="1:4" x14ac:dyDescent="0.25">
      <c r="A434" s="39" t="s">
        <v>7367</v>
      </c>
      <c r="B434" s="39" t="s">
        <v>7368</v>
      </c>
      <c r="C434" s="39">
        <v>3</v>
      </c>
      <c r="D434" s="39" t="s">
        <v>2122</v>
      </c>
    </row>
    <row r="435" spans="1:4" x14ac:dyDescent="0.25">
      <c r="A435" s="39" t="s">
        <v>2679</v>
      </c>
      <c r="B435" s="39" t="s">
        <v>1777</v>
      </c>
      <c r="C435" s="39">
        <v>3</v>
      </c>
      <c r="D435" s="39" t="s">
        <v>2122</v>
      </c>
    </row>
    <row r="436" spans="1:4" x14ac:dyDescent="0.25">
      <c r="A436" s="39" t="s">
        <v>2053</v>
      </c>
      <c r="B436" s="39" t="s">
        <v>2088</v>
      </c>
      <c r="C436" s="39">
        <v>3</v>
      </c>
      <c r="D436" s="39" t="s">
        <v>2122</v>
      </c>
    </row>
    <row r="437" spans="1:4" x14ac:dyDescent="0.25">
      <c r="A437" s="39" t="s">
        <v>1201</v>
      </c>
      <c r="B437" s="39" t="s">
        <v>1106</v>
      </c>
      <c r="C437" s="39">
        <v>3</v>
      </c>
      <c r="D437" s="39" t="s">
        <v>2122</v>
      </c>
    </row>
    <row r="438" spans="1:4" x14ac:dyDescent="0.25">
      <c r="A438" s="39" t="s">
        <v>1920</v>
      </c>
      <c r="B438" s="39" t="s">
        <v>391</v>
      </c>
      <c r="C438" s="39">
        <v>3</v>
      </c>
      <c r="D438" s="39" t="s">
        <v>2122</v>
      </c>
    </row>
    <row r="439" spans="1:4" x14ac:dyDescent="0.25">
      <c r="A439" s="39" t="s">
        <v>1921</v>
      </c>
      <c r="B439" s="39" t="s">
        <v>271</v>
      </c>
      <c r="C439" s="39">
        <v>3</v>
      </c>
      <c r="D439" s="39" t="s">
        <v>2122</v>
      </c>
    </row>
    <row r="440" spans="1:4" x14ac:dyDescent="0.25">
      <c r="A440" s="39" t="s">
        <v>1338</v>
      </c>
      <c r="B440" s="39" t="s">
        <v>3245</v>
      </c>
      <c r="C440" s="39">
        <v>3</v>
      </c>
      <c r="D440" s="39" t="s">
        <v>2122</v>
      </c>
    </row>
    <row r="441" spans="1:4" x14ac:dyDescent="0.25">
      <c r="A441" s="39" t="s">
        <v>1714</v>
      </c>
      <c r="B441" s="39" t="s">
        <v>1249</v>
      </c>
      <c r="C441" s="39">
        <v>3</v>
      </c>
      <c r="D441" s="39" t="s">
        <v>2122</v>
      </c>
    </row>
    <row r="442" spans="1:4" x14ac:dyDescent="0.25">
      <c r="A442" s="39" t="s">
        <v>3551</v>
      </c>
      <c r="B442" s="39" t="s">
        <v>3793</v>
      </c>
      <c r="C442" s="39">
        <v>3</v>
      </c>
      <c r="D442" s="39" t="s">
        <v>2122</v>
      </c>
    </row>
    <row r="443" spans="1:4" x14ac:dyDescent="0.25">
      <c r="A443" s="39" t="s">
        <v>10482</v>
      </c>
      <c r="B443" s="39" t="s">
        <v>1143</v>
      </c>
      <c r="C443" s="39">
        <v>3</v>
      </c>
      <c r="D443" s="39" t="s">
        <v>2122</v>
      </c>
    </row>
    <row r="444" spans="1:4" x14ac:dyDescent="0.25">
      <c r="A444" s="39" t="s">
        <v>3246</v>
      </c>
      <c r="B444" s="39" t="s">
        <v>3247</v>
      </c>
      <c r="C444" s="39">
        <v>3</v>
      </c>
      <c r="D444" s="39" t="s">
        <v>2122</v>
      </c>
    </row>
    <row r="445" spans="1:4" x14ac:dyDescent="0.25">
      <c r="A445" s="39" t="s">
        <v>1393</v>
      </c>
      <c r="B445" s="39" t="s">
        <v>3249</v>
      </c>
      <c r="C445" s="39">
        <v>3</v>
      </c>
      <c r="D445" s="39" t="s">
        <v>2122</v>
      </c>
    </row>
    <row r="446" spans="1:4" x14ac:dyDescent="0.25">
      <c r="A446" s="39" t="s">
        <v>1715</v>
      </c>
      <c r="B446" s="39" t="s">
        <v>940</v>
      </c>
      <c r="C446" s="39">
        <v>3</v>
      </c>
      <c r="D446" s="39" t="s">
        <v>2122</v>
      </c>
    </row>
    <row r="447" spans="1:4" x14ac:dyDescent="0.25">
      <c r="A447" s="39" t="s">
        <v>1923</v>
      </c>
      <c r="B447" s="39" t="s">
        <v>1258</v>
      </c>
      <c r="C447" s="39">
        <v>3</v>
      </c>
      <c r="D447" s="39" t="s">
        <v>2122</v>
      </c>
    </row>
    <row r="448" spans="1:4" x14ac:dyDescent="0.25">
      <c r="A448" s="39" t="s">
        <v>7391</v>
      </c>
      <c r="B448" s="39" t="s">
        <v>7392</v>
      </c>
      <c r="C448" s="39">
        <v>3</v>
      </c>
      <c r="D448" s="39" t="s">
        <v>2122</v>
      </c>
    </row>
    <row r="449" spans="1:4" x14ac:dyDescent="0.25">
      <c r="A449" s="39" t="s">
        <v>5339</v>
      </c>
      <c r="B449" s="39" t="s">
        <v>5340</v>
      </c>
      <c r="C449" s="39">
        <v>3</v>
      </c>
      <c r="D449" s="39" t="s">
        <v>2122</v>
      </c>
    </row>
    <row r="450" spans="1:4" x14ac:dyDescent="0.25">
      <c r="A450" s="39" t="s">
        <v>3184</v>
      </c>
      <c r="B450" s="39" t="s">
        <v>1386</v>
      </c>
      <c r="C450" s="39">
        <v>3</v>
      </c>
      <c r="D450" s="39" t="s">
        <v>2122</v>
      </c>
    </row>
    <row r="451" spans="1:4" x14ac:dyDescent="0.25">
      <c r="A451" s="39" t="s">
        <v>1718</v>
      </c>
      <c r="B451" s="39" t="s">
        <v>1154</v>
      </c>
      <c r="C451" s="39">
        <v>3</v>
      </c>
      <c r="D451" s="39" t="s">
        <v>2122</v>
      </c>
    </row>
    <row r="452" spans="1:4" x14ac:dyDescent="0.25">
      <c r="A452" s="39" t="s">
        <v>1121</v>
      </c>
      <c r="B452" s="39" t="s">
        <v>2413</v>
      </c>
      <c r="C452" s="39">
        <v>3</v>
      </c>
      <c r="D452" s="39" t="s">
        <v>2122</v>
      </c>
    </row>
    <row r="453" spans="1:4" x14ac:dyDescent="0.25">
      <c r="A453" s="39" t="s">
        <v>1721</v>
      </c>
      <c r="B453" s="39" t="s">
        <v>134</v>
      </c>
      <c r="C453" s="39">
        <v>3</v>
      </c>
      <c r="D453" s="39" t="s">
        <v>2122</v>
      </c>
    </row>
    <row r="454" spans="1:4" x14ac:dyDescent="0.25">
      <c r="A454" s="39" t="s">
        <v>4899</v>
      </c>
      <c r="B454" s="39" t="s">
        <v>4900</v>
      </c>
      <c r="C454" s="39">
        <v>3</v>
      </c>
      <c r="D454" s="39" t="s">
        <v>2122</v>
      </c>
    </row>
    <row r="455" spans="1:4" x14ac:dyDescent="0.25">
      <c r="A455" s="39" t="s">
        <v>3253</v>
      </c>
      <c r="B455" s="39" t="s">
        <v>1263</v>
      </c>
      <c r="C455" s="39">
        <v>3</v>
      </c>
      <c r="D455" s="39" t="s">
        <v>2122</v>
      </c>
    </row>
    <row r="456" spans="1:4" x14ac:dyDescent="0.25">
      <c r="A456" s="39" t="s">
        <v>3557</v>
      </c>
      <c r="B456" s="39" t="s">
        <v>3798</v>
      </c>
      <c r="C456" s="39">
        <v>3</v>
      </c>
      <c r="D456" s="39" t="s">
        <v>2122</v>
      </c>
    </row>
    <row r="457" spans="1:4" x14ac:dyDescent="0.25">
      <c r="A457" s="39" t="s">
        <v>377</v>
      </c>
      <c r="B457" s="39" t="s">
        <v>2552</v>
      </c>
      <c r="C457" s="39">
        <v>3</v>
      </c>
      <c r="D457" s="39" t="s">
        <v>2122</v>
      </c>
    </row>
    <row r="458" spans="1:4" x14ac:dyDescent="0.25">
      <c r="A458" s="39" t="s">
        <v>4901</v>
      </c>
      <c r="B458" s="39" t="s">
        <v>4902</v>
      </c>
      <c r="C458" s="39">
        <v>3</v>
      </c>
      <c r="D458" s="39" t="s">
        <v>2122</v>
      </c>
    </row>
    <row r="459" spans="1:4" x14ac:dyDescent="0.25">
      <c r="A459" s="39" t="s">
        <v>144</v>
      </c>
      <c r="B459" s="39" t="s">
        <v>2367</v>
      </c>
      <c r="C459" s="39">
        <v>3</v>
      </c>
      <c r="D459" s="39" t="s">
        <v>2122</v>
      </c>
    </row>
    <row r="460" spans="1:4" x14ac:dyDescent="0.25">
      <c r="A460" s="39" t="s">
        <v>3558</v>
      </c>
      <c r="B460" s="39" t="s">
        <v>3799</v>
      </c>
      <c r="C460" s="39">
        <v>3</v>
      </c>
      <c r="D460" s="39" t="s">
        <v>2122</v>
      </c>
    </row>
    <row r="461" spans="1:4" x14ac:dyDescent="0.25">
      <c r="A461" s="39" t="s">
        <v>1684</v>
      </c>
      <c r="B461" s="39" t="s">
        <v>562</v>
      </c>
      <c r="C461" s="39">
        <v>3</v>
      </c>
      <c r="D461" s="39" t="s">
        <v>2122</v>
      </c>
    </row>
    <row r="462" spans="1:4" x14ac:dyDescent="0.25">
      <c r="A462" s="39" t="s">
        <v>3256</v>
      </c>
      <c r="B462" s="39" t="s">
        <v>2732</v>
      </c>
      <c r="C462" s="39">
        <v>3</v>
      </c>
      <c r="D462" s="39" t="s">
        <v>2122</v>
      </c>
    </row>
    <row r="463" spans="1:4" x14ac:dyDescent="0.25">
      <c r="A463" s="39" t="s">
        <v>1701</v>
      </c>
      <c r="B463" s="39" t="s">
        <v>1036</v>
      </c>
      <c r="C463" s="39">
        <v>3</v>
      </c>
      <c r="D463" s="39" t="s">
        <v>2122</v>
      </c>
    </row>
    <row r="464" spans="1:4" x14ac:dyDescent="0.25">
      <c r="A464" s="39" t="s">
        <v>1722</v>
      </c>
      <c r="B464" s="39" t="s">
        <v>91</v>
      </c>
      <c r="C464" s="39">
        <v>3</v>
      </c>
      <c r="D464" s="39" t="s">
        <v>2122</v>
      </c>
    </row>
    <row r="465" spans="1:4" x14ac:dyDescent="0.25">
      <c r="A465" s="39" t="s">
        <v>2962</v>
      </c>
      <c r="B465" s="39" t="s">
        <v>3112</v>
      </c>
      <c r="C465" s="39">
        <v>3</v>
      </c>
      <c r="D465" s="39" t="s">
        <v>2122</v>
      </c>
    </row>
    <row r="466" spans="1:4" x14ac:dyDescent="0.25">
      <c r="A466" s="39" t="s">
        <v>1724</v>
      </c>
      <c r="B466" s="39" t="s">
        <v>1040</v>
      </c>
      <c r="C466" s="39">
        <v>3</v>
      </c>
      <c r="D466" s="39" t="s">
        <v>2122</v>
      </c>
    </row>
    <row r="467" spans="1:4" x14ac:dyDescent="0.25">
      <c r="A467" s="39" t="s">
        <v>1725</v>
      </c>
      <c r="B467" s="39" t="s">
        <v>1041</v>
      </c>
      <c r="C467" s="39">
        <v>3</v>
      </c>
      <c r="D467" s="39" t="s">
        <v>2122</v>
      </c>
    </row>
    <row r="468" spans="1:4" x14ac:dyDescent="0.25">
      <c r="A468" s="39" t="s">
        <v>2665</v>
      </c>
      <c r="B468" s="39" t="s">
        <v>2666</v>
      </c>
      <c r="C468" s="39">
        <v>3</v>
      </c>
      <c r="D468" s="39" t="s">
        <v>2122</v>
      </c>
    </row>
    <row r="469" spans="1:4" x14ac:dyDescent="0.25">
      <c r="A469" s="39" t="s">
        <v>10483</v>
      </c>
      <c r="B469" s="39" t="s">
        <v>2416</v>
      </c>
      <c r="C469" s="39">
        <v>3</v>
      </c>
      <c r="D469" s="39" t="s">
        <v>2122</v>
      </c>
    </row>
    <row r="470" spans="1:4" x14ac:dyDescent="0.25">
      <c r="A470" s="39" t="s">
        <v>177</v>
      </c>
      <c r="B470" s="39" t="s">
        <v>1447</v>
      </c>
      <c r="C470" s="39">
        <v>3</v>
      </c>
      <c r="D470" s="39" t="s">
        <v>2122</v>
      </c>
    </row>
    <row r="471" spans="1:4" x14ac:dyDescent="0.25">
      <c r="A471" s="39" t="s">
        <v>1381</v>
      </c>
      <c r="B471" s="39" t="s">
        <v>1013</v>
      </c>
      <c r="C471" s="39">
        <v>3</v>
      </c>
      <c r="D471" s="39" t="s">
        <v>2122</v>
      </c>
    </row>
    <row r="472" spans="1:4" x14ac:dyDescent="0.25">
      <c r="A472" s="39" t="s">
        <v>1726</v>
      </c>
      <c r="B472" s="39" t="s">
        <v>1042</v>
      </c>
      <c r="C472" s="39">
        <v>3</v>
      </c>
      <c r="D472" s="39" t="s">
        <v>2122</v>
      </c>
    </row>
    <row r="473" spans="1:4" x14ac:dyDescent="0.25">
      <c r="A473" s="39" t="s">
        <v>7412</v>
      </c>
      <c r="B473" s="39" t="s">
        <v>7413</v>
      </c>
      <c r="C473" s="39">
        <v>3</v>
      </c>
      <c r="D473" s="39" t="s">
        <v>2122</v>
      </c>
    </row>
    <row r="474" spans="1:4" x14ac:dyDescent="0.25">
      <c r="A474" s="39" t="s">
        <v>2090</v>
      </c>
      <c r="B474" s="39" t="s">
        <v>897</v>
      </c>
      <c r="C474" s="39">
        <v>3</v>
      </c>
      <c r="D474" s="39" t="s">
        <v>2122</v>
      </c>
    </row>
    <row r="475" spans="1:4" x14ac:dyDescent="0.25">
      <c r="A475" s="39" t="s">
        <v>1728</v>
      </c>
      <c r="B475" s="39" t="s">
        <v>1142</v>
      </c>
      <c r="C475" s="39">
        <v>3</v>
      </c>
      <c r="D475" s="39" t="s">
        <v>2122</v>
      </c>
    </row>
    <row r="476" spans="1:4" x14ac:dyDescent="0.25">
      <c r="A476" s="39" t="s">
        <v>1730</v>
      </c>
      <c r="B476" s="39" t="s">
        <v>1137</v>
      </c>
      <c r="C476" s="39">
        <v>3</v>
      </c>
      <c r="D476" s="39" t="s">
        <v>2122</v>
      </c>
    </row>
    <row r="477" spans="1:4" x14ac:dyDescent="0.25">
      <c r="A477" s="39" t="s">
        <v>2091</v>
      </c>
      <c r="B477" s="39" t="s">
        <v>137</v>
      </c>
      <c r="C477" s="39">
        <v>3</v>
      </c>
      <c r="D477" s="39" t="s">
        <v>2122</v>
      </c>
    </row>
    <row r="478" spans="1:4" x14ac:dyDescent="0.25">
      <c r="A478" s="39" t="s">
        <v>1731</v>
      </c>
      <c r="B478" s="39" t="s">
        <v>1094</v>
      </c>
      <c r="C478" s="39">
        <v>3</v>
      </c>
      <c r="D478" s="39" t="s">
        <v>2122</v>
      </c>
    </row>
    <row r="479" spans="1:4" x14ac:dyDescent="0.25">
      <c r="A479" s="39" t="s">
        <v>2251</v>
      </c>
      <c r="B479" s="39" t="s">
        <v>2105</v>
      </c>
      <c r="C479" s="39">
        <v>3</v>
      </c>
      <c r="D479" s="39" t="s">
        <v>2122</v>
      </c>
    </row>
    <row r="480" spans="1:4" x14ac:dyDescent="0.25">
      <c r="A480" s="39" t="s">
        <v>1732</v>
      </c>
      <c r="B480" s="39" t="s">
        <v>534</v>
      </c>
      <c r="C480" s="39">
        <v>3</v>
      </c>
      <c r="D480" s="39" t="s">
        <v>2122</v>
      </c>
    </row>
    <row r="481" spans="1:4" x14ac:dyDescent="0.25">
      <c r="A481" s="39" t="s">
        <v>3561</v>
      </c>
      <c r="B481" s="39" t="s">
        <v>3801</v>
      </c>
      <c r="C481" s="39">
        <v>3</v>
      </c>
      <c r="D481" s="39" t="s">
        <v>2122</v>
      </c>
    </row>
    <row r="482" spans="1:4" x14ac:dyDescent="0.25">
      <c r="A482" s="39" t="s">
        <v>1733</v>
      </c>
      <c r="B482" s="39" t="s">
        <v>1049</v>
      </c>
      <c r="C482" s="39">
        <v>3</v>
      </c>
      <c r="D482" s="39" t="s">
        <v>2122</v>
      </c>
    </row>
    <row r="483" spans="1:4" x14ac:dyDescent="0.25">
      <c r="A483" s="39" t="s">
        <v>3562</v>
      </c>
      <c r="B483" s="39" t="s">
        <v>3802</v>
      </c>
      <c r="C483" s="39">
        <v>3</v>
      </c>
      <c r="D483" s="39" t="s">
        <v>2122</v>
      </c>
    </row>
    <row r="484" spans="1:4" x14ac:dyDescent="0.25">
      <c r="A484" s="39" t="s">
        <v>3564</v>
      </c>
      <c r="B484" s="39" t="s">
        <v>3804</v>
      </c>
      <c r="C484" s="39">
        <v>3</v>
      </c>
      <c r="D484" s="39" t="s">
        <v>2122</v>
      </c>
    </row>
    <row r="485" spans="1:4" x14ac:dyDescent="0.25">
      <c r="A485" s="39" t="s">
        <v>1605</v>
      </c>
      <c r="B485" s="39" t="s">
        <v>488</v>
      </c>
      <c r="C485" s="39">
        <v>3</v>
      </c>
      <c r="D485" s="39" t="s">
        <v>2122</v>
      </c>
    </row>
    <row r="486" spans="1:4" x14ac:dyDescent="0.25">
      <c r="A486" s="39" t="s">
        <v>2096</v>
      </c>
      <c r="B486" s="39" t="s">
        <v>2098</v>
      </c>
      <c r="C486" s="39">
        <v>3</v>
      </c>
      <c r="D486" s="39" t="s">
        <v>2122</v>
      </c>
    </row>
    <row r="487" spans="1:4" x14ac:dyDescent="0.25">
      <c r="A487" s="39" t="s">
        <v>1734</v>
      </c>
      <c r="B487" s="39" t="s">
        <v>1108</v>
      </c>
      <c r="C487" s="39">
        <v>3</v>
      </c>
      <c r="D487" s="39" t="s">
        <v>2122</v>
      </c>
    </row>
    <row r="488" spans="1:4" x14ac:dyDescent="0.25">
      <c r="A488" s="39" t="s">
        <v>475</v>
      </c>
      <c r="B488" s="39" t="s">
        <v>1090</v>
      </c>
      <c r="C488" s="39">
        <v>3</v>
      </c>
      <c r="D488" s="39" t="s">
        <v>2122</v>
      </c>
    </row>
    <row r="489" spans="1:4" x14ac:dyDescent="0.25">
      <c r="A489" s="39" t="s">
        <v>38</v>
      </c>
      <c r="B489" s="39" t="s">
        <v>1416</v>
      </c>
      <c r="C489" s="39">
        <v>3</v>
      </c>
      <c r="D489" s="39" t="s">
        <v>2122</v>
      </c>
    </row>
    <row r="490" spans="1:4" x14ac:dyDescent="0.25">
      <c r="A490" s="39" t="s">
        <v>1566</v>
      </c>
      <c r="B490" s="39" t="s">
        <v>2046</v>
      </c>
      <c r="C490" s="39">
        <v>3</v>
      </c>
      <c r="D490" s="39" t="s">
        <v>2122</v>
      </c>
    </row>
    <row r="491" spans="1:4" x14ac:dyDescent="0.25">
      <c r="A491" s="39" t="s">
        <v>217</v>
      </c>
      <c r="B491" s="39" t="s">
        <v>1735</v>
      </c>
      <c r="C491" s="39">
        <v>3</v>
      </c>
      <c r="D491" s="39" t="s">
        <v>2122</v>
      </c>
    </row>
    <row r="492" spans="1:4" x14ac:dyDescent="0.25">
      <c r="A492" s="39" t="s">
        <v>5373</v>
      </c>
      <c r="B492" s="39" t="s">
        <v>5374</v>
      </c>
      <c r="C492" s="39">
        <v>3</v>
      </c>
      <c r="D492" s="39" t="s">
        <v>2122</v>
      </c>
    </row>
    <row r="493" spans="1:4" x14ac:dyDescent="0.25">
      <c r="A493" s="39" t="s">
        <v>823</v>
      </c>
      <c r="B493" s="39" t="s">
        <v>1046</v>
      </c>
      <c r="C493" s="39">
        <v>3</v>
      </c>
      <c r="D493" s="39" t="s">
        <v>2122</v>
      </c>
    </row>
    <row r="494" spans="1:4" x14ac:dyDescent="0.25">
      <c r="A494" s="39" t="s">
        <v>1487</v>
      </c>
      <c r="B494" s="39" t="s">
        <v>1166</v>
      </c>
      <c r="C494" s="39">
        <v>3</v>
      </c>
      <c r="D494" s="39" t="s">
        <v>2122</v>
      </c>
    </row>
    <row r="495" spans="1:4" x14ac:dyDescent="0.25">
      <c r="A495" s="39" t="s">
        <v>2253</v>
      </c>
      <c r="B495" s="39" t="s">
        <v>2254</v>
      </c>
      <c r="C495" s="39">
        <v>3</v>
      </c>
      <c r="D495" s="39" t="s">
        <v>2122</v>
      </c>
    </row>
    <row r="496" spans="1:4" x14ac:dyDescent="0.25">
      <c r="A496" s="39" t="s">
        <v>2606</v>
      </c>
      <c r="B496" s="39" t="s">
        <v>2419</v>
      </c>
      <c r="C496" s="39">
        <v>3</v>
      </c>
      <c r="D496" s="39" t="s">
        <v>2122</v>
      </c>
    </row>
    <row r="497" spans="1:4" x14ac:dyDescent="0.25">
      <c r="A497" s="39" t="s">
        <v>3262</v>
      </c>
      <c r="B497" s="39" t="s">
        <v>3263</v>
      </c>
      <c r="C497" s="39">
        <v>3</v>
      </c>
      <c r="D497" s="39" t="s">
        <v>2122</v>
      </c>
    </row>
    <row r="498" spans="1:4" x14ac:dyDescent="0.25">
      <c r="A498" s="39" t="s">
        <v>3265</v>
      </c>
      <c r="B498" s="39" t="s">
        <v>2265</v>
      </c>
      <c r="C498" s="39">
        <v>3</v>
      </c>
      <c r="D498" s="39" t="s">
        <v>2122</v>
      </c>
    </row>
    <row r="499" spans="1:4" x14ac:dyDescent="0.25">
      <c r="A499" s="39" t="s">
        <v>1739</v>
      </c>
      <c r="B499" s="39" t="s">
        <v>1126</v>
      </c>
      <c r="C499" s="39">
        <v>3</v>
      </c>
      <c r="D499" s="39" t="s">
        <v>2122</v>
      </c>
    </row>
    <row r="500" spans="1:4" x14ac:dyDescent="0.25">
      <c r="A500" s="39" t="s">
        <v>1741</v>
      </c>
      <c r="B500" s="39" t="s">
        <v>1048</v>
      </c>
      <c r="C500" s="39">
        <v>3</v>
      </c>
      <c r="D500" s="39" t="s">
        <v>2122</v>
      </c>
    </row>
    <row r="501" spans="1:4" x14ac:dyDescent="0.25">
      <c r="A501" s="39" t="s">
        <v>3266</v>
      </c>
      <c r="B501" s="39" t="s">
        <v>2467</v>
      </c>
      <c r="C501" s="39">
        <v>3</v>
      </c>
      <c r="D501" s="39" t="s">
        <v>2122</v>
      </c>
    </row>
    <row r="502" spans="1:4" x14ac:dyDescent="0.25">
      <c r="A502" s="39" t="s">
        <v>1127</v>
      </c>
      <c r="B502" s="39" t="s">
        <v>2028</v>
      </c>
      <c r="C502" s="39">
        <v>3</v>
      </c>
      <c r="D502" s="39" t="s">
        <v>2122</v>
      </c>
    </row>
    <row r="503" spans="1:4" x14ac:dyDescent="0.25">
      <c r="A503" s="39" t="s">
        <v>1448</v>
      </c>
      <c r="B503" s="39" t="s">
        <v>811</v>
      </c>
      <c r="C503" s="39">
        <v>3</v>
      </c>
      <c r="D503" s="39" t="s">
        <v>2122</v>
      </c>
    </row>
    <row r="504" spans="1:4" x14ac:dyDescent="0.25">
      <c r="A504" s="39" t="s">
        <v>10484</v>
      </c>
      <c r="B504" s="39" t="s">
        <v>10485</v>
      </c>
      <c r="C504" s="39">
        <v>3</v>
      </c>
      <c r="D504" s="39" t="s">
        <v>2122</v>
      </c>
    </row>
    <row r="505" spans="1:4" x14ac:dyDescent="0.25">
      <c r="A505" s="39" t="s">
        <v>530</v>
      </c>
      <c r="B505" s="39" t="s">
        <v>1495</v>
      </c>
      <c r="C505" s="39">
        <v>3</v>
      </c>
      <c r="D505" s="39" t="s">
        <v>2122</v>
      </c>
    </row>
    <row r="506" spans="1:4" x14ac:dyDescent="0.25">
      <c r="A506" s="39" t="s">
        <v>6823</v>
      </c>
      <c r="B506" s="39" t="s">
        <v>6824</v>
      </c>
      <c r="C506" s="39">
        <v>3</v>
      </c>
      <c r="D506" s="39" t="s">
        <v>2122</v>
      </c>
    </row>
    <row r="507" spans="1:4" x14ac:dyDescent="0.25">
      <c r="A507" s="39" t="s">
        <v>2667</v>
      </c>
      <c r="B507" s="39" t="s">
        <v>1938</v>
      </c>
      <c r="C507" s="39">
        <v>3</v>
      </c>
      <c r="D507" s="39" t="s">
        <v>2122</v>
      </c>
    </row>
    <row r="508" spans="1:4" x14ac:dyDescent="0.25">
      <c r="A508" s="39" t="s">
        <v>1445</v>
      </c>
      <c r="B508" s="39" t="s">
        <v>215</v>
      </c>
      <c r="C508" s="39">
        <v>3</v>
      </c>
      <c r="D508" s="39" t="s">
        <v>2122</v>
      </c>
    </row>
    <row r="509" spans="1:4" x14ac:dyDescent="0.25">
      <c r="A509" s="39" t="s">
        <v>682</v>
      </c>
      <c r="B509" s="39" t="s">
        <v>3268</v>
      </c>
      <c r="C509" s="39">
        <v>3</v>
      </c>
      <c r="D509" s="39" t="s">
        <v>2122</v>
      </c>
    </row>
    <row r="510" spans="1:4" x14ac:dyDescent="0.25">
      <c r="A510" s="39" t="s">
        <v>1819</v>
      </c>
      <c r="B510" s="39" t="s">
        <v>1139</v>
      </c>
      <c r="C510" s="39">
        <v>3</v>
      </c>
      <c r="D510" s="39" t="s">
        <v>2122</v>
      </c>
    </row>
    <row r="511" spans="1:4" x14ac:dyDescent="0.25">
      <c r="A511" s="39" t="s">
        <v>2668</v>
      </c>
      <c r="B511" s="39" t="s">
        <v>2649</v>
      </c>
      <c r="C511" s="39">
        <v>3</v>
      </c>
      <c r="D511" s="39" t="s">
        <v>2122</v>
      </c>
    </row>
    <row r="512" spans="1:4" x14ac:dyDescent="0.25">
      <c r="A512" s="39" t="s">
        <v>598</v>
      </c>
      <c r="B512" s="39" t="s">
        <v>1025</v>
      </c>
      <c r="C512" s="39">
        <v>3</v>
      </c>
      <c r="D512" s="39" t="s">
        <v>2122</v>
      </c>
    </row>
    <row r="513" spans="1:4" x14ac:dyDescent="0.25">
      <c r="A513" s="39" t="s">
        <v>1742</v>
      </c>
      <c r="B513" s="39" t="s">
        <v>255</v>
      </c>
      <c r="C513" s="39">
        <v>3</v>
      </c>
      <c r="D513" s="39" t="s">
        <v>2122</v>
      </c>
    </row>
    <row r="514" spans="1:4" x14ac:dyDescent="0.25">
      <c r="A514" s="39" t="s">
        <v>1744</v>
      </c>
      <c r="B514" s="39" t="s">
        <v>953</v>
      </c>
      <c r="C514" s="39">
        <v>3</v>
      </c>
      <c r="D514" s="39" t="s">
        <v>2122</v>
      </c>
    </row>
    <row r="515" spans="1:4" x14ac:dyDescent="0.25">
      <c r="A515" s="39" t="s">
        <v>2761</v>
      </c>
      <c r="B515" s="39" t="s">
        <v>2762</v>
      </c>
      <c r="C515" s="39">
        <v>3</v>
      </c>
      <c r="D515" s="39" t="s">
        <v>2122</v>
      </c>
    </row>
    <row r="516" spans="1:4" x14ac:dyDescent="0.25">
      <c r="A516" s="39" t="s">
        <v>2763</v>
      </c>
      <c r="B516" s="39" t="s">
        <v>2764</v>
      </c>
      <c r="C516" s="39">
        <v>3</v>
      </c>
      <c r="D516" s="39" t="s">
        <v>2122</v>
      </c>
    </row>
    <row r="517" spans="1:4" x14ac:dyDescent="0.25">
      <c r="A517" s="39" t="s">
        <v>5385</v>
      </c>
      <c r="B517" s="39" t="s">
        <v>5386</v>
      </c>
      <c r="C517" s="39">
        <v>3</v>
      </c>
      <c r="D517" s="39" t="s">
        <v>2122</v>
      </c>
    </row>
    <row r="518" spans="1:4" x14ac:dyDescent="0.25">
      <c r="A518" s="39" t="s">
        <v>2567</v>
      </c>
      <c r="B518" s="39" t="s">
        <v>1405</v>
      </c>
      <c r="C518" s="39">
        <v>3</v>
      </c>
      <c r="D518" s="39" t="s">
        <v>2122</v>
      </c>
    </row>
    <row r="519" spans="1:4" x14ac:dyDescent="0.25">
      <c r="A519" s="39" t="s">
        <v>1942</v>
      </c>
      <c r="B519" s="39" t="s">
        <v>1323</v>
      </c>
      <c r="C519" s="39">
        <v>3</v>
      </c>
      <c r="D519" s="39" t="s">
        <v>2122</v>
      </c>
    </row>
    <row r="520" spans="1:4" x14ac:dyDescent="0.25">
      <c r="A520" s="39" t="s">
        <v>1568</v>
      </c>
      <c r="B520" s="39" t="s">
        <v>1062</v>
      </c>
      <c r="C520" s="39">
        <v>3</v>
      </c>
      <c r="D520" s="39" t="s">
        <v>2122</v>
      </c>
    </row>
    <row r="521" spans="1:4" x14ac:dyDescent="0.25">
      <c r="A521" s="39" t="s">
        <v>1392</v>
      </c>
      <c r="B521" s="39" t="s">
        <v>2369</v>
      </c>
      <c r="C521" s="39">
        <v>3</v>
      </c>
      <c r="D521" s="39" t="s">
        <v>2122</v>
      </c>
    </row>
    <row r="522" spans="1:4" x14ac:dyDescent="0.25">
      <c r="A522" s="39" t="s">
        <v>3378</v>
      </c>
      <c r="B522" s="39" t="s">
        <v>3674</v>
      </c>
      <c r="C522" s="39">
        <v>3</v>
      </c>
      <c r="D522" s="39" t="s">
        <v>2122</v>
      </c>
    </row>
    <row r="523" spans="1:4" x14ac:dyDescent="0.25">
      <c r="A523" s="39" t="s">
        <v>1277</v>
      </c>
      <c r="B523" s="39" t="s">
        <v>1546</v>
      </c>
      <c r="C523" s="39">
        <v>3</v>
      </c>
      <c r="D523" s="39" t="s">
        <v>2122</v>
      </c>
    </row>
    <row r="524" spans="1:4" x14ac:dyDescent="0.25">
      <c r="A524" s="39" t="s">
        <v>1931</v>
      </c>
      <c r="B524" s="39" t="s">
        <v>47</v>
      </c>
      <c r="C524" s="39">
        <v>3</v>
      </c>
      <c r="D524" s="39" t="s">
        <v>2122</v>
      </c>
    </row>
    <row r="525" spans="1:4" x14ac:dyDescent="0.25">
      <c r="A525" s="39" t="s">
        <v>1398</v>
      </c>
      <c r="B525" s="39" t="s">
        <v>948</v>
      </c>
      <c r="C525" s="39">
        <v>3</v>
      </c>
      <c r="D525" s="39" t="s">
        <v>2122</v>
      </c>
    </row>
    <row r="526" spans="1:4" x14ac:dyDescent="0.25">
      <c r="A526" s="39" t="s">
        <v>4903</v>
      </c>
      <c r="B526" s="39" t="s">
        <v>4904</v>
      </c>
      <c r="C526" s="39">
        <v>3</v>
      </c>
      <c r="D526" s="39" t="s">
        <v>2122</v>
      </c>
    </row>
    <row r="527" spans="1:4" x14ac:dyDescent="0.25">
      <c r="A527" s="39" t="s">
        <v>1747</v>
      </c>
      <c r="B527" s="39" t="s">
        <v>778</v>
      </c>
      <c r="C527" s="39">
        <v>3</v>
      </c>
      <c r="D527" s="39" t="s">
        <v>2122</v>
      </c>
    </row>
    <row r="528" spans="1:4" x14ac:dyDescent="0.25">
      <c r="A528" s="39" t="s">
        <v>1292</v>
      </c>
      <c r="B528" s="39" t="s">
        <v>2103</v>
      </c>
      <c r="C528" s="39">
        <v>3</v>
      </c>
      <c r="D528" s="39" t="s">
        <v>2122</v>
      </c>
    </row>
    <row r="529" spans="1:4" x14ac:dyDescent="0.25">
      <c r="A529" s="39" t="s">
        <v>2418</v>
      </c>
      <c r="B529" s="39" t="s">
        <v>1261</v>
      </c>
      <c r="C529" s="39">
        <v>3</v>
      </c>
      <c r="D529" s="39" t="s">
        <v>2122</v>
      </c>
    </row>
    <row r="530" spans="1:4" x14ac:dyDescent="0.25">
      <c r="A530" s="39" t="s">
        <v>2019</v>
      </c>
      <c r="B530" s="39" t="s">
        <v>2020</v>
      </c>
      <c r="C530" s="39">
        <v>3</v>
      </c>
      <c r="D530" s="39" t="s">
        <v>2122</v>
      </c>
    </row>
    <row r="531" spans="1:4" x14ac:dyDescent="0.25">
      <c r="A531" s="39" t="s">
        <v>458</v>
      </c>
      <c r="B531" s="39" t="s">
        <v>763</v>
      </c>
      <c r="C531" s="39">
        <v>3</v>
      </c>
      <c r="D531" s="39" t="s">
        <v>2122</v>
      </c>
    </row>
    <row r="532" spans="1:4" x14ac:dyDescent="0.25">
      <c r="A532" s="39" t="s">
        <v>2260</v>
      </c>
      <c r="B532" s="39" t="s">
        <v>2261</v>
      </c>
      <c r="C532" s="39">
        <v>3</v>
      </c>
      <c r="D532" s="39" t="s">
        <v>2122</v>
      </c>
    </row>
    <row r="533" spans="1:4" x14ac:dyDescent="0.25">
      <c r="A533" s="39" t="s">
        <v>3280</v>
      </c>
      <c r="B533" s="39" t="s">
        <v>3281</v>
      </c>
      <c r="C533" s="39">
        <v>3</v>
      </c>
      <c r="D533" s="39" t="s">
        <v>2122</v>
      </c>
    </row>
    <row r="534" spans="1:4" x14ac:dyDescent="0.25">
      <c r="A534" s="39" t="s">
        <v>452</v>
      </c>
      <c r="B534" s="39" t="s">
        <v>10486</v>
      </c>
      <c r="C534" s="39">
        <v>3</v>
      </c>
      <c r="D534" s="39" t="s">
        <v>2122</v>
      </c>
    </row>
    <row r="535" spans="1:4" x14ac:dyDescent="0.25">
      <c r="A535" s="39" t="s">
        <v>2425</v>
      </c>
      <c r="B535" s="39" t="s">
        <v>2426</v>
      </c>
      <c r="C535" s="39">
        <v>3</v>
      </c>
      <c r="D535" s="39" t="s">
        <v>2122</v>
      </c>
    </row>
    <row r="536" spans="1:4" x14ac:dyDescent="0.25">
      <c r="A536" s="39" t="s">
        <v>1748</v>
      </c>
      <c r="B536" s="39" t="s">
        <v>359</v>
      </c>
      <c r="C536" s="39">
        <v>3</v>
      </c>
      <c r="D536" s="39" t="s">
        <v>2122</v>
      </c>
    </row>
    <row r="537" spans="1:4" x14ac:dyDescent="0.25">
      <c r="A537" s="39" t="s">
        <v>2541</v>
      </c>
      <c r="B537" s="39" t="s">
        <v>2770</v>
      </c>
      <c r="C537" s="39">
        <v>3</v>
      </c>
      <c r="D537" s="39" t="s">
        <v>2122</v>
      </c>
    </row>
    <row r="538" spans="1:4" x14ac:dyDescent="0.25">
      <c r="A538" s="39" t="s">
        <v>1953</v>
      </c>
      <c r="B538" s="39" t="s">
        <v>1422</v>
      </c>
      <c r="C538" s="39">
        <v>3</v>
      </c>
      <c r="D538" s="39" t="s">
        <v>2122</v>
      </c>
    </row>
    <row r="539" spans="1:4" x14ac:dyDescent="0.25">
      <c r="A539" s="39" t="s">
        <v>6825</v>
      </c>
      <c r="B539" s="39" t="s">
        <v>6826</v>
      </c>
      <c r="C539" s="39">
        <v>3</v>
      </c>
      <c r="D539" s="39" t="s">
        <v>2122</v>
      </c>
    </row>
    <row r="540" spans="1:4" x14ac:dyDescent="0.25">
      <c r="A540" s="39" t="s">
        <v>346</v>
      </c>
      <c r="B540" s="39" t="s">
        <v>1500</v>
      </c>
      <c r="C540" s="39">
        <v>3</v>
      </c>
      <c r="D540" s="39" t="s">
        <v>2122</v>
      </c>
    </row>
    <row r="541" spans="1:4" x14ac:dyDescent="0.25">
      <c r="A541" s="39" t="s">
        <v>10487</v>
      </c>
      <c r="B541" s="39" t="s">
        <v>10488</v>
      </c>
      <c r="C541" s="39">
        <v>3</v>
      </c>
      <c r="D541" s="39" t="s">
        <v>2122</v>
      </c>
    </row>
    <row r="542" spans="1:4" x14ac:dyDescent="0.25">
      <c r="A542" s="39" t="s">
        <v>670</v>
      </c>
      <c r="B542" s="39" t="s">
        <v>80</v>
      </c>
      <c r="C542" s="39">
        <v>3</v>
      </c>
      <c r="D542" s="39" t="s">
        <v>2122</v>
      </c>
    </row>
    <row r="543" spans="1:4" x14ac:dyDescent="0.25">
      <c r="A543" s="39" t="s">
        <v>3284</v>
      </c>
      <c r="B543" s="39" t="s">
        <v>3285</v>
      </c>
      <c r="C543" s="39">
        <v>3</v>
      </c>
      <c r="D543" s="39" t="s">
        <v>2122</v>
      </c>
    </row>
    <row r="544" spans="1:4" x14ac:dyDescent="0.25">
      <c r="A544" s="39" t="s">
        <v>2498</v>
      </c>
      <c r="B544" s="39" t="s">
        <v>2562</v>
      </c>
      <c r="C544" s="39">
        <v>3</v>
      </c>
      <c r="D544" s="39" t="s">
        <v>2122</v>
      </c>
    </row>
    <row r="545" spans="1:4" x14ac:dyDescent="0.25">
      <c r="A545" s="39" t="s">
        <v>1155</v>
      </c>
      <c r="B545" s="39" t="s">
        <v>952</v>
      </c>
      <c r="C545" s="39">
        <v>3</v>
      </c>
      <c r="D545" s="39" t="s">
        <v>2122</v>
      </c>
    </row>
    <row r="546" spans="1:4" x14ac:dyDescent="0.25">
      <c r="A546" s="39" t="s">
        <v>1749</v>
      </c>
      <c r="B546" s="39" t="s">
        <v>398</v>
      </c>
      <c r="C546" s="39">
        <v>3</v>
      </c>
      <c r="D546" s="39" t="s">
        <v>2122</v>
      </c>
    </row>
    <row r="547" spans="1:4" x14ac:dyDescent="0.25">
      <c r="A547" s="39" t="s">
        <v>460</v>
      </c>
      <c r="B547" s="39" t="s">
        <v>954</v>
      </c>
      <c r="C547" s="39">
        <v>3</v>
      </c>
      <c r="D547" s="39" t="s">
        <v>2122</v>
      </c>
    </row>
    <row r="548" spans="1:4" x14ac:dyDescent="0.25">
      <c r="A548" s="39" t="s">
        <v>950</v>
      </c>
      <c r="B548" s="39" t="s">
        <v>528</v>
      </c>
      <c r="C548" s="39">
        <v>3</v>
      </c>
      <c r="D548" s="39" t="s">
        <v>2122</v>
      </c>
    </row>
    <row r="549" spans="1:4" x14ac:dyDescent="0.25">
      <c r="A549" s="39" t="s">
        <v>1729</v>
      </c>
      <c r="B549" s="39" t="s">
        <v>1408</v>
      </c>
      <c r="C549" s="39">
        <v>3</v>
      </c>
      <c r="D549" s="39" t="s">
        <v>2122</v>
      </c>
    </row>
    <row r="550" spans="1:4" x14ac:dyDescent="0.25">
      <c r="A550" s="39" t="s">
        <v>10489</v>
      </c>
      <c r="B550" s="39" t="s">
        <v>10490</v>
      </c>
      <c r="C550" s="39">
        <v>3</v>
      </c>
      <c r="D550" s="39" t="s">
        <v>2122</v>
      </c>
    </row>
    <row r="551" spans="1:4" x14ac:dyDescent="0.25">
      <c r="A551" s="39" t="s">
        <v>1750</v>
      </c>
      <c r="B551" s="39" t="s">
        <v>1211</v>
      </c>
      <c r="C551" s="39">
        <v>3</v>
      </c>
      <c r="D551" s="39" t="s">
        <v>2122</v>
      </c>
    </row>
    <row r="552" spans="1:4" x14ac:dyDescent="0.25">
      <c r="A552" s="39" t="s">
        <v>1664</v>
      </c>
      <c r="B552" s="39" t="s">
        <v>1051</v>
      </c>
      <c r="C552" s="39">
        <v>3</v>
      </c>
      <c r="D552" s="39" t="s">
        <v>2122</v>
      </c>
    </row>
    <row r="553" spans="1:4" x14ac:dyDescent="0.25">
      <c r="A553" s="39" t="s">
        <v>2585</v>
      </c>
      <c r="B553" s="39" t="s">
        <v>2776</v>
      </c>
      <c r="C553" s="39">
        <v>3</v>
      </c>
      <c r="D553" s="39" t="s">
        <v>2122</v>
      </c>
    </row>
    <row r="554" spans="1:4" x14ac:dyDescent="0.25">
      <c r="A554" s="39" t="s">
        <v>3593</v>
      </c>
      <c r="B554" s="39" t="s">
        <v>3825</v>
      </c>
      <c r="C554" s="39">
        <v>3</v>
      </c>
      <c r="D554" s="39" t="s">
        <v>2122</v>
      </c>
    </row>
    <row r="555" spans="1:4" x14ac:dyDescent="0.25">
      <c r="A555" s="39" t="s">
        <v>2777</v>
      </c>
      <c r="B555" s="39" t="s">
        <v>313</v>
      </c>
      <c r="C555" s="39">
        <v>3</v>
      </c>
      <c r="D555" s="39" t="s">
        <v>2122</v>
      </c>
    </row>
    <row r="556" spans="1:4" x14ac:dyDescent="0.25">
      <c r="A556" s="39" t="s">
        <v>3594</v>
      </c>
      <c r="B556" s="39" t="s">
        <v>3826</v>
      </c>
      <c r="C556" s="39">
        <v>3</v>
      </c>
      <c r="D556" s="39" t="s">
        <v>2122</v>
      </c>
    </row>
    <row r="557" spans="1:4" x14ac:dyDescent="0.25">
      <c r="A557" s="39" t="s">
        <v>3595</v>
      </c>
      <c r="B557" s="39" t="s">
        <v>3827</v>
      </c>
      <c r="C557" s="39">
        <v>3</v>
      </c>
      <c r="D557" s="39" t="s">
        <v>2122</v>
      </c>
    </row>
    <row r="558" spans="1:4" x14ac:dyDescent="0.25">
      <c r="A558" s="39" t="s">
        <v>4905</v>
      </c>
      <c r="B558" s="39" t="s">
        <v>4906</v>
      </c>
      <c r="C558" s="39">
        <v>3</v>
      </c>
      <c r="D558" s="39" t="s">
        <v>2122</v>
      </c>
    </row>
    <row r="559" spans="1:4" x14ac:dyDescent="0.25">
      <c r="A559" s="39" t="s">
        <v>338</v>
      </c>
      <c r="B559" s="39" t="s">
        <v>3289</v>
      </c>
      <c r="C559" s="39">
        <v>3</v>
      </c>
      <c r="D559" s="39" t="s">
        <v>2122</v>
      </c>
    </row>
    <row r="560" spans="1:4" x14ac:dyDescent="0.25">
      <c r="A560" s="39" t="s">
        <v>2370</v>
      </c>
      <c r="B560" s="39" t="s">
        <v>2371</v>
      </c>
      <c r="C560" s="39">
        <v>3</v>
      </c>
      <c r="D560" s="39" t="s">
        <v>2122</v>
      </c>
    </row>
    <row r="561" spans="1:4" x14ac:dyDescent="0.25">
      <c r="A561" s="39" t="s">
        <v>1755</v>
      </c>
      <c r="B561" s="39" t="s">
        <v>275</v>
      </c>
      <c r="C561" s="39">
        <v>3</v>
      </c>
      <c r="D561" s="39" t="s">
        <v>2122</v>
      </c>
    </row>
    <row r="562" spans="1:4" x14ac:dyDescent="0.25">
      <c r="A562" s="39" t="s">
        <v>1183</v>
      </c>
      <c r="B562" s="39" t="s">
        <v>461</v>
      </c>
      <c r="C562" s="39">
        <v>3</v>
      </c>
      <c r="D562" s="39" t="s">
        <v>2122</v>
      </c>
    </row>
    <row r="563" spans="1:4" x14ac:dyDescent="0.25">
      <c r="A563" s="39" t="s">
        <v>1616</v>
      </c>
      <c r="B563" s="39" t="s">
        <v>3290</v>
      </c>
      <c r="C563" s="39">
        <v>3</v>
      </c>
      <c r="D563" s="39" t="s">
        <v>2122</v>
      </c>
    </row>
    <row r="564" spans="1:4" x14ac:dyDescent="0.25">
      <c r="A564" s="39" t="s">
        <v>2268</v>
      </c>
      <c r="B564" s="39" t="s">
        <v>1494</v>
      </c>
      <c r="C564" s="39">
        <v>3</v>
      </c>
      <c r="D564" s="39" t="s">
        <v>2122</v>
      </c>
    </row>
    <row r="565" spans="1:4" x14ac:dyDescent="0.25">
      <c r="A565" s="39" t="s">
        <v>424</v>
      </c>
      <c r="B565" s="39" t="s">
        <v>870</v>
      </c>
      <c r="C565" s="39">
        <v>3</v>
      </c>
      <c r="D565" s="39" t="s">
        <v>2122</v>
      </c>
    </row>
    <row r="566" spans="1:4" x14ac:dyDescent="0.25">
      <c r="A566" s="39" t="s">
        <v>1963</v>
      </c>
      <c r="B566" s="39" t="s">
        <v>664</v>
      </c>
      <c r="C566" s="39">
        <v>3</v>
      </c>
      <c r="D566" s="39" t="s">
        <v>2122</v>
      </c>
    </row>
    <row r="567" spans="1:4" x14ac:dyDescent="0.25">
      <c r="A567" s="39" t="s">
        <v>1038</v>
      </c>
      <c r="B567" s="39" t="s">
        <v>2470</v>
      </c>
      <c r="C567" s="39">
        <v>3</v>
      </c>
      <c r="D567" s="39" t="s">
        <v>2122</v>
      </c>
    </row>
    <row r="568" spans="1:4" x14ac:dyDescent="0.25">
      <c r="A568" s="39" t="s">
        <v>1756</v>
      </c>
      <c r="B568" s="39" t="s">
        <v>498</v>
      </c>
      <c r="C568" s="39">
        <v>3</v>
      </c>
      <c r="D568" s="39" t="s">
        <v>2122</v>
      </c>
    </row>
    <row r="569" spans="1:4" x14ac:dyDescent="0.25">
      <c r="A569" s="39" t="s">
        <v>1757</v>
      </c>
      <c r="B569" s="39" t="s">
        <v>1758</v>
      </c>
      <c r="C569" s="39">
        <v>3</v>
      </c>
      <c r="D569" s="39" t="s">
        <v>2122</v>
      </c>
    </row>
    <row r="570" spans="1:4" x14ac:dyDescent="0.25">
      <c r="A570" s="39" t="s">
        <v>1759</v>
      </c>
      <c r="B570" s="39" t="s">
        <v>586</v>
      </c>
      <c r="C570" s="39">
        <v>3</v>
      </c>
      <c r="D570" s="39" t="s">
        <v>2122</v>
      </c>
    </row>
    <row r="571" spans="1:4" x14ac:dyDescent="0.25">
      <c r="A571" s="39" t="s">
        <v>3299</v>
      </c>
      <c r="B571" s="39" t="s">
        <v>3300</v>
      </c>
      <c r="C571" s="39">
        <v>3</v>
      </c>
      <c r="D571" s="39" t="s">
        <v>2122</v>
      </c>
    </row>
    <row r="572" spans="1:4" x14ac:dyDescent="0.25">
      <c r="A572" s="39" t="s">
        <v>4907</v>
      </c>
      <c r="B572" s="39" t="s">
        <v>4908</v>
      </c>
      <c r="C572" s="39">
        <v>3</v>
      </c>
      <c r="D572" s="39" t="s">
        <v>2122</v>
      </c>
    </row>
    <row r="573" spans="1:4" x14ac:dyDescent="0.25">
      <c r="A573" s="39" t="s">
        <v>1760</v>
      </c>
      <c r="B573" s="39" t="s">
        <v>335</v>
      </c>
      <c r="C573" s="39">
        <v>3</v>
      </c>
      <c r="D573" s="39" t="s">
        <v>2122</v>
      </c>
    </row>
    <row r="574" spans="1:4" x14ac:dyDescent="0.25">
      <c r="A574" s="39" t="s">
        <v>7547</v>
      </c>
      <c r="B574" s="39" t="s">
        <v>7548</v>
      </c>
      <c r="C574" s="39">
        <v>3</v>
      </c>
      <c r="D574" s="39" t="s">
        <v>2122</v>
      </c>
    </row>
    <row r="575" spans="1:4" x14ac:dyDescent="0.25">
      <c r="A575" s="39" t="s">
        <v>1753</v>
      </c>
      <c r="B575" s="39" t="s">
        <v>650</v>
      </c>
      <c r="C575" s="39">
        <v>3</v>
      </c>
      <c r="D575" s="39" t="s">
        <v>2122</v>
      </c>
    </row>
    <row r="576" spans="1:4" x14ac:dyDescent="0.25">
      <c r="A576" s="39" t="s">
        <v>3301</v>
      </c>
      <c r="B576" s="39" t="s">
        <v>991</v>
      </c>
      <c r="C576" s="39">
        <v>3</v>
      </c>
      <c r="D576" s="39" t="s">
        <v>2122</v>
      </c>
    </row>
    <row r="577" spans="1:4" x14ac:dyDescent="0.25">
      <c r="A577" s="39" t="s">
        <v>2353</v>
      </c>
      <c r="B577" s="39" t="s">
        <v>2669</v>
      </c>
      <c r="C577" s="39">
        <v>3</v>
      </c>
      <c r="D577" s="39" t="s">
        <v>2122</v>
      </c>
    </row>
    <row r="578" spans="1:4" x14ac:dyDescent="0.25">
      <c r="A578" s="39" t="s">
        <v>2780</v>
      </c>
      <c r="B578" s="39" t="s">
        <v>2738</v>
      </c>
      <c r="C578" s="39">
        <v>3</v>
      </c>
      <c r="D578" s="39" t="s">
        <v>2122</v>
      </c>
    </row>
    <row r="579" spans="1:4" x14ac:dyDescent="0.25">
      <c r="A579" s="39" t="s">
        <v>3</v>
      </c>
      <c r="B579" s="39" t="s">
        <v>1438</v>
      </c>
      <c r="C579" s="39">
        <v>3</v>
      </c>
      <c r="D579" s="39" t="s">
        <v>2122</v>
      </c>
    </row>
    <row r="580" spans="1:4" x14ac:dyDescent="0.25">
      <c r="A580" s="39" t="s">
        <v>3302</v>
      </c>
      <c r="B580" s="39" t="s">
        <v>1707</v>
      </c>
      <c r="C580" s="39">
        <v>3</v>
      </c>
      <c r="D580" s="39" t="s">
        <v>2122</v>
      </c>
    </row>
    <row r="581" spans="1:4" x14ac:dyDescent="0.25">
      <c r="A581" s="39" t="s">
        <v>446</v>
      </c>
      <c r="B581" s="39" t="s">
        <v>955</v>
      </c>
      <c r="C581" s="39">
        <v>3</v>
      </c>
      <c r="D581" s="39" t="s">
        <v>2122</v>
      </c>
    </row>
    <row r="582" spans="1:4" x14ac:dyDescent="0.25">
      <c r="A582" s="39" t="s">
        <v>7557</v>
      </c>
      <c r="B582" s="39" t="s">
        <v>7558</v>
      </c>
      <c r="C582" s="39">
        <v>3</v>
      </c>
      <c r="D582" s="39" t="s">
        <v>2122</v>
      </c>
    </row>
    <row r="583" spans="1:4" x14ac:dyDescent="0.25">
      <c r="A583" s="39" t="s">
        <v>2631</v>
      </c>
      <c r="B583" s="39" t="s">
        <v>2782</v>
      </c>
      <c r="C583" s="39">
        <v>3</v>
      </c>
      <c r="D583" s="39" t="s">
        <v>2122</v>
      </c>
    </row>
    <row r="584" spans="1:4" x14ac:dyDescent="0.25">
      <c r="A584" s="39" t="s">
        <v>593</v>
      </c>
      <c r="B584" s="39" t="s">
        <v>1214</v>
      </c>
      <c r="C584" s="39">
        <v>3</v>
      </c>
      <c r="D584" s="39" t="s">
        <v>2122</v>
      </c>
    </row>
    <row r="585" spans="1:4" x14ac:dyDescent="0.25">
      <c r="A585" s="39" t="s">
        <v>1205</v>
      </c>
      <c r="B585" s="39" t="s">
        <v>1429</v>
      </c>
      <c r="C585" s="39">
        <v>3</v>
      </c>
      <c r="D585" s="39" t="s">
        <v>2122</v>
      </c>
    </row>
    <row r="586" spans="1:4" x14ac:dyDescent="0.25">
      <c r="A586" s="39" t="s">
        <v>1761</v>
      </c>
      <c r="B586" s="39" t="s">
        <v>1105</v>
      </c>
      <c r="C586" s="39">
        <v>3</v>
      </c>
      <c r="D586" s="39" t="s">
        <v>2122</v>
      </c>
    </row>
    <row r="587" spans="1:4" x14ac:dyDescent="0.25">
      <c r="A587" s="39" t="s">
        <v>5452</v>
      </c>
      <c r="B587" s="39" t="s">
        <v>5453</v>
      </c>
      <c r="C587" s="39">
        <v>3</v>
      </c>
      <c r="D587" s="39" t="s">
        <v>2122</v>
      </c>
    </row>
    <row r="588" spans="1:4" x14ac:dyDescent="0.25">
      <c r="A588" s="39" t="s">
        <v>6827</v>
      </c>
      <c r="B588" s="39" t="s">
        <v>6828</v>
      </c>
      <c r="C588" s="39">
        <v>3</v>
      </c>
      <c r="D588" s="39" t="s">
        <v>2122</v>
      </c>
    </row>
    <row r="589" spans="1:4" x14ac:dyDescent="0.25">
      <c r="A589" s="39" t="s">
        <v>10491</v>
      </c>
      <c r="B589" s="39" t="s">
        <v>10492</v>
      </c>
      <c r="C589" s="39">
        <v>3</v>
      </c>
      <c r="D589" s="39" t="s">
        <v>2122</v>
      </c>
    </row>
    <row r="590" spans="1:4" x14ac:dyDescent="0.25">
      <c r="A590" s="39" t="s">
        <v>543</v>
      </c>
      <c r="B590" s="39" t="s">
        <v>1973</v>
      </c>
      <c r="C590" s="39">
        <v>3</v>
      </c>
      <c r="D590" s="39" t="s">
        <v>2122</v>
      </c>
    </row>
    <row r="591" spans="1:4" x14ac:dyDescent="0.25">
      <c r="A591" s="39" t="s">
        <v>1762</v>
      </c>
      <c r="B591" s="39" t="s">
        <v>152</v>
      </c>
      <c r="C591" s="39">
        <v>3</v>
      </c>
      <c r="D591" s="39" t="s">
        <v>2122</v>
      </c>
    </row>
    <row r="592" spans="1:4" x14ac:dyDescent="0.25">
      <c r="A592" s="39" t="s">
        <v>851</v>
      </c>
      <c r="B592" s="39" t="s">
        <v>1052</v>
      </c>
      <c r="C592" s="39">
        <v>3</v>
      </c>
      <c r="D592" s="39" t="s">
        <v>2122</v>
      </c>
    </row>
    <row r="593" spans="1:4" x14ac:dyDescent="0.25">
      <c r="A593" s="39" t="s">
        <v>1763</v>
      </c>
      <c r="B593" s="39" t="s">
        <v>142</v>
      </c>
      <c r="C593" s="39">
        <v>3</v>
      </c>
      <c r="D593" s="39" t="s">
        <v>2122</v>
      </c>
    </row>
    <row r="594" spans="1:4" x14ac:dyDescent="0.25">
      <c r="A594" s="39" t="s">
        <v>3306</v>
      </c>
      <c r="B594" s="39" t="s">
        <v>2766</v>
      </c>
      <c r="C594" s="39">
        <v>3</v>
      </c>
      <c r="D594" s="39" t="s">
        <v>2122</v>
      </c>
    </row>
    <row r="595" spans="1:4" x14ac:dyDescent="0.25">
      <c r="A595" s="39" t="s">
        <v>2153</v>
      </c>
      <c r="B595" s="39" t="s">
        <v>2790</v>
      </c>
      <c r="C595" s="39">
        <v>3</v>
      </c>
      <c r="D595" s="39" t="s">
        <v>2122</v>
      </c>
    </row>
    <row r="596" spans="1:4" x14ac:dyDescent="0.25">
      <c r="A596" s="39" t="s">
        <v>1396</v>
      </c>
      <c r="B596" s="39" t="s">
        <v>1081</v>
      </c>
      <c r="C596" s="39">
        <v>3</v>
      </c>
      <c r="D596" s="39" t="s">
        <v>2122</v>
      </c>
    </row>
    <row r="597" spans="1:4" x14ac:dyDescent="0.25">
      <c r="A597" s="39" t="s">
        <v>1764</v>
      </c>
      <c r="B597" s="39" t="s">
        <v>1054</v>
      </c>
      <c r="C597" s="39">
        <v>3</v>
      </c>
      <c r="D597" s="39" t="s">
        <v>2122</v>
      </c>
    </row>
    <row r="598" spans="1:4" x14ac:dyDescent="0.25">
      <c r="A598" s="39" t="s">
        <v>489</v>
      </c>
      <c r="B598" s="39" t="s">
        <v>941</v>
      </c>
      <c r="C598" s="39">
        <v>3</v>
      </c>
      <c r="D598" s="39" t="s">
        <v>2122</v>
      </c>
    </row>
    <row r="599" spans="1:4" x14ac:dyDescent="0.25">
      <c r="A599" s="39" t="s">
        <v>1575</v>
      </c>
      <c r="B599" s="39" t="s">
        <v>1069</v>
      </c>
      <c r="C599" s="39">
        <v>3</v>
      </c>
      <c r="D599" s="39" t="s">
        <v>2122</v>
      </c>
    </row>
    <row r="600" spans="1:4" x14ac:dyDescent="0.25">
      <c r="A600" s="39" t="s">
        <v>1974</v>
      </c>
      <c r="B600" s="39" t="s">
        <v>817</v>
      </c>
      <c r="C600" s="39">
        <v>3</v>
      </c>
      <c r="D600" s="39" t="s">
        <v>2122</v>
      </c>
    </row>
    <row r="601" spans="1:4" x14ac:dyDescent="0.25">
      <c r="A601" s="39" t="s">
        <v>792</v>
      </c>
      <c r="B601" s="39" t="s">
        <v>938</v>
      </c>
      <c r="C601" s="39">
        <v>3</v>
      </c>
      <c r="D601" s="39" t="s">
        <v>2122</v>
      </c>
    </row>
    <row r="602" spans="1:4" x14ac:dyDescent="0.25">
      <c r="A602" s="39" t="s">
        <v>1452</v>
      </c>
      <c r="B602" s="39" t="s">
        <v>972</v>
      </c>
      <c r="C602" s="39">
        <v>3</v>
      </c>
      <c r="D602" s="39" t="s">
        <v>2122</v>
      </c>
    </row>
    <row r="603" spans="1:4" x14ac:dyDescent="0.25">
      <c r="A603" s="39" t="s">
        <v>3621</v>
      </c>
      <c r="B603" s="39" t="s">
        <v>3842</v>
      </c>
      <c r="C603" s="39">
        <v>3</v>
      </c>
      <c r="D603" s="39" t="s">
        <v>2122</v>
      </c>
    </row>
    <row r="604" spans="1:4" x14ac:dyDescent="0.25">
      <c r="A604" s="39" t="s">
        <v>2110</v>
      </c>
      <c r="B604" s="39" t="s">
        <v>895</v>
      </c>
      <c r="C604" s="39">
        <v>3</v>
      </c>
      <c r="D604" s="39" t="s">
        <v>2122</v>
      </c>
    </row>
    <row r="605" spans="1:4" x14ac:dyDescent="0.25">
      <c r="A605" s="39" t="s">
        <v>1298</v>
      </c>
      <c r="B605" s="39" t="s">
        <v>1215</v>
      </c>
      <c r="C605" s="39">
        <v>3</v>
      </c>
      <c r="D605" s="39" t="s">
        <v>2122</v>
      </c>
    </row>
    <row r="606" spans="1:4" x14ac:dyDescent="0.25">
      <c r="A606" s="39" t="s">
        <v>1736</v>
      </c>
      <c r="B606" s="39" t="s">
        <v>468</v>
      </c>
      <c r="C606" s="39">
        <v>3</v>
      </c>
      <c r="D606" s="39" t="s">
        <v>2122</v>
      </c>
    </row>
    <row r="607" spans="1:4" x14ac:dyDescent="0.25">
      <c r="A607" s="39" t="s">
        <v>1766</v>
      </c>
      <c r="B607" s="39" t="s">
        <v>1058</v>
      </c>
      <c r="C607" s="39">
        <v>3</v>
      </c>
      <c r="D607" s="39" t="s">
        <v>2122</v>
      </c>
    </row>
    <row r="608" spans="1:4" x14ac:dyDescent="0.25">
      <c r="A608" s="39" t="s">
        <v>1767</v>
      </c>
      <c r="B608" s="39" t="s">
        <v>1202</v>
      </c>
      <c r="C608" s="39">
        <v>3</v>
      </c>
      <c r="D608" s="39" t="s">
        <v>2122</v>
      </c>
    </row>
    <row r="609" spans="1:4" x14ac:dyDescent="0.25">
      <c r="A609" s="39" t="s">
        <v>5466</v>
      </c>
      <c r="B609" s="39" t="s">
        <v>5467</v>
      </c>
      <c r="C609" s="39">
        <v>3</v>
      </c>
      <c r="D609" s="39" t="s">
        <v>2122</v>
      </c>
    </row>
    <row r="610" spans="1:4" x14ac:dyDescent="0.25">
      <c r="A610" s="39" t="s">
        <v>3379</v>
      </c>
      <c r="B610" s="39" t="s">
        <v>3675</v>
      </c>
      <c r="C610" s="39">
        <v>3</v>
      </c>
      <c r="D610" s="39" t="s">
        <v>2122</v>
      </c>
    </row>
    <row r="611" spans="1:4" x14ac:dyDescent="0.25">
      <c r="A611" s="39" t="s">
        <v>1769</v>
      </c>
      <c r="B611" s="39" t="s">
        <v>1146</v>
      </c>
      <c r="C611" s="39">
        <v>3</v>
      </c>
      <c r="D611" s="39" t="s">
        <v>2122</v>
      </c>
    </row>
    <row r="612" spans="1:4" x14ac:dyDescent="0.25">
      <c r="A612" s="39" t="s">
        <v>5476</v>
      </c>
      <c r="B612" s="39" t="s">
        <v>5477</v>
      </c>
      <c r="C612" s="39">
        <v>3</v>
      </c>
      <c r="D612" s="39" t="s">
        <v>2122</v>
      </c>
    </row>
    <row r="613" spans="1:4" x14ac:dyDescent="0.25">
      <c r="A613" s="39" t="s">
        <v>6829</v>
      </c>
      <c r="B613" s="39" t="s">
        <v>6830</v>
      </c>
      <c r="C613" s="39">
        <v>3</v>
      </c>
      <c r="D613" s="39" t="s">
        <v>2122</v>
      </c>
    </row>
    <row r="614" spans="1:4" x14ac:dyDescent="0.25">
      <c r="A614" s="39" t="s">
        <v>1415</v>
      </c>
      <c r="B614" s="39" t="s">
        <v>1463</v>
      </c>
      <c r="C614" s="39">
        <v>3</v>
      </c>
      <c r="D614" s="39" t="s">
        <v>2122</v>
      </c>
    </row>
    <row r="615" spans="1:4" x14ac:dyDescent="0.25">
      <c r="A615" s="39" t="s">
        <v>403</v>
      </c>
      <c r="B615" s="39" t="s">
        <v>2438</v>
      </c>
      <c r="C615" s="39">
        <v>3</v>
      </c>
      <c r="D615" s="39" t="s">
        <v>2122</v>
      </c>
    </row>
    <row r="616" spans="1:4" x14ac:dyDescent="0.25">
      <c r="A616" s="39" t="s">
        <v>1770</v>
      </c>
      <c r="B616" s="39" t="s">
        <v>833</v>
      </c>
      <c r="C616" s="39">
        <v>3</v>
      </c>
      <c r="D616" s="39" t="s">
        <v>2122</v>
      </c>
    </row>
    <row r="617" spans="1:4" x14ac:dyDescent="0.25">
      <c r="A617" s="39" t="s">
        <v>2539</v>
      </c>
      <c r="B617" s="39" t="s">
        <v>2795</v>
      </c>
      <c r="C617" s="39">
        <v>3</v>
      </c>
      <c r="D617" s="39" t="s">
        <v>2122</v>
      </c>
    </row>
    <row r="618" spans="1:4" x14ac:dyDescent="0.25">
      <c r="A618" s="39" t="s">
        <v>3380</v>
      </c>
      <c r="B618" s="39" t="s">
        <v>3676</v>
      </c>
      <c r="C618" s="39">
        <v>3</v>
      </c>
      <c r="D618" s="39" t="s">
        <v>2122</v>
      </c>
    </row>
    <row r="619" spans="1:4" x14ac:dyDescent="0.25">
      <c r="A619" s="39" t="s">
        <v>1216</v>
      </c>
      <c r="B619" s="39" t="s">
        <v>2145</v>
      </c>
      <c r="C619" s="39">
        <v>3</v>
      </c>
      <c r="D619" s="39" t="s">
        <v>2122</v>
      </c>
    </row>
    <row r="620" spans="1:4" x14ac:dyDescent="0.25">
      <c r="A620" s="39" t="s">
        <v>6831</v>
      </c>
      <c r="B620" s="39" t="s">
        <v>6832</v>
      </c>
      <c r="C620" s="39">
        <v>3</v>
      </c>
      <c r="D620" s="39" t="s">
        <v>2122</v>
      </c>
    </row>
    <row r="621" spans="1:4" x14ac:dyDescent="0.25">
      <c r="A621" s="39" t="s">
        <v>477</v>
      </c>
      <c r="B621" s="39" t="s">
        <v>2483</v>
      </c>
      <c r="C621" s="39">
        <v>3</v>
      </c>
      <c r="D621" s="39" t="s">
        <v>2122</v>
      </c>
    </row>
    <row r="622" spans="1:4" x14ac:dyDescent="0.25">
      <c r="A622" s="39" t="s">
        <v>10493</v>
      </c>
      <c r="B622" s="39" t="s">
        <v>10494</v>
      </c>
      <c r="C622" s="39">
        <v>3</v>
      </c>
      <c r="D622" s="39" t="s">
        <v>2122</v>
      </c>
    </row>
    <row r="623" spans="1:4" x14ac:dyDescent="0.25">
      <c r="A623" s="39" t="s">
        <v>5478</v>
      </c>
      <c r="B623" s="39" t="s">
        <v>5479</v>
      </c>
      <c r="C623" s="39">
        <v>3</v>
      </c>
      <c r="D623" s="39" t="s">
        <v>2122</v>
      </c>
    </row>
    <row r="624" spans="1:4" x14ac:dyDescent="0.25">
      <c r="A624" s="39" t="s">
        <v>202</v>
      </c>
      <c r="B624" s="39" t="s">
        <v>916</v>
      </c>
      <c r="C624" s="39">
        <v>3</v>
      </c>
      <c r="D624" s="39" t="s">
        <v>2122</v>
      </c>
    </row>
    <row r="625" spans="1:4" x14ac:dyDescent="0.25">
      <c r="A625" s="39" t="s">
        <v>962</v>
      </c>
      <c r="B625" s="39" t="s">
        <v>2372</v>
      </c>
      <c r="C625" s="39">
        <v>3</v>
      </c>
      <c r="D625" s="39" t="s">
        <v>2122</v>
      </c>
    </row>
    <row r="626" spans="1:4" x14ac:dyDescent="0.25">
      <c r="A626" s="39" t="s">
        <v>1646</v>
      </c>
      <c r="B626" s="39" t="s">
        <v>1061</v>
      </c>
      <c r="C626" s="39">
        <v>3</v>
      </c>
      <c r="D626" s="39" t="s">
        <v>2122</v>
      </c>
    </row>
    <row r="627" spans="1:4" x14ac:dyDescent="0.25">
      <c r="A627" s="39" t="s">
        <v>1771</v>
      </c>
      <c r="B627" s="39" t="s">
        <v>1165</v>
      </c>
      <c r="C627" s="39">
        <v>3</v>
      </c>
      <c r="D627" s="39" t="s">
        <v>2122</v>
      </c>
    </row>
    <row r="628" spans="1:4" x14ac:dyDescent="0.25">
      <c r="A628" s="39" t="s">
        <v>1177</v>
      </c>
      <c r="B628" s="39" t="s">
        <v>2439</v>
      </c>
      <c r="C628" s="39">
        <v>3</v>
      </c>
      <c r="D628" s="39" t="s">
        <v>2122</v>
      </c>
    </row>
    <row r="629" spans="1:4" x14ac:dyDescent="0.25">
      <c r="A629" s="39" t="s">
        <v>2112</v>
      </c>
      <c r="B629" s="39" t="s">
        <v>1242</v>
      </c>
      <c r="C629" s="39">
        <v>3</v>
      </c>
      <c r="D629" s="39" t="s">
        <v>2122</v>
      </c>
    </row>
    <row r="630" spans="1:4" x14ac:dyDescent="0.25">
      <c r="A630" s="39" t="s">
        <v>2097</v>
      </c>
      <c r="B630" s="39" t="s">
        <v>1617</v>
      </c>
      <c r="C630" s="39">
        <v>3</v>
      </c>
      <c r="D630" s="39" t="s">
        <v>2122</v>
      </c>
    </row>
    <row r="631" spans="1:4" x14ac:dyDescent="0.25">
      <c r="A631" s="39" t="s">
        <v>7628</v>
      </c>
      <c r="B631" s="39" t="s">
        <v>7629</v>
      </c>
      <c r="C631" s="39">
        <v>3</v>
      </c>
      <c r="D631" s="39" t="s">
        <v>2122</v>
      </c>
    </row>
    <row r="632" spans="1:4" x14ac:dyDescent="0.25">
      <c r="A632" s="39" t="s">
        <v>21</v>
      </c>
      <c r="B632" s="39" t="s">
        <v>59</v>
      </c>
      <c r="C632" s="39">
        <v>3</v>
      </c>
      <c r="D632" s="39" t="s">
        <v>2122</v>
      </c>
    </row>
    <row r="633" spans="1:4" x14ac:dyDescent="0.25">
      <c r="A633" s="39" t="s">
        <v>7634</v>
      </c>
      <c r="B633" s="39" t="s">
        <v>7635</v>
      </c>
      <c r="C633" s="39">
        <v>3</v>
      </c>
      <c r="D633" s="39" t="s">
        <v>2122</v>
      </c>
    </row>
    <row r="634" spans="1:4" x14ac:dyDescent="0.25">
      <c r="A634" s="39" t="s">
        <v>436</v>
      </c>
      <c r="B634" s="39" t="s">
        <v>1244</v>
      </c>
      <c r="C634" s="39">
        <v>3</v>
      </c>
      <c r="D634" s="39" t="s">
        <v>2122</v>
      </c>
    </row>
    <row r="635" spans="1:4" x14ac:dyDescent="0.25">
      <c r="A635" s="39" t="s">
        <v>325</v>
      </c>
      <c r="B635" s="39" t="s">
        <v>1099</v>
      </c>
      <c r="C635" s="39">
        <v>3</v>
      </c>
      <c r="D635" s="39" t="s">
        <v>2122</v>
      </c>
    </row>
    <row r="636" spans="1:4" x14ac:dyDescent="0.25">
      <c r="A636" s="39" t="s">
        <v>3318</v>
      </c>
      <c r="B636" s="39" t="s">
        <v>3015</v>
      </c>
      <c r="C636" s="39">
        <v>3</v>
      </c>
      <c r="D636" s="39" t="s">
        <v>2122</v>
      </c>
    </row>
    <row r="637" spans="1:4" x14ac:dyDescent="0.25">
      <c r="A637" s="39" t="s">
        <v>1772</v>
      </c>
      <c r="B637" s="39" t="s">
        <v>868</v>
      </c>
      <c r="C637" s="39">
        <v>3</v>
      </c>
      <c r="D637" s="39" t="s">
        <v>2122</v>
      </c>
    </row>
    <row r="638" spans="1:4" x14ac:dyDescent="0.25">
      <c r="A638" s="39" t="s">
        <v>1655</v>
      </c>
      <c r="B638" s="39" t="s">
        <v>1145</v>
      </c>
      <c r="C638" s="39">
        <v>3</v>
      </c>
      <c r="D638" s="39" t="s">
        <v>2122</v>
      </c>
    </row>
    <row r="639" spans="1:4" x14ac:dyDescent="0.25">
      <c r="A639" s="39" t="s">
        <v>2442</v>
      </c>
      <c r="B639" s="39" t="s">
        <v>367</v>
      </c>
      <c r="C639" s="39">
        <v>3</v>
      </c>
      <c r="D639" s="39" t="s">
        <v>2122</v>
      </c>
    </row>
    <row r="640" spans="1:4" x14ac:dyDescent="0.25">
      <c r="A640" s="39" t="s">
        <v>1773</v>
      </c>
      <c r="B640" s="39" t="s">
        <v>1140</v>
      </c>
      <c r="C640" s="39">
        <v>3</v>
      </c>
      <c r="D640" s="39" t="s">
        <v>2122</v>
      </c>
    </row>
    <row r="641" spans="1:4" x14ac:dyDescent="0.25">
      <c r="A641" s="39" t="s">
        <v>1776</v>
      </c>
      <c r="B641" s="39" t="s">
        <v>977</v>
      </c>
      <c r="C641" s="39">
        <v>3</v>
      </c>
      <c r="D641" s="39" t="s">
        <v>2122</v>
      </c>
    </row>
    <row r="642" spans="1:4" x14ac:dyDescent="0.25">
      <c r="A642" s="39" t="s">
        <v>1778</v>
      </c>
      <c r="B642" s="39" t="s">
        <v>3093</v>
      </c>
      <c r="C642" s="39">
        <v>3</v>
      </c>
      <c r="D642" s="39" t="s">
        <v>2122</v>
      </c>
    </row>
    <row r="643" spans="1:4" x14ac:dyDescent="0.25">
      <c r="A643" s="39" t="s">
        <v>1840</v>
      </c>
      <c r="B643" s="39" t="s">
        <v>2041</v>
      </c>
      <c r="C643" s="39">
        <v>3</v>
      </c>
      <c r="D643" s="39" t="s">
        <v>2122</v>
      </c>
    </row>
    <row r="644" spans="1:4" x14ac:dyDescent="0.25">
      <c r="A644" s="39" t="s">
        <v>3320</v>
      </c>
      <c r="B644" s="39" t="s">
        <v>3321</v>
      </c>
      <c r="C644" s="39">
        <v>3</v>
      </c>
      <c r="D644" s="39" t="s">
        <v>2122</v>
      </c>
    </row>
    <row r="645" spans="1:4" x14ac:dyDescent="0.25">
      <c r="A645" s="39" t="s">
        <v>10495</v>
      </c>
      <c r="B645" s="39" t="s">
        <v>10496</v>
      </c>
      <c r="C645" s="39">
        <v>3</v>
      </c>
      <c r="D645" s="39" t="s">
        <v>2122</v>
      </c>
    </row>
    <row r="646" spans="1:4" x14ac:dyDescent="0.25">
      <c r="A646" s="39" t="s">
        <v>2182</v>
      </c>
      <c r="B646" s="39" t="s">
        <v>2802</v>
      </c>
      <c r="C646" s="39">
        <v>3</v>
      </c>
      <c r="D646" s="39" t="s">
        <v>2122</v>
      </c>
    </row>
    <row r="647" spans="1:4" x14ac:dyDescent="0.25">
      <c r="A647" s="39" t="s">
        <v>10497</v>
      </c>
      <c r="B647" s="39" t="s">
        <v>10498</v>
      </c>
      <c r="C647" s="39">
        <v>3</v>
      </c>
      <c r="D647" s="39" t="s">
        <v>2122</v>
      </c>
    </row>
    <row r="648" spans="1:4" x14ac:dyDescent="0.25">
      <c r="A648" s="39" t="s">
        <v>1060</v>
      </c>
      <c r="B648" s="39" t="s">
        <v>914</v>
      </c>
      <c r="C648" s="39">
        <v>3</v>
      </c>
      <c r="D648" s="39" t="s">
        <v>2122</v>
      </c>
    </row>
    <row r="649" spans="1:4" x14ac:dyDescent="0.25">
      <c r="A649" s="39" t="s">
        <v>5506</v>
      </c>
      <c r="B649" s="39" t="s">
        <v>5507</v>
      </c>
      <c r="C649" s="39">
        <v>3</v>
      </c>
      <c r="D649" s="39" t="s">
        <v>2122</v>
      </c>
    </row>
    <row r="650" spans="1:4" x14ac:dyDescent="0.25">
      <c r="A650" s="39" t="s">
        <v>2275</v>
      </c>
      <c r="B650" s="39" t="s">
        <v>989</v>
      </c>
      <c r="C650" s="39">
        <v>3</v>
      </c>
      <c r="D650" s="39" t="s">
        <v>2122</v>
      </c>
    </row>
    <row r="651" spans="1:4" x14ac:dyDescent="0.25">
      <c r="A651" s="39" t="s">
        <v>1506</v>
      </c>
      <c r="B651" s="39" t="s">
        <v>1066</v>
      </c>
      <c r="C651" s="39">
        <v>3</v>
      </c>
      <c r="D651" s="39" t="s">
        <v>2122</v>
      </c>
    </row>
    <row r="652" spans="1:4" x14ac:dyDescent="0.25">
      <c r="A652" s="39" t="s">
        <v>1781</v>
      </c>
      <c r="B652" s="39" t="s">
        <v>891</v>
      </c>
      <c r="C652" s="39">
        <v>3</v>
      </c>
      <c r="D652" s="39" t="s">
        <v>2122</v>
      </c>
    </row>
    <row r="653" spans="1:4" x14ac:dyDescent="0.25">
      <c r="A653" s="39" t="s">
        <v>1783</v>
      </c>
      <c r="B653" s="39" t="s">
        <v>1117</v>
      </c>
      <c r="C653" s="39">
        <v>3</v>
      </c>
      <c r="D653" s="39" t="s">
        <v>2122</v>
      </c>
    </row>
    <row r="654" spans="1:4" x14ac:dyDescent="0.25">
      <c r="A654" s="39" t="s">
        <v>4</v>
      </c>
      <c r="B654" s="39" t="s">
        <v>915</v>
      </c>
      <c r="C654" s="39">
        <v>3</v>
      </c>
      <c r="D654" s="39" t="s">
        <v>2122</v>
      </c>
    </row>
    <row r="655" spans="1:4" x14ac:dyDescent="0.25">
      <c r="A655" s="39" t="s">
        <v>603</v>
      </c>
      <c r="B655" s="39" t="s">
        <v>1224</v>
      </c>
      <c r="C655" s="39">
        <v>3</v>
      </c>
      <c r="D655" s="39" t="s">
        <v>2122</v>
      </c>
    </row>
    <row r="656" spans="1:4" x14ac:dyDescent="0.25">
      <c r="A656" s="39" t="s">
        <v>0</v>
      </c>
      <c r="B656" s="39" t="s">
        <v>1310</v>
      </c>
      <c r="C656" s="39">
        <v>3</v>
      </c>
      <c r="D656" s="39" t="s">
        <v>2122</v>
      </c>
    </row>
    <row r="657" spans="1:4" x14ac:dyDescent="0.25">
      <c r="A657" s="39" t="s">
        <v>1280</v>
      </c>
      <c r="B657" s="39" t="s">
        <v>2281</v>
      </c>
      <c r="C657" s="39">
        <v>3</v>
      </c>
      <c r="D657" s="39" t="s">
        <v>2122</v>
      </c>
    </row>
    <row r="658" spans="1:4" x14ac:dyDescent="0.25">
      <c r="A658" s="39" t="s">
        <v>2283</v>
      </c>
      <c r="B658" s="39" t="s">
        <v>2170</v>
      </c>
      <c r="C658" s="39">
        <v>3</v>
      </c>
      <c r="D658" s="39" t="s">
        <v>2122</v>
      </c>
    </row>
    <row r="659" spans="1:4" x14ac:dyDescent="0.25">
      <c r="A659" s="39" t="s">
        <v>1782</v>
      </c>
      <c r="B659" s="39" t="s">
        <v>1987</v>
      </c>
      <c r="C659" s="39">
        <v>3</v>
      </c>
      <c r="D659" s="39" t="s">
        <v>2122</v>
      </c>
    </row>
    <row r="660" spans="1:4" x14ac:dyDescent="0.25">
      <c r="A660" s="39" t="s">
        <v>1988</v>
      </c>
      <c r="B660" s="39" t="s">
        <v>958</v>
      </c>
      <c r="C660" s="39">
        <v>3</v>
      </c>
      <c r="D660" s="39" t="s">
        <v>2122</v>
      </c>
    </row>
    <row r="661" spans="1:4" x14ac:dyDescent="0.25">
      <c r="A661" s="39" t="s">
        <v>2285</v>
      </c>
      <c r="B661" s="39" t="s">
        <v>2029</v>
      </c>
      <c r="C661" s="39">
        <v>3</v>
      </c>
      <c r="D661" s="39" t="s">
        <v>2122</v>
      </c>
    </row>
    <row r="662" spans="1:4" x14ac:dyDescent="0.25">
      <c r="A662" s="39" t="s">
        <v>6833</v>
      </c>
      <c r="B662" s="39" t="s">
        <v>6834</v>
      </c>
      <c r="C662" s="39">
        <v>3</v>
      </c>
      <c r="D662" s="39" t="s">
        <v>2122</v>
      </c>
    </row>
    <row r="663" spans="1:4" x14ac:dyDescent="0.25">
      <c r="A663" s="39" t="s">
        <v>3381</v>
      </c>
      <c r="B663" s="39" t="s">
        <v>3677</v>
      </c>
      <c r="C663" s="39">
        <v>3</v>
      </c>
      <c r="D663" s="39" t="s">
        <v>2122</v>
      </c>
    </row>
    <row r="664" spans="1:4" x14ac:dyDescent="0.25">
      <c r="A664" s="39" t="s">
        <v>148</v>
      </c>
      <c r="B664" s="39" t="s">
        <v>1184</v>
      </c>
      <c r="C664" s="39">
        <v>3</v>
      </c>
      <c r="D664" s="39" t="s">
        <v>2122</v>
      </c>
    </row>
    <row r="665" spans="1:4" x14ac:dyDescent="0.25">
      <c r="A665" s="39" t="s">
        <v>1492</v>
      </c>
      <c r="B665" s="39" t="s">
        <v>957</v>
      </c>
      <c r="C665" s="39">
        <v>3</v>
      </c>
      <c r="D665" s="39" t="s">
        <v>2122</v>
      </c>
    </row>
    <row r="666" spans="1:4" x14ac:dyDescent="0.25">
      <c r="A666" s="39" t="s">
        <v>433</v>
      </c>
      <c r="B666" s="39" t="s">
        <v>1034</v>
      </c>
      <c r="C666" s="39">
        <v>3</v>
      </c>
      <c r="D666" s="39" t="s">
        <v>2122</v>
      </c>
    </row>
    <row r="667" spans="1:4" x14ac:dyDescent="0.25">
      <c r="A667" s="39" t="s">
        <v>2287</v>
      </c>
      <c r="B667" s="39" t="s">
        <v>198</v>
      </c>
      <c r="C667" s="39">
        <v>3</v>
      </c>
      <c r="D667" s="39" t="s">
        <v>2122</v>
      </c>
    </row>
    <row r="668" spans="1:4" x14ac:dyDescent="0.25">
      <c r="A668" s="39" t="s">
        <v>3382</v>
      </c>
      <c r="B668" s="39" t="s">
        <v>3678</v>
      </c>
      <c r="C668" s="39">
        <v>3</v>
      </c>
      <c r="D668" s="39" t="s">
        <v>2122</v>
      </c>
    </row>
    <row r="669" spans="1:4" x14ac:dyDescent="0.25">
      <c r="A669" s="39" t="s">
        <v>1476</v>
      </c>
      <c r="B669" s="39" t="s">
        <v>1786</v>
      </c>
      <c r="C669" s="39">
        <v>3</v>
      </c>
      <c r="D669" s="39" t="s">
        <v>2122</v>
      </c>
    </row>
    <row r="670" spans="1:4" x14ac:dyDescent="0.25">
      <c r="A670" s="39" t="s">
        <v>553</v>
      </c>
      <c r="B670" s="39" t="s">
        <v>1070</v>
      </c>
      <c r="C670" s="39">
        <v>3</v>
      </c>
      <c r="D670" s="39" t="s">
        <v>2122</v>
      </c>
    </row>
    <row r="671" spans="1:4" x14ac:dyDescent="0.25">
      <c r="A671" s="39" t="s">
        <v>5522</v>
      </c>
      <c r="B671" s="39" t="s">
        <v>5523</v>
      </c>
      <c r="C671" s="39">
        <v>3</v>
      </c>
      <c r="D671" s="39" t="s">
        <v>2122</v>
      </c>
    </row>
    <row r="672" spans="1:4" x14ac:dyDescent="0.25">
      <c r="A672" s="39" t="s">
        <v>5524</v>
      </c>
      <c r="B672" s="39" t="s">
        <v>5525</v>
      </c>
      <c r="C672" s="39">
        <v>3</v>
      </c>
      <c r="D672" s="39" t="s">
        <v>2122</v>
      </c>
    </row>
    <row r="673" spans="1:4" x14ac:dyDescent="0.25">
      <c r="A673" s="39" t="s">
        <v>1417</v>
      </c>
      <c r="B673" s="39" t="s">
        <v>1050</v>
      </c>
      <c r="C673" s="39">
        <v>3</v>
      </c>
      <c r="D673" s="39" t="s">
        <v>2122</v>
      </c>
    </row>
    <row r="674" spans="1:4" x14ac:dyDescent="0.25">
      <c r="A674" s="39" t="s">
        <v>1307</v>
      </c>
      <c r="B674" s="39" t="s">
        <v>960</v>
      </c>
      <c r="C674" s="39">
        <v>3</v>
      </c>
      <c r="D674" s="39" t="s">
        <v>2122</v>
      </c>
    </row>
    <row r="675" spans="1:4" x14ac:dyDescent="0.25">
      <c r="A675" s="39" t="s">
        <v>467</v>
      </c>
      <c r="B675" s="39" t="s">
        <v>1437</v>
      </c>
      <c r="C675" s="39">
        <v>3</v>
      </c>
      <c r="D675" s="39" t="s">
        <v>2122</v>
      </c>
    </row>
    <row r="676" spans="1:4" x14ac:dyDescent="0.25">
      <c r="A676" s="39" t="s">
        <v>3383</v>
      </c>
      <c r="B676" s="39" t="s">
        <v>3679</v>
      </c>
      <c r="C676" s="39">
        <v>3</v>
      </c>
      <c r="D676" s="39" t="s">
        <v>2122</v>
      </c>
    </row>
    <row r="677" spans="1:4" x14ac:dyDescent="0.25">
      <c r="A677" s="39" t="s">
        <v>1801</v>
      </c>
      <c r="B677" s="39" t="s">
        <v>907</v>
      </c>
      <c r="C677" s="39">
        <v>3</v>
      </c>
      <c r="D677" s="39" t="s">
        <v>2122</v>
      </c>
    </row>
    <row r="678" spans="1:4" x14ac:dyDescent="0.25">
      <c r="A678" s="39" t="s">
        <v>1282</v>
      </c>
      <c r="B678" s="39" t="s">
        <v>369</v>
      </c>
      <c r="C678" s="39">
        <v>3</v>
      </c>
      <c r="D678" s="39" t="s">
        <v>2122</v>
      </c>
    </row>
    <row r="679" spans="1:4" x14ac:dyDescent="0.25">
      <c r="A679" s="39" t="s">
        <v>5534</v>
      </c>
      <c r="B679" s="39" t="s">
        <v>5535</v>
      </c>
      <c r="C679" s="39">
        <v>3</v>
      </c>
      <c r="D679" s="39" t="s">
        <v>2122</v>
      </c>
    </row>
    <row r="680" spans="1:4" x14ac:dyDescent="0.25">
      <c r="A680" s="39" t="s">
        <v>4909</v>
      </c>
      <c r="B680" s="39" t="s">
        <v>4910</v>
      </c>
      <c r="C680" s="39">
        <v>3</v>
      </c>
      <c r="D680" s="39" t="s">
        <v>2122</v>
      </c>
    </row>
    <row r="681" spans="1:4" x14ac:dyDescent="0.25">
      <c r="A681" s="39" t="s">
        <v>355</v>
      </c>
      <c r="B681" s="39" t="s">
        <v>292</v>
      </c>
      <c r="C681" s="39">
        <v>3</v>
      </c>
      <c r="D681" s="39" t="s">
        <v>2122</v>
      </c>
    </row>
    <row r="682" spans="1:4" x14ac:dyDescent="0.25">
      <c r="A682" s="39" t="s">
        <v>2164</v>
      </c>
      <c r="B682" s="39" t="s">
        <v>2042</v>
      </c>
      <c r="C682" s="39">
        <v>3</v>
      </c>
      <c r="D682" s="39" t="s">
        <v>2122</v>
      </c>
    </row>
    <row r="683" spans="1:4" x14ac:dyDescent="0.25">
      <c r="A683" s="39" t="s">
        <v>2670</v>
      </c>
      <c r="B683" s="39" t="s">
        <v>10</v>
      </c>
      <c r="C683" s="39">
        <v>3</v>
      </c>
      <c r="D683" s="39" t="s">
        <v>2122</v>
      </c>
    </row>
    <row r="684" spans="1:4" x14ac:dyDescent="0.25">
      <c r="A684" s="39" t="s">
        <v>1788</v>
      </c>
      <c r="B684" s="39" t="s">
        <v>563</v>
      </c>
      <c r="C684" s="39">
        <v>3</v>
      </c>
      <c r="D684" s="39" t="s">
        <v>2122</v>
      </c>
    </row>
    <row r="685" spans="1:4" x14ac:dyDescent="0.25">
      <c r="A685" s="39" t="s">
        <v>2198</v>
      </c>
      <c r="B685" s="39" t="s">
        <v>2290</v>
      </c>
      <c r="C685" s="39">
        <v>3</v>
      </c>
      <c r="D685" s="39" t="s">
        <v>2122</v>
      </c>
    </row>
    <row r="686" spans="1:4" x14ac:dyDescent="0.25">
      <c r="A686" s="39" t="s">
        <v>2809</v>
      </c>
      <c r="B686" s="39" t="s">
        <v>1657</v>
      </c>
      <c r="C686" s="39">
        <v>3</v>
      </c>
      <c r="D686" s="39" t="s">
        <v>2122</v>
      </c>
    </row>
    <row r="687" spans="1:4" x14ac:dyDescent="0.25">
      <c r="A687" s="39" t="s">
        <v>1791</v>
      </c>
      <c r="B687" s="39" t="s">
        <v>918</v>
      </c>
      <c r="C687" s="39">
        <v>3</v>
      </c>
      <c r="D687" s="39" t="s">
        <v>2122</v>
      </c>
    </row>
    <row r="688" spans="1:4" x14ac:dyDescent="0.25">
      <c r="A688" s="39" t="s">
        <v>4911</v>
      </c>
      <c r="B688" s="39" t="s">
        <v>4912</v>
      </c>
      <c r="C688" s="39">
        <v>3</v>
      </c>
      <c r="D688" s="39" t="s">
        <v>2122</v>
      </c>
    </row>
    <row r="689" spans="1:4" x14ac:dyDescent="0.25">
      <c r="A689" s="39" t="s">
        <v>1738</v>
      </c>
      <c r="B689" s="39" t="s">
        <v>1072</v>
      </c>
      <c r="C689" s="39">
        <v>3</v>
      </c>
      <c r="D689" s="39" t="s">
        <v>2122</v>
      </c>
    </row>
    <row r="690" spans="1:4" x14ac:dyDescent="0.25">
      <c r="A690" s="39" t="s">
        <v>1792</v>
      </c>
      <c r="B690" s="39" t="s">
        <v>732</v>
      </c>
      <c r="C690" s="39">
        <v>3</v>
      </c>
      <c r="D690" s="39" t="s">
        <v>2122</v>
      </c>
    </row>
    <row r="691" spans="1:4" x14ac:dyDescent="0.25">
      <c r="A691" s="39" t="s">
        <v>2165</v>
      </c>
      <c r="B691" s="39" t="s">
        <v>1922</v>
      </c>
      <c r="C691" s="39">
        <v>3</v>
      </c>
      <c r="D691" s="39" t="s">
        <v>2122</v>
      </c>
    </row>
    <row r="692" spans="1:4" x14ac:dyDescent="0.25">
      <c r="A692" s="39" t="s">
        <v>6835</v>
      </c>
      <c r="B692" s="39" t="s">
        <v>6836</v>
      </c>
      <c r="C692" s="39">
        <v>3</v>
      </c>
      <c r="D692" s="39" t="s">
        <v>2122</v>
      </c>
    </row>
    <row r="693" spans="1:4" x14ac:dyDescent="0.25">
      <c r="A693" s="39" t="s">
        <v>1995</v>
      </c>
      <c r="B693" s="39" t="s">
        <v>1350</v>
      </c>
      <c r="C693" s="39">
        <v>3</v>
      </c>
      <c r="D693" s="39" t="s">
        <v>2122</v>
      </c>
    </row>
    <row r="694" spans="1:4" x14ac:dyDescent="0.25">
      <c r="A694" s="39" t="s">
        <v>2345</v>
      </c>
      <c r="B694" s="39" t="s">
        <v>2333</v>
      </c>
      <c r="C694" s="39">
        <v>3</v>
      </c>
      <c r="D694" s="39" t="s">
        <v>2122</v>
      </c>
    </row>
    <row r="695" spans="1:4" x14ac:dyDescent="0.25">
      <c r="A695" s="39" t="s">
        <v>6837</v>
      </c>
      <c r="B695" s="39" t="s">
        <v>6838</v>
      </c>
      <c r="C695" s="39">
        <v>3</v>
      </c>
      <c r="D695" s="39" t="s">
        <v>2122</v>
      </c>
    </row>
    <row r="696" spans="1:4" x14ac:dyDescent="0.25">
      <c r="A696" s="39" t="s">
        <v>795</v>
      </c>
      <c r="B696" s="39" t="s">
        <v>2294</v>
      </c>
      <c r="C696" s="39">
        <v>3</v>
      </c>
      <c r="D696" s="39" t="s">
        <v>2122</v>
      </c>
    </row>
    <row r="697" spans="1:4" x14ac:dyDescent="0.25">
      <c r="A697" s="39" t="s">
        <v>1797</v>
      </c>
      <c r="B697" s="39" t="s">
        <v>1119</v>
      </c>
      <c r="C697" s="39">
        <v>3</v>
      </c>
      <c r="D697" s="39" t="s">
        <v>2122</v>
      </c>
    </row>
    <row r="698" spans="1:4" x14ac:dyDescent="0.25">
      <c r="A698" s="39" t="s">
        <v>1790</v>
      </c>
      <c r="B698" s="39" t="s">
        <v>1138</v>
      </c>
      <c r="C698" s="39">
        <v>3</v>
      </c>
      <c r="D698" s="39" t="s">
        <v>2122</v>
      </c>
    </row>
    <row r="699" spans="1:4" x14ac:dyDescent="0.25">
      <c r="A699" s="39" t="s">
        <v>7726</v>
      </c>
      <c r="B699" s="39" t="s">
        <v>7727</v>
      </c>
      <c r="C699" s="39">
        <v>3</v>
      </c>
      <c r="D699" s="39" t="s">
        <v>2122</v>
      </c>
    </row>
    <row r="700" spans="1:4" x14ac:dyDescent="0.25">
      <c r="A700" s="39" t="s">
        <v>2295</v>
      </c>
      <c r="B700" s="39" t="s">
        <v>1027</v>
      </c>
      <c r="C700" s="39">
        <v>3</v>
      </c>
      <c r="D700" s="39" t="s">
        <v>2122</v>
      </c>
    </row>
    <row r="701" spans="1:4" x14ac:dyDescent="0.25">
      <c r="A701" s="39" t="s">
        <v>3350</v>
      </c>
      <c r="B701" s="39" t="s">
        <v>491</v>
      </c>
      <c r="C701" s="39">
        <v>3</v>
      </c>
      <c r="D701" s="39" t="s">
        <v>2122</v>
      </c>
    </row>
    <row r="702" spans="1:4" x14ac:dyDescent="0.25">
      <c r="A702" s="39" t="s">
        <v>1800</v>
      </c>
      <c r="B702" s="39" t="s">
        <v>1073</v>
      </c>
      <c r="C702" s="39">
        <v>3</v>
      </c>
      <c r="D702" s="39" t="s">
        <v>2122</v>
      </c>
    </row>
    <row r="703" spans="1:4" x14ac:dyDescent="0.25">
      <c r="A703" s="39" t="s">
        <v>1802</v>
      </c>
      <c r="B703" s="39" t="s">
        <v>258</v>
      </c>
      <c r="C703" s="39">
        <v>3</v>
      </c>
      <c r="D703" s="39" t="s">
        <v>2122</v>
      </c>
    </row>
    <row r="704" spans="1:4" x14ac:dyDescent="0.25">
      <c r="A704" s="39" t="s">
        <v>736</v>
      </c>
      <c r="B704" s="39" t="s">
        <v>1247</v>
      </c>
      <c r="C704" s="39">
        <v>3</v>
      </c>
      <c r="D704" s="39" t="s">
        <v>2122</v>
      </c>
    </row>
    <row r="705" spans="1:4" x14ac:dyDescent="0.25">
      <c r="A705" s="39" t="s">
        <v>7732</v>
      </c>
      <c r="B705" s="39" t="s">
        <v>7733</v>
      </c>
      <c r="C705" s="39">
        <v>3</v>
      </c>
      <c r="D705" s="39" t="s">
        <v>2122</v>
      </c>
    </row>
    <row r="706" spans="1:4" x14ac:dyDescent="0.25">
      <c r="A706" s="39" t="s">
        <v>3354</v>
      </c>
      <c r="B706" s="39" t="s">
        <v>3355</v>
      </c>
      <c r="C706" s="39">
        <v>3</v>
      </c>
      <c r="D706" s="39" t="s">
        <v>2122</v>
      </c>
    </row>
    <row r="707" spans="1:4" x14ac:dyDescent="0.25">
      <c r="A707" s="39" t="s">
        <v>3657</v>
      </c>
      <c r="B707" s="39" t="s">
        <v>3861</v>
      </c>
      <c r="C707" s="39">
        <v>3</v>
      </c>
      <c r="D707" s="39" t="s">
        <v>2122</v>
      </c>
    </row>
    <row r="708" spans="1:4" x14ac:dyDescent="0.25">
      <c r="A708" s="39" t="s">
        <v>1526</v>
      </c>
      <c r="B708" s="39" t="s">
        <v>256</v>
      </c>
      <c r="C708" s="39">
        <v>3</v>
      </c>
      <c r="D708" s="39" t="s">
        <v>2122</v>
      </c>
    </row>
    <row r="709" spans="1:4" x14ac:dyDescent="0.25">
      <c r="A709" s="39" t="s">
        <v>1695</v>
      </c>
      <c r="B709" s="39" t="s">
        <v>1135</v>
      </c>
      <c r="C709" s="39">
        <v>3</v>
      </c>
      <c r="D709" s="39" t="s">
        <v>2122</v>
      </c>
    </row>
    <row r="710" spans="1:4" x14ac:dyDescent="0.25">
      <c r="A710" s="39" t="s">
        <v>3659</v>
      </c>
      <c r="B710" s="39" t="s">
        <v>3862</v>
      </c>
      <c r="C710" s="39">
        <v>3</v>
      </c>
      <c r="D710" s="39" t="s">
        <v>2122</v>
      </c>
    </row>
    <row r="711" spans="1:4" x14ac:dyDescent="0.25">
      <c r="A711" s="39" t="s">
        <v>3384</v>
      </c>
      <c r="B711" s="39" t="s">
        <v>3680</v>
      </c>
      <c r="C711" s="39">
        <v>3</v>
      </c>
      <c r="D711" s="39" t="s">
        <v>2122</v>
      </c>
    </row>
    <row r="712" spans="1:4" x14ac:dyDescent="0.25">
      <c r="A712" s="39" t="s">
        <v>2115</v>
      </c>
      <c r="B712" s="39" t="s">
        <v>363</v>
      </c>
      <c r="C712" s="39">
        <v>3</v>
      </c>
      <c r="D712" s="39" t="s">
        <v>2122</v>
      </c>
    </row>
    <row r="713" spans="1:4" x14ac:dyDescent="0.25">
      <c r="A713" s="39" t="s">
        <v>876</v>
      </c>
      <c r="B713" s="39" t="s">
        <v>648</v>
      </c>
      <c r="C713" s="39">
        <v>3</v>
      </c>
      <c r="D713" s="39" t="s">
        <v>2122</v>
      </c>
    </row>
    <row r="714" spans="1:4" x14ac:dyDescent="0.25">
      <c r="A714" s="39" t="s">
        <v>1554</v>
      </c>
      <c r="B714" s="39" t="s">
        <v>1120</v>
      </c>
      <c r="C714" s="39">
        <v>3</v>
      </c>
      <c r="D714" s="39" t="s">
        <v>2122</v>
      </c>
    </row>
    <row r="715" spans="1:4" x14ac:dyDescent="0.25">
      <c r="A715" s="39" t="s">
        <v>1501</v>
      </c>
      <c r="B715" s="39" t="s">
        <v>554</v>
      </c>
      <c r="C715" s="39">
        <v>3</v>
      </c>
      <c r="D715" s="39" t="s">
        <v>2122</v>
      </c>
    </row>
    <row r="716" spans="1:4" x14ac:dyDescent="0.25">
      <c r="A716" s="39" t="s">
        <v>2858</v>
      </c>
      <c r="B716" s="39" t="s">
        <v>3360</v>
      </c>
      <c r="C716" s="39">
        <v>3</v>
      </c>
      <c r="D716" s="39" t="s">
        <v>2122</v>
      </c>
    </row>
    <row r="717" spans="1:4" x14ac:dyDescent="0.25">
      <c r="A717" s="39" t="s">
        <v>2117</v>
      </c>
      <c r="B717" s="39" t="s">
        <v>2119</v>
      </c>
      <c r="C717" s="39">
        <v>3</v>
      </c>
      <c r="D717" s="39" t="s">
        <v>2122</v>
      </c>
    </row>
    <row r="718" spans="1:4" x14ac:dyDescent="0.25">
      <c r="A718" s="39" t="s">
        <v>966</v>
      </c>
      <c r="B718" s="39" t="s">
        <v>343</v>
      </c>
      <c r="C718" s="39">
        <v>3</v>
      </c>
      <c r="D718" s="39" t="s">
        <v>2122</v>
      </c>
    </row>
    <row r="719" spans="1:4" x14ac:dyDescent="0.25">
      <c r="A719" s="39" t="s">
        <v>5587</v>
      </c>
      <c r="B719" s="39" t="s">
        <v>5588</v>
      </c>
      <c r="C719" s="39">
        <v>3</v>
      </c>
      <c r="D719" s="39" t="s">
        <v>2122</v>
      </c>
    </row>
    <row r="720" spans="1:4" x14ac:dyDescent="0.25">
      <c r="A720" s="39" t="s">
        <v>784</v>
      </c>
      <c r="B720" s="39" t="s">
        <v>316</v>
      </c>
      <c r="C720" s="39">
        <v>3</v>
      </c>
      <c r="D720" s="39" t="s">
        <v>2122</v>
      </c>
    </row>
    <row r="721" spans="1:4" x14ac:dyDescent="0.25">
      <c r="A721" s="39" t="s">
        <v>1803</v>
      </c>
      <c r="B721" s="39" t="s">
        <v>450</v>
      </c>
      <c r="C721" s="39">
        <v>3</v>
      </c>
      <c r="D721" s="39" t="s">
        <v>2122</v>
      </c>
    </row>
    <row r="722" spans="1:4" x14ac:dyDescent="0.25">
      <c r="A722" s="39" t="s">
        <v>2564</v>
      </c>
      <c r="B722" s="39" t="s">
        <v>1299</v>
      </c>
      <c r="C722" s="39">
        <v>3</v>
      </c>
      <c r="D722" s="39" t="s">
        <v>2122</v>
      </c>
    </row>
    <row r="723" spans="1:4" x14ac:dyDescent="0.25">
      <c r="A723" s="39" t="s">
        <v>887</v>
      </c>
      <c r="B723" s="39" t="s">
        <v>843</v>
      </c>
      <c r="C723" s="39">
        <v>3</v>
      </c>
      <c r="D723" s="39" t="s">
        <v>2122</v>
      </c>
    </row>
    <row r="724" spans="1:4" x14ac:dyDescent="0.25">
      <c r="A724" s="39" t="s">
        <v>1804</v>
      </c>
      <c r="B724" s="39" t="s">
        <v>58</v>
      </c>
      <c r="C724" s="39">
        <v>3</v>
      </c>
      <c r="D724" s="39" t="s">
        <v>2122</v>
      </c>
    </row>
    <row r="725" spans="1:4" x14ac:dyDescent="0.25">
      <c r="A725" s="39" t="s">
        <v>1805</v>
      </c>
      <c r="B725" s="39" t="s">
        <v>478</v>
      </c>
      <c r="C725" s="39">
        <v>3</v>
      </c>
      <c r="D725" s="39" t="s">
        <v>2122</v>
      </c>
    </row>
    <row r="726" spans="1:4" x14ac:dyDescent="0.25">
      <c r="A726" s="39" t="s">
        <v>846</v>
      </c>
      <c r="B726" s="39" t="s">
        <v>1084</v>
      </c>
      <c r="C726" s="39">
        <v>3</v>
      </c>
      <c r="D726" s="39" t="s">
        <v>2122</v>
      </c>
    </row>
    <row r="727" spans="1:4" x14ac:dyDescent="0.25">
      <c r="A727" s="39" t="s">
        <v>6839</v>
      </c>
      <c r="B727" s="39" t="s">
        <v>3012</v>
      </c>
      <c r="C727" s="39">
        <v>4</v>
      </c>
      <c r="D727" s="39" t="s">
        <v>2122</v>
      </c>
    </row>
    <row r="728" spans="1:4" x14ac:dyDescent="0.25">
      <c r="A728" s="39" t="s">
        <v>10499</v>
      </c>
      <c r="B728" s="39" t="s">
        <v>10500</v>
      </c>
      <c r="C728" s="39">
        <v>4</v>
      </c>
      <c r="D728" s="39" t="s">
        <v>2122</v>
      </c>
    </row>
    <row r="729" spans="1:4" x14ac:dyDescent="0.25">
      <c r="A729" s="39" t="s">
        <v>10501</v>
      </c>
      <c r="B729" s="39" t="s">
        <v>10502</v>
      </c>
      <c r="C729" s="39">
        <v>4</v>
      </c>
      <c r="D729" s="39" t="s">
        <v>2122</v>
      </c>
    </row>
    <row r="730" spans="1:4" x14ac:dyDescent="0.25">
      <c r="A730" s="39" t="s">
        <v>6840</v>
      </c>
      <c r="B730" s="39" t="s">
        <v>1302</v>
      </c>
      <c r="C730" s="39">
        <v>4</v>
      </c>
      <c r="D730" s="39" t="s">
        <v>2122</v>
      </c>
    </row>
    <row r="731" spans="1:4" x14ac:dyDescent="0.25">
      <c r="A731" s="39" t="s">
        <v>6841</v>
      </c>
      <c r="B731" s="39" t="s">
        <v>499</v>
      </c>
      <c r="C731" s="39">
        <v>4</v>
      </c>
      <c r="D731" s="39" t="s">
        <v>2122</v>
      </c>
    </row>
    <row r="732" spans="1:4" x14ac:dyDescent="0.25">
      <c r="A732" s="39" t="s">
        <v>2166</v>
      </c>
      <c r="B732" s="39" t="s">
        <v>2150</v>
      </c>
      <c r="C732" s="39">
        <v>4</v>
      </c>
      <c r="D732" s="39" t="s">
        <v>2122</v>
      </c>
    </row>
    <row r="733" spans="1:4" x14ac:dyDescent="0.25">
      <c r="A733" s="39" t="s">
        <v>2671</v>
      </c>
      <c r="B733" s="39" t="s">
        <v>2141</v>
      </c>
      <c r="C733" s="39">
        <v>4</v>
      </c>
      <c r="D733" s="39" t="s">
        <v>2122</v>
      </c>
    </row>
    <row r="734" spans="1:4" x14ac:dyDescent="0.25">
      <c r="A734" s="39" t="s">
        <v>4913</v>
      </c>
      <c r="B734" s="39" t="s">
        <v>1409</v>
      </c>
      <c r="C734" s="39">
        <v>4</v>
      </c>
      <c r="D734" s="39" t="s">
        <v>2122</v>
      </c>
    </row>
    <row r="735" spans="1:4" x14ac:dyDescent="0.25">
      <c r="A735" s="39" t="s">
        <v>6842</v>
      </c>
      <c r="B735" s="39" t="s">
        <v>3095</v>
      </c>
      <c r="C735" s="39">
        <v>4</v>
      </c>
      <c r="D735" s="39" t="s">
        <v>2122</v>
      </c>
    </row>
    <row r="736" spans="1:4" x14ac:dyDescent="0.25">
      <c r="A736" s="39" t="s">
        <v>3385</v>
      </c>
      <c r="B736" s="39" t="s">
        <v>1627</v>
      </c>
      <c r="C736" s="39">
        <v>4</v>
      </c>
      <c r="D736" s="39" t="s">
        <v>2122</v>
      </c>
    </row>
    <row r="737" spans="1:4" x14ac:dyDescent="0.25">
      <c r="A737" s="39" t="s">
        <v>6843</v>
      </c>
      <c r="B737" s="39" t="s">
        <v>2986</v>
      </c>
      <c r="C737" s="39">
        <v>4</v>
      </c>
      <c r="D737" s="39" t="s">
        <v>2122</v>
      </c>
    </row>
    <row r="738" spans="1:4" x14ac:dyDescent="0.25">
      <c r="A738" s="39" t="s">
        <v>2168</v>
      </c>
      <c r="B738" s="39" t="s">
        <v>2169</v>
      </c>
      <c r="C738" s="39">
        <v>4</v>
      </c>
      <c r="D738" s="39" t="s">
        <v>2122</v>
      </c>
    </row>
    <row r="739" spans="1:4" x14ac:dyDescent="0.25">
      <c r="A739" s="39" t="s">
        <v>813</v>
      </c>
      <c r="B739" s="39" t="s">
        <v>1272</v>
      </c>
      <c r="C739" s="39">
        <v>4</v>
      </c>
      <c r="D739" s="39" t="s">
        <v>2122</v>
      </c>
    </row>
    <row r="740" spans="1:4" x14ac:dyDescent="0.25">
      <c r="A740" s="39" t="s">
        <v>10503</v>
      </c>
      <c r="B740" s="39" t="s">
        <v>10504</v>
      </c>
      <c r="C740" s="39">
        <v>4</v>
      </c>
      <c r="D740" s="39" t="s">
        <v>2122</v>
      </c>
    </row>
    <row r="741" spans="1:4" x14ac:dyDescent="0.25">
      <c r="A741" s="39" t="s">
        <v>1806</v>
      </c>
      <c r="B741" s="39" t="s">
        <v>1270</v>
      </c>
      <c r="C741" s="39">
        <v>4</v>
      </c>
      <c r="D741" s="39" t="s">
        <v>2122</v>
      </c>
    </row>
    <row r="742" spans="1:4" x14ac:dyDescent="0.25">
      <c r="A742" s="39" t="s">
        <v>4916</v>
      </c>
      <c r="B742" s="39" t="s">
        <v>2596</v>
      </c>
      <c r="C742" s="39">
        <v>4</v>
      </c>
      <c r="D742" s="39" t="s">
        <v>2122</v>
      </c>
    </row>
    <row r="743" spans="1:4" x14ac:dyDescent="0.25">
      <c r="A743" s="39" t="s">
        <v>1472</v>
      </c>
      <c r="B743" s="39" t="s">
        <v>1479</v>
      </c>
      <c r="C743" s="39">
        <v>4</v>
      </c>
      <c r="D743" s="39" t="s">
        <v>2122</v>
      </c>
    </row>
    <row r="744" spans="1:4" x14ac:dyDescent="0.25">
      <c r="A744" s="39" t="s">
        <v>10505</v>
      </c>
      <c r="B744" s="39" t="s">
        <v>10506</v>
      </c>
      <c r="C744" s="39">
        <v>4</v>
      </c>
      <c r="D744" s="39" t="s">
        <v>2122</v>
      </c>
    </row>
    <row r="745" spans="1:4" x14ac:dyDescent="0.25">
      <c r="A745" s="39" t="s">
        <v>1420</v>
      </c>
      <c r="B745" s="39" t="s">
        <v>2114</v>
      </c>
      <c r="C745" s="39">
        <v>4</v>
      </c>
      <c r="D745" s="39" t="s">
        <v>2122</v>
      </c>
    </row>
    <row r="746" spans="1:4" x14ac:dyDescent="0.25">
      <c r="A746" s="39" t="s">
        <v>10507</v>
      </c>
      <c r="B746" s="39" t="s">
        <v>10508</v>
      </c>
      <c r="C746" s="39">
        <v>4</v>
      </c>
      <c r="D746" s="39" t="s">
        <v>2122</v>
      </c>
    </row>
    <row r="747" spans="1:4" x14ac:dyDescent="0.25">
      <c r="A747" s="39" t="s">
        <v>1807</v>
      </c>
      <c r="B747" s="39" t="s">
        <v>1345</v>
      </c>
      <c r="C747" s="39">
        <v>4</v>
      </c>
      <c r="D747" s="39" t="s">
        <v>2122</v>
      </c>
    </row>
    <row r="748" spans="1:4" x14ac:dyDescent="0.25">
      <c r="A748" s="39" t="s">
        <v>6844</v>
      </c>
      <c r="B748" s="39" t="s">
        <v>4742</v>
      </c>
      <c r="C748" s="39">
        <v>4</v>
      </c>
      <c r="D748" s="39" t="s">
        <v>2122</v>
      </c>
    </row>
    <row r="749" spans="1:4" x14ac:dyDescent="0.25">
      <c r="A749" s="39" t="s">
        <v>4917</v>
      </c>
      <c r="B749" s="39" t="s">
        <v>4918</v>
      </c>
      <c r="C749" s="39">
        <v>4</v>
      </c>
      <c r="D749" s="39" t="s">
        <v>2122</v>
      </c>
    </row>
    <row r="750" spans="1:4" x14ac:dyDescent="0.25">
      <c r="A750" s="39" t="s">
        <v>6845</v>
      </c>
      <c r="B750" s="39" t="s">
        <v>6846</v>
      </c>
      <c r="C750" s="39">
        <v>4</v>
      </c>
      <c r="D750" s="39" t="s">
        <v>2122</v>
      </c>
    </row>
    <row r="751" spans="1:4" x14ac:dyDescent="0.25">
      <c r="A751" s="39" t="s">
        <v>6847</v>
      </c>
      <c r="B751" s="39" t="s">
        <v>6848</v>
      </c>
      <c r="C751" s="39">
        <v>4</v>
      </c>
      <c r="D751" s="39" t="s">
        <v>2122</v>
      </c>
    </row>
    <row r="752" spans="1:4" x14ac:dyDescent="0.25">
      <c r="A752" s="39" t="s">
        <v>3386</v>
      </c>
      <c r="B752" s="39" t="s">
        <v>3681</v>
      </c>
      <c r="C752" s="39">
        <v>4</v>
      </c>
      <c r="D752" s="39" t="s">
        <v>2122</v>
      </c>
    </row>
    <row r="753" spans="1:4" x14ac:dyDescent="0.25">
      <c r="A753" s="39" t="s">
        <v>6849</v>
      </c>
      <c r="B753" s="39" t="s">
        <v>6850</v>
      </c>
      <c r="C753" s="39">
        <v>4</v>
      </c>
      <c r="D753" s="39" t="s">
        <v>2122</v>
      </c>
    </row>
    <row r="754" spans="1:4" x14ac:dyDescent="0.25">
      <c r="A754" s="39" t="s">
        <v>6851</v>
      </c>
      <c r="B754" s="39" t="s">
        <v>5885</v>
      </c>
      <c r="C754" s="39">
        <v>4</v>
      </c>
      <c r="D754" s="39" t="s">
        <v>2122</v>
      </c>
    </row>
    <row r="755" spans="1:4" x14ac:dyDescent="0.25">
      <c r="A755" s="39" t="s">
        <v>10509</v>
      </c>
      <c r="B755" s="39" t="s">
        <v>10510</v>
      </c>
      <c r="C755" s="39">
        <v>4</v>
      </c>
      <c r="D755" s="39" t="s">
        <v>2122</v>
      </c>
    </row>
    <row r="756" spans="1:4" x14ac:dyDescent="0.25">
      <c r="A756" s="39" t="s">
        <v>3387</v>
      </c>
      <c r="B756" s="39" t="s">
        <v>2628</v>
      </c>
      <c r="C756" s="39">
        <v>4</v>
      </c>
      <c r="D756" s="39" t="s">
        <v>2122</v>
      </c>
    </row>
    <row r="757" spans="1:4" x14ac:dyDescent="0.25">
      <c r="A757" s="39" t="s">
        <v>2286</v>
      </c>
      <c r="B757" s="39" t="s">
        <v>2582</v>
      </c>
      <c r="C757" s="39">
        <v>4</v>
      </c>
      <c r="D757" s="39" t="s">
        <v>2122</v>
      </c>
    </row>
    <row r="758" spans="1:4" x14ac:dyDescent="0.25">
      <c r="A758" s="39" t="s">
        <v>3388</v>
      </c>
      <c r="B758" s="39" t="s">
        <v>3040</v>
      </c>
      <c r="C758" s="39">
        <v>4</v>
      </c>
      <c r="D758" s="39" t="s">
        <v>2122</v>
      </c>
    </row>
    <row r="759" spans="1:4" x14ac:dyDescent="0.25">
      <c r="A759" s="39" t="s">
        <v>4919</v>
      </c>
      <c r="B759" s="39" t="s">
        <v>4920</v>
      </c>
      <c r="C759" s="39">
        <v>4</v>
      </c>
      <c r="D759" s="39" t="s">
        <v>2122</v>
      </c>
    </row>
    <row r="760" spans="1:4" x14ac:dyDescent="0.25">
      <c r="A760" s="39" t="s">
        <v>4921</v>
      </c>
      <c r="B760" s="39" t="s">
        <v>3058</v>
      </c>
      <c r="C760" s="39">
        <v>4</v>
      </c>
      <c r="D760" s="39" t="s">
        <v>2122</v>
      </c>
    </row>
    <row r="761" spans="1:4" x14ac:dyDescent="0.25">
      <c r="A761" s="39" t="s">
        <v>10511</v>
      </c>
      <c r="B761" s="39" t="s">
        <v>10512</v>
      </c>
      <c r="C761" s="39">
        <v>4</v>
      </c>
      <c r="D761" s="39" t="s">
        <v>2122</v>
      </c>
    </row>
    <row r="762" spans="1:4" x14ac:dyDescent="0.25">
      <c r="A762" s="39" t="s">
        <v>4922</v>
      </c>
      <c r="B762" s="39" t="s">
        <v>4923</v>
      </c>
      <c r="C762" s="39">
        <v>4</v>
      </c>
      <c r="D762" s="39" t="s">
        <v>2122</v>
      </c>
    </row>
    <row r="763" spans="1:4" x14ac:dyDescent="0.25">
      <c r="A763" s="39" t="s">
        <v>6852</v>
      </c>
      <c r="B763" s="39" t="s">
        <v>2898</v>
      </c>
      <c r="C763" s="39">
        <v>4</v>
      </c>
      <c r="D763" s="39" t="s">
        <v>2122</v>
      </c>
    </row>
    <row r="764" spans="1:4" x14ac:dyDescent="0.25">
      <c r="A764" s="39" t="s">
        <v>1720</v>
      </c>
      <c r="B764" s="39" t="s">
        <v>1124</v>
      </c>
      <c r="C764" s="39">
        <v>4</v>
      </c>
      <c r="D764" s="39" t="s">
        <v>2122</v>
      </c>
    </row>
    <row r="765" spans="1:4" x14ac:dyDescent="0.25">
      <c r="A765" s="39" t="s">
        <v>10513</v>
      </c>
      <c r="B765" s="39" t="s">
        <v>10514</v>
      </c>
      <c r="C765" s="39">
        <v>4</v>
      </c>
      <c r="D765" s="39" t="s">
        <v>2122</v>
      </c>
    </row>
    <row r="766" spans="1:4" x14ac:dyDescent="0.25">
      <c r="A766" s="39" t="s">
        <v>3389</v>
      </c>
      <c r="B766" s="39" t="s">
        <v>803</v>
      </c>
      <c r="C766" s="39">
        <v>4</v>
      </c>
      <c r="D766" s="39" t="s">
        <v>2122</v>
      </c>
    </row>
    <row r="767" spans="1:4" x14ac:dyDescent="0.25">
      <c r="A767" s="39" t="s">
        <v>6853</v>
      </c>
      <c r="B767" s="39" t="s">
        <v>4691</v>
      </c>
      <c r="C767" s="39">
        <v>4</v>
      </c>
      <c r="D767" s="39" t="s">
        <v>2122</v>
      </c>
    </row>
    <row r="768" spans="1:4" x14ac:dyDescent="0.25">
      <c r="A768" s="39" t="s">
        <v>6854</v>
      </c>
      <c r="B768" s="39" t="s">
        <v>4723</v>
      </c>
      <c r="C768" s="39">
        <v>4</v>
      </c>
      <c r="D768" s="39" t="s">
        <v>2122</v>
      </c>
    </row>
    <row r="769" spans="1:4" x14ac:dyDescent="0.25">
      <c r="A769" s="39" t="s">
        <v>10515</v>
      </c>
      <c r="B769" s="39" t="s">
        <v>6153</v>
      </c>
      <c r="C769" s="39">
        <v>4</v>
      </c>
      <c r="D769" s="39" t="s">
        <v>2122</v>
      </c>
    </row>
    <row r="770" spans="1:4" x14ac:dyDescent="0.25">
      <c r="A770" s="39" t="s">
        <v>4924</v>
      </c>
      <c r="B770" s="39" t="s">
        <v>2406</v>
      </c>
      <c r="C770" s="39">
        <v>4</v>
      </c>
      <c r="D770" s="39" t="s">
        <v>2122</v>
      </c>
    </row>
    <row r="771" spans="1:4" x14ac:dyDescent="0.25">
      <c r="A771" s="39" t="s">
        <v>10516</v>
      </c>
      <c r="B771" s="39" t="s">
        <v>10517</v>
      </c>
      <c r="C771" s="39">
        <v>4</v>
      </c>
      <c r="D771" s="39" t="s">
        <v>2122</v>
      </c>
    </row>
    <row r="772" spans="1:4" x14ac:dyDescent="0.25">
      <c r="A772" s="39" t="s">
        <v>4925</v>
      </c>
      <c r="B772" s="39" t="s">
        <v>4926</v>
      </c>
      <c r="C772" s="39">
        <v>4</v>
      </c>
      <c r="D772" s="39" t="s">
        <v>2122</v>
      </c>
    </row>
    <row r="773" spans="1:4" x14ac:dyDescent="0.25">
      <c r="A773" s="39" t="s">
        <v>2547</v>
      </c>
      <c r="B773" s="39" t="s">
        <v>2518</v>
      </c>
      <c r="C773" s="39">
        <v>4</v>
      </c>
      <c r="D773" s="39" t="s">
        <v>2122</v>
      </c>
    </row>
    <row r="774" spans="1:4" x14ac:dyDescent="0.25">
      <c r="A774" s="39" t="s">
        <v>3390</v>
      </c>
      <c r="B774" s="39" t="s">
        <v>3682</v>
      </c>
      <c r="C774" s="39">
        <v>4</v>
      </c>
      <c r="D774" s="39" t="s">
        <v>2122</v>
      </c>
    </row>
    <row r="775" spans="1:4" x14ac:dyDescent="0.25">
      <c r="A775" s="39" t="s">
        <v>4927</v>
      </c>
      <c r="B775" s="39" t="s">
        <v>4928</v>
      </c>
      <c r="C775" s="39">
        <v>4</v>
      </c>
      <c r="D775" s="39" t="s">
        <v>2122</v>
      </c>
    </row>
    <row r="776" spans="1:4" x14ac:dyDescent="0.25">
      <c r="A776" s="39" t="s">
        <v>10518</v>
      </c>
      <c r="B776" s="39" t="s">
        <v>10519</v>
      </c>
      <c r="C776" s="39">
        <v>4</v>
      </c>
      <c r="D776" s="39" t="s">
        <v>2122</v>
      </c>
    </row>
    <row r="777" spans="1:4" x14ac:dyDescent="0.25">
      <c r="A777" s="39" t="s">
        <v>4929</v>
      </c>
      <c r="B777" s="39" t="s">
        <v>197</v>
      </c>
      <c r="C777" s="39">
        <v>4</v>
      </c>
      <c r="D777" s="39" t="s">
        <v>2122</v>
      </c>
    </row>
    <row r="778" spans="1:4" x14ac:dyDescent="0.25">
      <c r="A778" s="39" t="s">
        <v>3127</v>
      </c>
      <c r="B778" s="39" t="s">
        <v>3128</v>
      </c>
      <c r="C778" s="39">
        <v>4</v>
      </c>
      <c r="D778" s="39" t="s">
        <v>2122</v>
      </c>
    </row>
    <row r="779" spans="1:4" x14ac:dyDescent="0.25">
      <c r="A779" s="39" t="s">
        <v>4930</v>
      </c>
      <c r="B779" s="39" t="s">
        <v>4154</v>
      </c>
      <c r="C779" s="39">
        <v>4</v>
      </c>
      <c r="D779" s="39" t="s">
        <v>2122</v>
      </c>
    </row>
    <row r="780" spans="1:4" x14ac:dyDescent="0.25">
      <c r="A780" s="39" t="s">
        <v>3391</v>
      </c>
      <c r="B780" s="39" t="s">
        <v>2528</v>
      </c>
      <c r="C780" s="39">
        <v>4</v>
      </c>
      <c r="D780" s="39" t="s">
        <v>2122</v>
      </c>
    </row>
    <row r="781" spans="1:4" x14ac:dyDescent="0.25">
      <c r="A781" s="39" t="s">
        <v>2565</v>
      </c>
      <c r="B781" s="39" t="s">
        <v>621</v>
      </c>
      <c r="C781" s="39">
        <v>4</v>
      </c>
      <c r="D781" s="39" t="s">
        <v>2122</v>
      </c>
    </row>
    <row r="782" spans="1:4" x14ac:dyDescent="0.25">
      <c r="A782" s="39" t="s">
        <v>3129</v>
      </c>
      <c r="B782" s="39" t="s">
        <v>482</v>
      </c>
      <c r="C782" s="39">
        <v>4</v>
      </c>
      <c r="D782" s="39" t="s">
        <v>2122</v>
      </c>
    </row>
    <row r="783" spans="1:4" x14ac:dyDescent="0.25">
      <c r="A783" s="39" t="s">
        <v>6855</v>
      </c>
      <c r="B783" s="39" t="s">
        <v>3966</v>
      </c>
      <c r="C783" s="39">
        <v>4</v>
      </c>
      <c r="D783" s="39" t="s">
        <v>2122</v>
      </c>
    </row>
    <row r="784" spans="1:4" x14ac:dyDescent="0.25">
      <c r="A784" s="39" t="s">
        <v>2774</v>
      </c>
      <c r="B784" s="39" t="s">
        <v>3130</v>
      </c>
      <c r="C784" s="39">
        <v>4</v>
      </c>
      <c r="D784" s="39" t="s">
        <v>2122</v>
      </c>
    </row>
    <row r="785" spans="1:4" x14ac:dyDescent="0.25">
      <c r="A785" s="39" t="s">
        <v>10520</v>
      </c>
      <c r="B785" s="39" t="s">
        <v>1964</v>
      </c>
      <c r="C785" s="39">
        <v>4</v>
      </c>
      <c r="D785" s="39" t="s">
        <v>2122</v>
      </c>
    </row>
    <row r="786" spans="1:4" x14ac:dyDescent="0.25">
      <c r="A786" s="39" t="s">
        <v>10521</v>
      </c>
      <c r="B786" s="39" t="s">
        <v>10522</v>
      </c>
      <c r="C786" s="39">
        <v>4</v>
      </c>
      <c r="D786" s="39" t="s">
        <v>2122</v>
      </c>
    </row>
    <row r="787" spans="1:4" x14ac:dyDescent="0.25">
      <c r="A787" s="39" t="s">
        <v>3392</v>
      </c>
      <c r="B787" s="39" t="s">
        <v>3683</v>
      </c>
      <c r="C787" s="39">
        <v>4</v>
      </c>
      <c r="D787" s="39" t="s">
        <v>2122</v>
      </c>
    </row>
    <row r="788" spans="1:4" x14ac:dyDescent="0.25">
      <c r="A788" s="39" t="s">
        <v>2915</v>
      </c>
      <c r="B788" s="39" t="s">
        <v>2357</v>
      </c>
      <c r="C788" s="39">
        <v>4</v>
      </c>
      <c r="D788" s="39" t="s">
        <v>2122</v>
      </c>
    </row>
    <row r="789" spans="1:4" x14ac:dyDescent="0.25">
      <c r="A789" s="39" t="s">
        <v>6856</v>
      </c>
      <c r="B789" s="39" t="s">
        <v>6857</v>
      </c>
      <c r="C789" s="39">
        <v>4</v>
      </c>
      <c r="D789" s="39" t="s">
        <v>2122</v>
      </c>
    </row>
    <row r="790" spans="1:4" x14ac:dyDescent="0.25">
      <c r="A790" s="39" t="s">
        <v>4931</v>
      </c>
      <c r="B790" s="39" t="s">
        <v>4932</v>
      </c>
      <c r="C790" s="39">
        <v>4</v>
      </c>
      <c r="D790" s="39" t="s">
        <v>2122</v>
      </c>
    </row>
    <row r="791" spans="1:4" x14ac:dyDescent="0.25">
      <c r="A791" s="39" t="s">
        <v>3393</v>
      </c>
      <c r="B791" s="39" t="s">
        <v>3684</v>
      </c>
      <c r="C791" s="39">
        <v>4</v>
      </c>
      <c r="D791" s="39" t="s">
        <v>2122</v>
      </c>
    </row>
    <row r="792" spans="1:4" x14ac:dyDescent="0.25">
      <c r="A792" s="39" t="s">
        <v>3394</v>
      </c>
      <c r="B792" s="39" t="s">
        <v>2579</v>
      </c>
      <c r="C792" s="39">
        <v>4</v>
      </c>
      <c r="D792" s="39" t="s">
        <v>2122</v>
      </c>
    </row>
    <row r="793" spans="1:4" x14ac:dyDescent="0.25">
      <c r="A793" s="39" t="s">
        <v>6858</v>
      </c>
      <c r="B793" s="39" t="s">
        <v>6859</v>
      </c>
      <c r="C793" s="39">
        <v>4</v>
      </c>
      <c r="D793" s="39" t="s">
        <v>2122</v>
      </c>
    </row>
    <row r="794" spans="1:4" x14ac:dyDescent="0.25">
      <c r="A794" s="39" t="s">
        <v>6860</v>
      </c>
      <c r="B794" s="39" t="s">
        <v>6861</v>
      </c>
      <c r="C794" s="39">
        <v>4</v>
      </c>
      <c r="D794" s="39" t="s">
        <v>2122</v>
      </c>
    </row>
    <row r="795" spans="1:4" x14ac:dyDescent="0.25">
      <c r="A795" s="39" t="s">
        <v>10523</v>
      </c>
      <c r="B795" s="39" t="s">
        <v>10524</v>
      </c>
      <c r="C795" s="39">
        <v>4</v>
      </c>
      <c r="D795" s="39" t="s">
        <v>2122</v>
      </c>
    </row>
    <row r="796" spans="1:4" x14ac:dyDescent="0.25">
      <c r="A796" s="39" t="s">
        <v>2614</v>
      </c>
      <c r="B796" s="39" t="s">
        <v>2674</v>
      </c>
      <c r="C796" s="39">
        <v>4</v>
      </c>
      <c r="D796" s="39" t="s">
        <v>2122</v>
      </c>
    </row>
    <row r="797" spans="1:4" x14ac:dyDescent="0.25">
      <c r="A797" s="39" t="s">
        <v>10525</v>
      </c>
      <c r="B797" s="39" t="s">
        <v>10526</v>
      </c>
      <c r="C797" s="39">
        <v>4</v>
      </c>
      <c r="D797" s="39" t="s">
        <v>2122</v>
      </c>
    </row>
    <row r="798" spans="1:4" x14ac:dyDescent="0.25">
      <c r="A798" s="39" t="s">
        <v>10527</v>
      </c>
      <c r="B798" s="39" t="s">
        <v>10528</v>
      </c>
      <c r="C798" s="39">
        <v>4</v>
      </c>
      <c r="D798" s="39" t="s">
        <v>2122</v>
      </c>
    </row>
    <row r="799" spans="1:4" x14ac:dyDescent="0.25">
      <c r="A799" s="39" t="s">
        <v>10529</v>
      </c>
      <c r="B799" s="39" t="s">
        <v>4225</v>
      </c>
      <c r="C799" s="39">
        <v>4</v>
      </c>
      <c r="D799" s="39" t="s">
        <v>2122</v>
      </c>
    </row>
    <row r="800" spans="1:4" x14ac:dyDescent="0.25">
      <c r="A800" s="39" t="s">
        <v>2044</v>
      </c>
      <c r="B800" s="39" t="s">
        <v>2045</v>
      </c>
      <c r="C800" s="39">
        <v>4</v>
      </c>
      <c r="D800" s="39" t="s">
        <v>2122</v>
      </c>
    </row>
    <row r="801" spans="1:4" x14ac:dyDescent="0.25">
      <c r="A801" s="39" t="s">
        <v>10530</v>
      </c>
      <c r="B801" s="39" t="s">
        <v>348</v>
      </c>
      <c r="C801" s="39">
        <v>4</v>
      </c>
      <c r="D801" s="39" t="s">
        <v>2122</v>
      </c>
    </row>
    <row r="802" spans="1:4" x14ac:dyDescent="0.25">
      <c r="A802" s="39" t="s">
        <v>10531</v>
      </c>
      <c r="B802" s="39" t="s">
        <v>10532</v>
      </c>
      <c r="C802" s="39">
        <v>4</v>
      </c>
      <c r="D802" s="39" t="s">
        <v>2122</v>
      </c>
    </row>
    <row r="803" spans="1:4" x14ac:dyDescent="0.25">
      <c r="A803" s="39" t="s">
        <v>10533</v>
      </c>
      <c r="B803" s="39" t="s">
        <v>10534</v>
      </c>
      <c r="C803" s="39">
        <v>4</v>
      </c>
      <c r="D803" s="39" t="s">
        <v>2122</v>
      </c>
    </row>
    <row r="804" spans="1:4" x14ac:dyDescent="0.25">
      <c r="A804" s="39" t="s">
        <v>4935</v>
      </c>
      <c r="B804" s="39" t="s">
        <v>2296</v>
      </c>
      <c r="C804" s="39">
        <v>4</v>
      </c>
      <c r="D804" s="39" t="s">
        <v>2122</v>
      </c>
    </row>
    <row r="805" spans="1:4" x14ac:dyDescent="0.25">
      <c r="A805" s="39" t="s">
        <v>3395</v>
      </c>
      <c r="B805" s="39" t="s">
        <v>3685</v>
      </c>
      <c r="C805" s="39">
        <v>4</v>
      </c>
      <c r="D805" s="39" t="s">
        <v>2122</v>
      </c>
    </row>
    <row r="806" spans="1:4" x14ac:dyDescent="0.25">
      <c r="A806" s="39" t="s">
        <v>10535</v>
      </c>
      <c r="B806" s="39" t="s">
        <v>10536</v>
      </c>
      <c r="C806" s="39">
        <v>4</v>
      </c>
      <c r="D806" s="39" t="s">
        <v>2122</v>
      </c>
    </row>
    <row r="807" spans="1:4" x14ac:dyDescent="0.25">
      <c r="A807" s="39" t="s">
        <v>4936</v>
      </c>
      <c r="B807" s="39" t="s">
        <v>224</v>
      </c>
      <c r="C807" s="39">
        <v>4</v>
      </c>
      <c r="D807" s="39" t="s">
        <v>2122</v>
      </c>
    </row>
    <row r="808" spans="1:4" x14ac:dyDescent="0.25">
      <c r="A808" s="39" t="s">
        <v>4937</v>
      </c>
      <c r="B808" s="39" t="s">
        <v>4938</v>
      </c>
      <c r="C808" s="39">
        <v>4</v>
      </c>
      <c r="D808" s="39" t="s">
        <v>2122</v>
      </c>
    </row>
    <row r="809" spans="1:4" x14ac:dyDescent="0.25">
      <c r="A809" s="39" t="s">
        <v>364</v>
      </c>
      <c r="B809" s="39" t="s">
        <v>937</v>
      </c>
      <c r="C809" s="39">
        <v>4</v>
      </c>
      <c r="D809" s="39" t="s">
        <v>2122</v>
      </c>
    </row>
    <row r="810" spans="1:4" x14ac:dyDescent="0.25">
      <c r="A810" s="39" t="s">
        <v>6862</v>
      </c>
      <c r="B810" s="39" t="s">
        <v>6863</v>
      </c>
      <c r="C810" s="39">
        <v>4</v>
      </c>
      <c r="D810" s="39" t="s">
        <v>2122</v>
      </c>
    </row>
    <row r="811" spans="1:4" x14ac:dyDescent="0.25">
      <c r="A811" s="39" t="s">
        <v>4939</v>
      </c>
      <c r="B811" s="39" t="s">
        <v>4940</v>
      </c>
      <c r="C811" s="39">
        <v>4</v>
      </c>
      <c r="D811" s="39" t="s">
        <v>2122</v>
      </c>
    </row>
    <row r="812" spans="1:4" x14ac:dyDescent="0.25">
      <c r="A812" s="39" t="s">
        <v>10537</v>
      </c>
      <c r="B812" s="39" t="s">
        <v>4035</v>
      </c>
      <c r="C812" s="39">
        <v>4</v>
      </c>
      <c r="D812" s="39" t="s">
        <v>2122</v>
      </c>
    </row>
    <row r="813" spans="1:4" x14ac:dyDescent="0.25">
      <c r="A813" s="39" t="s">
        <v>6864</v>
      </c>
      <c r="B813" s="39" t="s">
        <v>6865</v>
      </c>
      <c r="C813" s="39">
        <v>4</v>
      </c>
      <c r="D813" s="39" t="s">
        <v>2122</v>
      </c>
    </row>
    <row r="814" spans="1:4" x14ac:dyDescent="0.25">
      <c r="A814" s="39" t="s">
        <v>10538</v>
      </c>
      <c r="B814" s="39" t="s">
        <v>4941</v>
      </c>
      <c r="C814" s="39">
        <v>4</v>
      </c>
      <c r="D814" s="39" t="s">
        <v>2122</v>
      </c>
    </row>
    <row r="815" spans="1:4" x14ac:dyDescent="0.25">
      <c r="A815" s="39" t="s">
        <v>6866</v>
      </c>
      <c r="B815" s="39" t="s">
        <v>6867</v>
      </c>
      <c r="C815" s="39">
        <v>4</v>
      </c>
      <c r="D815" s="39" t="s">
        <v>2122</v>
      </c>
    </row>
    <row r="816" spans="1:4" x14ac:dyDescent="0.25">
      <c r="A816" s="39" t="s">
        <v>71</v>
      </c>
      <c r="B816" s="39" t="s">
        <v>1656</v>
      </c>
      <c r="C816" s="39">
        <v>4</v>
      </c>
      <c r="D816" s="39" t="s">
        <v>2122</v>
      </c>
    </row>
    <row r="817" spans="1:4" x14ac:dyDescent="0.25">
      <c r="A817" s="39" t="s">
        <v>10539</v>
      </c>
      <c r="B817" s="39" t="s">
        <v>10540</v>
      </c>
      <c r="C817" s="39">
        <v>4</v>
      </c>
      <c r="D817" s="39" t="s">
        <v>2122</v>
      </c>
    </row>
    <row r="818" spans="1:4" x14ac:dyDescent="0.25">
      <c r="A818" s="39" t="s">
        <v>6868</v>
      </c>
      <c r="B818" s="39" t="s">
        <v>6869</v>
      </c>
      <c r="C818" s="39">
        <v>4</v>
      </c>
      <c r="D818" s="39" t="s">
        <v>2122</v>
      </c>
    </row>
    <row r="819" spans="1:4" x14ac:dyDescent="0.25">
      <c r="A819" s="39" t="s">
        <v>3397</v>
      </c>
      <c r="B819" s="39" t="s">
        <v>3687</v>
      </c>
      <c r="C819" s="39">
        <v>4</v>
      </c>
      <c r="D819" s="39" t="s">
        <v>2122</v>
      </c>
    </row>
    <row r="820" spans="1:4" x14ac:dyDescent="0.25">
      <c r="A820" s="39" t="s">
        <v>3398</v>
      </c>
      <c r="B820" s="39" t="s">
        <v>3688</v>
      </c>
      <c r="C820" s="39">
        <v>4</v>
      </c>
      <c r="D820" s="39" t="s">
        <v>2122</v>
      </c>
    </row>
    <row r="821" spans="1:4" x14ac:dyDescent="0.25">
      <c r="A821" s="39" t="s">
        <v>4942</v>
      </c>
      <c r="B821" s="39" t="s">
        <v>3055</v>
      </c>
      <c r="C821" s="39">
        <v>4</v>
      </c>
      <c r="D821" s="39" t="s">
        <v>2122</v>
      </c>
    </row>
    <row r="822" spans="1:4" x14ac:dyDescent="0.25">
      <c r="A822" s="39" t="s">
        <v>10541</v>
      </c>
      <c r="B822" s="39" t="s">
        <v>10542</v>
      </c>
      <c r="C822" s="39">
        <v>4</v>
      </c>
      <c r="D822" s="39" t="s">
        <v>2122</v>
      </c>
    </row>
    <row r="823" spans="1:4" x14ac:dyDescent="0.25">
      <c r="A823" s="39" t="s">
        <v>3400</v>
      </c>
      <c r="B823" s="39" t="s">
        <v>2532</v>
      </c>
      <c r="C823" s="39">
        <v>4</v>
      </c>
      <c r="D823" s="39" t="s">
        <v>2122</v>
      </c>
    </row>
    <row r="824" spans="1:4" x14ac:dyDescent="0.25">
      <c r="A824" s="39" t="s">
        <v>6870</v>
      </c>
      <c r="B824" s="39" t="s">
        <v>3996</v>
      </c>
      <c r="C824" s="39">
        <v>4</v>
      </c>
      <c r="D824" s="39" t="s">
        <v>2122</v>
      </c>
    </row>
    <row r="825" spans="1:4" x14ac:dyDescent="0.25">
      <c r="A825" s="39" t="s">
        <v>4943</v>
      </c>
      <c r="B825" s="39" t="s">
        <v>4944</v>
      </c>
      <c r="C825" s="39">
        <v>4</v>
      </c>
      <c r="D825" s="39" t="s">
        <v>2122</v>
      </c>
    </row>
    <row r="826" spans="1:4" x14ac:dyDescent="0.25">
      <c r="A826" s="39" t="s">
        <v>4945</v>
      </c>
      <c r="B826" s="39" t="s">
        <v>4946</v>
      </c>
      <c r="C826" s="39">
        <v>4</v>
      </c>
      <c r="D826" s="39" t="s">
        <v>2122</v>
      </c>
    </row>
    <row r="827" spans="1:4" x14ac:dyDescent="0.25">
      <c r="A827" s="39" t="s">
        <v>10543</v>
      </c>
      <c r="B827" s="39" t="s">
        <v>4136</v>
      </c>
      <c r="C827" s="39">
        <v>4</v>
      </c>
      <c r="D827" s="39" t="s">
        <v>2122</v>
      </c>
    </row>
    <row r="828" spans="1:4" x14ac:dyDescent="0.25">
      <c r="A828" s="39" t="s">
        <v>10544</v>
      </c>
      <c r="B828" s="39" t="s">
        <v>4637</v>
      </c>
      <c r="C828" s="39">
        <v>4</v>
      </c>
      <c r="D828" s="39" t="s">
        <v>2122</v>
      </c>
    </row>
    <row r="829" spans="1:4" x14ac:dyDescent="0.25">
      <c r="A829" s="39" t="s">
        <v>6871</v>
      </c>
      <c r="B829" s="39" t="s">
        <v>6872</v>
      </c>
      <c r="C829" s="39">
        <v>4</v>
      </c>
      <c r="D829" s="39" t="s">
        <v>2122</v>
      </c>
    </row>
    <row r="830" spans="1:4" x14ac:dyDescent="0.25">
      <c r="A830" s="39" t="s">
        <v>10545</v>
      </c>
      <c r="B830" s="39" t="s">
        <v>4625</v>
      </c>
      <c r="C830" s="39">
        <v>4</v>
      </c>
      <c r="D830" s="39" t="s">
        <v>2122</v>
      </c>
    </row>
    <row r="831" spans="1:4" x14ac:dyDescent="0.25">
      <c r="A831" s="39" t="s">
        <v>3402</v>
      </c>
      <c r="B831" s="39" t="s">
        <v>2653</v>
      </c>
      <c r="C831" s="39">
        <v>4</v>
      </c>
      <c r="D831" s="39" t="s">
        <v>2122</v>
      </c>
    </row>
    <row r="832" spans="1:4" x14ac:dyDescent="0.25">
      <c r="A832" s="39" t="s">
        <v>6873</v>
      </c>
      <c r="B832" s="39" t="s">
        <v>6874</v>
      </c>
      <c r="C832" s="39">
        <v>4</v>
      </c>
      <c r="D832" s="39" t="s">
        <v>2122</v>
      </c>
    </row>
    <row r="833" spans="1:4" x14ac:dyDescent="0.25">
      <c r="A833" s="39" t="s">
        <v>4947</v>
      </c>
      <c r="B833" s="39" t="s">
        <v>4186</v>
      </c>
      <c r="C833" s="39">
        <v>4</v>
      </c>
      <c r="D833" s="39" t="s">
        <v>2122</v>
      </c>
    </row>
    <row r="834" spans="1:4" x14ac:dyDescent="0.25">
      <c r="A834" s="39" t="s">
        <v>2003</v>
      </c>
      <c r="B834" s="39" t="s">
        <v>2378</v>
      </c>
      <c r="C834" s="39">
        <v>4</v>
      </c>
      <c r="D834" s="39" t="s">
        <v>2122</v>
      </c>
    </row>
    <row r="835" spans="1:4" x14ac:dyDescent="0.25">
      <c r="A835" s="39" t="s">
        <v>10546</v>
      </c>
      <c r="B835" s="39" t="s">
        <v>10547</v>
      </c>
      <c r="C835" s="39">
        <v>4</v>
      </c>
      <c r="D835" s="39" t="s">
        <v>2122</v>
      </c>
    </row>
    <row r="836" spans="1:4" x14ac:dyDescent="0.25">
      <c r="A836" s="39" t="s">
        <v>6875</v>
      </c>
      <c r="B836" s="39" t="s">
        <v>6876</v>
      </c>
      <c r="C836" s="39">
        <v>4</v>
      </c>
      <c r="D836" s="39" t="s">
        <v>2122</v>
      </c>
    </row>
    <row r="837" spans="1:4" x14ac:dyDescent="0.25">
      <c r="A837" s="39" t="s">
        <v>4948</v>
      </c>
      <c r="B837" s="39" t="s">
        <v>4949</v>
      </c>
      <c r="C837" s="39">
        <v>4</v>
      </c>
      <c r="D837" s="39" t="s">
        <v>2122</v>
      </c>
    </row>
    <row r="838" spans="1:4" x14ac:dyDescent="0.25">
      <c r="A838" s="39" t="s">
        <v>1574</v>
      </c>
      <c r="B838" s="39" t="s">
        <v>1273</v>
      </c>
      <c r="C838" s="39">
        <v>4</v>
      </c>
      <c r="D838" s="39" t="s">
        <v>2122</v>
      </c>
    </row>
    <row r="839" spans="1:4" x14ac:dyDescent="0.25">
      <c r="A839" s="39" t="s">
        <v>4950</v>
      </c>
      <c r="B839" s="39" t="s">
        <v>4951</v>
      </c>
      <c r="C839" s="39">
        <v>4</v>
      </c>
      <c r="D839" s="39" t="s">
        <v>2122</v>
      </c>
    </row>
    <row r="840" spans="1:4" x14ac:dyDescent="0.25">
      <c r="A840" s="39" t="s">
        <v>4952</v>
      </c>
      <c r="B840" s="39" t="s">
        <v>4953</v>
      </c>
      <c r="C840" s="39">
        <v>4</v>
      </c>
      <c r="D840" s="39" t="s">
        <v>2122</v>
      </c>
    </row>
    <row r="841" spans="1:4" x14ac:dyDescent="0.25">
      <c r="A841" s="39" t="s">
        <v>6877</v>
      </c>
      <c r="B841" s="39" t="s">
        <v>6878</v>
      </c>
      <c r="C841" s="39">
        <v>4</v>
      </c>
      <c r="D841" s="39" t="s">
        <v>2122</v>
      </c>
    </row>
    <row r="842" spans="1:4" x14ac:dyDescent="0.25">
      <c r="A842" s="39" t="s">
        <v>1813</v>
      </c>
      <c r="B842" s="39" t="s">
        <v>393</v>
      </c>
      <c r="C842" s="39">
        <v>4</v>
      </c>
      <c r="D842" s="39" t="s">
        <v>2122</v>
      </c>
    </row>
    <row r="843" spans="1:4" x14ac:dyDescent="0.25">
      <c r="A843" s="39" t="s">
        <v>3404</v>
      </c>
      <c r="B843" s="39" t="s">
        <v>2079</v>
      </c>
      <c r="C843" s="39">
        <v>4</v>
      </c>
      <c r="D843" s="39" t="s">
        <v>2122</v>
      </c>
    </row>
    <row r="844" spans="1:4" x14ac:dyDescent="0.25">
      <c r="A844" s="39" t="s">
        <v>1986</v>
      </c>
      <c r="B844" s="39" t="s">
        <v>2675</v>
      </c>
      <c r="C844" s="39">
        <v>4</v>
      </c>
      <c r="D844" s="39" t="s">
        <v>2122</v>
      </c>
    </row>
    <row r="845" spans="1:4" x14ac:dyDescent="0.25">
      <c r="A845" s="39" t="s">
        <v>4954</v>
      </c>
      <c r="B845" s="39" t="s">
        <v>4955</v>
      </c>
      <c r="C845" s="39">
        <v>4</v>
      </c>
      <c r="D845" s="39" t="s">
        <v>2122</v>
      </c>
    </row>
    <row r="846" spans="1:4" x14ac:dyDescent="0.25">
      <c r="A846" s="39" t="s">
        <v>1838</v>
      </c>
      <c r="B846" s="39" t="s">
        <v>419</v>
      </c>
      <c r="C846" s="39">
        <v>4</v>
      </c>
      <c r="D846" s="39" t="s">
        <v>2122</v>
      </c>
    </row>
    <row r="847" spans="1:4" x14ac:dyDescent="0.25">
      <c r="A847" s="39" t="s">
        <v>6879</v>
      </c>
      <c r="B847" s="39" t="s">
        <v>6880</v>
      </c>
      <c r="C847" s="39">
        <v>4</v>
      </c>
      <c r="D847" s="39" t="s">
        <v>2122</v>
      </c>
    </row>
    <row r="848" spans="1:4" x14ac:dyDescent="0.25">
      <c r="A848" s="39" t="s">
        <v>3405</v>
      </c>
      <c r="B848" s="39" t="s">
        <v>3692</v>
      </c>
      <c r="C848" s="39">
        <v>4</v>
      </c>
      <c r="D848" s="39" t="s">
        <v>2122</v>
      </c>
    </row>
    <row r="849" spans="1:4" x14ac:dyDescent="0.25">
      <c r="A849" s="39" t="s">
        <v>4956</v>
      </c>
      <c r="B849" s="39" t="s">
        <v>4957</v>
      </c>
      <c r="C849" s="39">
        <v>4</v>
      </c>
      <c r="D849" s="39" t="s">
        <v>2122</v>
      </c>
    </row>
    <row r="850" spans="1:4" x14ac:dyDescent="0.25">
      <c r="A850" s="39" t="s">
        <v>4958</v>
      </c>
      <c r="B850" s="39" t="s">
        <v>2932</v>
      </c>
      <c r="C850" s="39">
        <v>4</v>
      </c>
      <c r="D850" s="39" t="s">
        <v>2122</v>
      </c>
    </row>
    <row r="851" spans="1:4" x14ac:dyDescent="0.25">
      <c r="A851" s="39" t="s">
        <v>10548</v>
      </c>
      <c r="B851" s="39" t="s">
        <v>10549</v>
      </c>
      <c r="C851" s="39">
        <v>4</v>
      </c>
      <c r="D851" s="39" t="s">
        <v>2122</v>
      </c>
    </row>
    <row r="852" spans="1:4" x14ac:dyDescent="0.25">
      <c r="A852" s="39" t="s">
        <v>3407</v>
      </c>
      <c r="B852" s="39" t="s">
        <v>1947</v>
      </c>
      <c r="C852" s="39">
        <v>4</v>
      </c>
      <c r="D852" s="39" t="s">
        <v>2122</v>
      </c>
    </row>
    <row r="853" spans="1:4" x14ac:dyDescent="0.25">
      <c r="A853" s="39" t="s">
        <v>6881</v>
      </c>
      <c r="B853" s="39" t="s">
        <v>2561</v>
      </c>
      <c r="C853" s="39">
        <v>4</v>
      </c>
      <c r="D853" s="39" t="s">
        <v>2122</v>
      </c>
    </row>
    <row r="854" spans="1:4" x14ac:dyDescent="0.25">
      <c r="A854" s="39" t="s">
        <v>2508</v>
      </c>
      <c r="B854" s="39" t="s">
        <v>157</v>
      </c>
      <c r="C854" s="39">
        <v>4</v>
      </c>
      <c r="D854" s="39" t="s">
        <v>2122</v>
      </c>
    </row>
    <row r="855" spans="1:4" x14ac:dyDescent="0.25">
      <c r="A855" s="39" t="s">
        <v>6882</v>
      </c>
      <c r="B855" s="39" t="s">
        <v>3020</v>
      </c>
      <c r="C855" s="39">
        <v>4</v>
      </c>
      <c r="D855" s="39" t="s">
        <v>2122</v>
      </c>
    </row>
    <row r="856" spans="1:4" x14ac:dyDescent="0.25">
      <c r="A856" s="39" t="s">
        <v>6883</v>
      </c>
      <c r="B856" s="39" t="s">
        <v>6884</v>
      </c>
      <c r="C856" s="39">
        <v>4</v>
      </c>
      <c r="D856" s="39" t="s">
        <v>2122</v>
      </c>
    </row>
    <row r="857" spans="1:4" x14ac:dyDescent="0.25">
      <c r="A857" s="39" t="s">
        <v>4959</v>
      </c>
      <c r="B857" s="39" t="s">
        <v>4960</v>
      </c>
      <c r="C857" s="39">
        <v>4</v>
      </c>
      <c r="D857" s="39" t="s">
        <v>2122</v>
      </c>
    </row>
    <row r="858" spans="1:4" x14ac:dyDescent="0.25">
      <c r="A858" s="39" t="s">
        <v>10550</v>
      </c>
      <c r="B858" s="39" t="s">
        <v>10551</v>
      </c>
      <c r="C858" s="39">
        <v>4</v>
      </c>
      <c r="D858" s="39" t="s">
        <v>2122</v>
      </c>
    </row>
    <row r="859" spans="1:4" x14ac:dyDescent="0.25">
      <c r="A859" s="39" t="s">
        <v>3092</v>
      </c>
      <c r="B859" s="39" t="s">
        <v>1032</v>
      </c>
      <c r="C859" s="39">
        <v>4</v>
      </c>
      <c r="D859" s="39" t="s">
        <v>2122</v>
      </c>
    </row>
    <row r="860" spans="1:4" x14ac:dyDescent="0.25">
      <c r="A860" s="39" t="s">
        <v>2907</v>
      </c>
      <c r="B860" s="39" t="s">
        <v>1966</v>
      </c>
      <c r="C860" s="39">
        <v>4</v>
      </c>
      <c r="D860" s="39" t="s">
        <v>2122</v>
      </c>
    </row>
    <row r="861" spans="1:4" x14ac:dyDescent="0.25">
      <c r="A861" s="39" t="s">
        <v>6885</v>
      </c>
      <c r="B861" s="39" t="s">
        <v>6886</v>
      </c>
      <c r="C861" s="39">
        <v>4</v>
      </c>
      <c r="D861" s="39" t="s">
        <v>2122</v>
      </c>
    </row>
    <row r="862" spans="1:4" x14ac:dyDescent="0.25">
      <c r="A862" s="39" t="s">
        <v>6887</v>
      </c>
      <c r="B862" s="39" t="s">
        <v>6888</v>
      </c>
      <c r="C862" s="39">
        <v>4</v>
      </c>
      <c r="D862" s="39" t="s">
        <v>2122</v>
      </c>
    </row>
    <row r="863" spans="1:4" x14ac:dyDescent="0.25">
      <c r="A863" s="39" t="s">
        <v>6889</v>
      </c>
      <c r="B863" s="39" t="s">
        <v>6890</v>
      </c>
      <c r="C863" s="39">
        <v>4</v>
      </c>
      <c r="D863" s="39" t="s">
        <v>2122</v>
      </c>
    </row>
    <row r="864" spans="1:4" x14ac:dyDescent="0.25">
      <c r="A864" s="39" t="s">
        <v>3408</v>
      </c>
      <c r="B864" s="39" t="s">
        <v>3694</v>
      </c>
      <c r="C864" s="39">
        <v>4</v>
      </c>
      <c r="D864" s="39" t="s">
        <v>2122</v>
      </c>
    </row>
    <row r="865" spans="1:4" x14ac:dyDescent="0.25">
      <c r="A865" s="39" t="s">
        <v>635</v>
      </c>
      <c r="B865" s="39" t="s">
        <v>1319</v>
      </c>
      <c r="C865" s="39">
        <v>4</v>
      </c>
      <c r="D865" s="39" t="s">
        <v>2122</v>
      </c>
    </row>
    <row r="866" spans="1:4" x14ac:dyDescent="0.25">
      <c r="A866" s="39" t="s">
        <v>1080</v>
      </c>
      <c r="B866" s="39" t="s">
        <v>1198</v>
      </c>
      <c r="C866" s="39">
        <v>4</v>
      </c>
      <c r="D866" s="39" t="s">
        <v>2122</v>
      </c>
    </row>
    <row r="867" spans="1:4" x14ac:dyDescent="0.25">
      <c r="A867" s="39" t="s">
        <v>3133</v>
      </c>
      <c r="B867" s="39" t="s">
        <v>55</v>
      </c>
      <c r="C867" s="39">
        <v>4</v>
      </c>
      <c r="D867" s="39" t="s">
        <v>2122</v>
      </c>
    </row>
    <row r="868" spans="1:4" x14ac:dyDescent="0.25">
      <c r="A868" s="39" t="s">
        <v>3134</v>
      </c>
      <c r="B868" s="39" t="s">
        <v>3135</v>
      </c>
      <c r="C868" s="39">
        <v>4</v>
      </c>
      <c r="D868" s="39" t="s">
        <v>2122</v>
      </c>
    </row>
    <row r="869" spans="1:4" x14ac:dyDescent="0.25">
      <c r="A869" s="39" t="s">
        <v>3409</v>
      </c>
      <c r="B869" s="39" t="s">
        <v>3695</v>
      </c>
      <c r="C869" s="39">
        <v>4</v>
      </c>
      <c r="D869" s="39" t="s">
        <v>2122</v>
      </c>
    </row>
    <row r="870" spans="1:4" x14ac:dyDescent="0.25">
      <c r="A870" s="39" t="s">
        <v>1818</v>
      </c>
      <c r="B870" s="39" t="s">
        <v>837</v>
      </c>
      <c r="C870" s="39">
        <v>4</v>
      </c>
      <c r="D870" s="39" t="s">
        <v>2122</v>
      </c>
    </row>
    <row r="871" spans="1:4" x14ac:dyDescent="0.25">
      <c r="A871" s="39" t="s">
        <v>4961</v>
      </c>
      <c r="B871" s="39" t="s">
        <v>2380</v>
      </c>
      <c r="C871" s="39">
        <v>4</v>
      </c>
      <c r="D871" s="39" t="s">
        <v>2122</v>
      </c>
    </row>
    <row r="872" spans="1:4" x14ac:dyDescent="0.25">
      <c r="A872" s="39" t="s">
        <v>10552</v>
      </c>
      <c r="B872" s="39" t="s">
        <v>10553</v>
      </c>
      <c r="C872" s="39">
        <v>4</v>
      </c>
      <c r="D872" s="39" t="s">
        <v>2122</v>
      </c>
    </row>
    <row r="873" spans="1:4" x14ac:dyDescent="0.25">
      <c r="A873" s="39" t="s">
        <v>6891</v>
      </c>
      <c r="B873" s="39" t="s">
        <v>4169</v>
      </c>
      <c r="C873" s="39">
        <v>4</v>
      </c>
      <c r="D873" s="39" t="s">
        <v>2122</v>
      </c>
    </row>
    <row r="874" spans="1:4" x14ac:dyDescent="0.25">
      <c r="A874" s="39" t="s">
        <v>6892</v>
      </c>
      <c r="B874" s="39" t="s">
        <v>6893</v>
      </c>
      <c r="C874" s="39">
        <v>4</v>
      </c>
      <c r="D874" s="39" t="s">
        <v>2122</v>
      </c>
    </row>
    <row r="875" spans="1:4" x14ac:dyDescent="0.25">
      <c r="A875" s="39" t="s">
        <v>4962</v>
      </c>
      <c r="B875" s="39" t="s">
        <v>2487</v>
      </c>
      <c r="C875" s="39">
        <v>4</v>
      </c>
      <c r="D875" s="39" t="s">
        <v>2122</v>
      </c>
    </row>
    <row r="876" spans="1:4" x14ac:dyDescent="0.25">
      <c r="A876" s="39" t="s">
        <v>10554</v>
      </c>
      <c r="B876" s="39" t="s">
        <v>10555</v>
      </c>
      <c r="C876" s="39">
        <v>4</v>
      </c>
      <c r="D876" s="39" t="s">
        <v>2122</v>
      </c>
    </row>
    <row r="877" spans="1:4" x14ac:dyDescent="0.25">
      <c r="A877" s="39" t="s">
        <v>4963</v>
      </c>
      <c r="B877" s="39" t="s">
        <v>52</v>
      </c>
      <c r="C877" s="39">
        <v>4</v>
      </c>
      <c r="D877" s="39" t="s">
        <v>2122</v>
      </c>
    </row>
    <row r="878" spans="1:4" x14ac:dyDescent="0.25">
      <c r="A878" s="39" t="s">
        <v>10556</v>
      </c>
      <c r="B878" s="39" t="s">
        <v>10557</v>
      </c>
      <c r="C878" s="39">
        <v>4</v>
      </c>
      <c r="D878" s="39" t="s">
        <v>2122</v>
      </c>
    </row>
    <row r="879" spans="1:4" x14ac:dyDescent="0.25">
      <c r="A879" s="39" t="s">
        <v>10558</v>
      </c>
      <c r="B879" s="39" t="s">
        <v>10559</v>
      </c>
      <c r="C879" s="39">
        <v>4</v>
      </c>
      <c r="D879" s="39" t="s">
        <v>2122</v>
      </c>
    </row>
    <row r="880" spans="1:4" x14ac:dyDescent="0.25">
      <c r="A880" s="39" t="s">
        <v>6894</v>
      </c>
      <c r="B880" s="39" t="s">
        <v>6895</v>
      </c>
      <c r="C880" s="39">
        <v>4</v>
      </c>
      <c r="D880" s="39" t="s">
        <v>2122</v>
      </c>
    </row>
    <row r="881" spans="1:4" x14ac:dyDescent="0.25">
      <c r="A881" s="39" t="s">
        <v>4964</v>
      </c>
      <c r="B881" s="39" t="s">
        <v>4965</v>
      </c>
      <c r="C881" s="39">
        <v>4</v>
      </c>
      <c r="D881" s="39" t="s">
        <v>2122</v>
      </c>
    </row>
    <row r="882" spans="1:4" x14ac:dyDescent="0.25">
      <c r="A882" s="39" t="s">
        <v>6896</v>
      </c>
      <c r="B882" s="39" t="s">
        <v>6897</v>
      </c>
      <c r="C882" s="39">
        <v>4</v>
      </c>
      <c r="D882" s="39" t="s">
        <v>2122</v>
      </c>
    </row>
    <row r="883" spans="1:4" x14ac:dyDescent="0.25">
      <c r="A883" s="39" t="s">
        <v>6898</v>
      </c>
      <c r="B883" s="39" t="s">
        <v>4098</v>
      </c>
      <c r="C883" s="39">
        <v>4</v>
      </c>
      <c r="D883" s="39" t="s">
        <v>2122</v>
      </c>
    </row>
    <row r="884" spans="1:4" x14ac:dyDescent="0.25">
      <c r="A884" s="39" t="s">
        <v>6899</v>
      </c>
      <c r="B884" s="39" t="s">
        <v>6900</v>
      </c>
      <c r="C884" s="39">
        <v>4</v>
      </c>
      <c r="D884" s="39" t="s">
        <v>2122</v>
      </c>
    </row>
    <row r="885" spans="1:4" x14ac:dyDescent="0.25">
      <c r="A885" s="39" t="s">
        <v>6901</v>
      </c>
      <c r="B885" s="39" t="s">
        <v>4797</v>
      </c>
      <c r="C885" s="39">
        <v>4</v>
      </c>
      <c r="D885" s="39" t="s">
        <v>2122</v>
      </c>
    </row>
    <row r="886" spans="1:4" x14ac:dyDescent="0.25">
      <c r="A886" s="39" t="s">
        <v>1404</v>
      </c>
      <c r="B886" s="39" t="s">
        <v>1339</v>
      </c>
      <c r="C886" s="39">
        <v>4</v>
      </c>
      <c r="D886" s="39" t="s">
        <v>2122</v>
      </c>
    </row>
    <row r="887" spans="1:4" x14ac:dyDescent="0.25">
      <c r="A887" s="39" t="s">
        <v>10560</v>
      </c>
      <c r="B887" s="39" t="s">
        <v>10561</v>
      </c>
      <c r="C887" s="39">
        <v>4</v>
      </c>
      <c r="D887" s="39" t="s">
        <v>2122</v>
      </c>
    </row>
    <row r="888" spans="1:4" x14ac:dyDescent="0.25">
      <c r="A888" s="39" t="s">
        <v>1342</v>
      </c>
      <c r="B888" s="39" t="s">
        <v>523</v>
      </c>
      <c r="C888" s="39">
        <v>4</v>
      </c>
      <c r="D888" s="39" t="s">
        <v>2122</v>
      </c>
    </row>
    <row r="889" spans="1:4" x14ac:dyDescent="0.25">
      <c r="A889" s="39" t="s">
        <v>3410</v>
      </c>
      <c r="B889" s="39" t="s">
        <v>1482</v>
      </c>
      <c r="C889" s="39">
        <v>4</v>
      </c>
      <c r="D889" s="39" t="s">
        <v>2122</v>
      </c>
    </row>
    <row r="890" spans="1:4" x14ac:dyDescent="0.25">
      <c r="A890" s="39" t="s">
        <v>10562</v>
      </c>
      <c r="B890" s="39" t="s">
        <v>10563</v>
      </c>
      <c r="C890" s="39">
        <v>4</v>
      </c>
      <c r="D890" s="39" t="s">
        <v>2122</v>
      </c>
    </row>
    <row r="891" spans="1:4" x14ac:dyDescent="0.25">
      <c r="A891" s="39" t="s">
        <v>3411</v>
      </c>
      <c r="B891" s="39" t="s">
        <v>3696</v>
      </c>
      <c r="C891" s="39">
        <v>4</v>
      </c>
      <c r="D891" s="39" t="s">
        <v>2122</v>
      </c>
    </row>
    <row r="892" spans="1:4" x14ac:dyDescent="0.25">
      <c r="A892" s="39" t="s">
        <v>4966</v>
      </c>
      <c r="B892" s="39" t="s">
        <v>4967</v>
      </c>
      <c r="C892" s="39">
        <v>4</v>
      </c>
      <c r="D892" s="39" t="s">
        <v>2122</v>
      </c>
    </row>
    <row r="893" spans="1:4" x14ac:dyDescent="0.25">
      <c r="A893" s="39" t="s">
        <v>6902</v>
      </c>
      <c r="B893" s="39" t="s">
        <v>6903</v>
      </c>
      <c r="C893" s="39">
        <v>4</v>
      </c>
      <c r="D893" s="39" t="s">
        <v>2122</v>
      </c>
    </row>
    <row r="894" spans="1:4" x14ac:dyDescent="0.25">
      <c r="A894" s="39" t="s">
        <v>2176</v>
      </c>
      <c r="B894" s="39" t="s">
        <v>2177</v>
      </c>
      <c r="C894" s="39">
        <v>4</v>
      </c>
      <c r="D894" s="39" t="s">
        <v>2122</v>
      </c>
    </row>
    <row r="895" spans="1:4" x14ac:dyDescent="0.25">
      <c r="A895" s="39" t="s">
        <v>6904</v>
      </c>
      <c r="B895" s="39" t="s">
        <v>6905</v>
      </c>
      <c r="C895" s="39">
        <v>4</v>
      </c>
      <c r="D895" s="39" t="s">
        <v>2122</v>
      </c>
    </row>
    <row r="896" spans="1:4" x14ac:dyDescent="0.25">
      <c r="A896" s="39" t="s">
        <v>10564</v>
      </c>
      <c r="B896" s="39" t="s">
        <v>4038</v>
      </c>
      <c r="C896" s="39">
        <v>4</v>
      </c>
      <c r="D896" s="39" t="s">
        <v>2122</v>
      </c>
    </row>
    <row r="897" spans="1:4" x14ac:dyDescent="0.25">
      <c r="A897" s="39" t="s">
        <v>4968</v>
      </c>
      <c r="B897" s="39" t="s">
        <v>4168</v>
      </c>
      <c r="C897" s="39">
        <v>4</v>
      </c>
      <c r="D897" s="39" t="s">
        <v>2122</v>
      </c>
    </row>
    <row r="898" spans="1:4" x14ac:dyDescent="0.25">
      <c r="A898" s="39" t="s">
        <v>10565</v>
      </c>
      <c r="B898" s="39" t="s">
        <v>10566</v>
      </c>
      <c r="C898" s="39">
        <v>4</v>
      </c>
      <c r="D898" s="39" t="s">
        <v>2122</v>
      </c>
    </row>
    <row r="899" spans="1:4" x14ac:dyDescent="0.25">
      <c r="A899" s="39" t="s">
        <v>4969</v>
      </c>
      <c r="B899" s="39" t="s">
        <v>2885</v>
      </c>
      <c r="C899" s="39">
        <v>4</v>
      </c>
      <c r="D899" s="39" t="s">
        <v>2122</v>
      </c>
    </row>
    <row r="900" spans="1:4" x14ac:dyDescent="0.25">
      <c r="A900" s="39" t="s">
        <v>4970</v>
      </c>
      <c r="B900" s="39" t="s">
        <v>4971</v>
      </c>
      <c r="C900" s="39">
        <v>4</v>
      </c>
      <c r="D900" s="39" t="s">
        <v>2122</v>
      </c>
    </row>
    <row r="901" spans="1:4" x14ac:dyDescent="0.25">
      <c r="A901" s="39" t="s">
        <v>1497</v>
      </c>
      <c r="B901" s="39" t="s">
        <v>1442</v>
      </c>
      <c r="C901" s="39">
        <v>4</v>
      </c>
      <c r="D901" s="39" t="s">
        <v>2122</v>
      </c>
    </row>
    <row r="902" spans="1:4" x14ac:dyDescent="0.25">
      <c r="A902" s="39" t="s">
        <v>1502</v>
      </c>
      <c r="B902" s="39" t="s">
        <v>2382</v>
      </c>
      <c r="C902" s="39">
        <v>4</v>
      </c>
      <c r="D902" s="39" t="s">
        <v>2122</v>
      </c>
    </row>
    <row r="903" spans="1:4" x14ac:dyDescent="0.25">
      <c r="A903" s="39" t="s">
        <v>10567</v>
      </c>
      <c r="B903" s="39" t="s">
        <v>5973</v>
      </c>
      <c r="C903" s="39">
        <v>4</v>
      </c>
      <c r="D903" s="39" t="s">
        <v>2122</v>
      </c>
    </row>
    <row r="904" spans="1:4" x14ac:dyDescent="0.25">
      <c r="A904" s="39" t="s">
        <v>4972</v>
      </c>
      <c r="B904" s="39" t="s">
        <v>2943</v>
      </c>
      <c r="C904" s="39">
        <v>4</v>
      </c>
      <c r="D904" s="39" t="s">
        <v>2122</v>
      </c>
    </row>
    <row r="905" spans="1:4" x14ac:dyDescent="0.25">
      <c r="A905" s="39" t="s">
        <v>4973</v>
      </c>
      <c r="B905" s="39" t="s">
        <v>4974</v>
      </c>
      <c r="C905" s="39">
        <v>4</v>
      </c>
      <c r="D905" s="39" t="s">
        <v>2122</v>
      </c>
    </row>
    <row r="906" spans="1:4" x14ac:dyDescent="0.25">
      <c r="A906" s="39" t="s">
        <v>1551</v>
      </c>
      <c r="B906" s="39" t="s">
        <v>2571</v>
      </c>
      <c r="C906" s="39">
        <v>4</v>
      </c>
      <c r="D906" s="39" t="s">
        <v>2122</v>
      </c>
    </row>
    <row r="907" spans="1:4" x14ac:dyDescent="0.25">
      <c r="A907" s="39" t="s">
        <v>10568</v>
      </c>
      <c r="B907" s="39" t="s">
        <v>4050</v>
      </c>
      <c r="C907" s="39">
        <v>4</v>
      </c>
      <c r="D907" s="39" t="s">
        <v>2122</v>
      </c>
    </row>
    <row r="908" spans="1:4" x14ac:dyDescent="0.25">
      <c r="A908" s="39" t="s">
        <v>6906</v>
      </c>
      <c r="B908" s="39" t="s">
        <v>6907</v>
      </c>
      <c r="C908" s="39">
        <v>4</v>
      </c>
      <c r="D908" s="39" t="s">
        <v>2122</v>
      </c>
    </row>
    <row r="909" spans="1:4" x14ac:dyDescent="0.25">
      <c r="A909" s="39" t="s">
        <v>4975</v>
      </c>
      <c r="B909" s="39" t="s">
        <v>2499</v>
      </c>
      <c r="C909" s="39">
        <v>4</v>
      </c>
      <c r="D909" s="39" t="s">
        <v>2122</v>
      </c>
    </row>
    <row r="910" spans="1:4" x14ac:dyDescent="0.25">
      <c r="A910" s="39" t="s">
        <v>6908</v>
      </c>
      <c r="B910" s="39" t="s">
        <v>4102</v>
      </c>
      <c r="C910" s="39">
        <v>4</v>
      </c>
      <c r="D910" s="39" t="s">
        <v>2122</v>
      </c>
    </row>
    <row r="911" spans="1:4" x14ac:dyDescent="0.25">
      <c r="A911" s="39" t="s">
        <v>10569</v>
      </c>
      <c r="B911" s="39" t="s">
        <v>4710</v>
      </c>
      <c r="C911" s="39">
        <v>4</v>
      </c>
      <c r="D911" s="39" t="s">
        <v>2122</v>
      </c>
    </row>
    <row r="912" spans="1:4" x14ac:dyDescent="0.25">
      <c r="A912" s="39" t="s">
        <v>6909</v>
      </c>
      <c r="B912" s="39" t="s">
        <v>6910</v>
      </c>
      <c r="C912" s="39">
        <v>4</v>
      </c>
      <c r="D912" s="39" t="s">
        <v>2122</v>
      </c>
    </row>
    <row r="913" spans="1:4" x14ac:dyDescent="0.25">
      <c r="A913" s="39" t="s">
        <v>6911</v>
      </c>
      <c r="B913" s="39" t="s">
        <v>6912</v>
      </c>
      <c r="C913" s="39">
        <v>4</v>
      </c>
      <c r="D913" s="39" t="s">
        <v>2122</v>
      </c>
    </row>
    <row r="914" spans="1:4" x14ac:dyDescent="0.25">
      <c r="A914" s="39" t="s">
        <v>4976</v>
      </c>
      <c r="B914" s="39" t="s">
        <v>2894</v>
      </c>
      <c r="C914" s="39">
        <v>4</v>
      </c>
      <c r="D914" s="39" t="s">
        <v>2122</v>
      </c>
    </row>
    <row r="915" spans="1:4" x14ac:dyDescent="0.25">
      <c r="A915" s="39" t="s">
        <v>3412</v>
      </c>
      <c r="B915" s="39" t="s">
        <v>3697</v>
      </c>
      <c r="C915" s="39">
        <v>4</v>
      </c>
      <c r="D915" s="39" t="s">
        <v>2122</v>
      </c>
    </row>
    <row r="916" spans="1:4" x14ac:dyDescent="0.25">
      <c r="A916" s="39" t="s">
        <v>1592</v>
      </c>
      <c r="B916" s="39" t="s">
        <v>1021</v>
      </c>
      <c r="C916" s="39">
        <v>4</v>
      </c>
      <c r="D916" s="39" t="s">
        <v>2122</v>
      </c>
    </row>
    <row r="917" spans="1:4" x14ac:dyDescent="0.25">
      <c r="A917" s="39" t="s">
        <v>10570</v>
      </c>
      <c r="B917" s="39" t="s">
        <v>6118</v>
      </c>
      <c r="C917" s="39">
        <v>4</v>
      </c>
      <c r="D917" s="39" t="s">
        <v>2122</v>
      </c>
    </row>
    <row r="918" spans="1:4" x14ac:dyDescent="0.25">
      <c r="A918" s="39" t="s">
        <v>6913</v>
      </c>
      <c r="B918" s="39" t="s">
        <v>6914</v>
      </c>
      <c r="C918" s="39">
        <v>4</v>
      </c>
      <c r="D918" s="39" t="s">
        <v>2122</v>
      </c>
    </row>
    <row r="919" spans="1:4" x14ac:dyDescent="0.25">
      <c r="A919" s="39" t="s">
        <v>4979</v>
      </c>
      <c r="B919" s="39" t="s">
        <v>4980</v>
      </c>
      <c r="C919" s="39">
        <v>4</v>
      </c>
      <c r="D919" s="39" t="s">
        <v>2122</v>
      </c>
    </row>
    <row r="920" spans="1:4" x14ac:dyDescent="0.25">
      <c r="A920" s="39" t="s">
        <v>1821</v>
      </c>
      <c r="B920" s="39" t="s">
        <v>1321</v>
      </c>
      <c r="C920" s="39">
        <v>4</v>
      </c>
      <c r="D920" s="39" t="s">
        <v>2122</v>
      </c>
    </row>
    <row r="921" spans="1:4" x14ac:dyDescent="0.25">
      <c r="A921" s="39" t="s">
        <v>2916</v>
      </c>
      <c r="B921" s="39" t="s">
        <v>3136</v>
      </c>
      <c r="C921" s="39">
        <v>4</v>
      </c>
      <c r="D921" s="39" t="s">
        <v>2122</v>
      </c>
    </row>
    <row r="922" spans="1:4" x14ac:dyDescent="0.25">
      <c r="A922" s="39" t="s">
        <v>6915</v>
      </c>
      <c r="B922" s="39" t="s">
        <v>4068</v>
      </c>
      <c r="C922" s="39">
        <v>4</v>
      </c>
      <c r="D922" s="39" t="s">
        <v>2122</v>
      </c>
    </row>
    <row r="923" spans="1:4" x14ac:dyDescent="0.25">
      <c r="A923" s="39" t="s">
        <v>4981</v>
      </c>
      <c r="B923" s="39" t="s">
        <v>2687</v>
      </c>
      <c r="C923" s="39">
        <v>4</v>
      </c>
      <c r="D923" s="39" t="s">
        <v>2122</v>
      </c>
    </row>
    <row r="924" spans="1:4" x14ac:dyDescent="0.25">
      <c r="A924" s="39" t="s">
        <v>4982</v>
      </c>
      <c r="B924" s="39" t="s">
        <v>4983</v>
      </c>
      <c r="C924" s="39">
        <v>4</v>
      </c>
      <c r="D924" s="39" t="s">
        <v>2122</v>
      </c>
    </row>
    <row r="925" spans="1:4" x14ac:dyDescent="0.25">
      <c r="A925" s="39" t="s">
        <v>4984</v>
      </c>
      <c r="B925" s="39" t="s">
        <v>4001</v>
      </c>
      <c r="C925" s="39">
        <v>4</v>
      </c>
      <c r="D925" s="39" t="s">
        <v>2122</v>
      </c>
    </row>
    <row r="926" spans="1:4" x14ac:dyDescent="0.25">
      <c r="A926" s="39" t="s">
        <v>4985</v>
      </c>
      <c r="B926" s="39" t="s">
        <v>2906</v>
      </c>
      <c r="C926" s="39">
        <v>4</v>
      </c>
      <c r="D926" s="39" t="s">
        <v>2122</v>
      </c>
    </row>
    <row r="927" spans="1:4" x14ac:dyDescent="0.25">
      <c r="A927" s="39" t="s">
        <v>1109</v>
      </c>
      <c r="B927" s="39" t="s">
        <v>2996</v>
      </c>
      <c r="C927" s="39">
        <v>4</v>
      </c>
      <c r="D927" s="39" t="s">
        <v>2122</v>
      </c>
    </row>
    <row r="928" spans="1:4" x14ac:dyDescent="0.25">
      <c r="A928" s="39" t="s">
        <v>4986</v>
      </c>
      <c r="B928" s="39" t="s">
        <v>4987</v>
      </c>
      <c r="C928" s="39">
        <v>4</v>
      </c>
      <c r="D928" s="39" t="s">
        <v>2122</v>
      </c>
    </row>
    <row r="929" spans="1:4" x14ac:dyDescent="0.25">
      <c r="A929" s="39" t="s">
        <v>1825</v>
      </c>
      <c r="B929" s="39" t="s">
        <v>1826</v>
      </c>
      <c r="C929" s="39">
        <v>4</v>
      </c>
      <c r="D929" s="39" t="s">
        <v>2122</v>
      </c>
    </row>
    <row r="930" spans="1:4" x14ac:dyDescent="0.25">
      <c r="A930" s="39" t="s">
        <v>10571</v>
      </c>
      <c r="B930" s="39" t="s">
        <v>10572</v>
      </c>
      <c r="C930" s="39">
        <v>4</v>
      </c>
      <c r="D930" s="39" t="s">
        <v>2122</v>
      </c>
    </row>
    <row r="931" spans="1:4" x14ac:dyDescent="0.25">
      <c r="A931" s="39" t="s">
        <v>10573</v>
      </c>
      <c r="B931" s="39" t="s">
        <v>5938</v>
      </c>
      <c r="C931" s="39">
        <v>4</v>
      </c>
      <c r="D931" s="39" t="s">
        <v>2122</v>
      </c>
    </row>
    <row r="932" spans="1:4" x14ac:dyDescent="0.25">
      <c r="A932" s="39" t="s">
        <v>10574</v>
      </c>
      <c r="B932" s="39" t="s">
        <v>10575</v>
      </c>
      <c r="C932" s="39">
        <v>4</v>
      </c>
      <c r="D932" s="39" t="s">
        <v>2122</v>
      </c>
    </row>
    <row r="933" spans="1:4" x14ac:dyDescent="0.25">
      <c r="A933" s="39" t="s">
        <v>1897</v>
      </c>
      <c r="B933" s="39" t="s">
        <v>2629</v>
      </c>
      <c r="C933" s="39">
        <v>4</v>
      </c>
      <c r="D933" s="39" t="s">
        <v>2122</v>
      </c>
    </row>
    <row r="934" spans="1:4" x14ac:dyDescent="0.25">
      <c r="A934" s="39" t="s">
        <v>3137</v>
      </c>
      <c r="B934" s="39" t="s">
        <v>3138</v>
      </c>
      <c r="C934" s="39">
        <v>4</v>
      </c>
      <c r="D934" s="39" t="s">
        <v>2122</v>
      </c>
    </row>
    <row r="935" spans="1:4" x14ac:dyDescent="0.25">
      <c r="A935" s="39" t="s">
        <v>10576</v>
      </c>
      <c r="B935" s="39" t="s">
        <v>10577</v>
      </c>
      <c r="C935" s="39">
        <v>4</v>
      </c>
      <c r="D935" s="39" t="s">
        <v>2122</v>
      </c>
    </row>
    <row r="936" spans="1:4" x14ac:dyDescent="0.25">
      <c r="A936" s="39" t="s">
        <v>6916</v>
      </c>
      <c r="B936" s="39" t="s">
        <v>6917</v>
      </c>
      <c r="C936" s="39">
        <v>4</v>
      </c>
      <c r="D936" s="39" t="s">
        <v>2122</v>
      </c>
    </row>
    <row r="937" spans="1:4" x14ac:dyDescent="0.25">
      <c r="A937" s="39" t="s">
        <v>4988</v>
      </c>
      <c r="B937" s="39" t="s">
        <v>2949</v>
      </c>
      <c r="C937" s="39">
        <v>4</v>
      </c>
      <c r="D937" s="39" t="s">
        <v>2122</v>
      </c>
    </row>
    <row r="938" spans="1:4" x14ac:dyDescent="0.25">
      <c r="A938" s="39" t="s">
        <v>10578</v>
      </c>
      <c r="B938" s="39" t="s">
        <v>5807</v>
      </c>
      <c r="C938" s="39">
        <v>4</v>
      </c>
      <c r="D938" s="39" t="s">
        <v>2122</v>
      </c>
    </row>
    <row r="939" spans="1:4" x14ac:dyDescent="0.25">
      <c r="A939" s="39" t="s">
        <v>10579</v>
      </c>
      <c r="B939" s="39" t="s">
        <v>3986</v>
      </c>
      <c r="C939" s="39">
        <v>4</v>
      </c>
      <c r="D939" s="39" t="s">
        <v>2122</v>
      </c>
    </row>
    <row r="940" spans="1:4" x14ac:dyDescent="0.25">
      <c r="A940" s="39" t="s">
        <v>2179</v>
      </c>
      <c r="B940" s="39" t="s">
        <v>2180</v>
      </c>
      <c r="C940" s="39">
        <v>4</v>
      </c>
      <c r="D940" s="39" t="s">
        <v>2122</v>
      </c>
    </row>
    <row r="941" spans="1:4" x14ac:dyDescent="0.25">
      <c r="A941" s="39" t="s">
        <v>4989</v>
      </c>
      <c r="B941" s="39" t="s">
        <v>4990</v>
      </c>
      <c r="C941" s="39">
        <v>4</v>
      </c>
      <c r="D941" s="39" t="s">
        <v>2122</v>
      </c>
    </row>
    <row r="942" spans="1:4" x14ac:dyDescent="0.25">
      <c r="A942" s="39" t="s">
        <v>3415</v>
      </c>
      <c r="B942" s="39" t="s">
        <v>3700</v>
      </c>
      <c r="C942" s="39">
        <v>4</v>
      </c>
      <c r="D942" s="39" t="s">
        <v>2122</v>
      </c>
    </row>
    <row r="943" spans="1:4" x14ac:dyDescent="0.25">
      <c r="A943" s="39" t="s">
        <v>1827</v>
      </c>
      <c r="B943" s="39" t="s">
        <v>299</v>
      </c>
      <c r="C943" s="39">
        <v>4</v>
      </c>
      <c r="D943" s="39" t="s">
        <v>2122</v>
      </c>
    </row>
    <row r="944" spans="1:4" x14ac:dyDescent="0.25">
      <c r="A944" s="39" t="s">
        <v>10580</v>
      </c>
      <c r="B944" s="39" t="s">
        <v>4364</v>
      </c>
      <c r="C944" s="39">
        <v>4</v>
      </c>
      <c r="D944" s="39" t="s">
        <v>2122</v>
      </c>
    </row>
    <row r="945" spans="1:4" x14ac:dyDescent="0.25">
      <c r="A945" s="39" t="s">
        <v>4991</v>
      </c>
      <c r="B945" s="39" t="s">
        <v>2892</v>
      </c>
      <c r="C945" s="39">
        <v>4</v>
      </c>
      <c r="D945" s="39" t="s">
        <v>2122</v>
      </c>
    </row>
    <row r="946" spans="1:4" x14ac:dyDescent="0.25">
      <c r="A946" s="39" t="s">
        <v>3416</v>
      </c>
      <c r="B946" s="39" t="s">
        <v>3701</v>
      </c>
      <c r="C946" s="39">
        <v>4</v>
      </c>
      <c r="D946" s="39" t="s">
        <v>2122</v>
      </c>
    </row>
    <row r="947" spans="1:4" x14ac:dyDescent="0.25">
      <c r="A947" s="39" t="s">
        <v>3417</v>
      </c>
      <c r="B947" s="39" t="s">
        <v>3702</v>
      </c>
      <c r="C947" s="39">
        <v>4</v>
      </c>
      <c r="D947" s="39" t="s">
        <v>2122</v>
      </c>
    </row>
    <row r="948" spans="1:4" x14ac:dyDescent="0.25">
      <c r="A948" s="39" t="s">
        <v>4992</v>
      </c>
      <c r="B948" s="39" t="s">
        <v>2639</v>
      </c>
      <c r="C948" s="39">
        <v>4</v>
      </c>
      <c r="D948" s="39" t="s">
        <v>2122</v>
      </c>
    </row>
    <row r="949" spans="1:4" x14ac:dyDescent="0.25">
      <c r="A949" s="39" t="s">
        <v>417</v>
      </c>
      <c r="B949" s="39" t="s">
        <v>1196</v>
      </c>
      <c r="C949" s="39">
        <v>4</v>
      </c>
      <c r="D949" s="39" t="s">
        <v>2122</v>
      </c>
    </row>
    <row r="950" spans="1:4" x14ac:dyDescent="0.25">
      <c r="A950" s="39" t="s">
        <v>10581</v>
      </c>
      <c r="B950" s="39" t="s">
        <v>4014</v>
      </c>
      <c r="C950" s="39">
        <v>4</v>
      </c>
      <c r="D950" s="39" t="s">
        <v>2122</v>
      </c>
    </row>
    <row r="951" spans="1:4" x14ac:dyDescent="0.25">
      <c r="A951" s="39" t="s">
        <v>2682</v>
      </c>
      <c r="B951" s="39" t="s">
        <v>2683</v>
      </c>
      <c r="C951" s="39">
        <v>4</v>
      </c>
      <c r="D951" s="39" t="s">
        <v>2122</v>
      </c>
    </row>
    <row r="952" spans="1:4" x14ac:dyDescent="0.25">
      <c r="A952" s="39" t="s">
        <v>2184</v>
      </c>
      <c r="B952" s="39" t="s">
        <v>2186</v>
      </c>
      <c r="C952" s="39">
        <v>4</v>
      </c>
      <c r="D952" s="39" t="s">
        <v>2122</v>
      </c>
    </row>
    <row r="953" spans="1:4" x14ac:dyDescent="0.25">
      <c r="A953" s="39" t="s">
        <v>6918</v>
      </c>
      <c r="B953" s="39" t="s">
        <v>2912</v>
      </c>
      <c r="C953" s="39">
        <v>4</v>
      </c>
      <c r="D953" s="39" t="s">
        <v>2122</v>
      </c>
    </row>
    <row r="954" spans="1:4" x14ac:dyDescent="0.25">
      <c r="A954" s="39" t="s">
        <v>818</v>
      </c>
      <c r="B954" s="39" t="s">
        <v>2338</v>
      </c>
      <c r="C954" s="39">
        <v>4</v>
      </c>
      <c r="D954" s="39" t="s">
        <v>2122</v>
      </c>
    </row>
    <row r="955" spans="1:4" x14ac:dyDescent="0.25">
      <c r="A955" s="39" t="s">
        <v>97</v>
      </c>
      <c r="B955" s="39" t="s">
        <v>1122</v>
      </c>
      <c r="C955" s="39">
        <v>4</v>
      </c>
      <c r="D955" s="39" t="s">
        <v>2122</v>
      </c>
    </row>
    <row r="956" spans="1:4" x14ac:dyDescent="0.25">
      <c r="A956" s="39" t="s">
        <v>6919</v>
      </c>
      <c r="B956" s="39" t="s">
        <v>3885</v>
      </c>
      <c r="C956" s="39">
        <v>4</v>
      </c>
      <c r="D956" s="39" t="s">
        <v>2122</v>
      </c>
    </row>
    <row r="957" spans="1:4" x14ac:dyDescent="0.25">
      <c r="A957" s="39" t="s">
        <v>4993</v>
      </c>
      <c r="B957" s="39" t="s">
        <v>2616</v>
      </c>
      <c r="C957" s="39">
        <v>4</v>
      </c>
      <c r="D957" s="39" t="s">
        <v>2122</v>
      </c>
    </row>
    <row r="958" spans="1:4" x14ac:dyDescent="0.25">
      <c r="A958" s="39" t="s">
        <v>10582</v>
      </c>
      <c r="B958" s="39" t="s">
        <v>10583</v>
      </c>
      <c r="C958" s="39">
        <v>4</v>
      </c>
      <c r="D958" s="39" t="s">
        <v>2122</v>
      </c>
    </row>
    <row r="959" spans="1:4" x14ac:dyDescent="0.25">
      <c r="A959" s="39" t="s">
        <v>6920</v>
      </c>
      <c r="B959" s="39" t="s">
        <v>4775</v>
      </c>
      <c r="C959" s="39">
        <v>4</v>
      </c>
      <c r="D959" s="39" t="s">
        <v>2122</v>
      </c>
    </row>
    <row r="960" spans="1:4" x14ac:dyDescent="0.25">
      <c r="A960" s="39" t="s">
        <v>2187</v>
      </c>
      <c r="B960" s="39" t="s">
        <v>3139</v>
      </c>
      <c r="C960" s="39">
        <v>4</v>
      </c>
      <c r="D960" s="39" t="s">
        <v>2122</v>
      </c>
    </row>
    <row r="961" spans="1:4" x14ac:dyDescent="0.25">
      <c r="A961" s="39" t="s">
        <v>10584</v>
      </c>
      <c r="B961" s="39" t="s">
        <v>4636</v>
      </c>
      <c r="C961" s="39">
        <v>4</v>
      </c>
      <c r="D961" s="39" t="s">
        <v>2122</v>
      </c>
    </row>
    <row r="962" spans="1:4" x14ac:dyDescent="0.25">
      <c r="A962" s="39" t="s">
        <v>6921</v>
      </c>
      <c r="B962" s="39" t="s">
        <v>6922</v>
      </c>
      <c r="C962" s="39">
        <v>4</v>
      </c>
      <c r="D962" s="39" t="s">
        <v>2122</v>
      </c>
    </row>
    <row r="963" spans="1:4" x14ac:dyDescent="0.25">
      <c r="A963" s="39" t="s">
        <v>10585</v>
      </c>
      <c r="B963" s="39" t="s">
        <v>10586</v>
      </c>
      <c r="C963" s="39">
        <v>4</v>
      </c>
      <c r="D963" s="39" t="s">
        <v>2122</v>
      </c>
    </row>
    <row r="964" spans="1:4" x14ac:dyDescent="0.25">
      <c r="A964" s="39" t="s">
        <v>10587</v>
      </c>
      <c r="B964" s="39" t="s">
        <v>10588</v>
      </c>
      <c r="C964" s="39">
        <v>4</v>
      </c>
      <c r="D964" s="39" t="s">
        <v>2122</v>
      </c>
    </row>
    <row r="965" spans="1:4" x14ac:dyDescent="0.25">
      <c r="A965" s="39" t="s">
        <v>10589</v>
      </c>
      <c r="B965" s="39" t="s">
        <v>10590</v>
      </c>
      <c r="C965" s="39">
        <v>4</v>
      </c>
      <c r="D965" s="39" t="s">
        <v>2122</v>
      </c>
    </row>
    <row r="966" spans="1:4" x14ac:dyDescent="0.25">
      <c r="A966" s="39" t="s">
        <v>3418</v>
      </c>
      <c r="B966" s="39" t="s">
        <v>2597</v>
      </c>
      <c r="C966" s="39">
        <v>4</v>
      </c>
      <c r="D966" s="39" t="s">
        <v>2122</v>
      </c>
    </row>
    <row r="967" spans="1:4" x14ac:dyDescent="0.25">
      <c r="A967" s="39" t="s">
        <v>4994</v>
      </c>
      <c r="B967" s="39" t="s">
        <v>1493</v>
      </c>
      <c r="C967" s="39">
        <v>4</v>
      </c>
      <c r="D967" s="39" t="s">
        <v>2122</v>
      </c>
    </row>
    <row r="968" spans="1:4" x14ac:dyDescent="0.25">
      <c r="A968" s="39" t="s">
        <v>3140</v>
      </c>
      <c r="B968" s="39" t="s">
        <v>2326</v>
      </c>
      <c r="C968" s="39">
        <v>4</v>
      </c>
      <c r="D968" s="39" t="s">
        <v>2122</v>
      </c>
    </row>
    <row r="969" spans="1:4" x14ac:dyDescent="0.25">
      <c r="A969" s="39" t="s">
        <v>4995</v>
      </c>
      <c r="B969" s="39" t="s">
        <v>4996</v>
      </c>
      <c r="C969" s="39">
        <v>4</v>
      </c>
      <c r="D969" s="39" t="s">
        <v>2122</v>
      </c>
    </row>
    <row r="970" spans="1:4" x14ac:dyDescent="0.25">
      <c r="A970" s="39" t="s">
        <v>4997</v>
      </c>
      <c r="B970" s="39" t="s">
        <v>4998</v>
      </c>
      <c r="C970" s="39">
        <v>4</v>
      </c>
      <c r="D970" s="39" t="s">
        <v>2122</v>
      </c>
    </row>
    <row r="971" spans="1:4" x14ac:dyDescent="0.25">
      <c r="A971" s="39" t="s">
        <v>4999</v>
      </c>
      <c r="B971" s="39" t="s">
        <v>5000</v>
      </c>
      <c r="C971" s="39">
        <v>4</v>
      </c>
      <c r="D971" s="39" t="s">
        <v>2122</v>
      </c>
    </row>
    <row r="972" spans="1:4" x14ac:dyDescent="0.25">
      <c r="A972" s="39" t="s">
        <v>6923</v>
      </c>
      <c r="B972" s="39" t="s">
        <v>6924</v>
      </c>
      <c r="C972" s="39">
        <v>4</v>
      </c>
      <c r="D972" s="39" t="s">
        <v>2122</v>
      </c>
    </row>
    <row r="973" spans="1:4" x14ac:dyDescent="0.25">
      <c r="A973" s="39" t="s">
        <v>6925</v>
      </c>
      <c r="B973" s="39" t="s">
        <v>6926</v>
      </c>
      <c r="C973" s="39">
        <v>4</v>
      </c>
      <c r="D973" s="39" t="s">
        <v>2122</v>
      </c>
    </row>
    <row r="974" spans="1:4" x14ac:dyDescent="0.25">
      <c r="A974" s="39" t="s">
        <v>6927</v>
      </c>
      <c r="B974" s="39" t="s">
        <v>2693</v>
      </c>
      <c r="C974" s="39">
        <v>4</v>
      </c>
      <c r="D974" s="39" t="s">
        <v>2122</v>
      </c>
    </row>
    <row r="975" spans="1:4" x14ac:dyDescent="0.25">
      <c r="A975" s="39" t="s">
        <v>10591</v>
      </c>
      <c r="B975" s="39" t="s">
        <v>5706</v>
      </c>
      <c r="C975" s="39">
        <v>4</v>
      </c>
      <c r="D975" s="39" t="s">
        <v>2122</v>
      </c>
    </row>
    <row r="976" spans="1:4" x14ac:dyDescent="0.25">
      <c r="A976" s="39" t="s">
        <v>6928</v>
      </c>
      <c r="B976" s="39" t="s">
        <v>3917</v>
      </c>
      <c r="C976" s="39">
        <v>4</v>
      </c>
      <c r="D976" s="39" t="s">
        <v>2122</v>
      </c>
    </row>
    <row r="977" spans="1:4" x14ac:dyDescent="0.25">
      <c r="A977" s="39" t="s">
        <v>10592</v>
      </c>
      <c r="B977" s="39" t="s">
        <v>10593</v>
      </c>
      <c r="C977" s="39">
        <v>4</v>
      </c>
      <c r="D977" s="39" t="s">
        <v>2122</v>
      </c>
    </row>
    <row r="978" spans="1:4" x14ac:dyDescent="0.25">
      <c r="A978" s="39" t="s">
        <v>10594</v>
      </c>
      <c r="B978" s="39" t="s">
        <v>5693</v>
      </c>
      <c r="C978" s="39">
        <v>4</v>
      </c>
      <c r="D978" s="39" t="s">
        <v>2122</v>
      </c>
    </row>
    <row r="979" spans="1:4" x14ac:dyDescent="0.25">
      <c r="A979" s="39" t="s">
        <v>6929</v>
      </c>
      <c r="B979" s="39" t="s">
        <v>6930</v>
      </c>
      <c r="C979" s="39">
        <v>4</v>
      </c>
      <c r="D979" s="39" t="s">
        <v>2122</v>
      </c>
    </row>
    <row r="980" spans="1:4" x14ac:dyDescent="0.25">
      <c r="A980" s="39" t="s">
        <v>10595</v>
      </c>
      <c r="B980" s="39" t="s">
        <v>5735</v>
      </c>
      <c r="C980" s="39">
        <v>4</v>
      </c>
      <c r="D980" s="39" t="s">
        <v>2122</v>
      </c>
    </row>
    <row r="981" spans="1:4" x14ac:dyDescent="0.25">
      <c r="A981" s="39" t="s">
        <v>6931</v>
      </c>
      <c r="B981" s="39" t="s">
        <v>4159</v>
      </c>
      <c r="C981" s="39">
        <v>4</v>
      </c>
      <c r="D981" s="39" t="s">
        <v>2122</v>
      </c>
    </row>
    <row r="982" spans="1:4" x14ac:dyDescent="0.25">
      <c r="A982" s="39" t="s">
        <v>6932</v>
      </c>
      <c r="B982" s="39" t="s">
        <v>6933</v>
      </c>
      <c r="C982" s="39">
        <v>4</v>
      </c>
      <c r="D982" s="39" t="s">
        <v>2122</v>
      </c>
    </row>
    <row r="983" spans="1:4" x14ac:dyDescent="0.25">
      <c r="A983" s="39" t="s">
        <v>1779</v>
      </c>
      <c r="B983" s="39" t="s">
        <v>861</v>
      </c>
      <c r="C983" s="39">
        <v>4</v>
      </c>
      <c r="D983" s="39" t="s">
        <v>2122</v>
      </c>
    </row>
    <row r="984" spans="1:4" x14ac:dyDescent="0.25">
      <c r="A984" s="39" t="s">
        <v>10596</v>
      </c>
      <c r="B984" s="39" t="s">
        <v>10597</v>
      </c>
      <c r="C984" s="39">
        <v>4</v>
      </c>
      <c r="D984" s="39" t="s">
        <v>2122</v>
      </c>
    </row>
    <row r="985" spans="1:4" x14ac:dyDescent="0.25">
      <c r="A985" s="39" t="s">
        <v>2189</v>
      </c>
      <c r="B985" s="39" t="s">
        <v>1483</v>
      </c>
      <c r="C985" s="39">
        <v>4</v>
      </c>
      <c r="D985" s="39" t="s">
        <v>2122</v>
      </c>
    </row>
    <row r="986" spans="1:4" x14ac:dyDescent="0.25">
      <c r="A986" s="39" t="s">
        <v>6934</v>
      </c>
      <c r="B986" s="39" t="s">
        <v>6935</v>
      </c>
      <c r="C986" s="39">
        <v>4</v>
      </c>
      <c r="D986" s="39" t="s">
        <v>2122</v>
      </c>
    </row>
    <row r="987" spans="1:4" x14ac:dyDescent="0.25">
      <c r="A987" s="39" t="s">
        <v>5001</v>
      </c>
      <c r="B987" s="39" t="s">
        <v>36</v>
      </c>
      <c r="C987" s="39">
        <v>4</v>
      </c>
      <c r="D987" s="39" t="s">
        <v>2122</v>
      </c>
    </row>
    <row r="988" spans="1:4" x14ac:dyDescent="0.25">
      <c r="A988" s="39" t="s">
        <v>5002</v>
      </c>
      <c r="B988" s="39" t="s">
        <v>5003</v>
      </c>
      <c r="C988" s="39">
        <v>4</v>
      </c>
      <c r="D988" s="39" t="s">
        <v>2122</v>
      </c>
    </row>
    <row r="989" spans="1:4" x14ac:dyDescent="0.25">
      <c r="A989" s="39" t="s">
        <v>10598</v>
      </c>
      <c r="B989" s="39" t="s">
        <v>10599</v>
      </c>
      <c r="C989" s="39">
        <v>4</v>
      </c>
      <c r="D989" s="39" t="s">
        <v>2122</v>
      </c>
    </row>
    <row r="990" spans="1:4" x14ac:dyDescent="0.25">
      <c r="A990" s="39" t="s">
        <v>10600</v>
      </c>
      <c r="B990" s="39" t="s">
        <v>10601</v>
      </c>
      <c r="C990" s="39">
        <v>4</v>
      </c>
      <c r="D990" s="39" t="s">
        <v>2122</v>
      </c>
    </row>
    <row r="991" spans="1:4" x14ac:dyDescent="0.25">
      <c r="A991" s="39" t="s">
        <v>6936</v>
      </c>
      <c r="B991" s="39" t="s">
        <v>6937</v>
      </c>
      <c r="C991" s="39">
        <v>4</v>
      </c>
      <c r="D991" s="39" t="s">
        <v>2122</v>
      </c>
    </row>
    <row r="992" spans="1:4" x14ac:dyDescent="0.25">
      <c r="A992" s="39" t="s">
        <v>81</v>
      </c>
      <c r="B992" s="39" t="s">
        <v>2685</v>
      </c>
      <c r="C992" s="39">
        <v>4</v>
      </c>
      <c r="D992" s="39" t="s">
        <v>2122</v>
      </c>
    </row>
    <row r="993" spans="1:4" x14ac:dyDescent="0.25">
      <c r="A993" s="39" t="s">
        <v>1883</v>
      </c>
      <c r="B993" s="39" t="s">
        <v>2686</v>
      </c>
      <c r="C993" s="39">
        <v>4</v>
      </c>
      <c r="D993" s="39" t="s">
        <v>2122</v>
      </c>
    </row>
    <row r="994" spans="1:4" x14ac:dyDescent="0.25">
      <c r="A994" s="39" t="s">
        <v>10602</v>
      </c>
      <c r="B994" s="39" t="s">
        <v>10603</v>
      </c>
      <c r="C994" s="39">
        <v>4</v>
      </c>
      <c r="D994" s="39" t="s">
        <v>2122</v>
      </c>
    </row>
    <row r="995" spans="1:4" x14ac:dyDescent="0.25">
      <c r="A995" s="39" t="s">
        <v>10604</v>
      </c>
      <c r="B995" s="39" t="s">
        <v>4235</v>
      </c>
      <c r="C995" s="39">
        <v>4</v>
      </c>
      <c r="D995" s="39" t="s">
        <v>2122</v>
      </c>
    </row>
    <row r="996" spans="1:4" x14ac:dyDescent="0.25">
      <c r="A996" s="39" t="s">
        <v>6938</v>
      </c>
      <c r="B996" s="39" t="s">
        <v>6939</v>
      </c>
      <c r="C996" s="39">
        <v>4</v>
      </c>
      <c r="D996" s="39" t="s">
        <v>2122</v>
      </c>
    </row>
    <row r="997" spans="1:4" x14ac:dyDescent="0.25">
      <c r="A997" s="39" t="s">
        <v>10605</v>
      </c>
      <c r="B997" s="39" t="s">
        <v>10606</v>
      </c>
      <c r="C997" s="39">
        <v>4</v>
      </c>
      <c r="D997" s="39" t="s">
        <v>2122</v>
      </c>
    </row>
    <row r="998" spans="1:4" x14ac:dyDescent="0.25">
      <c r="A998" s="39" t="s">
        <v>6940</v>
      </c>
      <c r="B998" s="39" t="s">
        <v>6941</v>
      </c>
      <c r="C998" s="39">
        <v>4</v>
      </c>
      <c r="D998" s="39" t="s">
        <v>2122</v>
      </c>
    </row>
    <row r="999" spans="1:4" x14ac:dyDescent="0.25">
      <c r="A999" s="39" t="s">
        <v>10607</v>
      </c>
      <c r="B999" s="39" t="s">
        <v>6269</v>
      </c>
      <c r="C999" s="39">
        <v>4</v>
      </c>
      <c r="D999" s="39" t="s">
        <v>2122</v>
      </c>
    </row>
    <row r="1000" spans="1:4" x14ac:dyDescent="0.25">
      <c r="A1000" s="39" t="s">
        <v>5004</v>
      </c>
      <c r="B1000" s="39" t="s">
        <v>5005</v>
      </c>
      <c r="C1000" s="39">
        <v>4</v>
      </c>
      <c r="D1000" s="39" t="s">
        <v>2122</v>
      </c>
    </row>
    <row r="1001" spans="1:4" x14ac:dyDescent="0.25">
      <c r="A1001" s="39" t="s">
        <v>10608</v>
      </c>
      <c r="B1001" s="39" t="s">
        <v>2888</v>
      </c>
      <c r="C1001" s="39">
        <v>4</v>
      </c>
      <c r="D1001" s="39" t="s">
        <v>2122</v>
      </c>
    </row>
    <row r="1002" spans="1:4" x14ac:dyDescent="0.25">
      <c r="A1002" s="39" t="s">
        <v>10609</v>
      </c>
      <c r="B1002" s="39" t="s">
        <v>4069</v>
      </c>
      <c r="C1002" s="39">
        <v>4</v>
      </c>
      <c r="D1002" s="39" t="s">
        <v>2122</v>
      </c>
    </row>
    <row r="1003" spans="1:4" x14ac:dyDescent="0.25">
      <c r="A1003" s="39" t="s">
        <v>3421</v>
      </c>
      <c r="B1003" s="39" t="s">
        <v>2515</v>
      </c>
      <c r="C1003" s="39">
        <v>4</v>
      </c>
      <c r="D1003" s="39" t="s">
        <v>2122</v>
      </c>
    </row>
    <row r="1004" spans="1:4" x14ac:dyDescent="0.25">
      <c r="A1004" s="39" t="s">
        <v>5006</v>
      </c>
      <c r="B1004" s="39" t="s">
        <v>2902</v>
      </c>
      <c r="C1004" s="39">
        <v>4</v>
      </c>
      <c r="D1004" s="39" t="s">
        <v>2122</v>
      </c>
    </row>
    <row r="1005" spans="1:4" x14ac:dyDescent="0.25">
      <c r="A1005" s="39" t="s">
        <v>10610</v>
      </c>
      <c r="B1005" s="39" t="s">
        <v>4575</v>
      </c>
      <c r="C1005" s="39">
        <v>4</v>
      </c>
      <c r="D1005" s="39" t="s">
        <v>2122</v>
      </c>
    </row>
    <row r="1006" spans="1:4" x14ac:dyDescent="0.25">
      <c r="A1006" s="39" t="s">
        <v>3143</v>
      </c>
      <c r="B1006" s="39" t="s">
        <v>2118</v>
      </c>
      <c r="C1006" s="39">
        <v>4</v>
      </c>
      <c r="D1006" s="39" t="s">
        <v>2122</v>
      </c>
    </row>
    <row r="1007" spans="1:4" x14ac:dyDescent="0.25">
      <c r="A1007" s="39" t="s">
        <v>10611</v>
      </c>
      <c r="B1007" s="39" t="s">
        <v>6058</v>
      </c>
      <c r="C1007" s="39">
        <v>4</v>
      </c>
      <c r="D1007" s="39" t="s">
        <v>2122</v>
      </c>
    </row>
    <row r="1008" spans="1:4" x14ac:dyDescent="0.25">
      <c r="A1008" s="39" t="s">
        <v>10612</v>
      </c>
      <c r="B1008" s="39" t="s">
        <v>10613</v>
      </c>
      <c r="C1008" s="39">
        <v>4</v>
      </c>
      <c r="D1008" s="39" t="s">
        <v>2122</v>
      </c>
    </row>
    <row r="1009" spans="1:4" x14ac:dyDescent="0.25">
      <c r="A1009" s="39" t="s">
        <v>10614</v>
      </c>
      <c r="B1009" s="39" t="s">
        <v>3940</v>
      </c>
      <c r="C1009" s="39">
        <v>4</v>
      </c>
      <c r="D1009" s="39" t="s">
        <v>2122</v>
      </c>
    </row>
    <row r="1010" spans="1:4" x14ac:dyDescent="0.25">
      <c r="A1010" s="39" t="s">
        <v>5007</v>
      </c>
      <c r="B1010" s="39" t="s">
        <v>5008</v>
      </c>
      <c r="C1010" s="39">
        <v>4</v>
      </c>
      <c r="D1010" s="39" t="s">
        <v>2122</v>
      </c>
    </row>
    <row r="1011" spans="1:4" x14ac:dyDescent="0.25">
      <c r="A1011" s="39" t="s">
        <v>10615</v>
      </c>
      <c r="B1011" s="39" t="s">
        <v>4418</v>
      </c>
      <c r="C1011" s="39">
        <v>4</v>
      </c>
      <c r="D1011" s="39" t="s">
        <v>2122</v>
      </c>
    </row>
    <row r="1012" spans="1:4" x14ac:dyDescent="0.25">
      <c r="A1012" s="39" t="s">
        <v>3422</v>
      </c>
      <c r="B1012" s="39" t="s">
        <v>3705</v>
      </c>
      <c r="C1012" s="39">
        <v>4</v>
      </c>
      <c r="D1012" s="39" t="s">
        <v>2122</v>
      </c>
    </row>
    <row r="1013" spans="1:4" x14ac:dyDescent="0.25">
      <c r="A1013" s="39" t="s">
        <v>6942</v>
      </c>
      <c r="B1013" s="39" t="s">
        <v>6943</v>
      </c>
      <c r="C1013" s="39">
        <v>4</v>
      </c>
      <c r="D1013" s="39" t="s">
        <v>2122</v>
      </c>
    </row>
    <row r="1014" spans="1:4" x14ac:dyDescent="0.25">
      <c r="A1014" s="39" t="s">
        <v>10616</v>
      </c>
      <c r="B1014" s="39" t="s">
        <v>4417</v>
      </c>
      <c r="C1014" s="39">
        <v>4</v>
      </c>
      <c r="D1014" s="39" t="s">
        <v>2122</v>
      </c>
    </row>
    <row r="1015" spans="1:4" x14ac:dyDescent="0.25">
      <c r="A1015" s="39" t="s">
        <v>3423</v>
      </c>
      <c r="B1015" s="39" t="s">
        <v>2922</v>
      </c>
      <c r="C1015" s="39">
        <v>4</v>
      </c>
      <c r="D1015" s="39" t="s">
        <v>2122</v>
      </c>
    </row>
    <row r="1016" spans="1:4" x14ac:dyDescent="0.25">
      <c r="A1016" s="39" t="s">
        <v>3424</v>
      </c>
      <c r="B1016" s="39" t="s">
        <v>2983</v>
      </c>
      <c r="C1016" s="39">
        <v>4</v>
      </c>
      <c r="D1016" s="39" t="s">
        <v>2122</v>
      </c>
    </row>
    <row r="1017" spans="1:4" x14ac:dyDescent="0.25">
      <c r="A1017" s="39" t="s">
        <v>441</v>
      </c>
      <c r="B1017" s="39" t="s">
        <v>3145</v>
      </c>
      <c r="C1017" s="39">
        <v>4</v>
      </c>
      <c r="D1017" s="39" t="s">
        <v>2122</v>
      </c>
    </row>
    <row r="1018" spans="1:4" x14ac:dyDescent="0.25">
      <c r="A1018" s="39" t="s">
        <v>6944</v>
      </c>
      <c r="B1018" s="39" t="s">
        <v>6945</v>
      </c>
      <c r="C1018" s="39">
        <v>4</v>
      </c>
      <c r="D1018" s="39" t="s">
        <v>2122</v>
      </c>
    </row>
    <row r="1019" spans="1:4" x14ac:dyDescent="0.25">
      <c r="A1019" s="39" t="s">
        <v>6946</v>
      </c>
      <c r="B1019" s="39" t="s">
        <v>6947</v>
      </c>
      <c r="C1019" s="39">
        <v>4</v>
      </c>
      <c r="D1019" s="39" t="s">
        <v>2122</v>
      </c>
    </row>
    <row r="1020" spans="1:4" x14ac:dyDescent="0.25">
      <c r="A1020" s="39" t="s">
        <v>1831</v>
      </c>
      <c r="B1020" s="39" t="s">
        <v>1274</v>
      </c>
      <c r="C1020" s="39">
        <v>4</v>
      </c>
      <c r="D1020" s="39" t="s">
        <v>2122</v>
      </c>
    </row>
    <row r="1021" spans="1:4" x14ac:dyDescent="0.25">
      <c r="A1021" s="39" t="s">
        <v>5009</v>
      </c>
      <c r="B1021" s="39" t="s">
        <v>5010</v>
      </c>
      <c r="C1021" s="39">
        <v>4</v>
      </c>
      <c r="D1021" s="39" t="s">
        <v>2122</v>
      </c>
    </row>
    <row r="1022" spans="1:4" x14ac:dyDescent="0.25">
      <c r="A1022" s="39" t="s">
        <v>6948</v>
      </c>
      <c r="B1022" s="39" t="s">
        <v>6949</v>
      </c>
      <c r="C1022" s="39">
        <v>4</v>
      </c>
      <c r="D1022" s="39" t="s">
        <v>2122</v>
      </c>
    </row>
    <row r="1023" spans="1:4" x14ac:dyDescent="0.25">
      <c r="A1023" s="39" t="s">
        <v>6950</v>
      </c>
      <c r="B1023" s="39" t="s">
        <v>6951</v>
      </c>
      <c r="C1023" s="39">
        <v>4</v>
      </c>
      <c r="D1023" s="39" t="s">
        <v>2122</v>
      </c>
    </row>
    <row r="1024" spans="1:4" x14ac:dyDescent="0.25">
      <c r="A1024" s="39" t="s">
        <v>2688</v>
      </c>
      <c r="B1024" s="39" t="s">
        <v>1832</v>
      </c>
      <c r="C1024" s="39">
        <v>4</v>
      </c>
      <c r="D1024" s="39" t="s">
        <v>2122</v>
      </c>
    </row>
    <row r="1025" spans="1:4" x14ac:dyDescent="0.25">
      <c r="A1025" s="39" t="s">
        <v>10617</v>
      </c>
      <c r="B1025" s="39" t="s">
        <v>10618</v>
      </c>
      <c r="C1025" s="39">
        <v>4</v>
      </c>
      <c r="D1025" s="39" t="s">
        <v>2122</v>
      </c>
    </row>
    <row r="1026" spans="1:4" x14ac:dyDescent="0.25">
      <c r="A1026" s="39" t="s">
        <v>5013</v>
      </c>
      <c r="B1026" s="39" t="s">
        <v>2185</v>
      </c>
      <c r="C1026" s="39">
        <v>4</v>
      </c>
      <c r="D1026" s="39" t="s">
        <v>2122</v>
      </c>
    </row>
    <row r="1027" spans="1:4" x14ac:dyDescent="0.25">
      <c r="A1027" s="39" t="s">
        <v>10619</v>
      </c>
      <c r="B1027" s="39" t="s">
        <v>10620</v>
      </c>
      <c r="C1027" s="39">
        <v>4</v>
      </c>
      <c r="D1027" s="39" t="s">
        <v>2122</v>
      </c>
    </row>
    <row r="1028" spans="1:4" x14ac:dyDescent="0.25">
      <c r="A1028" s="39" t="s">
        <v>2262</v>
      </c>
      <c r="B1028" s="39" t="s">
        <v>2542</v>
      </c>
      <c r="C1028" s="39">
        <v>4</v>
      </c>
      <c r="D1028" s="39" t="s">
        <v>2122</v>
      </c>
    </row>
    <row r="1029" spans="1:4" x14ac:dyDescent="0.25">
      <c r="A1029" s="39" t="s">
        <v>10621</v>
      </c>
      <c r="B1029" s="39" t="s">
        <v>4360</v>
      </c>
      <c r="C1029" s="39">
        <v>4</v>
      </c>
      <c r="D1029" s="39" t="s">
        <v>2122</v>
      </c>
    </row>
    <row r="1030" spans="1:4" x14ac:dyDescent="0.25">
      <c r="A1030" s="39" t="s">
        <v>5014</v>
      </c>
      <c r="B1030" s="39" t="s">
        <v>5015</v>
      </c>
      <c r="C1030" s="39">
        <v>4</v>
      </c>
      <c r="D1030" s="39" t="s">
        <v>2122</v>
      </c>
    </row>
    <row r="1031" spans="1:4" x14ac:dyDescent="0.25">
      <c r="A1031" s="39" t="s">
        <v>3425</v>
      </c>
      <c r="B1031" s="39" t="s">
        <v>3706</v>
      </c>
      <c r="C1031" s="39">
        <v>4</v>
      </c>
      <c r="D1031" s="39" t="s">
        <v>2122</v>
      </c>
    </row>
    <row r="1032" spans="1:4" x14ac:dyDescent="0.25">
      <c r="A1032" s="39" t="s">
        <v>3426</v>
      </c>
      <c r="B1032" s="39" t="s">
        <v>2354</v>
      </c>
      <c r="C1032" s="39">
        <v>4</v>
      </c>
      <c r="D1032" s="39" t="s">
        <v>2122</v>
      </c>
    </row>
    <row r="1033" spans="1:4" x14ac:dyDescent="0.25">
      <c r="A1033" s="39" t="s">
        <v>3427</v>
      </c>
      <c r="B1033" s="39" t="s">
        <v>3707</v>
      </c>
      <c r="C1033" s="39">
        <v>4</v>
      </c>
      <c r="D1033" s="39" t="s">
        <v>2122</v>
      </c>
    </row>
    <row r="1034" spans="1:4" x14ac:dyDescent="0.25">
      <c r="A1034" s="39" t="s">
        <v>6952</v>
      </c>
      <c r="B1034" s="39" t="s">
        <v>6953</v>
      </c>
      <c r="C1034" s="39">
        <v>4</v>
      </c>
      <c r="D1034" s="39" t="s">
        <v>2122</v>
      </c>
    </row>
    <row r="1035" spans="1:4" x14ac:dyDescent="0.25">
      <c r="A1035" s="39" t="s">
        <v>1740</v>
      </c>
      <c r="B1035" s="39" t="s">
        <v>2190</v>
      </c>
      <c r="C1035" s="39">
        <v>4</v>
      </c>
      <c r="D1035" s="39" t="s">
        <v>2122</v>
      </c>
    </row>
    <row r="1036" spans="1:4" x14ac:dyDescent="0.25">
      <c r="A1036" s="39" t="s">
        <v>5016</v>
      </c>
      <c r="B1036" s="39" t="s">
        <v>632</v>
      </c>
      <c r="C1036" s="39">
        <v>4</v>
      </c>
      <c r="D1036" s="39" t="s">
        <v>2122</v>
      </c>
    </row>
    <row r="1037" spans="1:4" x14ac:dyDescent="0.25">
      <c r="A1037" s="39" t="s">
        <v>10622</v>
      </c>
      <c r="B1037" s="39" t="s">
        <v>10623</v>
      </c>
      <c r="C1037" s="39">
        <v>4</v>
      </c>
      <c r="D1037" s="39" t="s">
        <v>2122</v>
      </c>
    </row>
    <row r="1038" spans="1:4" x14ac:dyDescent="0.25">
      <c r="A1038" s="39" t="s">
        <v>10624</v>
      </c>
      <c r="B1038" s="39" t="s">
        <v>10625</v>
      </c>
      <c r="C1038" s="39">
        <v>4</v>
      </c>
      <c r="D1038" s="39" t="s">
        <v>2122</v>
      </c>
    </row>
    <row r="1039" spans="1:4" x14ac:dyDescent="0.25">
      <c r="A1039" s="39" t="s">
        <v>5017</v>
      </c>
      <c r="B1039" s="39" t="s">
        <v>845</v>
      </c>
      <c r="C1039" s="39">
        <v>4</v>
      </c>
      <c r="D1039" s="39" t="s">
        <v>2122</v>
      </c>
    </row>
    <row r="1040" spans="1:4" x14ac:dyDescent="0.25">
      <c r="A1040" s="39" t="s">
        <v>3146</v>
      </c>
      <c r="B1040" s="39" t="s">
        <v>2223</v>
      </c>
      <c r="C1040" s="39">
        <v>4</v>
      </c>
      <c r="D1040" s="39" t="s">
        <v>2122</v>
      </c>
    </row>
    <row r="1041" spans="1:4" x14ac:dyDescent="0.25">
      <c r="A1041" s="39" t="s">
        <v>426</v>
      </c>
      <c r="B1041" s="39" t="s">
        <v>1366</v>
      </c>
      <c r="C1041" s="39">
        <v>4</v>
      </c>
      <c r="D1041" s="39" t="s">
        <v>2122</v>
      </c>
    </row>
    <row r="1042" spans="1:4" x14ac:dyDescent="0.25">
      <c r="A1042" s="39" t="s">
        <v>5018</v>
      </c>
      <c r="B1042" s="39" t="s">
        <v>2955</v>
      </c>
      <c r="C1042" s="39">
        <v>4</v>
      </c>
      <c r="D1042" s="39" t="s">
        <v>2122</v>
      </c>
    </row>
    <row r="1043" spans="1:4" x14ac:dyDescent="0.25">
      <c r="A1043" s="39" t="s">
        <v>5019</v>
      </c>
      <c r="B1043" s="39" t="s">
        <v>2960</v>
      </c>
      <c r="C1043" s="39">
        <v>4</v>
      </c>
      <c r="D1043" s="39" t="s">
        <v>2122</v>
      </c>
    </row>
    <row r="1044" spans="1:4" x14ac:dyDescent="0.25">
      <c r="A1044" s="39" t="s">
        <v>5020</v>
      </c>
      <c r="B1044" s="39" t="s">
        <v>5021</v>
      </c>
      <c r="C1044" s="39">
        <v>4</v>
      </c>
      <c r="D1044" s="39" t="s">
        <v>2122</v>
      </c>
    </row>
    <row r="1045" spans="1:4" x14ac:dyDescent="0.25">
      <c r="A1045" s="39" t="s">
        <v>6954</v>
      </c>
      <c r="B1045" s="39" t="s">
        <v>4745</v>
      </c>
      <c r="C1045" s="39">
        <v>4</v>
      </c>
      <c r="D1045" s="39" t="s">
        <v>2122</v>
      </c>
    </row>
    <row r="1046" spans="1:4" x14ac:dyDescent="0.25">
      <c r="A1046" s="39" t="s">
        <v>5022</v>
      </c>
      <c r="B1046" s="39" t="s">
        <v>5023</v>
      </c>
      <c r="C1046" s="39">
        <v>4</v>
      </c>
      <c r="D1046" s="39" t="s">
        <v>2122</v>
      </c>
    </row>
    <row r="1047" spans="1:4" x14ac:dyDescent="0.25">
      <c r="A1047" s="39" t="s">
        <v>6955</v>
      </c>
      <c r="B1047" s="39" t="s">
        <v>6956</v>
      </c>
      <c r="C1047" s="39">
        <v>4</v>
      </c>
      <c r="D1047" s="39" t="s">
        <v>2122</v>
      </c>
    </row>
    <row r="1048" spans="1:4" x14ac:dyDescent="0.25">
      <c r="A1048" s="39" t="s">
        <v>10626</v>
      </c>
      <c r="B1048" s="39" t="s">
        <v>10627</v>
      </c>
      <c r="C1048" s="39">
        <v>4</v>
      </c>
      <c r="D1048" s="39" t="s">
        <v>2122</v>
      </c>
    </row>
    <row r="1049" spans="1:4" x14ac:dyDescent="0.25">
      <c r="A1049" s="39" t="s">
        <v>6957</v>
      </c>
      <c r="B1049" s="39" t="s">
        <v>6958</v>
      </c>
      <c r="C1049" s="39">
        <v>4</v>
      </c>
      <c r="D1049" s="39" t="s">
        <v>2122</v>
      </c>
    </row>
    <row r="1050" spans="1:4" x14ac:dyDescent="0.25">
      <c r="A1050" s="39" t="s">
        <v>1835</v>
      </c>
      <c r="B1050" s="39" t="s">
        <v>1411</v>
      </c>
      <c r="C1050" s="39">
        <v>4</v>
      </c>
      <c r="D1050" s="39" t="s">
        <v>2122</v>
      </c>
    </row>
    <row r="1051" spans="1:4" x14ac:dyDescent="0.25">
      <c r="A1051" s="39" t="s">
        <v>10628</v>
      </c>
      <c r="B1051" s="39" t="s">
        <v>10629</v>
      </c>
      <c r="C1051" s="39">
        <v>4</v>
      </c>
      <c r="D1051" s="39" t="s">
        <v>2122</v>
      </c>
    </row>
    <row r="1052" spans="1:4" x14ac:dyDescent="0.25">
      <c r="A1052" s="39" t="s">
        <v>6959</v>
      </c>
      <c r="B1052" s="39" t="s">
        <v>6960</v>
      </c>
      <c r="C1052" s="39">
        <v>4</v>
      </c>
      <c r="D1052" s="39" t="s">
        <v>2122</v>
      </c>
    </row>
    <row r="1053" spans="1:4" x14ac:dyDescent="0.25">
      <c r="A1053" s="39" t="s">
        <v>6961</v>
      </c>
      <c r="B1053" s="39" t="s">
        <v>1377</v>
      </c>
      <c r="C1053" s="39">
        <v>4</v>
      </c>
      <c r="D1053" s="39" t="s">
        <v>2122</v>
      </c>
    </row>
    <row r="1054" spans="1:4" x14ac:dyDescent="0.25">
      <c r="A1054" s="39" t="s">
        <v>6962</v>
      </c>
      <c r="B1054" s="39" t="s">
        <v>4439</v>
      </c>
      <c r="C1054" s="39">
        <v>4</v>
      </c>
      <c r="D1054" s="39" t="s">
        <v>2122</v>
      </c>
    </row>
    <row r="1055" spans="1:4" x14ac:dyDescent="0.25">
      <c r="A1055" s="39" t="s">
        <v>10630</v>
      </c>
      <c r="B1055" s="39" t="s">
        <v>3951</v>
      </c>
      <c r="C1055" s="39">
        <v>4</v>
      </c>
      <c r="D1055" s="39" t="s">
        <v>2122</v>
      </c>
    </row>
    <row r="1056" spans="1:4" x14ac:dyDescent="0.25">
      <c r="A1056" s="39" t="s">
        <v>1837</v>
      </c>
      <c r="B1056" s="39" t="s">
        <v>1107</v>
      </c>
      <c r="C1056" s="39">
        <v>4</v>
      </c>
      <c r="D1056" s="39" t="s">
        <v>2122</v>
      </c>
    </row>
    <row r="1057" spans="1:4" x14ac:dyDescent="0.25">
      <c r="A1057" s="39" t="s">
        <v>6963</v>
      </c>
      <c r="B1057" s="39" t="s">
        <v>6964</v>
      </c>
      <c r="C1057" s="39">
        <v>4</v>
      </c>
      <c r="D1057" s="39" t="s">
        <v>2122</v>
      </c>
    </row>
    <row r="1058" spans="1:4" x14ac:dyDescent="0.25">
      <c r="A1058" s="39" t="s">
        <v>5024</v>
      </c>
      <c r="B1058" s="39" t="s">
        <v>1161</v>
      </c>
      <c r="C1058" s="39">
        <v>4</v>
      </c>
      <c r="D1058" s="39" t="s">
        <v>2122</v>
      </c>
    </row>
    <row r="1059" spans="1:4" x14ac:dyDescent="0.25">
      <c r="A1059" s="39" t="s">
        <v>6965</v>
      </c>
      <c r="B1059" s="39" t="s">
        <v>2874</v>
      </c>
      <c r="C1059" s="39">
        <v>4</v>
      </c>
      <c r="D1059" s="39" t="s">
        <v>2122</v>
      </c>
    </row>
    <row r="1060" spans="1:4" x14ac:dyDescent="0.25">
      <c r="A1060" s="39" t="s">
        <v>6966</v>
      </c>
      <c r="B1060" s="39" t="s">
        <v>6967</v>
      </c>
      <c r="C1060" s="39">
        <v>4</v>
      </c>
      <c r="D1060" s="39" t="s">
        <v>2122</v>
      </c>
    </row>
    <row r="1061" spans="1:4" x14ac:dyDescent="0.25">
      <c r="A1061" s="39" t="s">
        <v>6968</v>
      </c>
      <c r="B1061" s="39" t="s">
        <v>4544</v>
      </c>
      <c r="C1061" s="39">
        <v>4</v>
      </c>
      <c r="D1061" s="39" t="s">
        <v>2122</v>
      </c>
    </row>
    <row r="1062" spans="1:4" x14ac:dyDescent="0.25">
      <c r="A1062" s="39" t="s">
        <v>10631</v>
      </c>
      <c r="B1062" s="39" t="s">
        <v>1634</v>
      </c>
      <c r="C1062" s="39">
        <v>4</v>
      </c>
      <c r="D1062" s="39" t="s">
        <v>2122</v>
      </c>
    </row>
    <row r="1063" spans="1:4" x14ac:dyDescent="0.25">
      <c r="A1063" s="39" t="s">
        <v>2450</v>
      </c>
      <c r="B1063" s="39" t="s">
        <v>2560</v>
      </c>
      <c r="C1063" s="39">
        <v>4</v>
      </c>
      <c r="D1063" s="39" t="s">
        <v>2122</v>
      </c>
    </row>
    <row r="1064" spans="1:4" x14ac:dyDescent="0.25">
      <c r="A1064" s="39" t="s">
        <v>6969</v>
      </c>
      <c r="B1064" s="39" t="s">
        <v>6970</v>
      </c>
      <c r="C1064" s="39">
        <v>4</v>
      </c>
      <c r="D1064" s="39" t="s">
        <v>2122</v>
      </c>
    </row>
    <row r="1065" spans="1:4" x14ac:dyDescent="0.25">
      <c r="A1065" s="39" t="s">
        <v>5025</v>
      </c>
      <c r="B1065" s="39" t="s">
        <v>2645</v>
      </c>
      <c r="C1065" s="39">
        <v>4</v>
      </c>
      <c r="D1065" s="39" t="s">
        <v>2122</v>
      </c>
    </row>
    <row r="1066" spans="1:4" x14ac:dyDescent="0.25">
      <c r="A1066" s="39" t="s">
        <v>2181</v>
      </c>
      <c r="B1066" s="39" t="s">
        <v>2001</v>
      </c>
      <c r="C1066" s="39">
        <v>4</v>
      </c>
      <c r="D1066" s="39" t="s">
        <v>2122</v>
      </c>
    </row>
    <row r="1067" spans="1:4" x14ac:dyDescent="0.25">
      <c r="A1067" s="39" t="s">
        <v>5026</v>
      </c>
      <c r="B1067" s="39" t="s">
        <v>3061</v>
      </c>
      <c r="C1067" s="39">
        <v>4</v>
      </c>
      <c r="D1067" s="39" t="s">
        <v>2122</v>
      </c>
    </row>
    <row r="1068" spans="1:4" x14ac:dyDescent="0.25">
      <c r="A1068" s="39" t="s">
        <v>6971</v>
      </c>
      <c r="B1068" s="39" t="s">
        <v>2944</v>
      </c>
      <c r="C1068" s="39">
        <v>4</v>
      </c>
      <c r="D1068" s="39" t="s">
        <v>2122</v>
      </c>
    </row>
    <row r="1069" spans="1:4" x14ac:dyDescent="0.25">
      <c r="A1069" s="39" t="s">
        <v>1341</v>
      </c>
      <c r="B1069" s="39" t="s">
        <v>1264</v>
      </c>
      <c r="C1069" s="39">
        <v>4</v>
      </c>
      <c r="D1069" s="39" t="s">
        <v>2122</v>
      </c>
    </row>
    <row r="1070" spans="1:4" x14ac:dyDescent="0.25">
      <c r="A1070" s="39" t="s">
        <v>5027</v>
      </c>
      <c r="B1070" s="39" t="s">
        <v>2216</v>
      </c>
      <c r="C1070" s="39">
        <v>4</v>
      </c>
      <c r="D1070" s="39" t="s">
        <v>2122</v>
      </c>
    </row>
    <row r="1071" spans="1:4" x14ac:dyDescent="0.25">
      <c r="A1071" s="39" t="s">
        <v>5028</v>
      </c>
      <c r="B1071" s="39" t="s">
        <v>5029</v>
      </c>
      <c r="C1071" s="39">
        <v>4</v>
      </c>
      <c r="D1071" s="39" t="s">
        <v>2122</v>
      </c>
    </row>
    <row r="1072" spans="1:4" x14ac:dyDescent="0.25">
      <c r="A1072" s="39" t="s">
        <v>10632</v>
      </c>
      <c r="B1072" s="39" t="s">
        <v>3071</v>
      </c>
      <c r="C1072" s="39">
        <v>4</v>
      </c>
      <c r="D1072" s="39" t="s">
        <v>2122</v>
      </c>
    </row>
    <row r="1073" spans="1:4" x14ac:dyDescent="0.25">
      <c r="A1073" s="39" t="s">
        <v>5030</v>
      </c>
      <c r="B1073" s="39" t="s">
        <v>5031</v>
      </c>
      <c r="C1073" s="39">
        <v>4</v>
      </c>
      <c r="D1073" s="39" t="s">
        <v>2122</v>
      </c>
    </row>
    <row r="1074" spans="1:4" x14ac:dyDescent="0.25">
      <c r="A1074" s="39" t="s">
        <v>3428</v>
      </c>
      <c r="B1074" s="39" t="s">
        <v>3708</v>
      </c>
      <c r="C1074" s="39">
        <v>4</v>
      </c>
      <c r="D1074" s="39" t="s">
        <v>2122</v>
      </c>
    </row>
    <row r="1075" spans="1:4" x14ac:dyDescent="0.25">
      <c r="A1075" s="39" t="s">
        <v>10633</v>
      </c>
      <c r="B1075" s="39" t="s">
        <v>3668</v>
      </c>
      <c r="C1075" s="39">
        <v>4</v>
      </c>
      <c r="D1075" s="39" t="s">
        <v>2122</v>
      </c>
    </row>
    <row r="1076" spans="1:4" x14ac:dyDescent="0.25">
      <c r="A1076" s="39" t="s">
        <v>3429</v>
      </c>
      <c r="B1076" s="39" t="s">
        <v>3709</v>
      </c>
      <c r="C1076" s="39">
        <v>4</v>
      </c>
      <c r="D1076" s="39" t="s">
        <v>2122</v>
      </c>
    </row>
    <row r="1077" spans="1:4" x14ac:dyDescent="0.25">
      <c r="A1077" s="39" t="s">
        <v>5032</v>
      </c>
      <c r="B1077" s="39" t="s">
        <v>2982</v>
      </c>
      <c r="C1077" s="39">
        <v>4</v>
      </c>
      <c r="D1077" s="39" t="s">
        <v>2122</v>
      </c>
    </row>
    <row r="1078" spans="1:4" x14ac:dyDescent="0.25">
      <c r="A1078" s="39" t="s">
        <v>3430</v>
      </c>
      <c r="B1078" s="39" t="s">
        <v>3710</v>
      </c>
      <c r="C1078" s="39">
        <v>4</v>
      </c>
      <c r="D1078" s="39" t="s">
        <v>2122</v>
      </c>
    </row>
    <row r="1079" spans="1:4" x14ac:dyDescent="0.25">
      <c r="A1079" s="39" t="s">
        <v>1399</v>
      </c>
      <c r="B1079" s="39" t="s">
        <v>1397</v>
      </c>
      <c r="C1079" s="39">
        <v>4</v>
      </c>
      <c r="D1079" s="39" t="s">
        <v>2122</v>
      </c>
    </row>
    <row r="1080" spans="1:4" x14ac:dyDescent="0.25">
      <c r="A1080" s="39" t="s">
        <v>10634</v>
      </c>
      <c r="B1080" s="39" t="s">
        <v>3948</v>
      </c>
      <c r="C1080" s="39">
        <v>4</v>
      </c>
      <c r="D1080" s="39" t="s">
        <v>2122</v>
      </c>
    </row>
    <row r="1081" spans="1:4" x14ac:dyDescent="0.25">
      <c r="A1081" s="39" t="s">
        <v>10635</v>
      </c>
      <c r="B1081" s="39" t="s">
        <v>10636</v>
      </c>
      <c r="C1081" s="39">
        <v>4</v>
      </c>
      <c r="D1081" s="39" t="s">
        <v>2122</v>
      </c>
    </row>
    <row r="1082" spans="1:4" x14ac:dyDescent="0.25">
      <c r="A1082" s="39" t="s">
        <v>5033</v>
      </c>
      <c r="B1082" s="39" t="s">
        <v>2478</v>
      </c>
      <c r="C1082" s="39">
        <v>4</v>
      </c>
      <c r="D1082" s="39" t="s">
        <v>2122</v>
      </c>
    </row>
    <row r="1083" spans="1:4" x14ac:dyDescent="0.25">
      <c r="A1083" s="39" t="s">
        <v>2690</v>
      </c>
      <c r="B1083" s="39" t="s">
        <v>2566</v>
      </c>
      <c r="C1083" s="39">
        <v>4</v>
      </c>
      <c r="D1083" s="39" t="s">
        <v>2122</v>
      </c>
    </row>
    <row r="1084" spans="1:4" x14ac:dyDescent="0.25">
      <c r="A1084" s="39" t="s">
        <v>3148</v>
      </c>
      <c r="B1084" s="39" t="s">
        <v>3149</v>
      </c>
      <c r="C1084" s="39">
        <v>4</v>
      </c>
      <c r="D1084" s="39" t="s">
        <v>2122</v>
      </c>
    </row>
    <row r="1085" spans="1:4" x14ac:dyDescent="0.25">
      <c r="A1085" s="39" t="s">
        <v>5034</v>
      </c>
      <c r="B1085" s="39" t="s">
        <v>2657</v>
      </c>
      <c r="C1085" s="39">
        <v>4</v>
      </c>
      <c r="D1085" s="39" t="s">
        <v>2122</v>
      </c>
    </row>
    <row r="1086" spans="1:4" x14ac:dyDescent="0.25">
      <c r="A1086" s="39" t="s">
        <v>241</v>
      </c>
      <c r="B1086" s="39" t="s">
        <v>1843</v>
      </c>
      <c r="C1086" s="39">
        <v>4</v>
      </c>
      <c r="D1086" s="39" t="s">
        <v>2122</v>
      </c>
    </row>
    <row r="1087" spans="1:4" x14ac:dyDescent="0.25">
      <c r="A1087" s="39" t="s">
        <v>6974</v>
      </c>
      <c r="B1087" s="39" t="s">
        <v>4028</v>
      </c>
      <c r="C1087" s="39">
        <v>4</v>
      </c>
      <c r="D1087" s="39" t="s">
        <v>2122</v>
      </c>
    </row>
    <row r="1088" spans="1:4" x14ac:dyDescent="0.25">
      <c r="A1088" s="39" t="s">
        <v>5035</v>
      </c>
      <c r="B1088" s="39" t="s">
        <v>5036</v>
      </c>
      <c r="C1088" s="39">
        <v>4</v>
      </c>
      <c r="D1088" s="39" t="s">
        <v>2122</v>
      </c>
    </row>
    <row r="1089" spans="1:4" x14ac:dyDescent="0.25">
      <c r="A1089" s="39" t="s">
        <v>6975</v>
      </c>
      <c r="B1089" s="39" t="s">
        <v>4843</v>
      </c>
      <c r="C1089" s="39">
        <v>4</v>
      </c>
      <c r="D1089" s="39" t="s">
        <v>2122</v>
      </c>
    </row>
    <row r="1090" spans="1:4" x14ac:dyDescent="0.25">
      <c r="A1090" s="39" t="s">
        <v>6976</v>
      </c>
      <c r="B1090" s="39" t="s">
        <v>6977</v>
      </c>
      <c r="C1090" s="39">
        <v>4</v>
      </c>
      <c r="D1090" s="39" t="s">
        <v>2122</v>
      </c>
    </row>
    <row r="1091" spans="1:4" x14ac:dyDescent="0.25">
      <c r="A1091" s="39" t="s">
        <v>6978</v>
      </c>
      <c r="B1091" s="39" t="s">
        <v>6979</v>
      </c>
      <c r="C1091" s="39">
        <v>4</v>
      </c>
      <c r="D1091" s="39" t="s">
        <v>2122</v>
      </c>
    </row>
    <row r="1092" spans="1:4" x14ac:dyDescent="0.25">
      <c r="A1092" s="39" t="s">
        <v>10637</v>
      </c>
      <c r="B1092" s="39" t="s">
        <v>1074</v>
      </c>
      <c r="C1092" s="39">
        <v>4</v>
      </c>
      <c r="D1092" s="39" t="s">
        <v>2122</v>
      </c>
    </row>
    <row r="1093" spans="1:4" x14ac:dyDescent="0.25">
      <c r="A1093" s="39" t="s">
        <v>3431</v>
      </c>
      <c r="B1093" s="39" t="s">
        <v>3711</v>
      </c>
      <c r="C1093" s="39">
        <v>4</v>
      </c>
      <c r="D1093" s="39" t="s">
        <v>2122</v>
      </c>
    </row>
    <row r="1094" spans="1:4" x14ac:dyDescent="0.25">
      <c r="A1094" s="39" t="s">
        <v>6980</v>
      </c>
      <c r="B1094" s="39" t="s">
        <v>4097</v>
      </c>
      <c r="C1094" s="39">
        <v>4</v>
      </c>
      <c r="D1094" s="39" t="s">
        <v>2122</v>
      </c>
    </row>
    <row r="1095" spans="1:4" x14ac:dyDescent="0.25">
      <c r="A1095" s="39" t="s">
        <v>10638</v>
      </c>
      <c r="B1095" s="39" t="s">
        <v>4362</v>
      </c>
      <c r="C1095" s="39">
        <v>4</v>
      </c>
      <c r="D1095" s="39" t="s">
        <v>2122</v>
      </c>
    </row>
    <row r="1096" spans="1:4" x14ac:dyDescent="0.25">
      <c r="A1096" s="39" t="s">
        <v>5037</v>
      </c>
      <c r="B1096" s="39" t="s">
        <v>5038</v>
      </c>
      <c r="C1096" s="39">
        <v>4</v>
      </c>
      <c r="D1096" s="39" t="s">
        <v>2122</v>
      </c>
    </row>
    <row r="1097" spans="1:4" x14ac:dyDescent="0.25">
      <c r="A1097" s="39" t="s">
        <v>6981</v>
      </c>
      <c r="B1097" s="39" t="s">
        <v>6982</v>
      </c>
      <c r="C1097" s="39">
        <v>4</v>
      </c>
      <c r="D1097" s="39" t="s">
        <v>2122</v>
      </c>
    </row>
    <row r="1098" spans="1:4" x14ac:dyDescent="0.25">
      <c r="A1098" s="39" t="s">
        <v>6983</v>
      </c>
      <c r="B1098" s="39" t="s">
        <v>4743</v>
      </c>
      <c r="C1098" s="39">
        <v>4</v>
      </c>
      <c r="D1098" s="39" t="s">
        <v>2122</v>
      </c>
    </row>
    <row r="1099" spans="1:4" x14ac:dyDescent="0.25">
      <c r="A1099" s="39" t="s">
        <v>783</v>
      </c>
      <c r="B1099" s="39" t="s">
        <v>1231</v>
      </c>
      <c r="C1099" s="39">
        <v>4</v>
      </c>
      <c r="D1099" s="39" t="s">
        <v>2122</v>
      </c>
    </row>
    <row r="1100" spans="1:4" x14ac:dyDescent="0.25">
      <c r="A1100" s="39" t="s">
        <v>3103</v>
      </c>
      <c r="B1100" s="39" t="s">
        <v>2476</v>
      </c>
      <c r="C1100" s="39">
        <v>4</v>
      </c>
      <c r="D1100" s="39" t="s">
        <v>2122</v>
      </c>
    </row>
    <row r="1101" spans="1:4" x14ac:dyDescent="0.25">
      <c r="A1101" s="39" t="s">
        <v>5039</v>
      </c>
      <c r="B1101" s="39" t="s">
        <v>5040</v>
      </c>
      <c r="C1101" s="39">
        <v>4</v>
      </c>
      <c r="D1101" s="39" t="s">
        <v>2122</v>
      </c>
    </row>
    <row r="1102" spans="1:4" x14ac:dyDescent="0.25">
      <c r="A1102" s="39" t="s">
        <v>10639</v>
      </c>
      <c r="B1102" s="39" t="s">
        <v>10640</v>
      </c>
      <c r="C1102" s="39">
        <v>4</v>
      </c>
      <c r="D1102" s="39" t="s">
        <v>2122</v>
      </c>
    </row>
    <row r="1103" spans="1:4" x14ac:dyDescent="0.25">
      <c r="A1103" s="39" t="s">
        <v>10641</v>
      </c>
      <c r="B1103" s="39" t="s">
        <v>10642</v>
      </c>
      <c r="C1103" s="39">
        <v>4</v>
      </c>
      <c r="D1103" s="39" t="s">
        <v>2122</v>
      </c>
    </row>
    <row r="1104" spans="1:4" x14ac:dyDescent="0.25">
      <c r="A1104" s="39" t="s">
        <v>2691</v>
      </c>
      <c r="B1104" s="39" t="s">
        <v>2427</v>
      </c>
      <c r="C1104" s="39">
        <v>4</v>
      </c>
      <c r="D1104" s="39" t="s">
        <v>2122</v>
      </c>
    </row>
    <row r="1105" spans="1:4" x14ac:dyDescent="0.25">
      <c r="A1105" s="39" t="s">
        <v>10643</v>
      </c>
      <c r="B1105" s="39" t="s">
        <v>5939</v>
      </c>
      <c r="C1105" s="39">
        <v>4</v>
      </c>
      <c r="D1105" s="39" t="s">
        <v>2122</v>
      </c>
    </row>
    <row r="1106" spans="1:4" x14ac:dyDescent="0.25">
      <c r="A1106" s="39" t="s">
        <v>501</v>
      </c>
      <c r="B1106" s="39" t="s">
        <v>3152</v>
      </c>
      <c r="C1106" s="39">
        <v>4</v>
      </c>
      <c r="D1106" s="39" t="s">
        <v>2122</v>
      </c>
    </row>
    <row r="1107" spans="1:4" x14ac:dyDescent="0.25">
      <c r="A1107" s="39" t="s">
        <v>1842</v>
      </c>
      <c r="B1107" s="39" t="s">
        <v>536</v>
      </c>
      <c r="C1107" s="39">
        <v>4</v>
      </c>
      <c r="D1107" s="39" t="s">
        <v>2122</v>
      </c>
    </row>
    <row r="1108" spans="1:4" x14ac:dyDescent="0.25">
      <c r="A1108" s="39" t="s">
        <v>3432</v>
      </c>
      <c r="B1108" s="39" t="s">
        <v>3712</v>
      </c>
      <c r="C1108" s="39">
        <v>4</v>
      </c>
      <c r="D1108" s="39" t="s">
        <v>2122</v>
      </c>
    </row>
    <row r="1109" spans="1:4" x14ac:dyDescent="0.25">
      <c r="A1109" s="39" t="s">
        <v>3153</v>
      </c>
      <c r="B1109" s="39" t="s">
        <v>1256</v>
      </c>
      <c r="C1109" s="39">
        <v>4</v>
      </c>
      <c r="D1109" s="39" t="s">
        <v>2122</v>
      </c>
    </row>
    <row r="1110" spans="1:4" x14ac:dyDescent="0.25">
      <c r="A1110" s="39" t="s">
        <v>2056</v>
      </c>
      <c r="B1110" s="39" t="s">
        <v>2059</v>
      </c>
      <c r="C1110" s="39">
        <v>4</v>
      </c>
      <c r="D1110" s="39" t="s">
        <v>2122</v>
      </c>
    </row>
    <row r="1111" spans="1:4" x14ac:dyDescent="0.25">
      <c r="A1111" s="39" t="s">
        <v>5041</v>
      </c>
      <c r="B1111" s="39" t="s">
        <v>722</v>
      </c>
      <c r="C1111" s="39">
        <v>4</v>
      </c>
      <c r="D1111" s="39" t="s">
        <v>2122</v>
      </c>
    </row>
    <row r="1112" spans="1:4" x14ac:dyDescent="0.25">
      <c r="A1112" s="39" t="s">
        <v>10644</v>
      </c>
      <c r="B1112" s="39" t="s">
        <v>4569</v>
      </c>
      <c r="C1112" s="39">
        <v>4</v>
      </c>
      <c r="D1112" s="39" t="s">
        <v>2122</v>
      </c>
    </row>
    <row r="1113" spans="1:4" x14ac:dyDescent="0.25">
      <c r="A1113" s="39" t="s">
        <v>1659</v>
      </c>
      <c r="B1113" s="39" t="s">
        <v>3154</v>
      </c>
      <c r="C1113" s="39">
        <v>4</v>
      </c>
      <c r="D1113" s="39" t="s">
        <v>2122</v>
      </c>
    </row>
    <row r="1114" spans="1:4" x14ac:dyDescent="0.25">
      <c r="A1114" s="39" t="s">
        <v>6984</v>
      </c>
      <c r="B1114" s="39" t="s">
        <v>3939</v>
      </c>
      <c r="C1114" s="39">
        <v>4</v>
      </c>
      <c r="D1114" s="39" t="s">
        <v>2122</v>
      </c>
    </row>
    <row r="1115" spans="1:4" x14ac:dyDescent="0.25">
      <c r="A1115" s="39" t="s">
        <v>1844</v>
      </c>
      <c r="B1115" s="39" t="s">
        <v>797</v>
      </c>
      <c r="C1115" s="39">
        <v>4</v>
      </c>
      <c r="D1115" s="39" t="s">
        <v>2122</v>
      </c>
    </row>
    <row r="1116" spans="1:4" x14ac:dyDescent="0.25">
      <c r="A1116" s="39" t="s">
        <v>3433</v>
      </c>
      <c r="B1116" s="39" t="s">
        <v>1796</v>
      </c>
      <c r="C1116" s="39">
        <v>4</v>
      </c>
      <c r="D1116" s="39" t="s">
        <v>2122</v>
      </c>
    </row>
    <row r="1117" spans="1:4" x14ac:dyDescent="0.25">
      <c r="A1117" s="39" t="s">
        <v>5042</v>
      </c>
      <c r="B1117" s="39" t="s">
        <v>3070</v>
      </c>
      <c r="C1117" s="39">
        <v>4</v>
      </c>
      <c r="D1117" s="39" t="s">
        <v>2122</v>
      </c>
    </row>
    <row r="1118" spans="1:4" x14ac:dyDescent="0.25">
      <c r="A1118" s="39" t="s">
        <v>673</v>
      </c>
      <c r="B1118" s="39" t="s">
        <v>1111</v>
      </c>
      <c r="C1118" s="39">
        <v>4</v>
      </c>
      <c r="D1118" s="39" t="s">
        <v>2122</v>
      </c>
    </row>
    <row r="1119" spans="1:4" x14ac:dyDescent="0.25">
      <c r="A1119" s="39" t="s">
        <v>5043</v>
      </c>
      <c r="B1119" s="39" t="s">
        <v>1250</v>
      </c>
      <c r="C1119" s="39">
        <v>4</v>
      </c>
      <c r="D1119" s="39" t="s">
        <v>2122</v>
      </c>
    </row>
    <row r="1120" spans="1:4" x14ac:dyDescent="0.25">
      <c r="A1120" s="39" t="s">
        <v>287</v>
      </c>
      <c r="B1120" s="39" t="s">
        <v>1414</v>
      </c>
      <c r="C1120" s="39">
        <v>4</v>
      </c>
      <c r="D1120" s="39" t="s">
        <v>2122</v>
      </c>
    </row>
    <row r="1121" spans="1:4" x14ac:dyDescent="0.25">
      <c r="A1121" s="39" t="s">
        <v>10645</v>
      </c>
      <c r="B1121" s="39" t="s">
        <v>10646</v>
      </c>
      <c r="C1121" s="39">
        <v>4</v>
      </c>
      <c r="D1121" s="39" t="s">
        <v>2122</v>
      </c>
    </row>
    <row r="1122" spans="1:4" x14ac:dyDescent="0.25">
      <c r="A1122" s="39" t="s">
        <v>6985</v>
      </c>
      <c r="B1122" s="39" t="s">
        <v>2897</v>
      </c>
      <c r="C1122" s="39">
        <v>4</v>
      </c>
      <c r="D1122" s="39" t="s">
        <v>2122</v>
      </c>
    </row>
    <row r="1123" spans="1:4" x14ac:dyDescent="0.25">
      <c r="A1123" s="39" t="s">
        <v>3434</v>
      </c>
      <c r="B1123" s="39" t="s">
        <v>3713</v>
      </c>
      <c r="C1123" s="39">
        <v>4</v>
      </c>
      <c r="D1123" s="39" t="s">
        <v>2122</v>
      </c>
    </row>
    <row r="1124" spans="1:4" x14ac:dyDescent="0.25">
      <c r="A1124" s="39" t="s">
        <v>10647</v>
      </c>
      <c r="B1124" s="39" t="s">
        <v>10648</v>
      </c>
      <c r="C1124" s="39">
        <v>4</v>
      </c>
      <c r="D1124" s="39" t="s">
        <v>2122</v>
      </c>
    </row>
    <row r="1125" spans="1:4" x14ac:dyDescent="0.25">
      <c r="A1125" s="39" t="s">
        <v>2695</v>
      </c>
      <c r="B1125" s="39" t="s">
        <v>2696</v>
      </c>
      <c r="C1125" s="39">
        <v>4</v>
      </c>
      <c r="D1125" s="39" t="s">
        <v>2122</v>
      </c>
    </row>
    <row r="1126" spans="1:4" x14ac:dyDescent="0.25">
      <c r="A1126" s="39" t="s">
        <v>6986</v>
      </c>
      <c r="B1126" s="39" t="s">
        <v>6987</v>
      </c>
      <c r="C1126" s="39">
        <v>4</v>
      </c>
      <c r="D1126" s="39" t="s">
        <v>2122</v>
      </c>
    </row>
    <row r="1127" spans="1:4" x14ac:dyDescent="0.25">
      <c r="A1127" s="39" t="s">
        <v>3435</v>
      </c>
      <c r="B1127" s="39" t="s">
        <v>3038</v>
      </c>
      <c r="C1127" s="39">
        <v>4</v>
      </c>
      <c r="D1127" s="39" t="s">
        <v>2122</v>
      </c>
    </row>
    <row r="1128" spans="1:4" x14ac:dyDescent="0.25">
      <c r="A1128" s="39" t="s">
        <v>5044</v>
      </c>
      <c r="B1128" s="39" t="s">
        <v>2563</v>
      </c>
      <c r="C1128" s="39">
        <v>4</v>
      </c>
      <c r="D1128" s="39" t="s">
        <v>2122</v>
      </c>
    </row>
    <row r="1129" spans="1:4" x14ac:dyDescent="0.25">
      <c r="A1129" s="39" t="s">
        <v>3436</v>
      </c>
      <c r="B1129" s="39" t="s">
        <v>3714</v>
      </c>
      <c r="C1129" s="39">
        <v>4</v>
      </c>
      <c r="D1129" s="39" t="s">
        <v>2122</v>
      </c>
    </row>
    <row r="1130" spans="1:4" x14ac:dyDescent="0.25">
      <c r="A1130" s="39" t="s">
        <v>6988</v>
      </c>
      <c r="B1130" s="39" t="s">
        <v>3041</v>
      </c>
      <c r="C1130" s="39">
        <v>4</v>
      </c>
      <c r="D1130" s="39" t="s">
        <v>2122</v>
      </c>
    </row>
    <row r="1131" spans="1:4" x14ac:dyDescent="0.25">
      <c r="A1131" s="39" t="s">
        <v>2572</v>
      </c>
      <c r="B1131" s="39" t="s">
        <v>3155</v>
      </c>
      <c r="C1131" s="39">
        <v>4</v>
      </c>
      <c r="D1131" s="39" t="s">
        <v>2122</v>
      </c>
    </row>
    <row r="1132" spans="1:4" x14ac:dyDescent="0.25">
      <c r="A1132" s="39" t="s">
        <v>3437</v>
      </c>
      <c r="B1132" s="39" t="s">
        <v>3715</v>
      </c>
      <c r="C1132" s="39">
        <v>4</v>
      </c>
      <c r="D1132" s="39" t="s">
        <v>2122</v>
      </c>
    </row>
    <row r="1133" spans="1:4" x14ac:dyDescent="0.25">
      <c r="A1133" s="39" t="s">
        <v>10649</v>
      </c>
      <c r="B1133" s="39" t="s">
        <v>4042</v>
      </c>
      <c r="C1133" s="39">
        <v>4</v>
      </c>
      <c r="D1133" s="39" t="s">
        <v>2122</v>
      </c>
    </row>
    <row r="1134" spans="1:4" x14ac:dyDescent="0.25">
      <c r="A1134" s="39" t="s">
        <v>3438</v>
      </c>
      <c r="B1134" s="39" t="s">
        <v>3156</v>
      </c>
      <c r="C1134" s="39">
        <v>4</v>
      </c>
      <c r="D1134" s="39" t="s">
        <v>2122</v>
      </c>
    </row>
    <row r="1135" spans="1:4" x14ac:dyDescent="0.25">
      <c r="A1135" s="39" t="s">
        <v>10650</v>
      </c>
      <c r="B1135" s="39" t="s">
        <v>4850</v>
      </c>
      <c r="C1135" s="39">
        <v>4</v>
      </c>
      <c r="D1135" s="39" t="s">
        <v>2122</v>
      </c>
    </row>
    <row r="1136" spans="1:4" x14ac:dyDescent="0.25">
      <c r="A1136" s="39" t="s">
        <v>1847</v>
      </c>
      <c r="B1136" s="39" t="s">
        <v>1401</v>
      </c>
      <c r="C1136" s="39">
        <v>4</v>
      </c>
      <c r="D1136" s="39" t="s">
        <v>2122</v>
      </c>
    </row>
    <row r="1137" spans="1:4" x14ac:dyDescent="0.25">
      <c r="A1137" s="39" t="s">
        <v>5045</v>
      </c>
      <c r="B1137" s="39" t="s">
        <v>2816</v>
      </c>
      <c r="C1137" s="39">
        <v>4</v>
      </c>
      <c r="D1137" s="39" t="s">
        <v>2122</v>
      </c>
    </row>
    <row r="1138" spans="1:4" x14ac:dyDescent="0.25">
      <c r="A1138" s="39" t="s">
        <v>909</v>
      </c>
      <c r="B1138" s="39" t="s">
        <v>1104</v>
      </c>
      <c r="C1138" s="39">
        <v>4</v>
      </c>
      <c r="D1138" s="39" t="s">
        <v>2122</v>
      </c>
    </row>
    <row r="1139" spans="1:4" x14ac:dyDescent="0.25">
      <c r="A1139" s="39" t="s">
        <v>6989</v>
      </c>
      <c r="B1139" s="39" t="s">
        <v>3962</v>
      </c>
      <c r="C1139" s="39">
        <v>4</v>
      </c>
      <c r="D1139" s="39" t="s">
        <v>2122</v>
      </c>
    </row>
    <row r="1140" spans="1:4" x14ac:dyDescent="0.25">
      <c r="A1140" s="39" t="s">
        <v>3439</v>
      </c>
      <c r="B1140" s="39" t="s">
        <v>3716</v>
      </c>
      <c r="C1140" s="39">
        <v>4</v>
      </c>
      <c r="D1140" s="39" t="s">
        <v>2122</v>
      </c>
    </row>
    <row r="1141" spans="1:4" x14ac:dyDescent="0.25">
      <c r="A1141" s="39" t="s">
        <v>1331</v>
      </c>
      <c r="B1141" s="39" t="s">
        <v>3157</v>
      </c>
      <c r="C1141" s="39">
        <v>4</v>
      </c>
      <c r="D1141" s="39" t="s">
        <v>2122</v>
      </c>
    </row>
    <row r="1142" spans="1:4" x14ac:dyDescent="0.25">
      <c r="A1142" s="39" t="s">
        <v>3440</v>
      </c>
      <c r="B1142" s="39" t="s">
        <v>3717</v>
      </c>
      <c r="C1142" s="39">
        <v>4</v>
      </c>
      <c r="D1142" s="39" t="s">
        <v>2122</v>
      </c>
    </row>
    <row r="1143" spans="1:4" x14ac:dyDescent="0.25">
      <c r="A1143" s="39" t="s">
        <v>6990</v>
      </c>
      <c r="B1143" s="39" t="s">
        <v>6991</v>
      </c>
      <c r="C1143" s="39">
        <v>4</v>
      </c>
      <c r="D1143" s="39" t="s">
        <v>2122</v>
      </c>
    </row>
    <row r="1144" spans="1:4" x14ac:dyDescent="0.25">
      <c r="A1144" s="39" t="s">
        <v>6992</v>
      </c>
      <c r="B1144" s="39" t="s">
        <v>4815</v>
      </c>
      <c r="C1144" s="39">
        <v>4</v>
      </c>
      <c r="D1144" s="39" t="s">
        <v>2122</v>
      </c>
    </row>
    <row r="1145" spans="1:4" x14ac:dyDescent="0.25">
      <c r="A1145" s="39" t="s">
        <v>2697</v>
      </c>
      <c r="B1145" s="39" t="s">
        <v>2699</v>
      </c>
      <c r="C1145" s="39">
        <v>4</v>
      </c>
      <c r="D1145" s="39" t="s">
        <v>2122</v>
      </c>
    </row>
    <row r="1146" spans="1:4" x14ac:dyDescent="0.25">
      <c r="A1146" s="39" t="s">
        <v>5046</v>
      </c>
      <c r="B1146" s="39" t="s">
        <v>2526</v>
      </c>
      <c r="C1146" s="39">
        <v>4</v>
      </c>
      <c r="D1146" s="39" t="s">
        <v>2122</v>
      </c>
    </row>
    <row r="1147" spans="1:4" x14ac:dyDescent="0.25">
      <c r="A1147" s="39" t="s">
        <v>10651</v>
      </c>
      <c r="B1147" s="39" t="s">
        <v>4427</v>
      </c>
      <c r="C1147" s="39">
        <v>4</v>
      </c>
      <c r="D1147" s="39" t="s">
        <v>2122</v>
      </c>
    </row>
    <row r="1148" spans="1:4" x14ac:dyDescent="0.25">
      <c r="A1148" s="39" t="s">
        <v>10652</v>
      </c>
      <c r="B1148" s="39" t="s">
        <v>10653</v>
      </c>
      <c r="C1148" s="39">
        <v>4</v>
      </c>
      <c r="D1148" s="39" t="s">
        <v>2122</v>
      </c>
    </row>
    <row r="1149" spans="1:4" x14ac:dyDescent="0.25">
      <c r="A1149" s="39" t="s">
        <v>10654</v>
      </c>
      <c r="B1149" s="39" t="s">
        <v>10655</v>
      </c>
      <c r="C1149" s="39">
        <v>4</v>
      </c>
      <c r="D1149" s="39" t="s">
        <v>2122</v>
      </c>
    </row>
    <row r="1150" spans="1:4" x14ac:dyDescent="0.25">
      <c r="A1150" s="39" t="s">
        <v>1848</v>
      </c>
      <c r="B1150" s="39" t="s">
        <v>633</v>
      </c>
      <c r="C1150" s="39">
        <v>4</v>
      </c>
      <c r="D1150" s="39" t="s">
        <v>2122</v>
      </c>
    </row>
    <row r="1151" spans="1:4" x14ac:dyDescent="0.25">
      <c r="A1151" s="39" t="s">
        <v>2220</v>
      </c>
      <c r="B1151" s="39" t="s">
        <v>2700</v>
      </c>
      <c r="C1151" s="39">
        <v>4</v>
      </c>
      <c r="D1151" s="39" t="s">
        <v>2122</v>
      </c>
    </row>
    <row r="1152" spans="1:4" x14ac:dyDescent="0.25">
      <c r="A1152" s="39" t="s">
        <v>1716</v>
      </c>
      <c r="B1152" s="39" t="s">
        <v>3158</v>
      </c>
      <c r="C1152" s="39">
        <v>4</v>
      </c>
      <c r="D1152" s="39" t="s">
        <v>2122</v>
      </c>
    </row>
    <row r="1153" spans="1:4" x14ac:dyDescent="0.25">
      <c r="A1153" s="39" t="s">
        <v>397</v>
      </c>
      <c r="B1153" s="39" t="s">
        <v>297</v>
      </c>
      <c r="C1153" s="39">
        <v>4</v>
      </c>
      <c r="D1153" s="39" t="s">
        <v>2122</v>
      </c>
    </row>
    <row r="1154" spans="1:4" x14ac:dyDescent="0.25">
      <c r="A1154" s="39" t="s">
        <v>755</v>
      </c>
      <c r="B1154" s="39" t="s">
        <v>1221</v>
      </c>
      <c r="C1154" s="39">
        <v>4</v>
      </c>
      <c r="D1154" s="39" t="s">
        <v>2122</v>
      </c>
    </row>
    <row r="1155" spans="1:4" x14ac:dyDescent="0.25">
      <c r="A1155" s="39" t="s">
        <v>5047</v>
      </c>
      <c r="B1155" s="39" t="s">
        <v>2377</v>
      </c>
      <c r="C1155" s="39">
        <v>4</v>
      </c>
      <c r="D1155" s="39" t="s">
        <v>2122</v>
      </c>
    </row>
    <row r="1156" spans="1:4" x14ac:dyDescent="0.25">
      <c r="A1156" s="39" t="s">
        <v>1434</v>
      </c>
      <c r="B1156" s="39" t="s">
        <v>76</v>
      </c>
      <c r="C1156" s="39">
        <v>4</v>
      </c>
      <c r="D1156" s="39" t="s">
        <v>2122</v>
      </c>
    </row>
    <row r="1157" spans="1:4" x14ac:dyDescent="0.25">
      <c r="A1157" s="39" t="s">
        <v>10656</v>
      </c>
      <c r="B1157" s="39" t="s">
        <v>10657</v>
      </c>
      <c r="C1157" s="39">
        <v>4</v>
      </c>
      <c r="D1157" s="39" t="s">
        <v>2122</v>
      </c>
    </row>
    <row r="1158" spans="1:4" x14ac:dyDescent="0.25">
      <c r="A1158" s="39" t="s">
        <v>6993</v>
      </c>
      <c r="B1158" s="39" t="s">
        <v>3983</v>
      </c>
      <c r="C1158" s="39">
        <v>4</v>
      </c>
      <c r="D1158" s="39" t="s">
        <v>2122</v>
      </c>
    </row>
    <row r="1159" spans="1:4" x14ac:dyDescent="0.25">
      <c r="A1159" s="39" t="s">
        <v>3441</v>
      </c>
      <c r="B1159" s="39" t="s">
        <v>3718</v>
      </c>
      <c r="C1159" s="39">
        <v>4</v>
      </c>
      <c r="D1159" s="39" t="s">
        <v>2122</v>
      </c>
    </row>
    <row r="1160" spans="1:4" x14ac:dyDescent="0.25">
      <c r="A1160" s="39" t="s">
        <v>10658</v>
      </c>
      <c r="B1160" s="39" t="s">
        <v>6122</v>
      </c>
      <c r="C1160" s="39">
        <v>4</v>
      </c>
      <c r="D1160" s="39" t="s">
        <v>2122</v>
      </c>
    </row>
    <row r="1161" spans="1:4" x14ac:dyDescent="0.25">
      <c r="A1161" s="39" t="s">
        <v>5048</v>
      </c>
      <c r="B1161" s="39" t="s">
        <v>2449</v>
      </c>
      <c r="C1161" s="39">
        <v>4</v>
      </c>
      <c r="D1161" s="39" t="s">
        <v>2122</v>
      </c>
    </row>
    <row r="1162" spans="1:4" x14ac:dyDescent="0.25">
      <c r="A1162" s="39" t="s">
        <v>5049</v>
      </c>
      <c r="B1162" s="39" t="s">
        <v>5050</v>
      </c>
      <c r="C1162" s="39">
        <v>4</v>
      </c>
      <c r="D1162" s="39" t="s">
        <v>2122</v>
      </c>
    </row>
    <row r="1163" spans="1:4" x14ac:dyDescent="0.25">
      <c r="A1163" s="39" t="s">
        <v>5051</v>
      </c>
      <c r="B1163" s="39" t="s">
        <v>2555</v>
      </c>
      <c r="C1163" s="39">
        <v>4</v>
      </c>
      <c r="D1163" s="39" t="s">
        <v>2122</v>
      </c>
    </row>
    <row r="1164" spans="1:4" x14ac:dyDescent="0.25">
      <c r="A1164" s="39" t="s">
        <v>6994</v>
      </c>
      <c r="B1164" s="39" t="s">
        <v>5052</v>
      </c>
      <c r="C1164" s="39">
        <v>4</v>
      </c>
      <c r="D1164" s="39" t="s">
        <v>2122</v>
      </c>
    </row>
    <row r="1165" spans="1:4" x14ac:dyDescent="0.25">
      <c r="A1165" s="39" t="s">
        <v>1849</v>
      </c>
      <c r="B1165" s="39" t="s">
        <v>405</v>
      </c>
      <c r="C1165" s="39">
        <v>4</v>
      </c>
      <c r="D1165" s="39" t="s">
        <v>2122</v>
      </c>
    </row>
    <row r="1166" spans="1:4" x14ac:dyDescent="0.25">
      <c r="A1166" s="39" t="s">
        <v>10659</v>
      </c>
      <c r="B1166" s="39" t="s">
        <v>5053</v>
      </c>
      <c r="C1166" s="39">
        <v>4</v>
      </c>
      <c r="D1166" s="39" t="s">
        <v>2122</v>
      </c>
    </row>
    <row r="1167" spans="1:4" x14ac:dyDescent="0.25">
      <c r="A1167" s="39" t="s">
        <v>10660</v>
      </c>
      <c r="B1167" s="39" t="s">
        <v>10661</v>
      </c>
      <c r="C1167" s="39">
        <v>4</v>
      </c>
      <c r="D1167" s="39" t="s">
        <v>2122</v>
      </c>
    </row>
    <row r="1168" spans="1:4" x14ac:dyDescent="0.25">
      <c r="A1168" s="39" t="s">
        <v>5054</v>
      </c>
      <c r="B1168" s="39" t="s">
        <v>4079</v>
      </c>
      <c r="C1168" s="39">
        <v>4</v>
      </c>
      <c r="D1168" s="39" t="s">
        <v>2122</v>
      </c>
    </row>
    <row r="1169" spans="1:4" x14ac:dyDescent="0.25">
      <c r="A1169" s="39" t="s">
        <v>10662</v>
      </c>
      <c r="B1169" s="39" t="s">
        <v>10663</v>
      </c>
      <c r="C1169" s="39">
        <v>4</v>
      </c>
      <c r="D1169" s="39" t="s">
        <v>2122</v>
      </c>
    </row>
    <row r="1170" spans="1:4" x14ac:dyDescent="0.25">
      <c r="A1170" s="39" t="s">
        <v>5055</v>
      </c>
      <c r="B1170" s="39" t="s">
        <v>2951</v>
      </c>
      <c r="C1170" s="39">
        <v>4</v>
      </c>
      <c r="D1170" s="39" t="s">
        <v>2122</v>
      </c>
    </row>
    <row r="1171" spans="1:4" x14ac:dyDescent="0.25">
      <c r="A1171" s="39" t="s">
        <v>10664</v>
      </c>
      <c r="B1171" s="39" t="s">
        <v>4623</v>
      </c>
      <c r="C1171" s="39">
        <v>4</v>
      </c>
      <c r="D1171" s="39" t="s">
        <v>2122</v>
      </c>
    </row>
    <row r="1172" spans="1:4" x14ac:dyDescent="0.25">
      <c r="A1172" s="39" t="s">
        <v>10665</v>
      </c>
      <c r="B1172" s="39" t="s">
        <v>3975</v>
      </c>
      <c r="C1172" s="39">
        <v>4</v>
      </c>
      <c r="D1172" s="39" t="s">
        <v>2122</v>
      </c>
    </row>
    <row r="1173" spans="1:4" x14ac:dyDescent="0.25">
      <c r="A1173" s="39" t="s">
        <v>6995</v>
      </c>
      <c r="B1173" s="39" t="s">
        <v>2935</v>
      </c>
      <c r="C1173" s="39">
        <v>4</v>
      </c>
      <c r="D1173" s="39" t="s">
        <v>2122</v>
      </c>
    </row>
    <row r="1174" spans="1:4" x14ac:dyDescent="0.25">
      <c r="A1174" s="39" t="s">
        <v>10666</v>
      </c>
      <c r="B1174" s="39" t="s">
        <v>10667</v>
      </c>
      <c r="C1174" s="39">
        <v>4</v>
      </c>
      <c r="D1174" s="39" t="s">
        <v>2122</v>
      </c>
    </row>
    <row r="1175" spans="1:4" x14ac:dyDescent="0.25">
      <c r="A1175" s="39" t="s">
        <v>10668</v>
      </c>
      <c r="B1175" s="39" t="s">
        <v>5886</v>
      </c>
      <c r="C1175" s="39">
        <v>4</v>
      </c>
      <c r="D1175" s="39" t="s">
        <v>2122</v>
      </c>
    </row>
    <row r="1176" spans="1:4" x14ac:dyDescent="0.25">
      <c r="A1176" s="39" t="s">
        <v>6996</v>
      </c>
      <c r="B1176" s="39" t="s">
        <v>6997</v>
      </c>
      <c r="C1176" s="39">
        <v>4</v>
      </c>
      <c r="D1176" s="39" t="s">
        <v>2122</v>
      </c>
    </row>
    <row r="1177" spans="1:4" x14ac:dyDescent="0.25">
      <c r="A1177" s="39" t="s">
        <v>5058</v>
      </c>
      <c r="B1177" s="39" t="s">
        <v>5059</v>
      </c>
      <c r="C1177" s="39">
        <v>4</v>
      </c>
      <c r="D1177" s="39" t="s">
        <v>2122</v>
      </c>
    </row>
    <row r="1178" spans="1:4" x14ac:dyDescent="0.25">
      <c r="A1178" s="39" t="s">
        <v>2701</v>
      </c>
      <c r="B1178" s="39" t="s">
        <v>492</v>
      </c>
      <c r="C1178" s="39">
        <v>4</v>
      </c>
      <c r="D1178" s="39" t="s">
        <v>2122</v>
      </c>
    </row>
    <row r="1179" spans="1:4" x14ac:dyDescent="0.25">
      <c r="A1179" s="39" t="s">
        <v>5060</v>
      </c>
      <c r="B1179" s="39" t="s">
        <v>4204</v>
      </c>
      <c r="C1179" s="39">
        <v>4</v>
      </c>
      <c r="D1179" s="39" t="s">
        <v>2122</v>
      </c>
    </row>
    <row r="1180" spans="1:4" x14ac:dyDescent="0.25">
      <c r="A1180" s="39" t="s">
        <v>5061</v>
      </c>
      <c r="B1180" s="39" t="s">
        <v>1555</v>
      </c>
      <c r="C1180" s="39">
        <v>4</v>
      </c>
      <c r="D1180" s="39" t="s">
        <v>2122</v>
      </c>
    </row>
    <row r="1181" spans="1:4" x14ac:dyDescent="0.25">
      <c r="A1181" s="39" t="s">
        <v>5062</v>
      </c>
      <c r="B1181" s="39" t="s">
        <v>5063</v>
      </c>
      <c r="C1181" s="39">
        <v>4</v>
      </c>
      <c r="D1181" s="39" t="s">
        <v>2122</v>
      </c>
    </row>
    <row r="1182" spans="1:4" x14ac:dyDescent="0.25">
      <c r="A1182" s="39" t="s">
        <v>2702</v>
      </c>
      <c r="B1182" s="39" t="s">
        <v>1708</v>
      </c>
      <c r="C1182" s="39">
        <v>4</v>
      </c>
      <c r="D1182" s="39" t="s">
        <v>2122</v>
      </c>
    </row>
    <row r="1183" spans="1:4" x14ac:dyDescent="0.25">
      <c r="A1183" s="39" t="s">
        <v>5064</v>
      </c>
      <c r="B1183" s="39" t="s">
        <v>266</v>
      </c>
      <c r="C1183" s="39">
        <v>4</v>
      </c>
      <c r="D1183" s="39" t="s">
        <v>2122</v>
      </c>
    </row>
    <row r="1184" spans="1:4" x14ac:dyDescent="0.25">
      <c r="A1184" s="39" t="s">
        <v>1810</v>
      </c>
      <c r="B1184" s="39" t="s">
        <v>1056</v>
      </c>
      <c r="C1184" s="39">
        <v>4</v>
      </c>
      <c r="D1184" s="39" t="s">
        <v>2122</v>
      </c>
    </row>
    <row r="1185" spans="1:4" x14ac:dyDescent="0.25">
      <c r="A1185" s="39" t="s">
        <v>2389</v>
      </c>
      <c r="B1185" s="39" t="s">
        <v>2390</v>
      </c>
      <c r="C1185" s="39">
        <v>4</v>
      </c>
      <c r="D1185" s="39" t="s">
        <v>2122</v>
      </c>
    </row>
    <row r="1186" spans="1:4" x14ac:dyDescent="0.25">
      <c r="A1186" s="39" t="s">
        <v>6998</v>
      </c>
      <c r="B1186" s="39" t="s">
        <v>4100</v>
      </c>
      <c r="C1186" s="39">
        <v>4</v>
      </c>
      <c r="D1186" s="39" t="s">
        <v>2122</v>
      </c>
    </row>
    <row r="1187" spans="1:4" x14ac:dyDescent="0.25">
      <c r="A1187" s="39" t="s">
        <v>2703</v>
      </c>
      <c r="B1187" s="39" t="s">
        <v>1075</v>
      </c>
      <c r="C1187" s="39">
        <v>4</v>
      </c>
      <c r="D1187" s="39" t="s">
        <v>2122</v>
      </c>
    </row>
    <row r="1188" spans="1:4" x14ac:dyDescent="0.25">
      <c r="A1188" s="39" t="s">
        <v>6999</v>
      </c>
      <c r="B1188" s="39" t="s">
        <v>211</v>
      </c>
      <c r="C1188" s="39">
        <v>4</v>
      </c>
      <c r="D1188" s="39" t="s">
        <v>2122</v>
      </c>
    </row>
    <row r="1189" spans="1:4" x14ac:dyDescent="0.25">
      <c r="A1189" s="39" t="s">
        <v>7000</v>
      </c>
      <c r="B1189" s="39" t="s">
        <v>7001</v>
      </c>
      <c r="C1189" s="39">
        <v>4</v>
      </c>
      <c r="D1189" s="39" t="s">
        <v>2122</v>
      </c>
    </row>
    <row r="1190" spans="1:4" x14ac:dyDescent="0.25">
      <c r="A1190" s="39" t="s">
        <v>7002</v>
      </c>
      <c r="B1190" s="39" t="s">
        <v>7003</v>
      </c>
      <c r="C1190" s="39">
        <v>4</v>
      </c>
      <c r="D1190" s="39" t="s">
        <v>2122</v>
      </c>
    </row>
    <row r="1191" spans="1:4" x14ac:dyDescent="0.25">
      <c r="A1191" s="39" t="s">
        <v>2993</v>
      </c>
      <c r="B1191" s="39" t="s">
        <v>420</v>
      </c>
      <c r="C1191" s="39">
        <v>4</v>
      </c>
      <c r="D1191" s="39" t="s">
        <v>2122</v>
      </c>
    </row>
    <row r="1192" spans="1:4" x14ac:dyDescent="0.25">
      <c r="A1192" s="39" t="s">
        <v>10669</v>
      </c>
      <c r="B1192" s="39" t="s">
        <v>10670</v>
      </c>
      <c r="C1192" s="39">
        <v>4</v>
      </c>
      <c r="D1192" s="39" t="s">
        <v>2122</v>
      </c>
    </row>
    <row r="1193" spans="1:4" x14ac:dyDescent="0.25">
      <c r="A1193" s="39" t="s">
        <v>10671</v>
      </c>
      <c r="B1193" s="39" t="s">
        <v>10672</v>
      </c>
      <c r="C1193" s="39">
        <v>4</v>
      </c>
      <c r="D1193" s="39" t="s">
        <v>2122</v>
      </c>
    </row>
    <row r="1194" spans="1:4" x14ac:dyDescent="0.25">
      <c r="A1194" s="39" t="s">
        <v>7004</v>
      </c>
      <c r="B1194" s="39" t="s">
        <v>4546</v>
      </c>
      <c r="C1194" s="39">
        <v>4</v>
      </c>
      <c r="D1194" s="39" t="s">
        <v>2122</v>
      </c>
    </row>
    <row r="1195" spans="1:4" x14ac:dyDescent="0.25">
      <c r="A1195" s="39" t="s">
        <v>5065</v>
      </c>
      <c r="B1195" s="39" t="s">
        <v>5066</v>
      </c>
      <c r="C1195" s="39">
        <v>4</v>
      </c>
      <c r="D1195" s="39" t="s">
        <v>2122</v>
      </c>
    </row>
    <row r="1196" spans="1:4" x14ac:dyDescent="0.25">
      <c r="A1196" s="39" t="s">
        <v>7005</v>
      </c>
      <c r="B1196" s="39" t="s">
        <v>7006</v>
      </c>
      <c r="C1196" s="39">
        <v>4</v>
      </c>
      <c r="D1196" s="39" t="s">
        <v>2122</v>
      </c>
    </row>
    <row r="1197" spans="1:4" x14ac:dyDescent="0.25">
      <c r="A1197" s="39" t="s">
        <v>10673</v>
      </c>
      <c r="B1197" s="39" t="s">
        <v>4583</v>
      </c>
      <c r="C1197" s="39">
        <v>4</v>
      </c>
      <c r="D1197" s="39" t="s">
        <v>2122</v>
      </c>
    </row>
    <row r="1198" spans="1:4" x14ac:dyDescent="0.25">
      <c r="A1198" s="39" t="s">
        <v>2819</v>
      </c>
      <c r="B1198" s="39" t="s">
        <v>2495</v>
      </c>
      <c r="C1198" s="39">
        <v>4</v>
      </c>
      <c r="D1198" s="39" t="s">
        <v>2122</v>
      </c>
    </row>
    <row r="1199" spans="1:4" x14ac:dyDescent="0.25">
      <c r="A1199" s="39" t="s">
        <v>7007</v>
      </c>
      <c r="B1199" s="39" t="s">
        <v>7008</v>
      </c>
      <c r="C1199" s="39">
        <v>4</v>
      </c>
      <c r="D1199" s="39" t="s">
        <v>2122</v>
      </c>
    </row>
    <row r="1200" spans="1:4" x14ac:dyDescent="0.25">
      <c r="A1200" s="39" t="s">
        <v>3442</v>
      </c>
      <c r="B1200" s="39" t="s">
        <v>3719</v>
      </c>
      <c r="C1200" s="39">
        <v>4</v>
      </c>
      <c r="D1200" s="39" t="s">
        <v>2122</v>
      </c>
    </row>
    <row r="1201" spans="1:4" x14ac:dyDescent="0.25">
      <c r="A1201" s="39" t="s">
        <v>5069</v>
      </c>
      <c r="B1201" s="39" t="s">
        <v>5070</v>
      </c>
      <c r="C1201" s="39">
        <v>4</v>
      </c>
      <c r="D1201" s="39" t="s">
        <v>2122</v>
      </c>
    </row>
    <row r="1202" spans="1:4" x14ac:dyDescent="0.25">
      <c r="A1202" s="39" t="s">
        <v>1227</v>
      </c>
      <c r="B1202" s="39" t="s">
        <v>1470</v>
      </c>
      <c r="C1202" s="39">
        <v>4</v>
      </c>
      <c r="D1202" s="39" t="s">
        <v>2122</v>
      </c>
    </row>
    <row r="1203" spans="1:4" x14ac:dyDescent="0.25">
      <c r="A1203" s="39" t="s">
        <v>1972</v>
      </c>
      <c r="B1203" s="39" t="s">
        <v>264</v>
      </c>
      <c r="C1203" s="39">
        <v>4</v>
      </c>
      <c r="D1203" s="39" t="s">
        <v>2122</v>
      </c>
    </row>
    <row r="1204" spans="1:4" x14ac:dyDescent="0.25">
      <c r="A1204" s="39" t="s">
        <v>5071</v>
      </c>
      <c r="B1204" s="39" t="s">
        <v>5072</v>
      </c>
      <c r="C1204" s="39">
        <v>4</v>
      </c>
      <c r="D1204" s="39" t="s">
        <v>2122</v>
      </c>
    </row>
    <row r="1205" spans="1:4" x14ac:dyDescent="0.25">
      <c r="A1205" s="39" t="s">
        <v>3443</v>
      </c>
      <c r="B1205" s="39" t="s">
        <v>3720</v>
      </c>
      <c r="C1205" s="39">
        <v>4</v>
      </c>
      <c r="D1205" s="39" t="s">
        <v>2122</v>
      </c>
    </row>
    <row r="1206" spans="1:4" x14ac:dyDescent="0.25">
      <c r="A1206" s="39" t="s">
        <v>1164</v>
      </c>
      <c r="B1206" s="39" t="s">
        <v>2570</v>
      </c>
      <c r="C1206" s="39">
        <v>4</v>
      </c>
      <c r="D1206" s="39" t="s">
        <v>2122</v>
      </c>
    </row>
    <row r="1207" spans="1:4" x14ac:dyDescent="0.25">
      <c r="A1207" s="39" t="s">
        <v>3444</v>
      </c>
      <c r="B1207" s="39" t="s">
        <v>3721</v>
      </c>
      <c r="C1207" s="39">
        <v>4</v>
      </c>
      <c r="D1207" s="39" t="s">
        <v>2122</v>
      </c>
    </row>
    <row r="1208" spans="1:4" x14ac:dyDescent="0.25">
      <c r="A1208" s="39" t="s">
        <v>7009</v>
      </c>
      <c r="B1208" s="39" t="s">
        <v>7010</v>
      </c>
      <c r="C1208" s="39">
        <v>4</v>
      </c>
      <c r="D1208" s="39" t="s">
        <v>2122</v>
      </c>
    </row>
    <row r="1209" spans="1:4" x14ac:dyDescent="0.25">
      <c r="A1209" s="39" t="s">
        <v>7011</v>
      </c>
      <c r="B1209" s="39" t="s">
        <v>7012</v>
      </c>
      <c r="C1209" s="39">
        <v>4</v>
      </c>
      <c r="D1209" s="39" t="s">
        <v>2122</v>
      </c>
    </row>
    <row r="1210" spans="1:4" x14ac:dyDescent="0.25">
      <c r="A1210" s="39" t="s">
        <v>7013</v>
      </c>
      <c r="B1210" s="39" t="s">
        <v>7014</v>
      </c>
      <c r="C1210" s="39">
        <v>4</v>
      </c>
      <c r="D1210" s="39" t="s">
        <v>2122</v>
      </c>
    </row>
    <row r="1211" spans="1:4" x14ac:dyDescent="0.25">
      <c r="A1211" s="39" t="s">
        <v>10674</v>
      </c>
      <c r="B1211" s="39" t="s">
        <v>10675</v>
      </c>
      <c r="C1211" s="39">
        <v>4</v>
      </c>
      <c r="D1211" s="39" t="s">
        <v>2122</v>
      </c>
    </row>
    <row r="1212" spans="1:4" x14ac:dyDescent="0.25">
      <c r="A1212" s="39" t="s">
        <v>2064</v>
      </c>
      <c r="B1212" s="39" t="s">
        <v>2065</v>
      </c>
      <c r="C1212" s="39">
        <v>4</v>
      </c>
      <c r="D1212" s="39" t="s">
        <v>2122</v>
      </c>
    </row>
    <row r="1213" spans="1:4" x14ac:dyDescent="0.25">
      <c r="A1213" s="39" t="s">
        <v>5073</v>
      </c>
      <c r="B1213" s="39" t="s">
        <v>2521</v>
      </c>
      <c r="C1213" s="39">
        <v>4</v>
      </c>
      <c r="D1213" s="39" t="s">
        <v>2122</v>
      </c>
    </row>
    <row r="1214" spans="1:4" x14ac:dyDescent="0.25">
      <c r="A1214" s="39" t="s">
        <v>1852</v>
      </c>
      <c r="B1214" s="39" t="s">
        <v>1351</v>
      </c>
      <c r="C1214" s="39">
        <v>4</v>
      </c>
      <c r="D1214" s="39" t="s">
        <v>2122</v>
      </c>
    </row>
    <row r="1215" spans="1:4" x14ac:dyDescent="0.25">
      <c r="A1215" s="39" t="s">
        <v>1856</v>
      </c>
      <c r="B1215" s="39" t="s">
        <v>906</v>
      </c>
      <c r="C1215" s="39">
        <v>4</v>
      </c>
      <c r="D1215" s="39" t="s">
        <v>2122</v>
      </c>
    </row>
    <row r="1216" spans="1:4" x14ac:dyDescent="0.25">
      <c r="A1216" s="39" t="s">
        <v>7015</v>
      </c>
      <c r="B1216" s="39" t="s">
        <v>2933</v>
      </c>
      <c r="C1216" s="39">
        <v>4</v>
      </c>
      <c r="D1216" s="39" t="s">
        <v>2122</v>
      </c>
    </row>
    <row r="1217" spans="1:4" x14ac:dyDescent="0.25">
      <c r="A1217" s="39" t="s">
        <v>10676</v>
      </c>
      <c r="B1217" s="39" t="s">
        <v>352</v>
      </c>
      <c r="C1217" s="39">
        <v>4</v>
      </c>
      <c r="D1217" s="39" t="s">
        <v>2122</v>
      </c>
    </row>
    <row r="1218" spans="1:4" x14ac:dyDescent="0.25">
      <c r="A1218" s="39" t="s">
        <v>10677</v>
      </c>
      <c r="B1218" s="39" t="s">
        <v>10678</v>
      </c>
      <c r="C1218" s="39">
        <v>4</v>
      </c>
      <c r="D1218" s="39" t="s">
        <v>2122</v>
      </c>
    </row>
    <row r="1219" spans="1:4" x14ac:dyDescent="0.25">
      <c r="A1219" s="39" t="s">
        <v>7016</v>
      </c>
      <c r="B1219" s="39" t="s">
        <v>7017</v>
      </c>
      <c r="C1219" s="39">
        <v>4</v>
      </c>
      <c r="D1219" s="39" t="s">
        <v>2122</v>
      </c>
    </row>
    <row r="1220" spans="1:4" x14ac:dyDescent="0.25">
      <c r="A1220" s="39" t="s">
        <v>10679</v>
      </c>
      <c r="B1220" s="39" t="s">
        <v>6119</v>
      </c>
      <c r="C1220" s="39">
        <v>4</v>
      </c>
      <c r="D1220" s="39" t="s">
        <v>2122</v>
      </c>
    </row>
    <row r="1221" spans="1:4" x14ac:dyDescent="0.25">
      <c r="A1221" s="39" t="s">
        <v>7018</v>
      </c>
      <c r="B1221" s="39" t="s">
        <v>7019</v>
      </c>
      <c r="C1221" s="39">
        <v>4</v>
      </c>
      <c r="D1221" s="39" t="s">
        <v>2122</v>
      </c>
    </row>
    <row r="1222" spans="1:4" x14ac:dyDescent="0.25">
      <c r="A1222" s="39" t="s">
        <v>2546</v>
      </c>
      <c r="B1222" s="39" t="s">
        <v>1916</v>
      </c>
      <c r="C1222" s="39">
        <v>4</v>
      </c>
      <c r="D1222" s="39" t="s">
        <v>2122</v>
      </c>
    </row>
    <row r="1223" spans="1:4" x14ac:dyDescent="0.25">
      <c r="A1223" s="39" t="s">
        <v>3163</v>
      </c>
      <c r="B1223" s="39" t="s">
        <v>2923</v>
      </c>
      <c r="C1223" s="39">
        <v>4</v>
      </c>
      <c r="D1223" s="39" t="s">
        <v>2122</v>
      </c>
    </row>
    <row r="1224" spans="1:4" x14ac:dyDescent="0.25">
      <c r="A1224" s="39" t="s">
        <v>10680</v>
      </c>
      <c r="B1224" s="39" t="s">
        <v>4572</v>
      </c>
      <c r="C1224" s="39">
        <v>4</v>
      </c>
      <c r="D1224" s="39" t="s">
        <v>2122</v>
      </c>
    </row>
    <row r="1225" spans="1:4" x14ac:dyDescent="0.25">
      <c r="A1225" s="39" t="s">
        <v>5074</v>
      </c>
      <c r="B1225" s="39" t="s">
        <v>5075</v>
      </c>
      <c r="C1225" s="39">
        <v>4</v>
      </c>
      <c r="D1225" s="39" t="s">
        <v>2122</v>
      </c>
    </row>
    <row r="1226" spans="1:4" x14ac:dyDescent="0.25">
      <c r="A1226" s="39" t="s">
        <v>5076</v>
      </c>
      <c r="B1226" s="39" t="s">
        <v>3017</v>
      </c>
      <c r="C1226" s="39">
        <v>4</v>
      </c>
      <c r="D1226" s="39" t="s">
        <v>2122</v>
      </c>
    </row>
    <row r="1227" spans="1:4" x14ac:dyDescent="0.25">
      <c r="A1227" s="39" t="s">
        <v>10681</v>
      </c>
      <c r="B1227" s="39" t="s">
        <v>4234</v>
      </c>
      <c r="C1227" s="39">
        <v>4</v>
      </c>
      <c r="D1227" s="39" t="s">
        <v>2122</v>
      </c>
    </row>
    <row r="1228" spans="1:4" x14ac:dyDescent="0.25">
      <c r="A1228" s="39" t="s">
        <v>5077</v>
      </c>
      <c r="B1228" s="39" t="s">
        <v>5078</v>
      </c>
      <c r="C1228" s="39">
        <v>4</v>
      </c>
      <c r="D1228" s="39" t="s">
        <v>2122</v>
      </c>
    </row>
    <row r="1229" spans="1:4" x14ac:dyDescent="0.25">
      <c r="A1229" s="39" t="s">
        <v>3159</v>
      </c>
      <c r="B1229" s="39" t="s">
        <v>5079</v>
      </c>
      <c r="C1229" s="39">
        <v>4</v>
      </c>
      <c r="D1229" s="39" t="s">
        <v>2122</v>
      </c>
    </row>
    <row r="1230" spans="1:4" x14ac:dyDescent="0.25">
      <c r="A1230" s="39" t="s">
        <v>1857</v>
      </c>
      <c r="B1230" s="39" t="s">
        <v>257</v>
      </c>
      <c r="C1230" s="39">
        <v>4</v>
      </c>
      <c r="D1230" s="39" t="s">
        <v>2122</v>
      </c>
    </row>
    <row r="1231" spans="1:4" x14ac:dyDescent="0.25">
      <c r="A1231" s="39" t="s">
        <v>7020</v>
      </c>
      <c r="B1231" s="39" t="s">
        <v>3916</v>
      </c>
      <c r="C1231" s="39">
        <v>4</v>
      </c>
      <c r="D1231" s="39" t="s">
        <v>2122</v>
      </c>
    </row>
    <row r="1232" spans="1:4" x14ac:dyDescent="0.25">
      <c r="A1232" s="39" t="s">
        <v>10682</v>
      </c>
      <c r="B1232" s="39" t="s">
        <v>4290</v>
      </c>
      <c r="C1232" s="39">
        <v>4</v>
      </c>
      <c r="D1232" s="39" t="s">
        <v>2122</v>
      </c>
    </row>
    <row r="1233" spans="1:4" x14ac:dyDescent="0.25">
      <c r="A1233" s="39" t="s">
        <v>10683</v>
      </c>
      <c r="B1233" s="39" t="s">
        <v>4642</v>
      </c>
      <c r="C1233" s="39">
        <v>4</v>
      </c>
      <c r="D1233" s="39" t="s">
        <v>2122</v>
      </c>
    </row>
    <row r="1234" spans="1:4" x14ac:dyDescent="0.25">
      <c r="A1234" s="39" t="s">
        <v>2230</v>
      </c>
      <c r="B1234" s="39" t="s">
        <v>2144</v>
      </c>
      <c r="C1234" s="39">
        <v>4</v>
      </c>
      <c r="D1234" s="39" t="s">
        <v>2122</v>
      </c>
    </row>
    <row r="1235" spans="1:4" x14ac:dyDescent="0.25">
      <c r="A1235" s="39" t="s">
        <v>10684</v>
      </c>
      <c r="B1235" s="39" t="s">
        <v>10685</v>
      </c>
      <c r="C1235" s="39">
        <v>4</v>
      </c>
      <c r="D1235" s="39" t="s">
        <v>2122</v>
      </c>
    </row>
    <row r="1236" spans="1:4" x14ac:dyDescent="0.25">
      <c r="A1236" s="39" t="s">
        <v>5080</v>
      </c>
      <c r="B1236" s="39" t="s">
        <v>5081</v>
      </c>
      <c r="C1236" s="39">
        <v>4</v>
      </c>
      <c r="D1236" s="39" t="s">
        <v>2122</v>
      </c>
    </row>
    <row r="1237" spans="1:4" x14ac:dyDescent="0.25">
      <c r="A1237" s="39" t="s">
        <v>7021</v>
      </c>
      <c r="B1237" s="39" t="s">
        <v>4842</v>
      </c>
      <c r="C1237" s="39">
        <v>4</v>
      </c>
      <c r="D1237" s="39" t="s">
        <v>2122</v>
      </c>
    </row>
    <row r="1238" spans="1:4" x14ac:dyDescent="0.25">
      <c r="A1238" s="39" t="s">
        <v>10686</v>
      </c>
      <c r="B1238" s="39" t="s">
        <v>10687</v>
      </c>
      <c r="C1238" s="39">
        <v>4</v>
      </c>
      <c r="D1238" s="39" t="s">
        <v>2122</v>
      </c>
    </row>
    <row r="1239" spans="1:4" x14ac:dyDescent="0.25">
      <c r="A1239" s="39" t="s">
        <v>10688</v>
      </c>
      <c r="B1239" s="39" t="s">
        <v>7022</v>
      </c>
      <c r="C1239" s="39">
        <v>4</v>
      </c>
      <c r="D1239" s="39" t="s">
        <v>2122</v>
      </c>
    </row>
    <row r="1240" spans="1:4" x14ac:dyDescent="0.25">
      <c r="A1240" s="39" t="s">
        <v>7023</v>
      </c>
      <c r="B1240" s="39" t="s">
        <v>7024</v>
      </c>
      <c r="C1240" s="39">
        <v>4</v>
      </c>
      <c r="D1240" s="39" t="s">
        <v>2122</v>
      </c>
    </row>
    <row r="1241" spans="1:4" x14ac:dyDescent="0.25">
      <c r="A1241" s="39" t="s">
        <v>10689</v>
      </c>
      <c r="B1241" s="39" t="s">
        <v>10690</v>
      </c>
      <c r="C1241" s="39">
        <v>4</v>
      </c>
      <c r="D1241" s="39" t="s">
        <v>2122</v>
      </c>
    </row>
    <row r="1242" spans="1:4" x14ac:dyDescent="0.25">
      <c r="A1242" s="39" t="s">
        <v>7025</v>
      </c>
      <c r="B1242" s="39" t="s">
        <v>7026</v>
      </c>
      <c r="C1242" s="39">
        <v>4</v>
      </c>
      <c r="D1242" s="39" t="s">
        <v>2122</v>
      </c>
    </row>
    <row r="1243" spans="1:4" x14ac:dyDescent="0.25">
      <c r="A1243" s="39" t="s">
        <v>3446</v>
      </c>
      <c r="B1243" s="39" t="s">
        <v>3723</v>
      </c>
      <c r="C1243" s="39">
        <v>4</v>
      </c>
      <c r="D1243" s="39" t="s">
        <v>2122</v>
      </c>
    </row>
    <row r="1244" spans="1:4" x14ac:dyDescent="0.25">
      <c r="A1244" s="39" t="s">
        <v>2197</v>
      </c>
      <c r="B1244" s="39" t="s">
        <v>919</v>
      </c>
      <c r="C1244" s="39">
        <v>4</v>
      </c>
      <c r="D1244" s="39" t="s">
        <v>2122</v>
      </c>
    </row>
    <row r="1245" spans="1:4" x14ac:dyDescent="0.25">
      <c r="A1245" s="39" t="s">
        <v>10691</v>
      </c>
      <c r="B1245" s="39" t="s">
        <v>4015</v>
      </c>
      <c r="C1245" s="39">
        <v>4</v>
      </c>
      <c r="D1245" s="39" t="s">
        <v>2122</v>
      </c>
    </row>
    <row r="1246" spans="1:4" x14ac:dyDescent="0.25">
      <c r="A1246" s="39" t="s">
        <v>5082</v>
      </c>
      <c r="B1246" s="39" t="s">
        <v>5083</v>
      </c>
      <c r="C1246" s="39">
        <v>4</v>
      </c>
      <c r="D1246" s="39" t="s">
        <v>2122</v>
      </c>
    </row>
    <row r="1247" spans="1:4" x14ac:dyDescent="0.25">
      <c r="A1247" s="39" t="s">
        <v>7027</v>
      </c>
      <c r="B1247" s="39" t="s">
        <v>5830</v>
      </c>
      <c r="C1247" s="39">
        <v>4</v>
      </c>
      <c r="D1247" s="39" t="s">
        <v>2122</v>
      </c>
    </row>
    <row r="1248" spans="1:4" x14ac:dyDescent="0.25">
      <c r="A1248" s="39" t="s">
        <v>5084</v>
      </c>
      <c r="B1248" s="39" t="s">
        <v>5085</v>
      </c>
      <c r="C1248" s="39">
        <v>4</v>
      </c>
      <c r="D1248" s="39" t="s">
        <v>2122</v>
      </c>
    </row>
    <row r="1249" spans="1:4" x14ac:dyDescent="0.25">
      <c r="A1249" s="39" t="s">
        <v>7028</v>
      </c>
      <c r="B1249" s="39" t="s">
        <v>7029</v>
      </c>
      <c r="C1249" s="39">
        <v>4</v>
      </c>
      <c r="D1249" s="39" t="s">
        <v>2122</v>
      </c>
    </row>
    <row r="1250" spans="1:4" x14ac:dyDescent="0.25">
      <c r="A1250" s="39" t="s">
        <v>2067</v>
      </c>
      <c r="B1250" s="39" t="s">
        <v>1612</v>
      </c>
      <c r="C1250" s="39">
        <v>4</v>
      </c>
      <c r="D1250" s="39" t="s">
        <v>2122</v>
      </c>
    </row>
    <row r="1251" spans="1:4" x14ac:dyDescent="0.25">
      <c r="A1251" s="39" t="s">
        <v>7030</v>
      </c>
      <c r="B1251" s="39" t="s">
        <v>7031</v>
      </c>
      <c r="C1251" s="39">
        <v>4</v>
      </c>
      <c r="D1251" s="39" t="s">
        <v>2122</v>
      </c>
    </row>
    <row r="1252" spans="1:4" x14ac:dyDescent="0.25">
      <c r="A1252" s="39" t="s">
        <v>3166</v>
      </c>
      <c r="B1252" s="39" t="s">
        <v>3082</v>
      </c>
      <c r="C1252" s="39">
        <v>4</v>
      </c>
      <c r="D1252" s="39" t="s">
        <v>2122</v>
      </c>
    </row>
    <row r="1253" spans="1:4" x14ac:dyDescent="0.25">
      <c r="A1253" s="39" t="s">
        <v>3447</v>
      </c>
      <c r="B1253" s="39" t="s">
        <v>3027</v>
      </c>
      <c r="C1253" s="39">
        <v>4</v>
      </c>
      <c r="D1253" s="39" t="s">
        <v>2122</v>
      </c>
    </row>
    <row r="1254" spans="1:4" x14ac:dyDescent="0.25">
      <c r="A1254" s="39" t="s">
        <v>10692</v>
      </c>
      <c r="B1254" s="39" t="s">
        <v>1584</v>
      </c>
      <c r="C1254" s="39">
        <v>4</v>
      </c>
      <c r="D1254" s="39" t="s">
        <v>2122</v>
      </c>
    </row>
    <row r="1255" spans="1:4" x14ac:dyDescent="0.25">
      <c r="A1255" s="39" t="s">
        <v>1859</v>
      </c>
      <c r="B1255" s="39" t="s">
        <v>1461</v>
      </c>
      <c r="C1255" s="39">
        <v>4</v>
      </c>
      <c r="D1255" s="39" t="s">
        <v>2122</v>
      </c>
    </row>
    <row r="1256" spans="1:4" x14ac:dyDescent="0.25">
      <c r="A1256" s="39" t="s">
        <v>5086</v>
      </c>
      <c r="B1256" s="39" t="s">
        <v>5087</v>
      </c>
      <c r="C1256" s="39">
        <v>4</v>
      </c>
      <c r="D1256" s="39" t="s">
        <v>2122</v>
      </c>
    </row>
    <row r="1257" spans="1:4" x14ac:dyDescent="0.25">
      <c r="A1257" s="39" t="s">
        <v>10693</v>
      </c>
      <c r="B1257" s="39" t="s">
        <v>3105</v>
      </c>
      <c r="C1257" s="39">
        <v>4</v>
      </c>
      <c r="D1257" s="39" t="s">
        <v>2122</v>
      </c>
    </row>
    <row r="1258" spans="1:4" x14ac:dyDescent="0.25">
      <c r="A1258" s="39" t="s">
        <v>10694</v>
      </c>
      <c r="B1258" s="39" t="s">
        <v>4016</v>
      </c>
      <c r="C1258" s="39">
        <v>4</v>
      </c>
      <c r="D1258" s="39" t="s">
        <v>2122</v>
      </c>
    </row>
    <row r="1259" spans="1:4" x14ac:dyDescent="0.25">
      <c r="A1259" s="39" t="s">
        <v>3448</v>
      </c>
      <c r="B1259" s="39" t="s">
        <v>2632</v>
      </c>
      <c r="C1259" s="39">
        <v>4</v>
      </c>
      <c r="D1259" s="39" t="s">
        <v>2122</v>
      </c>
    </row>
    <row r="1260" spans="1:4" x14ac:dyDescent="0.25">
      <c r="A1260" s="39" t="s">
        <v>2012</v>
      </c>
      <c r="B1260" s="39" t="s">
        <v>3167</v>
      </c>
      <c r="C1260" s="39">
        <v>4</v>
      </c>
      <c r="D1260" s="39" t="s">
        <v>2122</v>
      </c>
    </row>
    <row r="1261" spans="1:4" x14ac:dyDescent="0.25">
      <c r="A1261" s="39" t="s">
        <v>7032</v>
      </c>
      <c r="B1261" s="39" t="s">
        <v>7033</v>
      </c>
      <c r="C1261" s="39">
        <v>4</v>
      </c>
      <c r="D1261" s="39" t="s">
        <v>2122</v>
      </c>
    </row>
    <row r="1262" spans="1:4" x14ac:dyDescent="0.25">
      <c r="A1262" s="39" t="s">
        <v>10695</v>
      </c>
      <c r="B1262" s="39" t="s">
        <v>10696</v>
      </c>
      <c r="C1262" s="39">
        <v>4</v>
      </c>
      <c r="D1262" s="39" t="s">
        <v>2122</v>
      </c>
    </row>
    <row r="1263" spans="1:4" x14ac:dyDescent="0.25">
      <c r="A1263" s="39" t="s">
        <v>3168</v>
      </c>
      <c r="B1263" s="39" t="s">
        <v>3169</v>
      </c>
      <c r="C1263" s="39">
        <v>4</v>
      </c>
      <c r="D1263" s="39" t="s">
        <v>2122</v>
      </c>
    </row>
    <row r="1264" spans="1:4" x14ac:dyDescent="0.25">
      <c r="A1264" s="39" t="s">
        <v>7034</v>
      </c>
      <c r="B1264" s="39" t="s">
        <v>7035</v>
      </c>
      <c r="C1264" s="39">
        <v>4</v>
      </c>
      <c r="D1264" s="39" t="s">
        <v>2122</v>
      </c>
    </row>
    <row r="1265" spans="1:4" x14ac:dyDescent="0.25">
      <c r="A1265" s="39" t="s">
        <v>3170</v>
      </c>
      <c r="B1265" s="39" t="s">
        <v>2146</v>
      </c>
      <c r="C1265" s="39">
        <v>4</v>
      </c>
      <c r="D1265" s="39" t="s">
        <v>2122</v>
      </c>
    </row>
    <row r="1266" spans="1:4" x14ac:dyDescent="0.25">
      <c r="A1266" s="39" t="s">
        <v>3123</v>
      </c>
      <c r="B1266" s="39" t="s">
        <v>3172</v>
      </c>
      <c r="C1266" s="39">
        <v>4</v>
      </c>
      <c r="D1266" s="39" t="s">
        <v>2122</v>
      </c>
    </row>
    <row r="1267" spans="1:4" x14ac:dyDescent="0.25">
      <c r="A1267" s="39" t="s">
        <v>5088</v>
      </c>
      <c r="B1267" s="39" t="s">
        <v>3021</v>
      </c>
      <c r="C1267" s="39">
        <v>4</v>
      </c>
      <c r="D1267" s="39" t="s">
        <v>2122</v>
      </c>
    </row>
    <row r="1268" spans="1:4" x14ac:dyDescent="0.25">
      <c r="A1268" s="39" t="s">
        <v>10697</v>
      </c>
      <c r="B1268" s="39" t="s">
        <v>10698</v>
      </c>
      <c r="C1268" s="39">
        <v>4</v>
      </c>
      <c r="D1268" s="39" t="s">
        <v>2122</v>
      </c>
    </row>
    <row r="1269" spans="1:4" x14ac:dyDescent="0.25">
      <c r="A1269" s="39" t="s">
        <v>1159</v>
      </c>
      <c r="B1269" s="39" t="s">
        <v>321</v>
      </c>
      <c r="C1269" s="39">
        <v>4</v>
      </c>
      <c r="D1269" s="39" t="s">
        <v>2122</v>
      </c>
    </row>
    <row r="1270" spans="1:4" x14ac:dyDescent="0.25">
      <c r="A1270" s="39" t="s">
        <v>3449</v>
      </c>
      <c r="B1270" s="39" t="s">
        <v>3724</v>
      </c>
      <c r="C1270" s="39">
        <v>4</v>
      </c>
      <c r="D1270" s="39" t="s">
        <v>2122</v>
      </c>
    </row>
    <row r="1271" spans="1:4" x14ac:dyDescent="0.25">
      <c r="A1271" s="39" t="s">
        <v>10699</v>
      </c>
      <c r="B1271" s="39" t="s">
        <v>10700</v>
      </c>
      <c r="C1271" s="39">
        <v>4</v>
      </c>
      <c r="D1271" s="39" t="s">
        <v>2122</v>
      </c>
    </row>
    <row r="1272" spans="1:4" x14ac:dyDescent="0.25">
      <c r="A1272" s="39" t="s">
        <v>7036</v>
      </c>
      <c r="B1272" s="39" t="s">
        <v>4740</v>
      </c>
      <c r="C1272" s="39">
        <v>4</v>
      </c>
      <c r="D1272" s="39" t="s">
        <v>2122</v>
      </c>
    </row>
    <row r="1273" spans="1:4" x14ac:dyDescent="0.25">
      <c r="A1273" s="39" t="s">
        <v>10701</v>
      </c>
      <c r="B1273" s="39" t="s">
        <v>3964</v>
      </c>
      <c r="C1273" s="39">
        <v>4</v>
      </c>
      <c r="D1273" s="39" t="s">
        <v>2122</v>
      </c>
    </row>
    <row r="1274" spans="1:4" x14ac:dyDescent="0.25">
      <c r="A1274" s="39" t="s">
        <v>5089</v>
      </c>
      <c r="B1274" s="39" t="s">
        <v>5090</v>
      </c>
      <c r="C1274" s="39">
        <v>4</v>
      </c>
      <c r="D1274" s="39" t="s">
        <v>2122</v>
      </c>
    </row>
    <row r="1275" spans="1:4" x14ac:dyDescent="0.25">
      <c r="A1275" s="39" t="s">
        <v>5091</v>
      </c>
      <c r="B1275" s="39" t="s">
        <v>5092</v>
      </c>
      <c r="C1275" s="39">
        <v>4</v>
      </c>
      <c r="D1275" s="39" t="s">
        <v>2122</v>
      </c>
    </row>
    <row r="1276" spans="1:4" x14ac:dyDescent="0.25">
      <c r="A1276" s="39" t="s">
        <v>7037</v>
      </c>
      <c r="B1276" s="39" t="s">
        <v>7038</v>
      </c>
      <c r="C1276" s="39">
        <v>4</v>
      </c>
      <c r="D1276" s="39" t="s">
        <v>2122</v>
      </c>
    </row>
    <row r="1277" spans="1:4" x14ac:dyDescent="0.25">
      <c r="A1277" s="39" t="s">
        <v>5093</v>
      </c>
      <c r="B1277" s="39" t="s">
        <v>4133</v>
      </c>
      <c r="C1277" s="39">
        <v>4</v>
      </c>
      <c r="D1277" s="39" t="s">
        <v>2122</v>
      </c>
    </row>
    <row r="1278" spans="1:4" x14ac:dyDescent="0.25">
      <c r="A1278" s="39" t="s">
        <v>10702</v>
      </c>
      <c r="B1278" s="39" t="s">
        <v>4396</v>
      </c>
      <c r="C1278" s="39">
        <v>4</v>
      </c>
      <c r="D1278" s="39" t="s">
        <v>2122</v>
      </c>
    </row>
    <row r="1279" spans="1:4" x14ac:dyDescent="0.25">
      <c r="A1279" s="39" t="s">
        <v>3450</v>
      </c>
      <c r="B1279" s="39" t="s">
        <v>805</v>
      </c>
      <c r="C1279" s="39">
        <v>4</v>
      </c>
      <c r="D1279" s="39" t="s">
        <v>2122</v>
      </c>
    </row>
    <row r="1280" spans="1:4" x14ac:dyDescent="0.25">
      <c r="A1280" s="39" t="s">
        <v>7039</v>
      </c>
      <c r="B1280" s="39" t="s">
        <v>7040</v>
      </c>
      <c r="C1280" s="39">
        <v>4</v>
      </c>
      <c r="D1280" s="39" t="s">
        <v>2122</v>
      </c>
    </row>
    <row r="1281" spans="1:4" x14ac:dyDescent="0.25">
      <c r="A1281" s="39" t="s">
        <v>5094</v>
      </c>
      <c r="B1281" s="39" t="s">
        <v>2524</v>
      </c>
      <c r="C1281" s="39">
        <v>4</v>
      </c>
      <c r="D1281" s="39" t="s">
        <v>2122</v>
      </c>
    </row>
    <row r="1282" spans="1:4" x14ac:dyDescent="0.25">
      <c r="A1282" s="39" t="s">
        <v>7041</v>
      </c>
      <c r="B1282" s="39" t="s">
        <v>7042</v>
      </c>
      <c r="C1282" s="39">
        <v>4</v>
      </c>
      <c r="D1282" s="39" t="s">
        <v>2122</v>
      </c>
    </row>
    <row r="1283" spans="1:4" x14ac:dyDescent="0.25">
      <c r="A1283" s="39" t="s">
        <v>7043</v>
      </c>
      <c r="B1283" s="39" t="s">
        <v>7044</v>
      </c>
      <c r="C1283" s="39">
        <v>4</v>
      </c>
      <c r="D1283" s="39" t="s">
        <v>2122</v>
      </c>
    </row>
    <row r="1284" spans="1:4" x14ac:dyDescent="0.25">
      <c r="A1284" s="39" t="s">
        <v>10703</v>
      </c>
      <c r="B1284" s="39" t="s">
        <v>4624</v>
      </c>
      <c r="C1284" s="39">
        <v>4</v>
      </c>
      <c r="D1284" s="39" t="s">
        <v>2122</v>
      </c>
    </row>
    <row r="1285" spans="1:4" x14ac:dyDescent="0.25">
      <c r="A1285" s="39" t="s">
        <v>5095</v>
      </c>
      <c r="B1285" s="39" t="s">
        <v>5096</v>
      </c>
      <c r="C1285" s="39">
        <v>4</v>
      </c>
      <c r="D1285" s="39" t="s">
        <v>2122</v>
      </c>
    </row>
    <row r="1286" spans="1:4" x14ac:dyDescent="0.25">
      <c r="A1286" s="39" t="s">
        <v>867</v>
      </c>
      <c r="B1286" s="39" t="s">
        <v>2068</v>
      </c>
      <c r="C1286" s="39">
        <v>4</v>
      </c>
      <c r="D1286" s="39" t="s">
        <v>2122</v>
      </c>
    </row>
    <row r="1287" spans="1:4" x14ac:dyDescent="0.25">
      <c r="A1287" s="39" t="s">
        <v>3451</v>
      </c>
      <c r="B1287" s="39" t="s">
        <v>3725</v>
      </c>
      <c r="C1287" s="39">
        <v>4</v>
      </c>
      <c r="D1287" s="39" t="s">
        <v>2122</v>
      </c>
    </row>
    <row r="1288" spans="1:4" x14ac:dyDescent="0.25">
      <c r="A1288" s="39" t="s">
        <v>10704</v>
      </c>
      <c r="B1288" s="39" t="s">
        <v>2641</v>
      </c>
      <c r="C1288" s="39">
        <v>4</v>
      </c>
      <c r="D1288" s="39" t="s">
        <v>2122</v>
      </c>
    </row>
    <row r="1289" spans="1:4" x14ac:dyDescent="0.25">
      <c r="A1289" s="39" t="s">
        <v>2071</v>
      </c>
      <c r="B1289" s="39" t="s">
        <v>2072</v>
      </c>
      <c r="C1289" s="39">
        <v>4</v>
      </c>
      <c r="D1289" s="39" t="s">
        <v>2122</v>
      </c>
    </row>
    <row r="1290" spans="1:4" x14ac:dyDescent="0.25">
      <c r="A1290" s="39" t="s">
        <v>2315</v>
      </c>
      <c r="B1290" s="39" t="s">
        <v>2143</v>
      </c>
      <c r="C1290" s="39">
        <v>4</v>
      </c>
      <c r="D1290" s="39" t="s">
        <v>2122</v>
      </c>
    </row>
    <row r="1291" spans="1:4" x14ac:dyDescent="0.25">
      <c r="A1291" s="39" t="s">
        <v>3452</v>
      </c>
      <c r="B1291" s="39" t="s">
        <v>2030</v>
      </c>
      <c r="C1291" s="39">
        <v>4</v>
      </c>
      <c r="D1291" s="39" t="s">
        <v>2122</v>
      </c>
    </row>
    <row r="1292" spans="1:4" x14ac:dyDescent="0.25">
      <c r="A1292" s="39" t="s">
        <v>5097</v>
      </c>
      <c r="B1292" s="39" t="s">
        <v>2969</v>
      </c>
      <c r="C1292" s="39">
        <v>4</v>
      </c>
      <c r="D1292" s="39" t="s">
        <v>2122</v>
      </c>
    </row>
    <row r="1293" spans="1:4" x14ac:dyDescent="0.25">
      <c r="A1293" s="39" t="s">
        <v>5098</v>
      </c>
      <c r="B1293" s="39" t="s">
        <v>5099</v>
      </c>
      <c r="C1293" s="39">
        <v>4</v>
      </c>
      <c r="D1293" s="39" t="s">
        <v>2122</v>
      </c>
    </row>
    <row r="1294" spans="1:4" x14ac:dyDescent="0.25">
      <c r="A1294" s="39" t="s">
        <v>5100</v>
      </c>
      <c r="B1294" s="39" t="s">
        <v>2950</v>
      </c>
      <c r="C1294" s="39">
        <v>4</v>
      </c>
      <c r="D1294" s="39" t="s">
        <v>2122</v>
      </c>
    </row>
    <row r="1295" spans="1:4" x14ac:dyDescent="0.25">
      <c r="A1295" s="39" t="s">
        <v>10705</v>
      </c>
      <c r="B1295" s="39" t="s">
        <v>4198</v>
      </c>
      <c r="C1295" s="39">
        <v>4</v>
      </c>
      <c r="D1295" s="39" t="s">
        <v>2122</v>
      </c>
    </row>
    <row r="1296" spans="1:4" x14ac:dyDescent="0.25">
      <c r="A1296" s="39" t="s">
        <v>10706</v>
      </c>
      <c r="B1296" s="39" t="s">
        <v>10707</v>
      </c>
      <c r="C1296" s="39">
        <v>4</v>
      </c>
      <c r="D1296" s="39" t="s">
        <v>2122</v>
      </c>
    </row>
    <row r="1297" spans="1:4" x14ac:dyDescent="0.25">
      <c r="A1297" s="39" t="s">
        <v>10708</v>
      </c>
      <c r="B1297" s="39" t="s">
        <v>10709</v>
      </c>
      <c r="C1297" s="39">
        <v>4</v>
      </c>
      <c r="D1297" s="39" t="s">
        <v>2122</v>
      </c>
    </row>
    <row r="1298" spans="1:4" x14ac:dyDescent="0.25">
      <c r="A1298" s="39" t="s">
        <v>10710</v>
      </c>
      <c r="B1298" s="39" t="s">
        <v>10711</v>
      </c>
      <c r="C1298" s="39">
        <v>4</v>
      </c>
      <c r="D1298" s="39" t="s">
        <v>2122</v>
      </c>
    </row>
    <row r="1299" spans="1:4" x14ac:dyDescent="0.25">
      <c r="A1299" s="39" t="s">
        <v>3453</v>
      </c>
      <c r="B1299" s="39" t="s">
        <v>3726</v>
      </c>
      <c r="C1299" s="39">
        <v>4</v>
      </c>
      <c r="D1299" s="39" t="s">
        <v>2122</v>
      </c>
    </row>
    <row r="1300" spans="1:4" x14ac:dyDescent="0.25">
      <c r="A1300" s="39" t="s">
        <v>10712</v>
      </c>
      <c r="B1300" s="39" t="s">
        <v>2650</v>
      </c>
      <c r="C1300" s="39">
        <v>4</v>
      </c>
      <c r="D1300" s="39" t="s">
        <v>2122</v>
      </c>
    </row>
    <row r="1301" spans="1:4" x14ac:dyDescent="0.25">
      <c r="A1301" s="39" t="s">
        <v>7045</v>
      </c>
      <c r="B1301" s="39" t="s">
        <v>4073</v>
      </c>
      <c r="C1301" s="39">
        <v>4</v>
      </c>
      <c r="D1301" s="39" t="s">
        <v>2122</v>
      </c>
    </row>
    <row r="1302" spans="1:4" x14ac:dyDescent="0.25">
      <c r="A1302" s="39" t="s">
        <v>7046</v>
      </c>
      <c r="B1302" s="39" t="s">
        <v>7047</v>
      </c>
      <c r="C1302" s="39">
        <v>4</v>
      </c>
      <c r="D1302" s="39" t="s">
        <v>2122</v>
      </c>
    </row>
    <row r="1303" spans="1:4" x14ac:dyDescent="0.25">
      <c r="A1303" s="39" t="s">
        <v>10713</v>
      </c>
      <c r="B1303" s="39" t="s">
        <v>10714</v>
      </c>
      <c r="C1303" s="39">
        <v>4</v>
      </c>
      <c r="D1303" s="39" t="s">
        <v>2122</v>
      </c>
    </row>
    <row r="1304" spans="1:4" x14ac:dyDescent="0.25">
      <c r="A1304" s="39" t="s">
        <v>10715</v>
      </c>
      <c r="B1304" s="39" t="s">
        <v>4826</v>
      </c>
      <c r="C1304" s="39">
        <v>4</v>
      </c>
      <c r="D1304" s="39" t="s">
        <v>2122</v>
      </c>
    </row>
    <row r="1305" spans="1:4" x14ac:dyDescent="0.25">
      <c r="A1305" s="39" t="s">
        <v>7048</v>
      </c>
      <c r="B1305" s="39" t="s">
        <v>7049</v>
      </c>
      <c r="C1305" s="39">
        <v>4</v>
      </c>
      <c r="D1305" s="39" t="s">
        <v>2122</v>
      </c>
    </row>
    <row r="1306" spans="1:4" x14ac:dyDescent="0.25">
      <c r="A1306" s="39" t="s">
        <v>7050</v>
      </c>
      <c r="B1306" s="39" t="s">
        <v>7051</v>
      </c>
      <c r="C1306" s="39">
        <v>4</v>
      </c>
      <c r="D1306" s="39" t="s">
        <v>2122</v>
      </c>
    </row>
    <row r="1307" spans="1:4" x14ac:dyDescent="0.25">
      <c r="A1307" s="39" t="s">
        <v>10716</v>
      </c>
      <c r="B1307" s="39" t="s">
        <v>10717</v>
      </c>
      <c r="C1307" s="39">
        <v>4</v>
      </c>
      <c r="D1307" s="39" t="s">
        <v>2122</v>
      </c>
    </row>
    <row r="1308" spans="1:4" x14ac:dyDescent="0.25">
      <c r="A1308" s="39" t="s">
        <v>7052</v>
      </c>
      <c r="B1308" s="39" t="s">
        <v>7053</v>
      </c>
      <c r="C1308" s="39">
        <v>4</v>
      </c>
      <c r="D1308" s="39" t="s">
        <v>2122</v>
      </c>
    </row>
    <row r="1309" spans="1:4" x14ac:dyDescent="0.25">
      <c r="A1309" s="39" t="s">
        <v>7054</v>
      </c>
      <c r="B1309" s="39" t="s">
        <v>7055</v>
      </c>
      <c r="C1309" s="39">
        <v>4</v>
      </c>
      <c r="D1309" s="39" t="s">
        <v>2122</v>
      </c>
    </row>
    <row r="1310" spans="1:4" x14ac:dyDescent="0.25">
      <c r="A1310" s="39" t="s">
        <v>5101</v>
      </c>
      <c r="B1310" s="39" t="s">
        <v>5102</v>
      </c>
      <c r="C1310" s="39">
        <v>4</v>
      </c>
      <c r="D1310" s="39" t="s">
        <v>2122</v>
      </c>
    </row>
    <row r="1311" spans="1:4" x14ac:dyDescent="0.25">
      <c r="A1311" s="39" t="s">
        <v>2704</v>
      </c>
      <c r="B1311" s="39" t="s">
        <v>2705</v>
      </c>
      <c r="C1311" s="39">
        <v>4</v>
      </c>
      <c r="D1311" s="39" t="s">
        <v>2122</v>
      </c>
    </row>
    <row r="1312" spans="1:4" x14ac:dyDescent="0.25">
      <c r="A1312" s="39" t="s">
        <v>10718</v>
      </c>
      <c r="B1312" s="39" t="s">
        <v>474</v>
      </c>
      <c r="C1312" s="39">
        <v>4</v>
      </c>
      <c r="D1312" s="39" t="s">
        <v>2122</v>
      </c>
    </row>
    <row r="1313" spans="1:4" x14ac:dyDescent="0.25">
      <c r="A1313" s="39" t="s">
        <v>411</v>
      </c>
      <c r="B1313" s="39" t="s">
        <v>764</v>
      </c>
      <c r="C1313" s="39">
        <v>4</v>
      </c>
      <c r="D1313" s="39" t="s">
        <v>2122</v>
      </c>
    </row>
    <row r="1314" spans="1:4" x14ac:dyDescent="0.25">
      <c r="A1314" s="39" t="s">
        <v>1699</v>
      </c>
      <c r="B1314" s="39" t="s">
        <v>1322</v>
      </c>
      <c r="C1314" s="39">
        <v>4</v>
      </c>
      <c r="D1314" s="39" t="s">
        <v>2122</v>
      </c>
    </row>
    <row r="1315" spans="1:4" x14ac:dyDescent="0.25">
      <c r="A1315" s="39" t="s">
        <v>3454</v>
      </c>
      <c r="B1315" s="39" t="s">
        <v>83</v>
      </c>
      <c r="C1315" s="39">
        <v>4</v>
      </c>
      <c r="D1315" s="39" t="s">
        <v>2122</v>
      </c>
    </row>
    <row r="1316" spans="1:4" x14ac:dyDescent="0.25">
      <c r="A1316" s="39" t="s">
        <v>2781</v>
      </c>
      <c r="B1316" s="39" t="s">
        <v>3173</v>
      </c>
      <c r="C1316" s="39">
        <v>4</v>
      </c>
      <c r="D1316" s="39" t="s">
        <v>2122</v>
      </c>
    </row>
    <row r="1317" spans="1:4" x14ac:dyDescent="0.25">
      <c r="A1317" s="39" t="s">
        <v>5103</v>
      </c>
      <c r="B1317" s="39" t="s">
        <v>5104</v>
      </c>
      <c r="C1317" s="39">
        <v>4</v>
      </c>
      <c r="D1317" s="39" t="s">
        <v>2122</v>
      </c>
    </row>
    <row r="1318" spans="1:4" x14ac:dyDescent="0.25">
      <c r="A1318" s="39" t="s">
        <v>1862</v>
      </c>
      <c r="B1318" s="39" t="s">
        <v>902</v>
      </c>
      <c r="C1318" s="39">
        <v>4</v>
      </c>
      <c r="D1318" s="39" t="s">
        <v>2122</v>
      </c>
    </row>
    <row r="1319" spans="1:4" x14ac:dyDescent="0.25">
      <c r="A1319" s="39" t="s">
        <v>5105</v>
      </c>
      <c r="B1319" s="39" t="s">
        <v>2965</v>
      </c>
      <c r="C1319" s="39">
        <v>4</v>
      </c>
      <c r="D1319" s="39" t="s">
        <v>2122</v>
      </c>
    </row>
    <row r="1320" spans="1:4" x14ac:dyDescent="0.25">
      <c r="A1320" s="39" t="s">
        <v>10719</v>
      </c>
      <c r="B1320" s="39" t="s">
        <v>10720</v>
      </c>
      <c r="C1320" s="39">
        <v>4</v>
      </c>
      <c r="D1320" s="39" t="s">
        <v>2122</v>
      </c>
    </row>
    <row r="1321" spans="1:4" x14ac:dyDescent="0.25">
      <c r="A1321" s="39" t="s">
        <v>10721</v>
      </c>
      <c r="B1321" s="39" t="s">
        <v>4616</v>
      </c>
      <c r="C1321" s="39">
        <v>4</v>
      </c>
      <c r="D1321" s="39" t="s">
        <v>2122</v>
      </c>
    </row>
    <row r="1322" spans="1:4" x14ac:dyDescent="0.25">
      <c r="A1322" s="39" t="s">
        <v>7056</v>
      </c>
      <c r="B1322" s="39" t="s">
        <v>4796</v>
      </c>
      <c r="C1322" s="39">
        <v>4</v>
      </c>
      <c r="D1322" s="39" t="s">
        <v>2122</v>
      </c>
    </row>
    <row r="1323" spans="1:4" x14ac:dyDescent="0.25">
      <c r="A1323" s="39" t="s">
        <v>886</v>
      </c>
      <c r="B1323" s="39" t="s">
        <v>1191</v>
      </c>
      <c r="C1323" s="39">
        <v>4</v>
      </c>
      <c r="D1323" s="39" t="s">
        <v>2122</v>
      </c>
    </row>
    <row r="1324" spans="1:4" x14ac:dyDescent="0.25">
      <c r="A1324" s="39" t="s">
        <v>730</v>
      </c>
      <c r="B1324" s="39" t="s">
        <v>963</v>
      </c>
      <c r="C1324" s="39">
        <v>4</v>
      </c>
      <c r="D1324" s="39" t="s">
        <v>2122</v>
      </c>
    </row>
    <row r="1325" spans="1:4" x14ac:dyDescent="0.25">
      <c r="A1325" s="39" t="s">
        <v>7057</v>
      </c>
      <c r="B1325" s="39" t="s">
        <v>7058</v>
      </c>
      <c r="C1325" s="39">
        <v>4</v>
      </c>
      <c r="D1325" s="39" t="s">
        <v>2122</v>
      </c>
    </row>
    <row r="1326" spans="1:4" x14ac:dyDescent="0.25">
      <c r="A1326" s="39" t="s">
        <v>10722</v>
      </c>
      <c r="B1326" s="39" t="s">
        <v>4433</v>
      </c>
      <c r="C1326" s="39">
        <v>4</v>
      </c>
      <c r="D1326" s="39" t="s">
        <v>2122</v>
      </c>
    </row>
    <row r="1327" spans="1:4" x14ac:dyDescent="0.25">
      <c r="A1327" s="39" t="s">
        <v>2099</v>
      </c>
      <c r="B1327" s="39" t="s">
        <v>695</v>
      </c>
      <c r="C1327" s="39">
        <v>4</v>
      </c>
      <c r="D1327" s="39" t="s">
        <v>2122</v>
      </c>
    </row>
    <row r="1328" spans="1:4" x14ac:dyDescent="0.25">
      <c r="A1328" s="39" t="s">
        <v>1863</v>
      </c>
      <c r="B1328" s="39" t="s">
        <v>1246</v>
      </c>
      <c r="C1328" s="39">
        <v>4</v>
      </c>
      <c r="D1328" s="39" t="s">
        <v>2122</v>
      </c>
    </row>
    <row r="1329" spans="1:4" x14ac:dyDescent="0.25">
      <c r="A1329" s="39" t="s">
        <v>10723</v>
      </c>
      <c r="B1329" s="39" t="s">
        <v>6155</v>
      </c>
      <c r="C1329" s="39">
        <v>4</v>
      </c>
      <c r="D1329" s="39" t="s">
        <v>2122</v>
      </c>
    </row>
    <row r="1330" spans="1:4" x14ac:dyDescent="0.25">
      <c r="A1330" s="39" t="s">
        <v>10724</v>
      </c>
      <c r="B1330" s="39" t="s">
        <v>10725</v>
      </c>
      <c r="C1330" s="39">
        <v>4</v>
      </c>
      <c r="D1330" s="39" t="s">
        <v>2122</v>
      </c>
    </row>
    <row r="1331" spans="1:4" x14ac:dyDescent="0.25">
      <c r="A1331" s="39" t="s">
        <v>5106</v>
      </c>
      <c r="B1331" s="39" t="s">
        <v>5107</v>
      </c>
      <c r="C1331" s="39">
        <v>4</v>
      </c>
      <c r="D1331" s="39" t="s">
        <v>2122</v>
      </c>
    </row>
    <row r="1332" spans="1:4" x14ac:dyDescent="0.25">
      <c r="A1332" s="39" t="s">
        <v>7059</v>
      </c>
      <c r="B1332" s="39" t="s">
        <v>1514</v>
      </c>
      <c r="C1332" s="39">
        <v>4</v>
      </c>
      <c r="D1332" s="39" t="s">
        <v>2122</v>
      </c>
    </row>
    <row r="1333" spans="1:4" x14ac:dyDescent="0.25">
      <c r="A1333" s="39" t="s">
        <v>7060</v>
      </c>
      <c r="B1333" s="39" t="s">
        <v>7061</v>
      </c>
      <c r="C1333" s="39">
        <v>4</v>
      </c>
      <c r="D1333" s="39" t="s">
        <v>2122</v>
      </c>
    </row>
    <row r="1334" spans="1:4" x14ac:dyDescent="0.25">
      <c r="A1334" s="39" t="s">
        <v>2678</v>
      </c>
      <c r="B1334" s="39" t="s">
        <v>2075</v>
      </c>
      <c r="C1334" s="39">
        <v>4</v>
      </c>
      <c r="D1334" s="39" t="s">
        <v>2122</v>
      </c>
    </row>
    <row r="1335" spans="1:4" x14ac:dyDescent="0.25">
      <c r="A1335" s="39" t="s">
        <v>7062</v>
      </c>
      <c r="B1335" s="39" t="s">
        <v>2590</v>
      </c>
      <c r="C1335" s="39">
        <v>4</v>
      </c>
      <c r="D1335" s="39" t="s">
        <v>2122</v>
      </c>
    </row>
    <row r="1336" spans="1:4" x14ac:dyDescent="0.25">
      <c r="A1336" s="39" t="s">
        <v>10726</v>
      </c>
      <c r="B1336" s="39" t="s">
        <v>5894</v>
      </c>
      <c r="C1336" s="39">
        <v>4</v>
      </c>
      <c r="D1336" s="39" t="s">
        <v>2122</v>
      </c>
    </row>
    <row r="1337" spans="1:4" x14ac:dyDescent="0.25">
      <c r="A1337" s="39" t="s">
        <v>10727</v>
      </c>
      <c r="B1337" s="39" t="s">
        <v>10728</v>
      </c>
      <c r="C1337" s="39">
        <v>4</v>
      </c>
      <c r="D1337" s="39" t="s">
        <v>2122</v>
      </c>
    </row>
    <row r="1338" spans="1:4" x14ac:dyDescent="0.25">
      <c r="A1338" s="39" t="s">
        <v>1864</v>
      </c>
      <c r="B1338" s="39" t="s">
        <v>1459</v>
      </c>
      <c r="C1338" s="39">
        <v>4</v>
      </c>
      <c r="D1338" s="39" t="s">
        <v>2122</v>
      </c>
    </row>
    <row r="1339" spans="1:4" x14ac:dyDescent="0.25">
      <c r="A1339" s="39" t="s">
        <v>2200</v>
      </c>
      <c r="B1339" s="39" t="s">
        <v>1490</v>
      </c>
      <c r="C1339" s="39">
        <v>4</v>
      </c>
      <c r="D1339" s="39" t="s">
        <v>2122</v>
      </c>
    </row>
    <row r="1340" spans="1:4" x14ac:dyDescent="0.25">
      <c r="A1340" s="39" t="s">
        <v>7063</v>
      </c>
      <c r="B1340" s="39" t="s">
        <v>7064</v>
      </c>
      <c r="C1340" s="39">
        <v>4</v>
      </c>
      <c r="D1340" s="39" t="s">
        <v>2122</v>
      </c>
    </row>
    <row r="1341" spans="1:4" x14ac:dyDescent="0.25">
      <c r="A1341" s="39" t="s">
        <v>7065</v>
      </c>
      <c r="B1341" s="39" t="s">
        <v>7066</v>
      </c>
      <c r="C1341" s="39">
        <v>4</v>
      </c>
      <c r="D1341" s="39" t="s">
        <v>2122</v>
      </c>
    </row>
    <row r="1342" spans="1:4" x14ac:dyDescent="0.25">
      <c r="A1342" s="39" t="s">
        <v>5109</v>
      </c>
      <c r="B1342" s="39" t="s">
        <v>5110</v>
      </c>
      <c r="C1342" s="39">
        <v>4</v>
      </c>
      <c r="D1342" s="39" t="s">
        <v>2122</v>
      </c>
    </row>
    <row r="1343" spans="1:4" x14ac:dyDescent="0.25">
      <c r="A1343" s="39" t="s">
        <v>10729</v>
      </c>
      <c r="B1343" s="39" t="s">
        <v>4238</v>
      </c>
      <c r="C1343" s="39">
        <v>4</v>
      </c>
      <c r="D1343" s="39" t="s">
        <v>2122</v>
      </c>
    </row>
    <row r="1344" spans="1:4" x14ac:dyDescent="0.25">
      <c r="A1344" s="39" t="s">
        <v>5111</v>
      </c>
      <c r="B1344" s="39" t="s">
        <v>2890</v>
      </c>
      <c r="C1344" s="39">
        <v>4</v>
      </c>
      <c r="D1344" s="39" t="s">
        <v>2122</v>
      </c>
    </row>
    <row r="1345" spans="1:4" x14ac:dyDescent="0.25">
      <c r="A1345" s="39" t="s">
        <v>5112</v>
      </c>
      <c r="B1345" s="39" t="s">
        <v>2471</v>
      </c>
      <c r="C1345" s="39">
        <v>4</v>
      </c>
      <c r="D1345" s="39" t="s">
        <v>2122</v>
      </c>
    </row>
    <row r="1346" spans="1:4" x14ac:dyDescent="0.25">
      <c r="A1346" s="39" t="s">
        <v>2073</v>
      </c>
      <c r="B1346" s="39" t="s">
        <v>2074</v>
      </c>
      <c r="C1346" s="39">
        <v>4</v>
      </c>
      <c r="D1346" s="39" t="s">
        <v>2122</v>
      </c>
    </row>
    <row r="1347" spans="1:4" x14ac:dyDescent="0.25">
      <c r="A1347" s="39" t="s">
        <v>7067</v>
      </c>
      <c r="B1347" s="39" t="s">
        <v>7068</v>
      </c>
      <c r="C1347" s="39">
        <v>4</v>
      </c>
      <c r="D1347" s="39" t="s">
        <v>2122</v>
      </c>
    </row>
    <row r="1348" spans="1:4" x14ac:dyDescent="0.25">
      <c r="A1348" s="39" t="s">
        <v>10730</v>
      </c>
      <c r="B1348" s="39" t="s">
        <v>4738</v>
      </c>
      <c r="C1348" s="39">
        <v>4</v>
      </c>
      <c r="D1348" s="39" t="s">
        <v>2122</v>
      </c>
    </row>
    <row r="1349" spans="1:4" x14ac:dyDescent="0.25">
      <c r="A1349" s="39" t="s">
        <v>10731</v>
      </c>
      <c r="B1349" s="39" t="s">
        <v>4432</v>
      </c>
      <c r="C1349" s="39">
        <v>4</v>
      </c>
      <c r="D1349" s="39" t="s">
        <v>2122</v>
      </c>
    </row>
    <row r="1350" spans="1:4" x14ac:dyDescent="0.25">
      <c r="A1350" s="39" t="s">
        <v>566</v>
      </c>
      <c r="B1350" s="39" t="s">
        <v>2239</v>
      </c>
      <c r="C1350" s="39">
        <v>4</v>
      </c>
      <c r="D1350" s="39" t="s">
        <v>2122</v>
      </c>
    </row>
    <row r="1351" spans="1:4" x14ac:dyDescent="0.25">
      <c r="A1351" s="39" t="s">
        <v>7069</v>
      </c>
      <c r="B1351" s="39" t="s">
        <v>2610</v>
      </c>
      <c r="C1351" s="39">
        <v>4</v>
      </c>
      <c r="D1351" s="39" t="s">
        <v>2122</v>
      </c>
    </row>
    <row r="1352" spans="1:4" x14ac:dyDescent="0.25">
      <c r="A1352" s="39" t="s">
        <v>10732</v>
      </c>
      <c r="B1352" s="39" t="s">
        <v>10733</v>
      </c>
      <c r="C1352" s="39">
        <v>4</v>
      </c>
      <c r="D1352" s="39" t="s">
        <v>2122</v>
      </c>
    </row>
    <row r="1353" spans="1:4" x14ac:dyDescent="0.25">
      <c r="A1353" s="39" t="s">
        <v>634</v>
      </c>
      <c r="B1353" s="39" t="s">
        <v>729</v>
      </c>
      <c r="C1353" s="39">
        <v>4</v>
      </c>
      <c r="D1353" s="39" t="s">
        <v>2122</v>
      </c>
    </row>
    <row r="1354" spans="1:4" x14ac:dyDescent="0.25">
      <c r="A1354" s="39" t="s">
        <v>10734</v>
      </c>
      <c r="B1354" s="39" t="s">
        <v>10735</v>
      </c>
      <c r="C1354" s="39">
        <v>4</v>
      </c>
      <c r="D1354" s="39" t="s">
        <v>2122</v>
      </c>
    </row>
    <row r="1355" spans="1:4" x14ac:dyDescent="0.25">
      <c r="A1355" s="39" t="s">
        <v>5113</v>
      </c>
      <c r="B1355" s="39" t="s">
        <v>3981</v>
      </c>
      <c r="C1355" s="39">
        <v>4</v>
      </c>
      <c r="D1355" s="39" t="s">
        <v>2122</v>
      </c>
    </row>
    <row r="1356" spans="1:4" x14ac:dyDescent="0.25">
      <c r="A1356" s="39" t="s">
        <v>7070</v>
      </c>
      <c r="B1356" s="39" t="s">
        <v>7071</v>
      </c>
      <c r="C1356" s="39">
        <v>4</v>
      </c>
      <c r="D1356" s="39" t="s">
        <v>2122</v>
      </c>
    </row>
    <row r="1357" spans="1:4" x14ac:dyDescent="0.25">
      <c r="A1357" s="39" t="s">
        <v>7072</v>
      </c>
      <c r="B1357" s="39" t="s">
        <v>7073</v>
      </c>
      <c r="C1357" s="39">
        <v>4</v>
      </c>
      <c r="D1357" s="39" t="s">
        <v>2122</v>
      </c>
    </row>
    <row r="1358" spans="1:4" x14ac:dyDescent="0.25">
      <c r="A1358" s="39" t="s">
        <v>10736</v>
      </c>
      <c r="B1358" s="39" t="s">
        <v>4890</v>
      </c>
      <c r="C1358" s="39">
        <v>4</v>
      </c>
      <c r="D1358" s="39" t="s">
        <v>2122</v>
      </c>
    </row>
    <row r="1359" spans="1:4" x14ac:dyDescent="0.25">
      <c r="A1359" s="39" t="s">
        <v>5114</v>
      </c>
      <c r="B1359" s="39" t="s">
        <v>4160</v>
      </c>
      <c r="C1359" s="39">
        <v>4</v>
      </c>
      <c r="D1359" s="39" t="s">
        <v>2122</v>
      </c>
    </row>
    <row r="1360" spans="1:4" x14ac:dyDescent="0.25">
      <c r="A1360" s="39" t="s">
        <v>7074</v>
      </c>
      <c r="B1360" s="39" t="s">
        <v>2446</v>
      </c>
      <c r="C1360" s="39">
        <v>4</v>
      </c>
      <c r="D1360" s="39" t="s">
        <v>2122</v>
      </c>
    </row>
    <row r="1361" spans="1:4" x14ac:dyDescent="0.25">
      <c r="A1361" s="39" t="s">
        <v>5115</v>
      </c>
      <c r="B1361" s="39" t="s">
        <v>5116</v>
      </c>
      <c r="C1361" s="39">
        <v>4</v>
      </c>
      <c r="D1361" s="39" t="s">
        <v>2122</v>
      </c>
    </row>
    <row r="1362" spans="1:4" x14ac:dyDescent="0.25">
      <c r="A1362" s="39" t="s">
        <v>7075</v>
      </c>
      <c r="B1362" s="39" t="s">
        <v>7076</v>
      </c>
      <c r="C1362" s="39">
        <v>4</v>
      </c>
      <c r="D1362" s="39" t="s">
        <v>2122</v>
      </c>
    </row>
    <row r="1363" spans="1:4" x14ac:dyDescent="0.25">
      <c r="A1363" s="39" t="s">
        <v>2706</v>
      </c>
      <c r="B1363" s="39" t="s">
        <v>2707</v>
      </c>
      <c r="C1363" s="39">
        <v>4</v>
      </c>
      <c r="D1363" s="39" t="s">
        <v>2122</v>
      </c>
    </row>
    <row r="1364" spans="1:4" x14ac:dyDescent="0.25">
      <c r="A1364" s="39" t="s">
        <v>3176</v>
      </c>
      <c r="B1364" s="39" t="s">
        <v>3177</v>
      </c>
      <c r="C1364" s="39">
        <v>4</v>
      </c>
      <c r="D1364" s="39" t="s">
        <v>2122</v>
      </c>
    </row>
    <row r="1365" spans="1:4" x14ac:dyDescent="0.25">
      <c r="A1365" s="39" t="s">
        <v>10737</v>
      </c>
      <c r="B1365" s="39" t="s">
        <v>4428</v>
      </c>
      <c r="C1365" s="39">
        <v>4</v>
      </c>
      <c r="D1365" s="39" t="s">
        <v>2122</v>
      </c>
    </row>
    <row r="1366" spans="1:4" x14ac:dyDescent="0.25">
      <c r="A1366" s="39" t="s">
        <v>3178</v>
      </c>
      <c r="B1366" s="39" t="s">
        <v>1686</v>
      </c>
      <c r="C1366" s="39">
        <v>4</v>
      </c>
      <c r="D1366" s="39" t="s">
        <v>2122</v>
      </c>
    </row>
    <row r="1367" spans="1:4" x14ac:dyDescent="0.25">
      <c r="A1367" s="39" t="s">
        <v>7077</v>
      </c>
      <c r="B1367" s="39" t="s">
        <v>7078</v>
      </c>
      <c r="C1367" s="39">
        <v>4</v>
      </c>
      <c r="D1367" s="39" t="s">
        <v>2122</v>
      </c>
    </row>
    <row r="1368" spans="1:4" x14ac:dyDescent="0.25">
      <c r="A1368" s="39" t="s">
        <v>3456</v>
      </c>
      <c r="B1368" s="39" t="s">
        <v>3003</v>
      </c>
      <c r="C1368" s="39">
        <v>4</v>
      </c>
      <c r="D1368" s="39" t="s">
        <v>2122</v>
      </c>
    </row>
    <row r="1369" spans="1:4" x14ac:dyDescent="0.25">
      <c r="A1369" s="39" t="s">
        <v>5117</v>
      </c>
      <c r="B1369" s="39" t="s">
        <v>3029</v>
      </c>
      <c r="C1369" s="39">
        <v>4</v>
      </c>
      <c r="D1369" s="39" t="s">
        <v>2122</v>
      </c>
    </row>
    <row r="1370" spans="1:4" x14ac:dyDescent="0.25">
      <c r="A1370" s="39" t="s">
        <v>3457</v>
      </c>
      <c r="B1370" s="39" t="s">
        <v>3727</v>
      </c>
      <c r="C1370" s="39">
        <v>4</v>
      </c>
      <c r="D1370" s="39" t="s">
        <v>2122</v>
      </c>
    </row>
    <row r="1371" spans="1:4" x14ac:dyDescent="0.25">
      <c r="A1371" s="39" t="s">
        <v>3458</v>
      </c>
      <c r="B1371" s="39" t="s">
        <v>3728</v>
      </c>
      <c r="C1371" s="39">
        <v>4</v>
      </c>
      <c r="D1371" s="39" t="s">
        <v>2122</v>
      </c>
    </row>
    <row r="1372" spans="1:4" x14ac:dyDescent="0.25">
      <c r="A1372" s="39" t="s">
        <v>3459</v>
      </c>
      <c r="B1372" s="39" t="s">
        <v>3729</v>
      </c>
      <c r="C1372" s="39">
        <v>4</v>
      </c>
      <c r="D1372" s="39" t="s">
        <v>2122</v>
      </c>
    </row>
    <row r="1373" spans="1:4" x14ac:dyDescent="0.25">
      <c r="A1373" s="39" t="s">
        <v>7079</v>
      </c>
      <c r="B1373" s="39" t="s">
        <v>751</v>
      </c>
      <c r="C1373" s="39">
        <v>4</v>
      </c>
      <c r="D1373" s="39" t="s">
        <v>2122</v>
      </c>
    </row>
    <row r="1374" spans="1:4" x14ac:dyDescent="0.25">
      <c r="A1374" s="39" t="s">
        <v>5118</v>
      </c>
      <c r="B1374" s="39" t="s">
        <v>2958</v>
      </c>
      <c r="C1374" s="39">
        <v>4</v>
      </c>
      <c r="D1374" s="39" t="s">
        <v>2122</v>
      </c>
    </row>
    <row r="1375" spans="1:4" x14ac:dyDescent="0.25">
      <c r="A1375" s="39" t="s">
        <v>5119</v>
      </c>
      <c r="B1375" s="39" t="s">
        <v>3044</v>
      </c>
      <c r="C1375" s="39">
        <v>4</v>
      </c>
      <c r="D1375" s="39" t="s">
        <v>2122</v>
      </c>
    </row>
    <row r="1376" spans="1:4" x14ac:dyDescent="0.25">
      <c r="A1376" s="39" t="s">
        <v>5120</v>
      </c>
      <c r="B1376" s="39" t="s">
        <v>2497</v>
      </c>
      <c r="C1376" s="39">
        <v>4</v>
      </c>
      <c r="D1376" s="39" t="s">
        <v>2122</v>
      </c>
    </row>
    <row r="1377" spans="1:4" x14ac:dyDescent="0.25">
      <c r="A1377" s="39" t="s">
        <v>3461</v>
      </c>
      <c r="B1377" s="39" t="s">
        <v>3731</v>
      </c>
      <c r="C1377" s="39">
        <v>4</v>
      </c>
      <c r="D1377" s="39" t="s">
        <v>2122</v>
      </c>
    </row>
    <row r="1378" spans="1:4" x14ac:dyDescent="0.25">
      <c r="A1378" s="39" t="s">
        <v>2247</v>
      </c>
      <c r="B1378" s="39" t="s">
        <v>712</v>
      </c>
      <c r="C1378" s="39">
        <v>4</v>
      </c>
      <c r="D1378" s="39" t="s">
        <v>2122</v>
      </c>
    </row>
    <row r="1379" spans="1:4" x14ac:dyDescent="0.25">
      <c r="A1379" s="39" t="s">
        <v>5121</v>
      </c>
      <c r="B1379" s="39" t="s">
        <v>2903</v>
      </c>
      <c r="C1379" s="39">
        <v>4</v>
      </c>
      <c r="D1379" s="39" t="s">
        <v>2122</v>
      </c>
    </row>
    <row r="1380" spans="1:4" x14ac:dyDescent="0.25">
      <c r="A1380" s="39" t="s">
        <v>7080</v>
      </c>
      <c r="B1380" s="39" t="s">
        <v>3919</v>
      </c>
      <c r="C1380" s="39">
        <v>4</v>
      </c>
      <c r="D1380" s="39" t="s">
        <v>2122</v>
      </c>
    </row>
    <row r="1381" spans="1:4" x14ac:dyDescent="0.25">
      <c r="A1381" s="39" t="s">
        <v>7081</v>
      </c>
      <c r="B1381" s="39" t="s">
        <v>3918</v>
      </c>
      <c r="C1381" s="39">
        <v>4</v>
      </c>
      <c r="D1381" s="39" t="s">
        <v>2122</v>
      </c>
    </row>
    <row r="1382" spans="1:4" x14ac:dyDescent="0.25">
      <c r="A1382" s="39" t="s">
        <v>3181</v>
      </c>
      <c r="B1382" s="39" t="s">
        <v>3182</v>
      </c>
      <c r="C1382" s="39">
        <v>4</v>
      </c>
      <c r="D1382" s="39" t="s">
        <v>2122</v>
      </c>
    </row>
    <row r="1383" spans="1:4" x14ac:dyDescent="0.25">
      <c r="A1383" s="39" t="s">
        <v>1110</v>
      </c>
      <c r="B1383" s="39" t="s">
        <v>153</v>
      </c>
      <c r="C1383" s="39">
        <v>4</v>
      </c>
      <c r="D1383" s="39" t="s">
        <v>2122</v>
      </c>
    </row>
    <row r="1384" spans="1:4" x14ac:dyDescent="0.25">
      <c r="A1384" s="39" t="s">
        <v>7082</v>
      </c>
      <c r="B1384" s="39" t="s">
        <v>7083</v>
      </c>
      <c r="C1384" s="39">
        <v>4</v>
      </c>
      <c r="D1384" s="39" t="s">
        <v>2122</v>
      </c>
    </row>
    <row r="1385" spans="1:4" x14ac:dyDescent="0.25">
      <c r="A1385" s="39" t="s">
        <v>3183</v>
      </c>
      <c r="B1385" s="39" t="s">
        <v>2085</v>
      </c>
      <c r="C1385" s="39">
        <v>4</v>
      </c>
      <c r="D1385" s="39" t="s">
        <v>2122</v>
      </c>
    </row>
    <row r="1386" spans="1:4" x14ac:dyDescent="0.25">
      <c r="A1386" s="39" t="s">
        <v>5122</v>
      </c>
      <c r="B1386" s="39" t="s">
        <v>5123</v>
      </c>
      <c r="C1386" s="39">
        <v>4</v>
      </c>
      <c r="D1386" s="39" t="s">
        <v>2122</v>
      </c>
    </row>
    <row r="1387" spans="1:4" x14ac:dyDescent="0.25">
      <c r="A1387" s="39" t="s">
        <v>3463</v>
      </c>
      <c r="B1387" s="39" t="s">
        <v>2911</v>
      </c>
      <c r="C1387" s="39">
        <v>4</v>
      </c>
      <c r="D1387" s="39" t="s">
        <v>2122</v>
      </c>
    </row>
    <row r="1388" spans="1:4" x14ac:dyDescent="0.25">
      <c r="A1388" s="39" t="s">
        <v>7084</v>
      </c>
      <c r="B1388" s="39" t="s">
        <v>4141</v>
      </c>
      <c r="C1388" s="39">
        <v>4</v>
      </c>
      <c r="D1388" s="39" t="s">
        <v>2122</v>
      </c>
    </row>
    <row r="1389" spans="1:4" x14ac:dyDescent="0.25">
      <c r="A1389" s="39" t="s">
        <v>10738</v>
      </c>
      <c r="B1389" s="39" t="s">
        <v>2899</v>
      </c>
      <c r="C1389" s="39">
        <v>4</v>
      </c>
      <c r="D1389" s="39" t="s">
        <v>2122</v>
      </c>
    </row>
    <row r="1390" spans="1:4" x14ac:dyDescent="0.25">
      <c r="A1390" s="39" t="s">
        <v>5124</v>
      </c>
      <c r="B1390" s="39" t="s">
        <v>2132</v>
      </c>
      <c r="C1390" s="39">
        <v>4</v>
      </c>
      <c r="D1390" s="39" t="s">
        <v>2122</v>
      </c>
    </row>
    <row r="1391" spans="1:4" x14ac:dyDescent="0.25">
      <c r="A1391" s="39" t="s">
        <v>5125</v>
      </c>
      <c r="B1391" s="39" t="s">
        <v>2269</v>
      </c>
      <c r="C1391" s="39">
        <v>4</v>
      </c>
      <c r="D1391" s="39" t="s">
        <v>2122</v>
      </c>
    </row>
    <row r="1392" spans="1:4" x14ac:dyDescent="0.25">
      <c r="A1392" s="39" t="s">
        <v>1688</v>
      </c>
      <c r="B1392" s="39" t="s">
        <v>769</v>
      </c>
      <c r="C1392" s="39">
        <v>4</v>
      </c>
      <c r="D1392" s="39" t="s">
        <v>2122</v>
      </c>
    </row>
    <row r="1393" spans="1:4" x14ac:dyDescent="0.25">
      <c r="A1393" s="39" t="s">
        <v>10739</v>
      </c>
      <c r="B1393" s="39" t="s">
        <v>4547</v>
      </c>
      <c r="C1393" s="39">
        <v>4</v>
      </c>
      <c r="D1393" s="39" t="s">
        <v>2122</v>
      </c>
    </row>
    <row r="1394" spans="1:4" x14ac:dyDescent="0.25">
      <c r="A1394" s="39" t="s">
        <v>10740</v>
      </c>
      <c r="B1394" s="39" t="s">
        <v>10741</v>
      </c>
      <c r="C1394" s="39">
        <v>4</v>
      </c>
      <c r="D1394" s="39" t="s">
        <v>2122</v>
      </c>
    </row>
    <row r="1395" spans="1:4" x14ac:dyDescent="0.25">
      <c r="A1395" s="39" t="s">
        <v>10742</v>
      </c>
      <c r="B1395" s="39" t="s">
        <v>10743</v>
      </c>
      <c r="C1395" s="39">
        <v>4</v>
      </c>
      <c r="D1395" s="39" t="s">
        <v>2122</v>
      </c>
    </row>
    <row r="1396" spans="1:4" x14ac:dyDescent="0.25">
      <c r="A1396" s="39" t="s">
        <v>10744</v>
      </c>
      <c r="B1396" s="39" t="s">
        <v>4708</v>
      </c>
      <c r="C1396" s="39">
        <v>4</v>
      </c>
      <c r="D1396" s="39" t="s">
        <v>2122</v>
      </c>
    </row>
    <row r="1397" spans="1:4" x14ac:dyDescent="0.25">
      <c r="A1397" s="39" t="s">
        <v>5126</v>
      </c>
      <c r="B1397" s="39" t="s">
        <v>2880</v>
      </c>
      <c r="C1397" s="39">
        <v>4</v>
      </c>
      <c r="D1397" s="39" t="s">
        <v>2122</v>
      </c>
    </row>
    <row r="1398" spans="1:4" x14ac:dyDescent="0.25">
      <c r="A1398" s="39" t="s">
        <v>10745</v>
      </c>
      <c r="B1398" s="39" t="s">
        <v>10746</v>
      </c>
      <c r="C1398" s="39">
        <v>4</v>
      </c>
      <c r="D1398" s="39" t="s">
        <v>2122</v>
      </c>
    </row>
    <row r="1399" spans="1:4" x14ac:dyDescent="0.25">
      <c r="A1399" s="39" t="s">
        <v>10747</v>
      </c>
      <c r="B1399" s="39" t="s">
        <v>10748</v>
      </c>
      <c r="C1399" s="39">
        <v>4</v>
      </c>
      <c r="D1399" s="39" t="s">
        <v>2122</v>
      </c>
    </row>
    <row r="1400" spans="1:4" x14ac:dyDescent="0.25">
      <c r="A1400" s="39" t="s">
        <v>10749</v>
      </c>
      <c r="B1400" s="39" t="s">
        <v>5638</v>
      </c>
      <c r="C1400" s="39">
        <v>4</v>
      </c>
      <c r="D1400" s="39" t="s">
        <v>2122</v>
      </c>
    </row>
    <row r="1401" spans="1:4" x14ac:dyDescent="0.25">
      <c r="A1401" s="39" t="s">
        <v>3464</v>
      </c>
      <c r="B1401" s="39" t="s">
        <v>2517</v>
      </c>
      <c r="C1401" s="39">
        <v>4</v>
      </c>
      <c r="D1401" s="39" t="s">
        <v>2122</v>
      </c>
    </row>
    <row r="1402" spans="1:4" x14ac:dyDescent="0.25">
      <c r="A1402" s="39" t="s">
        <v>1869</v>
      </c>
      <c r="B1402" s="39" t="s">
        <v>1306</v>
      </c>
      <c r="C1402" s="39">
        <v>4</v>
      </c>
      <c r="D1402" s="39" t="s">
        <v>2122</v>
      </c>
    </row>
    <row r="1403" spans="1:4" x14ac:dyDescent="0.25">
      <c r="A1403" s="39" t="s">
        <v>3185</v>
      </c>
      <c r="B1403" s="39" t="s">
        <v>2500</v>
      </c>
      <c r="C1403" s="39">
        <v>4</v>
      </c>
      <c r="D1403" s="39" t="s">
        <v>2122</v>
      </c>
    </row>
    <row r="1404" spans="1:4" x14ac:dyDescent="0.25">
      <c r="A1404" s="39" t="s">
        <v>3465</v>
      </c>
      <c r="B1404" s="39" t="s">
        <v>3733</v>
      </c>
      <c r="C1404" s="39">
        <v>4</v>
      </c>
      <c r="D1404" s="39" t="s">
        <v>2122</v>
      </c>
    </row>
    <row r="1405" spans="1:4" x14ac:dyDescent="0.25">
      <c r="A1405" s="39" t="s">
        <v>7085</v>
      </c>
      <c r="B1405" s="39" t="s">
        <v>4712</v>
      </c>
      <c r="C1405" s="39">
        <v>4</v>
      </c>
      <c r="D1405" s="39" t="s">
        <v>2122</v>
      </c>
    </row>
    <row r="1406" spans="1:4" x14ac:dyDescent="0.25">
      <c r="A1406" s="39" t="s">
        <v>10750</v>
      </c>
      <c r="B1406" s="39" t="s">
        <v>6223</v>
      </c>
      <c r="C1406" s="39">
        <v>4</v>
      </c>
      <c r="D1406" s="39" t="s">
        <v>2122</v>
      </c>
    </row>
    <row r="1407" spans="1:4" x14ac:dyDescent="0.25">
      <c r="A1407" s="39" t="s">
        <v>3466</v>
      </c>
      <c r="B1407" s="39" t="s">
        <v>1513</v>
      </c>
      <c r="C1407" s="39">
        <v>4</v>
      </c>
      <c r="D1407" s="39" t="s">
        <v>2122</v>
      </c>
    </row>
    <row r="1408" spans="1:4" x14ac:dyDescent="0.25">
      <c r="A1408" s="39" t="s">
        <v>10751</v>
      </c>
      <c r="B1408" s="39" t="s">
        <v>10752</v>
      </c>
      <c r="C1408" s="39">
        <v>4</v>
      </c>
      <c r="D1408" s="39" t="s">
        <v>2122</v>
      </c>
    </row>
    <row r="1409" spans="1:4" x14ac:dyDescent="0.25">
      <c r="A1409" s="39" t="s">
        <v>7086</v>
      </c>
      <c r="B1409" s="39" t="s">
        <v>7087</v>
      </c>
      <c r="C1409" s="39">
        <v>4</v>
      </c>
      <c r="D1409" s="39" t="s">
        <v>2122</v>
      </c>
    </row>
    <row r="1410" spans="1:4" x14ac:dyDescent="0.25">
      <c r="A1410" s="39" t="s">
        <v>3469</v>
      </c>
      <c r="B1410" s="39" t="s">
        <v>2347</v>
      </c>
      <c r="C1410" s="39">
        <v>4</v>
      </c>
      <c r="D1410" s="39" t="s">
        <v>2122</v>
      </c>
    </row>
    <row r="1411" spans="1:4" x14ac:dyDescent="0.25">
      <c r="A1411" s="39" t="s">
        <v>10753</v>
      </c>
      <c r="B1411" s="39" t="s">
        <v>5637</v>
      </c>
      <c r="C1411" s="39">
        <v>4</v>
      </c>
      <c r="D1411" s="39" t="s">
        <v>2122</v>
      </c>
    </row>
    <row r="1412" spans="1:4" x14ac:dyDescent="0.25">
      <c r="A1412" s="39" t="s">
        <v>7088</v>
      </c>
      <c r="B1412" s="39" t="s">
        <v>7089</v>
      </c>
      <c r="C1412" s="39">
        <v>4</v>
      </c>
      <c r="D1412" s="39" t="s">
        <v>2122</v>
      </c>
    </row>
    <row r="1413" spans="1:4" x14ac:dyDescent="0.25">
      <c r="A1413" s="39" t="s">
        <v>10754</v>
      </c>
      <c r="B1413" s="39" t="s">
        <v>10755</v>
      </c>
      <c r="C1413" s="39">
        <v>4</v>
      </c>
      <c r="D1413" s="39" t="s">
        <v>2122</v>
      </c>
    </row>
    <row r="1414" spans="1:4" x14ac:dyDescent="0.25">
      <c r="A1414" s="39" t="s">
        <v>7090</v>
      </c>
      <c r="B1414" s="39" t="s">
        <v>2870</v>
      </c>
      <c r="C1414" s="39">
        <v>4</v>
      </c>
      <c r="D1414" s="39" t="s">
        <v>2122</v>
      </c>
    </row>
    <row r="1415" spans="1:4" x14ac:dyDescent="0.25">
      <c r="A1415" s="39" t="s">
        <v>1291</v>
      </c>
      <c r="B1415" s="39" t="s">
        <v>1045</v>
      </c>
      <c r="C1415" s="39">
        <v>4</v>
      </c>
      <c r="D1415" s="39" t="s">
        <v>2122</v>
      </c>
    </row>
    <row r="1416" spans="1:4" x14ac:dyDescent="0.25">
      <c r="A1416" s="39" t="s">
        <v>7091</v>
      </c>
      <c r="B1416" s="39" t="s">
        <v>3995</v>
      </c>
      <c r="C1416" s="39">
        <v>4</v>
      </c>
      <c r="D1416" s="39" t="s">
        <v>2122</v>
      </c>
    </row>
    <row r="1417" spans="1:4" x14ac:dyDescent="0.25">
      <c r="A1417" s="39" t="s">
        <v>7092</v>
      </c>
      <c r="B1417" s="39" t="s">
        <v>3897</v>
      </c>
      <c r="C1417" s="39">
        <v>4</v>
      </c>
      <c r="D1417" s="39" t="s">
        <v>2122</v>
      </c>
    </row>
    <row r="1418" spans="1:4" x14ac:dyDescent="0.25">
      <c r="A1418" s="39" t="s">
        <v>7093</v>
      </c>
      <c r="B1418" s="39" t="s">
        <v>3013</v>
      </c>
      <c r="C1418" s="39">
        <v>4</v>
      </c>
      <c r="D1418" s="39" t="s">
        <v>2122</v>
      </c>
    </row>
    <row r="1419" spans="1:4" x14ac:dyDescent="0.25">
      <c r="A1419" s="39" t="s">
        <v>7094</v>
      </c>
      <c r="B1419" s="39" t="s">
        <v>4834</v>
      </c>
      <c r="C1419" s="39">
        <v>4</v>
      </c>
      <c r="D1419" s="39" t="s">
        <v>2122</v>
      </c>
    </row>
    <row r="1420" spans="1:4" x14ac:dyDescent="0.25">
      <c r="A1420" s="39" t="s">
        <v>3186</v>
      </c>
      <c r="B1420" s="39" t="s">
        <v>1059</v>
      </c>
      <c r="C1420" s="39">
        <v>4</v>
      </c>
      <c r="D1420" s="39" t="s">
        <v>2122</v>
      </c>
    </row>
    <row r="1421" spans="1:4" x14ac:dyDescent="0.25">
      <c r="A1421" s="39" t="s">
        <v>7095</v>
      </c>
      <c r="B1421" s="39" t="s">
        <v>7096</v>
      </c>
      <c r="C1421" s="39">
        <v>4</v>
      </c>
      <c r="D1421" s="39" t="s">
        <v>2122</v>
      </c>
    </row>
    <row r="1422" spans="1:4" x14ac:dyDescent="0.25">
      <c r="A1422" s="39" t="s">
        <v>10756</v>
      </c>
      <c r="B1422" s="39" t="s">
        <v>10757</v>
      </c>
      <c r="C1422" s="39">
        <v>4</v>
      </c>
      <c r="D1422" s="39" t="s">
        <v>2122</v>
      </c>
    </row>
    <row r="1423" spans="1:4" x14ac:dyDescent="0.25">
      <c r="A1423" s="39" t="s">
        <v>10758</v>
      </c>
      <c r="B1423" s="39" t="s">
        <v>5815</v>
      </c>
      <c r="C1423" s="39">
        <v>4</v>
      </c>
      <c r="D1423" s="39" t="s">
        <v>2122</v>
      </c>
    </row>
    <row r="1424" spans="1:4" x14ac:dyDescent="0.25">
      <c r="A1424" s="39" t="s">
        <v>7097</v>
      </c>
      <c r="B1424" s="39" t="s">
        <v>4132</v>
      </c>
      <c r="C1424" s="39">
        <v>4</v>
      </c>
      <c r="D1424" s="39" t="s">
        <v>2122</v>
      </c>
    </row>
    <row r="1425" spans="1:4" x14ac:dyDescent="0.25">
      <c r="A1425" s="39" t="s">
        <v>1870</v>
      </c>
      <c r="B1425" s="39" t="s">
        <v>1360</v>
      </c>
      <c r="C1425" s="39">
        <v>4</v>
      </c>
      <c r="D1425" s="39" t="s">
        <v>2122</v>
      </c>
    </row>
    <row r="1426" spans="1:4" x14ac:dyDescent="0.25">
      <c r="A1426" s="39" t="s">
        <v>5127</v>
      </c>
      <c r="B1426" s="39" t="s">
        <v>5128</v>
      </c>
      <c r="C1426" s="39">
        <v>4</v>
      </c>
      <c r="D1426" s="39" t="s">
        <v>2122</v>
      </c>
    </row>
    <row r="1427" spans="1:4" x14ac:dyDescent="0.25">
      <c r="A1427" s="39" t="s">
        <v>10759</v>
      </c>
      <c r="B1427" s="39" t="s">
        <v>10760</v>
      </c>
      <c r="C1427" s="39">
        <v>4</v>
      </c>
      <c r="D1427" s="39" t="s">
        <v>2122</v>
      </c>
    </row>
    <row r="1428" spans="1:4" x14ac:dyDescent="0.25">
      <c r="A1428" s="39" t="s">
        <v>7098</v>
      </c>
      <c r="B1428" s="39" t="s">
        <v>2167</v>
      </c>
      <c r="C1428" s="39">
        <v>4</v>
      </c>
      <c r="D1428" s="39" t="s">
        <v>2122</v>
      </c>
    </row>
    <row r="1429" spans="1:4" x14ac:dyDescent="0.25">
      <c r="A1429" s="39" t="s">
        <v>7099</v>
      </c>
      <c r="B1429" s="39" t="s">
        <v>3090</v>
      </c>
      <c r="C1429" s="39">
        <v>4</v>
      </c>
      <c r="D1429" s="39" t="s">
        <v>2122</v>
      </c>
    </row>
    <row r="1430" spans="1:4" x14ac:dyDescent="0.25">
      <c r="A1430" s="39" t="s">
        <v>5131</v>
      </c>
      <c r="B1430" s="39" t="s">
        <v>3990</v>
      </c>
      <c r="C1430" s="39">
        <v>4</v>
      </c>
      <c r="D1430" s="39" t="s">
        <v>2122</v>
      </c>
    </row>
    <row r="1431" spans="1:4" x14ac:dyDescent="0.25">
      <c r="A1431" s="39" t="s">
        <v>10761</v>
      </c>
      <c r="B1431" s="39" t="s">
        <v>10762</v>
      </c>
      <c r="C1431" s="39">
        <v>4</v>
      </c>
      <c r="D1431" s="39" t="s">
        <v>2122</v>
      </c>
    </row>
    <row r="1432" spans="1:4" x14ac:dyDescent="0.25">
      <c r="A1432" s="39" t="s">
        <v>5132</v>
      </c>
      <c r="B1432" s="39" t="s">
        <v>5133</v>
      </c>
      <c r="C1432" s="39">
        <v>4</v>
      </c>
      <c r="D1432" s="39" t="s">
        <v>2122</v>
      </c>
    </row>
    <row r="1433" spans="1:4" x14ac:dyDescent="0.25">
      <c r="A1433" s="39" t="s">
        <v>45</v>
      </c>
      <c r="B1433" s="39" t="s">
        <v>302</v>
      </c>
      <c r="C1433" s="39">
        <v>4</v>
      </c>
      <c r="D1433" s="39" t="s">
        <v>2122</v>
      </c>
    </row>
    <row r="1434" spans="1:4" x14ac:dyDescent="0.25">
      <c r="A1434" s="39" t="s">
        <v>1967</v>
      </c>
      <c r="B1434" s="39" t="s">
        <v>535</v>
      </c>
      <c r="C1434" s="39">
        <v>4</v>
      </c>
      <c r="D1434" s="39" t="s">
        <v>2122</v>
      </c>
    </row>
    <row r="1435" spans="1:4" x14ac:dyDescent="0.25">
      <c r="A1435" s="39" t="s">
        <v>2709</v>
      </c>
      <c r="B1435" s="39" t="s">
        <v>1347</v>
      </c>
      <c r="C1435" s="39">
        <v>4</v>
      </c>
      <c r="D1435" s="39" t="s">
        <v>2122</v>
      </c>
    </row>
    <row r="1436" spans="1:4" x14ac:dyDescent="0.25">
      <c r="A1436" s="39" t="s">
        <v>7100</v>
      </c>
      <c r="B1436" s="39" t="s">
        <v>4837</v>
      </c>
      <c r="C1436" s="39">
        <v>4</v>
      </c>
      <c r="D1436" s="39" t="s">
        <v>2122</v>
      </c>
    </row>
    <row r="1437" spans="1:4" x14ac:dyDescent="0.25">
      <c r="A1437" s="39" t="s">
        <v>5134</v>
      </c>
      <c r="B1437" s="39" t="s">
        <v>2503</v>
      </c>
      <c r="C1437" s="39">
        <v>4</v>
      </c>
      <c r="D1437" s="39" t="s">
        <v>2122</v>
      </c>
    </row>
    <row r="1438" spans="1:4" x14ac:dyDescent="0.25">
      <c r="A1438" s="39" t="s">
        <v>5135</v>
      </c>
      <c r="B1438" s="39" t="s">
        <v>5136</v>
      </c>
      <c r="C1438" s="39">
        <v>4</v>
      </c>
      <c r="D1438" s="39" t="s">
        <v>2122</v>
      </c>
    </row>
    <row r="1439" spans="1:4" x14ac:dyDescent="0.25">
      <c r="A1439" s="39" t="s">
        <v>7101</v>
      </c>
      <c r="B1439" s="39" t="s">
        <v>3979</v>
      </c>
      <c r="C1439" s="39">
        <v>4</v>
      </c>
      <c r="D1439" s="39" t="s">
        <v>2122</v>
      </c>
    </row>
    <row r="1440" spans="1:4" x14ac:dyDescent="0.25">
      <c r="A1440" s="39" t="s">
        <v>7102</v>
      </c>
      <c r="B1440" s="39" t="s">
        <v>4783</v>
      </c>
      <c r="C1440" s="39">
        <v>4</v>
      </c>
      <c r="D1440" s="39" t="s">
        <v>2122</v>
      </c>
    </row>
    <row r="1441" spans="1:4" x14ac:dyDescent="0.25">
      <c r="A1441" s="39" t="s">
        <v>5137</v>
      </c>
      <c r="B1441" s="39" t="s">
        <v>1746</v>
      </c>
      <c r="C1441" s="39">
        <v>4</v>
      </c>
      <c r="D1441" s="39" t="s">
        <v>2122</v>
      </c>
    </row>
    <row r="1442" spans="1:4" x14ac:dyDescent="0.25">
      <c r="A1442" s="39" t="s">
        <v>10763</v>
      </c>
      <c r="B1442" s="39" t="s">
        <v>10764</v>
      </c>
      <c r="C1442" s="39">
        <v>4</v>
      </c>
      <c r="D1442" s="39" t="s">
        <v>2122</v>
      </c>
    </row>
    <row r="1443" spans="1:4" x14ac:dyDescent="0.25">
      <c r="A1443" s="39" t="s">
        <v>10765</v>
      </c>
      <c r="B1443" s="39" t="s">
        <v>10766</v>
      </c>
      <c r="C1443" s="39">
        <v>4</v>
      </c>
      <c r="D1443" s="39" t="s">
        <v>2122</v>
      </c>
    </row>
    <row r="1444" spans="1:4" x14ac:dyDescent="0.25">
      <c r="A1444" s="39" t="s">
        <v>7103</v>
      </c>
      <c r="B1444" s="39" t="s">
        <v>4715</v>
      </c>
      <c r="C1444" s="39">
        <v>4</v>
      </c>
      <c r="D1444" s="39" t="s">
        <v>2122</v>
      </c>
    </row>
    <row r="1445" spans="1:4" x14ac:dyDescent="0.25">
      <c r="A1445" s="39" t="s">
        <v>5138</v>
      </c>
      <c r="B1445" s="39" t="s">
        <v>4013</v>
      </c>
      <c r="C1445" s="39">
        <v>4</v>
      </c>
      <c r="D1445" s="39" t="s">
        <v>2122</v>
      </c>
    </row>
    <row r="1446" spans="1:4" x14ac:dyDescent="0.25">
      <c r="A1446" s="39" t="s">
        <v>10767</v>
      </c>
      <c r="B1446" s="39" t="s">
        <v>4858</v>
      </c>
      <c r="C1446" s="39">
        <v>4</v>
      </c>
      <c r="D1446" s="39" t="s">
        <v>2122</v>
      </c>
    </row>
    <row r="1447" spans="1:4" x14ac:dyDescent="0.25">
      <c r="A1447" s="39" t="s">
        <v>3470</v>
      </c>
      <c r="B1447" s="39" t="s">
        <v>2102</v>
      </c>
      <c r="C1447" s="39">
        <v>4</v>
      </c>
      <c r="D1447" s="39" t="s">
        <v>2122</v>
      </c>
    </row>
    <row r="1448" spans="1:4" x14ac:dyDescent="0.25">
      <c r="A1448" s="39" t="s">
        <v>5139</v>
      </c>
      <c r="B1448" s="39" t="s">
        <v>4011</v>
      </c>
      <c r="C1448" s="39">
        <v>4</v>
      </c>
      <c r="D1448" s="39" t="s">
        <v>2122</v>
      </c>
    </row>
    <row r="1449" spans="1:4" x14ac:dyDescent="0.25">
      <c r="A1449" s="39" t="s">
        <v>7104</v>
      </c>
      <c r="B1449" s="39" t="s">
        <v>3902</v>
      </c>
      <c r="C1449" s="39">
        <v>4</v>
      </c>
      <c r="D1449" s="39" t="s">
        <v>2122</v>
      </c>
    </row>
    <row r="1450" spans="1:4" x14ac:dyDescent="0.25">
      <c r="A1450" s="39" t="s">
        <v>5140</v>
      </c>
      <c r="B1450" s="39" t="s">
        <v>2611</v>
      </c>
      <c r="C1450" s="39">
        <v>4</v>
      </c>
      <c r="D1450" s="39" t="s">
        <v>2122</v>
      </c>
    </row>
    <row r="1451" spans="1:4" x14ac:dyDescent="0.25">
      <c r="A1451" s="39" t="s">
        <v>7105</v>
      </c>
      <c r="B1451" s="39" t="s">
        <v>7106</v>
      </c>
      <c r="C1451" s="39">
        <v>4</v>
      </c>
      <c r="D1451" s="39" t="s">
        <v>2122</v>
      </c>
    </row>
    <row r="1452" spans="1:4" x14ac:dyDescent="0.25">
      <c r="A1452" s="39" t="s">
        <v>5141</v>
      </c>
      <c r="B1452" s="39" t="s">
        <v>2893</v>
      </c>
      <c r="C1452" s="39">
        <v>4</v>
      </c>
      <c r="D1452" s="39" t="s">
        <v>2122</v>
      </c>
    </row>
    <row r="1453" spans="1:4" x14ac:dyDescent="0.25">
      <c r="A1453" s="39" t="s">
        <v>7107</v>
      </c>
      <c r="B1453" s="39" t="s">
        <v>7108</v>
      </c>
      <c r="C1453" s="39">
        <v>4</v>
      </c>
      <c r="D1453" s="39" t="s">
        <v>2122</v>
      </c>
    </row>
    <row r="1454" spans="1:4" x14ac:dyDescent="0.25">
      <c r="A1454" s="39" t="s">
        <v>7109</v>
      </c>
      <c r="B1454" s="39" t="s">
        <v>7110</v>
      </c>
      <c r="C1454" s="39">
        <v>4</v>
      </c>
      <c r="D1454" s="39" t="s">
        <v>2122</v>
      </c>
    </row>
    <row r="1455" spans="1:4" x14ac:dyDescent="0.25">
      <c r="A1455" s="39" t="s">
        <v>1440</v>
      </c>
      <c r="B1455" s="39" t="s">
        <v>43</v>
      </c>
      <c r="C1455" s="39">
        <v>4</v>
      </c>
      <c r="D1455" s="39" t="s">
        <v>2122</v>
      </c>
    </row>
    <row r="1456" spans="1:4" x14ac:dyDescent="0.25">
      <c r="A1456" s="39" t="s">
        <v>10768</v>
      </c>
      <c r="B1456" s="39" t="s">
        <v>10769</v>
      </c>
      <c r="C1456" s="39">
        <v>4</v>
      </c>
      <c r="D1456" s="39" t="s">
        <v>2122</v>
      </c>
    </row>
    <row r="1457" spans="1:4" x14ac:dyDescent="0.25">
      <c r="A1457" s="39" t="s">
        <v>1871</v>
      </c>
      <c r="B1457" s="39" t="s">
        <v>1325</v>
      </c>
      <c r="C1457" s="39">
        <v>4</v>
      </c>
      <c r="D1457" s="39" t="s">
        <v>2122</v>
      </c>
    </row>
    <row r="1458" spans="1:4" x14ac:dyDescent="0.25">
      <c r="A1458" s="39" t="s">
        <v>7111</v>
      </c>
      <c r="B1458" s="39" t="s">
        <v>4853</v>
      </c>
      <c r="C1458" s="39">
        <v>4</v>
      </c>
      <c r="D1458" s="39" t="s">
        <v>2122</v>
      </c>
    </row>
    <row r="1459" spans="1:4" x14ac:dyDescent="0.25">
      <c r="A1459" s="39" t="s">
        <v>3471</v>
      </c>
      <c r="B1459" s="39" t="s">
        <v>3736</v>
      </c>
      <c r="C1459" s="39">
        <v>4</v>
      </c>
      <c r="D1459" s="39" t="s">
        <v>2122</v>
      </c>
    </row>
    <row r="1460" spans="1:4" x14ac:dyDescent="0.25">
      <c r="A1460" s="39" t="s">
        <v>2711</v>
      </c>
      <c r="B1460" s="39" t="s">
        <v>2712</v>
      </c>
      <c r="C1460" s="39">
        <v>4</v>
      </c>
      <c r="D1460" s="39" t="s">
        <v>2122</v>
      </c>
    </row>
    <row r="1461" spans="1:4" x14ac:dyDescent="0.25">
      <c r="A1461" s="39" t="s">
        <v>199</v>
      </c>
      <c r="B1461" s="39" t="s">
        <v>463</v>
      </c>
      <c r="C1461" s="39">
        <v>4</v>
      </c>
      <c r="D1461" s="39" t="s">
        <v>2122</v>
      </c>
    </row>
    <row r="1462" spans="1:4" x14ac:dyDescent="0.25">
      <c r="A1462" s="39" t="s">
        <v>3472</v>
      </c>
      <c r="B1462" s="39" t="s">
        <v>2889</v>
      </c>
      <c r="C1462" s="39">
        <v>4</v>
      </c>
      <c r="D1462" s="39" t="s">
        <v>2122</v>
      </c>
    </row>
    <row r="1463" spans="1:4" x14ac:dyDescent="0.25">
      <c r="A1463" s="39" t="s">
        <v>5144</v>
      </c>
      <c r="B1463" s="39" t="s">
        <v>5145</v>
      </c>
      <c r="C1463" s="39">
        <v>4</v>
      </c>
      <c r="D1463" s="39" t="s">
        <v>2122</v>
      </c>
    </row>
    <row r="1464" spans="1:4" x14ac:dyDescent="0.25">
      <c r="A1464" s="39" t="s">
        <v>10770</v>
      </c>
      <c r="B1464" s="39" t="s">
        <v>10771</v>
      </c>
      <c r="C1464" s="39">
        <v>4</v>
      </c>
      <c r="D1464" s="39" t="s">
        <v>2122</v>
      </c>
    </row>
    <row r="1465" spans="1:4" x14ac:dyDescent="0.25">
      <c r="A1465" s="39" t="s">
        <v>3474</v>
      </c>
      <c r="B1465" s="39" t="s">
        <v>3367</v>
      </c>
      <c r="C1465" s="39">
        <v>4</v>
      </c>
      <c r="D1465" s="39" t="s">
        <v>2122</v>
      </c>
    </row>
    <row r="1466" spans="1:4" x14ac:dyDescent="0.25">
      <c r="A1466" s="39" t="s">
        <v>10772</v>
      </c>
      <c r="B1466" s="39" t="s">
        <v>6130</v>
      </c>
      <c r="C1466" s="39">
        <v>4</v>
      </c>
      <c r="D1466" s="39" t="s">
        <v>2122</v>
      </c>
    </row>
    <row r="1467" spans="1:4" x14ac:dyDescent="0.25">
      <c r="A1467" s="39" t="s">
        <v>3475</v>
      </c>
      <c r="B1467" s="39" t="s">
        <v>3738</v>
      </c>
      <c r="C1467" s="39">
        <v>4</v>
      </c>
      <c r="D1467" s="39" t="s">
        <v>2122</v>
      </c>
    </row>
    <row r="1468" spans="1:4" x14ac:dyDescent="0.25">
      <c r="A1468" s="39" t="s">
        <v>5146</v>
      </c>
      <c r="B1468" s="39" t="s">
        <v>5147</v>
      </c>
      <c r="C1468" s="39">
        <v>4</v>
      </c>
      <c r="D1468" s="39" t="s">
        <v>2122</v>
      </c>
    </row>
    <row r="1469" spans="1:4" x14ac:dyDescent="0.25">
      <c r="A1469" s="39" t="s">
        <v>5148</v>
      </c>
      <c r="B1469" s="39" t="s">
        <v>2930</v>
      </c>
      <c r="C1469" s="39">
        <v>4</v>
      </c>
      <c r="D1469" s="39" t="s">
        <v>2122</v>
      </c>
    </row>
    <row r="1470" spans="1:4" x14ac:dyDescent="0.25">
      <c r="A1470" s="39" t="s">
        <v>10773</v>
      </c>
      <c r="B1470" s="39" t="s">
        <v>10774</v>
      </c>
      <c r="C1470" s="39">
        <v>4</v>
      </c>
      <c r="D1470" s="39" t="s">
        <v>2122</v>
      </c>
    </row>
    <row r="1471" spans="1:4" x14ac:dyDescent="0.25">
      <c r="A1471" s="39" t="s">
        <v>2713</v>
      </c>
      <c r="B1471" s="39" t="s">
        <v>2715</v>
      </c>
      <c r="C1471" s="39">
        <v>4</v>
      </c>
      <c r="D1471" s="39" t="s">
        <v>2122</v>
      </c>
    </row>
    <row r="1472" spans="1:4" x14ac:dyDescent="0.25">
      <c r="A1472" s="39" t="s">
        <v>3477</v>
      </c>
      <c r="B1472" s="39" t="s">
        <v>3740</v>
      </c>
      <c r="C1472" s="39">
        <v>4</v>
      </c>
      <c r="D1472" s="39" t="s">
        <v>2122</v>
      </c>
    </row>
    <row r="1473" spans="1:4" x14ac:dyDescent="0.25">
      <c r="A1473" s="39" t="s">
        <v>5149</v>
      </c>
      <c r="B1473" s="39" t="s">
        <v>5150</v>
      </c>
      <c r="C1473" s="39">
        <v>4</v>
      </c>
      <c r="D1473" s="39" t="s">
        <v>2122</v>
      </c>
    </row>
    <row r="1474" spans="1:4" x14ac:dyDescent="0.25">
      <c r="A1474" s="39" t="s">
        <v>10775</v>
      </c>
      <c r="B1474" s="39" t="s">
        <v>6109</v>
      </c>
      <c r="C1474" s="39">
        <v>4</v>
      </c>
      <c r="D1474" s="39" t="s">
        <v>2122</v>
      </c>
    </row>
    <row r="1475" spans="1:4" x14ac:dyDescent="0.25">
      <c r="A1475" s="39" t="s">
        <v>5151</v>
      </c>
      <c r="B1475" s="39" t="s">
        <v>599</v>
      </c>
      <c r="C1475" s="39">
        <v>4</v>
      </c>
      <c r="D1475" s="39" t="s">
        <v>2122</v>
      </c>
    </row>
    <row r="1476" spans="1:4" x14ac:dyDescent="0.25">
      <c r="A1476" s="39" t="s">
        <v>10776</v>
      </c>
      <c r="B1476" s="39" t="s">
        <v>3914</v>
      </c>
      <c r="C1476" s="39">
        <v>4</v>
      </c>
      <c r="D1476" s="39" t="s">
        <v>2122</v>
      </c>
    </row>
    <row r="1477" spans="1:4" x14ac:dyDescent="0.25">
      <c r="A1477" s="39" t="s">
        <v>5152</v>
      </c>
      <c r="B1477" s="39" t="s">
        <v>3009</v>
      </c>
      <c r="C1477" s="39">
        <v>4</v>
      </c>
      <c r="D1477" s="39" t="s">
        <v>2122</v>
      </c>
    </row>
    <row r="1478" spans="1:4" x14ac:dyDescent="0.25">
      <c r="A1478" s="39" t="s">
        <v>1620</v>
      </c>
      <c r="B1478" s="39" t="s">
        <v>1316</v>
      </c>
      <c r="C1478" s="39">
        <v>4</v>
      </c>
      <c r="D1478" s="39" t="s">
        <v>2122</v>
      </c>
    </row>
    <row r="1479" spans="1:4" x14ac:dyDescent="0.25">
      <c r="A1479" s="39" t="s">
        <v>3187</v>
      </c>
      <c r="B1479" s="39" t="s">
        <v>3188</v>
      </c>
      <c r="C1479" s="39">
        <v>4</v>
      </c>
      <c r="D1479" s="39" t="s">
        <v>2122</v>
      </c>
    </row>
    <row r="1480" spans="1:4" x14ac:dyDescent="0.25">
      <c r="A1480" s="39" t="s">
        <v>5153</v>
      </c>
      <c r="B1480" s="39" t="s">
        <v>5154</v>
      </c>
      <c r="C1480" s="39">
        <v>4</v>
      </c>
      <c r="D1480" s="39" t="s">
        <v>2122</v>
      </c>
    </row>
    <row r="1481" spans="1:4" x14ac:dyDescent="0.25">
      <c r="A1481" s="39" t="s">
        <v>7112</v>
      </c>
      <c r="B1481" s="39" t="s">
        <v>7113</v>
      </c>
      <c r="C1481" s="39">
        <v>4</v>
      </c>
      <c r="D1481" s="39" t="s">
        <v>2122</v>
      </c>
    </row>
    <row r="1482" spans="1:4" x14ac:dyDescent="0.25">
      <c r="A1482" s="39" t="s">
        <v>1195</v>
      </c>
      <c r="B1482" s="39" t="s">
        <v>667</v>
      </c>
      <c r="C1482" s="39">
        <v>4</v>
      </c>
      <c r="D1482" s="39" t="s">
        <v>2122</v>
      </c>
    </row>
    <row r="1483" spans="1:4" x14ac:dyDescent="0.25">
      <c r="A1483" s="39" t="s">
        <v>7114</v>
      </c>
      <c r="B1483" s="39" t="s">
        <v>7115</v>
      </c>
      <c r="C1483" s="39">
        <v>4</v>
      </c>
      <c r="D1483" s="39" t="s">
        <v>2122</v>
      </c>
    </row>
    <row r="1484" spans="1:4" x14ac:dyDescent="0.25">
      <c r="A1484" s="39" t="s">
        <v>10777</v>
      </c>
      <c r="B1484" s="39" t="s">
        <v>5814</v>
      </c>
      <c r="C1484" s="39">
        <v>4</v>
      </c>
      <c r="D1484" s="39" t="s">
        <v>2122</v>
      </c>
    </row>
    <row r="1485" spans="1:4" x14ac:dyDescent="0.25">
      <c r="A1485" s="39" t="s">
        <v>3478</v>
      </c>
      <c r="B1485" s="39" t="s">
        <v>558</v>
      </c>
      <c r="C1485" s="39">
        <v>4</v>
      </c>
      <c r="D1485" s="39" t="s">
        <v>2122</v>
      </c>
    </row>
    <row r="1486" spans="1:4" x14ac:dyDescent="0.25">
      <c r="A1486" s="39" t="s">
        <v>3189</v>
      </c>
      <c r="B1486" s="39" t="s">
        <v>2613</v>
      </c>
      <c r="C1486" s="39">
        <v>4</v>
      </c>
      <c r="D1486" s="39" t="s">
        <v>2122</v>
      </c>
    </row>
    <row r="1487" spans="1:4" x14ac:dyDescent="0.25">
      <c r="A1487" s="39" t="s">
        <v>1873</v>
      </c>
      <c r="B1487" s="39" t="s">
        <v>3741</v>
      </c>
      <c r="C1487" s="39">
        <v>4</v>
      </c>
      <c r="D1487" s="39" t="s">
        <v>2122</v>
      </c>
    </row>
    <row r="1488" spans="1:4" x14ac:dyDescent="0.25">
      <c r="A1488" s="39" t="s">
        <v>5155</v>
      </c>
      <c r="B1488" s="39" t="s">
        <v>5156</v>
      </c>
      <c r="C1488" s="39">
        <v>4</v>
      </c>
      <c r="D1488" s="39" t="s">
        <v>2122</v>
      </c>
    </row>
    <row r="1489" spans="1:4" x14ac:dyDescent="0.25">
      <c r="A1489" s="39" t="s">
        <v>5157</v>
      </c>
      <c r="B1489" s="39" t="s">
        <v>3022</v>
      </c>
      <c r="C1489" s="39">
        <v>4</v>
      </c>
      <c r="D1489" s="39" t="s">
        <v>2122</v>
      </c>
    </row>
    <row r="1490" spans="1:4" x14ac:dyDescent="0.25">
      <c r="A1490" s="39" t="s">
        <v>3479</v>
      </c>
      <c r="B1490" s="39" t="s">
        <v>3742</v>
      </c>
      <c r="C1490" s="39">
        <v>4</v>
      </c>
      <c r="D1490" s="39" t="s">
        <v>2122</v>
      </c>
    </row>
    <row r="1491" spans="1:4" x14ac:dyDescent="0.25">
      <c r="A1491" s="39" t="s">
        <v>10778</v>
      </c>
      <c r="B1491" s="39" t="s">
        <v>10779</v>
      </c>
      <c r="C1491" s="39">
        <v>4</v>
      </c>
      <c r="D1491" s="39" t="s">
        <v>2122</v>
      </c>
    </row>
    <row r="1492" spans="1:4" x14ac:dyDescent="0.25">
      <c r="A1492" s="39" t="s">
        <v>3480</v>
      </c>
      <c r="B1492" s="39" t="s">
        <v>3743</v>
      </c>
      <c r="C1492" s="39">
        <v>4</v>
      </c>
      <c r="D1492" s="39" t="s">
        <v>2122</v>
      </c>
    </row>
    <row r="1493" spans="1:4" x14ac:dyDescent="0.25">
      <c r="A1493" s="39" t="s">
        <v>5158</v>
      </c>
      <c r="B1493" s="39" t="s">
        <v>2652</v>
      </c>
      <c r="C1493" s="39">
        <v>4</v>
      </c>
      <c r="D1493" s="39" t="s">
        <v>2122</v>
      </c>
    </row>
    <row r="1494" spans="1:4" x14ac:dyDescent="0.25">
      <c r="A1494" s="39" t="s">
        <v>5159</v>
      </c>
      <c r="B1494" s="39" t="s">
        <v>4137</v>
      </c>
      <c r="C1494" s="39">
        <v>4</v>
      </c>
      <c r="D1494" s="39" t="s">
        <v>2122</v>
      </c>
    </row>
    <row r="1495" spans="1:4" x14ac:dyDescent="0.25">
      <c r="A1495" s="39" t="s">
        <v>7116</v>
      </c>
      <c r="B1495" s="39" t="s">
        <v>7117</v>
      </c>
      <c r="C1495" s="39">
        <v>4</v>
      </c>
      <c r="D1495" s="39" t="s">
        <v>2122</v>
      </c>
    </row>
    <row r="1496" spans="1:4" x14ac:dyDescent="0.25">
      <c r="A1496" s="39" t="s">
        <v>10780</v>
      </c>
      <c r="B1496" s="39" t="s">
        <v>4545</v>
      </c>
      <c r="C1496" s="39">
        <v>4</v>
      </c>
      <c r="D1496" s="39" t="s">
        <v>2122</v>
      </c>
    </row>
    <row r="1497" spans="1:4" x14ac:dyDescent="0.25">
      <c r="A1497" s="39" t="s">
        <v>5160</v>
      </c>
      <c r="B1497" s="39" t="s">
        <v>5161</v>
      </c>
      <c r="C1497" s="39">
        <v>4</v>
      </c>
      <c r="D1497" s="39" t="s">
        <v>2122</v>
      </c>
    </row>
    <row r="1498" spans="1:4" x14ac:dyDescent="0.25">
      <c r="A1498" s="39" t="s">
        <v>2109</v>
      </c>
      <c r="B1498" s="39" t="s">
        <v>642</v>
      </c>
      <c r="C1498" s="39">
        <v>4</v>
      </c>
      <c r="D1498" s="39" t="s">
        <v>2122</v>
      </c>
    </row>
    <row r="1499" spans="1:4" x14ac:dyDescent="0.25">
      <c r="A1499" s="39" t="s">
        <v>3481</v>
      </c>
      <c r="B1499" s="39" t="s">
        <v>3744</v>
      </c>
      <c r="C1499" s="39">
        <v>4</v>
      </c>
      <c r="D1499" s="39" t="s">
        <v>2122</v>
      </c>
    </row>
    <row r="1500" spans="1:4" x14ac:dyDescent="0.25">
      <c r="A1500" s="39" t="s">
        <v>5162</v>
      </c>
      <c r="B1500" s="39" t="s">
        <v>5163</v>
      </c>
      <c r="C1500" s="39">
        <v>4</v>
      </c>
      <c r="D1500" s="39" t="s">
        <v>2122</v>
      </c>
    </row>
    <row r="1501" spans="1:4" x14ac:dyDescent="0.25">
      <c r="A1501" s="39" t="s">
        <v>2211</v>
      </c>
      <c r="B1501" s="39" t="s">
        <v>2213</v>
      </c>
      <c r="C1501" s="39">
        <v>4</v>
      </c>
      <c r="D1501" s="39" t="s">
        <v>2122</v>
      </c>
    </row>
    <row r="1502" spans="1:4" x14ac:dyDescent="0.25">
      <c r="A1502" s="39" t="s">
        <v>5164</v>
      </c>
      <c r="B1502" s="39" t="s">
        <v>5165</v>
      </c>
      <c r="C1502" s="39">
        <v>4</v>
      </c>
      <c r="D1502" s="39" t="s">
        <v>2122</v>
      </c>
    </row>
    <row r="1503" spans="1:4" x14ac:dyDescent="0.25">
      <c r="A1503" s="39" t="s">
        <v>10781</v>
      </c>
      <c r="B1503" s="39" t="s">
        <v>10782</v>
      </c>
      <c r="C1503" s="39">
        <v>4</v>
      </c>
      <c r="D1503" s="39" t="s">
        <v>2122</v>
      </c>
    </row>
    <row r="1504" spans="1:4" x14ac:dyDescent="0.25">
      <c r="A1504" s="39" t="s">
        <v>3190</v>
      </c>
      <c r="B1504" s="39" t="s">
        <v>3191</v>
      </c>
      <c r="C1504" s="39">
        <v>4</v>
      </c>
      <c r="D1504" s="39" t="s">
        <v>2122</v>
      </c>
    </row>
    <row r="1505" spans="1:4" x14ac:dyDescent="0.25">
      <c r="A1505" s="39" t="s">
        <v>10783</v>
      </c>
      <c r="B1505" s="39" t="s">
        <v>5943</v>
      </c>
      <c r="C1505" s="39">
        <v>4</v>
      </c>
      <c r="D1505" s="39" t="s">
        <v>2122</v>
      </c>
    </row>
    <row r="1506" spans="1:4" x14ac:dyDescent="0.25">
      <c r="A1506" s="39" t="s">
        <v>1874</v>
      </c>
      <c r="B1506" s="39" t="s">
        <v>1278</v>
      </c>
      <c r="C1506" s="39">
        <v>4</v>
      </c>
      <c r="D1506" s="39" t="s">
        <v>2122</v>
      </c>
    </row>
    <row r="1507" spans="1:4" x14ac:dyDescent="0.25">
      <c r="A1507" s="39" t="s">
        <v>7118</v>
      </c>
      <c r="B1507" s="39" t="s">
        <v>7119</v>
      </c>
      <c r="C1507" s="39">
        <v>4</v>
      </c>
      <c r="D1507" s="39" t="s">
        <v>2122</v>
      </c>
    </row>
    <row r="1508" spans="1:4" x14ac:dyDescent="0.25">
      <c r="A1508" s="39" t="s">
        <v>7120</v>
      </c>
      <c r="B1508" s="39" t="s">
        <v>7121</v>
      </c>
      <c r="C1508" s="39">
        <v>4</v>
      </c>
      <c r="D1508" s="39" t="s">
        <v>2122</v>
      </c>
    </row>
    <row r="1509" spans="1:4" x14ac:dyDescent="0.25">
      <c r="A1509" s="39" t="s">
        <v>7122</v>
      </c>
      <c r="B1509" s="39" t="s">
        <v>7123</v>
      </c>
      <c r="C1509" s="39">
        <v>4</v>
      </c>
      <c r="D1509" s="39" t="s">
        <v>2122</v>
      </c>
    </row>
    <row r="1510" spans="1:4" x14ac:dyDescent="0.25">
      <c r="A1510" s="39" t="s">
        <v>10784</v>
      </c>
      <c r="B1510" s="39" t="s">
        <v>213</v>
      </c>
      <c r="C1510" s="39">
        <v>4</v>
      </c>
      <c r="D1510" s="39" t="s">
        <v>2122</v>
      </c>
    </row>
    <row r="1511" spans="1:4" x14ac:dyDescent="0.25">
      <c r="A1511" s="39" t="s">
        <v>10785</v>
      </c>
      <c r="B1511" s="39" t="s">
        <v>10786</v>
      </c>
      <c r="C1511" s="39">
        <v>4</v>
      </c>
      <c r="D1511" s="39" t="s">
        <v>2122</v>
      </c>
    </row>
    <row r="1512" spans="1:4" x14ac:dyDescent="0.25">
      <c r="A1512" s="39" t="s">
        <v>10787</v>
      </c>
      <c r="B1512" s="39" t="s">
        <v>10788</v>
      </c>
      <c r="C1512" s="39">
        <v>4</v>
      </c>
      <c r="D1512" s="39" t="s">
        <v>2122</v>
      </c>
    </row>
    <row r="1513" spans="1:4" x14ac:dyDescent="0.25">
      <c r="A1513" s="39" t="s">
        <v>7124</v>
      </c>
      <c r="B1513" s="39" t="s">
        <v>4781</v>
      </c>
      <c r="C1513" s="39">
        <v>4</v>
      </c>
      <c r="D1513" s="39" t="s">
        <v>2122</v>
      </c>
    </row>
    <row r="1514" spans="1:4" x14ac:dyDescent="0.25">
      <c r="A1514" s="39" t="s">
        <v>2716</v>
      </c>
      <c r="B1514" s="39" t="s">
        <v>2358</v>
      </c>
      <c r="C1514" s="39">
        <v>4</v>
      </c>
      <c r="D1514" s="39" t="s">
        <v>2122</v>
      </c>
    </row>
    <row r="1515" spans="1:4" x14ac:dyDescent="0.25">
      <c r="A1515" s="39" t="s">
        <v>7125</v>
      </c>
      <c r="B1515" s="39" t="s">
        <v>7126</v>
      </c>
      <c r="C1515" s="39">
        <v>4</v>
      </c>
      <c r="D1515" s="39" t="s">
        <v>2122</v>
      </c>
    </row>
    <row r="1516" spans="1:4" x14ac:dyDescent="0.25">
      <c r="A1516" s="39" t="s">
        <v>5166</v>
      </c>
      <c r="B1516" s="39" t="s">
        <v>5167</v>
      </c>
      <c r="C1516" s="39">
        <v>4</v>
      </c>
      <c r="D1516" s="39" t="s">
        <v>2122</v>
      </c>
    </row>
    <row r="1517" spans="1:4" x14ac:dyDescent="0.25">
      <c r="A1517" s="39" t="s">
        <v>10789</v>
      </c>
      <c r="B1517" s="39" t="s">
        <v>5709</v>
      </c>
      <c r="C1517" s="39">
        <v>4</v>
      </c>
      <c r="D1517" s="39" t="s">
        <v>2122</v>
      </c>
    </row>
    <row r="1518" spans="1:4" x14ac:dyDescent="0.25">
      <c r="A1518" s="39" t="s">
        <v>1875</v>
      </c>
      <c r="B1518" s="39" t="s">
        <v>590</v>
      </c>
      <c r="C1518" s="39">
        <v>4</v>
      </c>
      <c r="D1518" s="39" t="s">
        <v>2122</v>
      </c>
    </row>
    <row r="1519" spans="1:4" x14ac:dyDescent="0.25">
      <c r="A1519" s="39" t="s">
        <v>10790</v>
      </c>
      <c r="B1519" s="39" t="s">
        <v>10791</v>
      </c>
      <c r="C1519" s="39">
        <v>4</v>
      </c>
      <c r="D1519" s="39" t="s">
        <v>2122</v>
      </c>
    </row>
    <row r="1520" spans="1:4" x14ac:dyDescent="0.25">
      <c r="A1520" s="39" t="s">
        <v>3192</v>
      </c>
      <c r="B1520" s="39" t="s">
        <v>2026</v>
      </c>
      <c r="C1520" s="39">
        <v>4</v>
      </c>
      <c r="D1520" s="39" t="s">
        <v>2122</v>
      </c>
    </row>
    <row r="1521" spans="1:4" x14ac:dyDescent="0.25">
      <c r="A1521" s="39" t="s">
        <v>3482</v>
      </c>
      <c r="B1521" s="39" t="s">
        <v>2492</v>
      </c>
      <c r="C1521" s="39">
        <v>4</v>
      </c>
      <c r="D1521" s="39" t="s">
        <v>2122</v>
      </c>
    </row>
    <row r="1522" spans="1:4" x14ac:dyDescent="0.25">
      <c r="A1522" s="39" t="s">
        <v>7127</v>
      </c>
      <c r="B1522" s="39" t="s">
        <v>4096</v>
      </c>
      <c r="C1522" s="39">
        <v>4</v>
      </c>
      <c r="D1522" s="39" t="s">
        <v>2122</v>
      </c>
    </row>
    <row r="1523" spans="1:4" x14ac:dyDescent="0.25">
      <c r="A1523" s="39" t="s">
        <v>10792</v>
      </c>
      <c r="B1523" s="39" t="s">
        <v>10793</v>
      </c>
      <c r="C1523" s="39">
        <v>4</v>
      </c>
      <c r="D1523" s="39" t="s">
        <v>2122</v>
      </c>
    </row>
    <row r="1524" spans="1:4" x14ac:dyDescent="0.25">
      <c r="A1524" s="39" t="s">
        <v>7128</v>
      </c>
      <c r="B1524" s="39" t="s">
        <v>4436</v>
      </c>
      <c r="C1524" s="39">
        <v>4</v>
      </c>
      <c r="D1524" s="39" t="s">
        <v>2122</v>
      </c>
    </row>
    <row r="1525" spans="1:4" x14ac:dyDescent="0.25">
      <c r="A1525" s="39" t="s">
        <v>10794</v>
      </c>
      <c r="B1525" s="39" t="s">
        <v>10795</v>
      </c>
      <c r="C1525" s="39">
        <v>4</v>
      </c>
      <c r="D1525" s="39" t="s">
        <v>2122</v>
      </c>
    </row>
    <row r="1526" spans="1:4" x14ac:dyDescent="0.25">
      <c r="A1526" s="39" t="s">
        <v>3483</v>
      </c>
      <c r="B1526" s="39" t="s">
        <v>2331</v>
      </c>
      <c r="C1526" s="39">
        <v>4</v>
      </c>
      <c r="D1526" s="39" t="s">
        <v>2122</v>
      </c>
    </row>
    <row r="1527" spans="1:4" x14ac:dyDescent="0.25">
      <c r="A1527" s="39" t="s">
        <v>10796</v>
      </c>
      <c r="B1527" s="39" t="s">
        <v>4029</v>
      </c>
      <c r="C1527" s="39">
        <v>4</v>
      </c>
      <c r="D1527" s="39" t="s">
        <v>2122</v>
      </c>
    </row>
    <row r="1528" spans="1:4" x14ac:dyDescent="0.25">
      <c r="A1528" s="39" t="s">
        <v>7129</v>
      </c>
      <c r="B1528" s="39" t="s">
        <v>7130</v>
      </c>
      <c r="C1528" s="39">
        <v>4</v>
      </c>
      <c r="D1528" s="39" t="s">
        <v>2122</v>
      </c>
    </row>
    <row r="1529" spans="1:4" x14ac:dyDescent="0.25">
      <c r="A1529" s="39" t="s">
        <v>10797</v>
      </c>
      <c r="B1529" s="39" t="s">
        <v>10798</v>
      </c>
      <c r="C1529" s="39">
        <v>4</v>
      </c>
      <c r="D1529" s="39" t="s">
        <v>2122</v>
      </c>
    </row>
    <row r="1530" spans="1:4" x14ac:dyDescent="0.25">
      <c r="A1530" s="39" t="s">
        <v>2694</v>
      </c>
      <c r="B1530" s="39" t="s">
        <v>2124</v>
      </c>
      <c r="C1530" s="39">
        <v>4</v>
      </c>
      <c r="D1530" s="39" t="s">
        <v>2122</v>
      </c>
    </row>
    <row r="1531" spans="1:4" x14ac:dyDescent="0.25">
      <c r="A1531" s="39" t="s">
        <v>10799</v>
      </c>
      <c r="B1531" s="39" t="s">
        <v>10800</v>
      </c>
      <c r="C1531" s="39">
        <v>4</v>
      </c>
      <c r="D1531" s="39" t="s">
        <v>2122</v>
      </c>
    </row>
    <row r="1532" spans="1:4" x14ac:dyDescent="0.25">
      <c r="A1532" s="39" t="s">
        <v>10801</v>
      </c>
      <c r="B1532" s="39" t="s">
        <v>3999</v>
      </c>
      <c r="C1532" s="39">
        <v>4</v>
      </c>
      <c r="D1532" s="39" t="s">
        <v>2122</v>
      </c>
    </row>
    <row r="1533" spans="1:4" x14ac:dyDescent="0.25">
      <c r="A1533" s="39" t="s">
        <v>5493</v>
      </c>
      <c r="B1533" s="39" t="s">
        <v>7131</v>
      </c>
      <c r="C1533" s="39">
        <v>4</v>
      </c>
      <c r="D1533" s="39" t="s">
        <v>2122</v>
      </c>
    </row>
    <row r="1534" spans="1:4" x14ac:dyDescent="0.25">
      <c r="A1534" s="39" t="s">
        <v>7132</v>
      </c>
      <c r="B1534" s="39" t="s">
        <v>7133</v>
      </c>
      <c r="C1534" s="39">
        <v>4</v>
      </c>
      <c r="D1534" s="39" t="s">
        <v>2122</v>
      </c>
    </row>
    <row r="1535" spans="1:4" x14ac:dyDescent="0.25">
      <c r="A1535" s="39" t="s">
        <v>7134</v>
      </c>
      <c r="B1535" s="39" t="s">
        <v>4838</v>
      </c>
      <c r="C1535" s="39">
        <v>4</v>
      </c>
      <c r="D1535" s="39" t="s">
        <v>2122</v>
      </c>
    </row>
    <row r="1536" spans="1:4" x14ac:dyDescent="0.25">
      <c r="A1536" s="39" t="s">
        <v>2394</v>
      </c>
      <c r="B1536" s="39" t="s">
        <v>1798</v>
      </c>
      <c r="C1536" s="39">
        <v>4</v>
      </c>
      <c r="D1536" s="39" t="s">
        <v>2122</v>
      </c>
    </row>
    <row r="1537" spans="1:4" x14ac:dyDescent="0.25">
      <c r="A1537" s="39" t="s">
        <v>10802</v>
      </c>
      <c r="B1537" s="39" t="s">
        <v>10803</v>
      </c>
      <c r="C1537" s="39">
        <v>4</v>
      </c>
      <c r="D1537" s="39" t="s">
        <v>2122</v>
      </c>
    </row>
    <row r="1538" spans="1:4" x14ac:dyDescent="0.25">
      <c r="A1538" s="39" t="s">
        <v>7135</v>
      </c>
      <c r="B1538" s="39" t="s">
        <v>7136</v>
      </c>
      <c r="C1538" s="39">
        <v>4</v>
      </c>
      <c r="D1538" s="39" t="s">
        <v>2122</v>
      </c>
    </row>
    <row r="1539" spans="1:4" x14ac:dyDescent="0.25">
      <c r="A1539" s="39" t="s">
        <v>7137</v>
      </c>
      <c r="B1539" s="39" t="s">
        <v>7138</v>
      </c>
      <c r="C1539" s="39">
        <v>4</v>
      </c>
      <c r="D1539" s="39" t="s">
        <v>2122</v>
      </c>
    </row>
    <row r="1540" spans="1:4" x14ac:dyDescent="0.25">
      <c r="A1540" s="39" t="s">
        <v>3485</v>
      </c>
      <c r="B1540" s="39" t="s">
        <v>3746</v>
      </c>
      <c r="C1540" s="39">
        <v>4</v>
      </c>
      <c r="D1540" s="39" t="s">
        <v>2122</v>
      </c>
    </row>
    <row r="1541" spans="1:4" x14ac:dyDescent="0.25">
      <c r="A1541" s="39" t="s">
        <v>3486</v>
      </c>
      <c r="B1541" s="39" t="s">
        <v>2634</v>
      </c>
      <c r="C1541" s="39">
        <v>4</v>
      </c>
      <c r="D1541" s="39" t="s">
        <v>2122</v>
      </c>
    </row>
    <row r="1542" spans="1:4" x14ac:dyDescent="0.25">
      <c r="A1542" s="39" t="s">
        <v>7139</v>
      </c>
      <c r="B1542" s="39" t="s">
        <v>432</v>
      </c>
      <c r="C1542" s="39">
        <v>4</v>
      </c>
      <c r="D1542" s="39" t="s">
        <v>2122</v>
      </c>
    </row>
    <row r="1543" spans="1:4" x14ac:dyDescent="0.25">
      <c r="A1543" s="39" t="s">
        <v>3193</v>
      </c>
      <c r="B1543" s="39" t="s">
        <v>310</v>
      </c>
      <c r="C1543" s="39">
        <v>4</v>
      </c>
      <c r="D1543" s="39" t="s">
        <v>2122</v>
      </c>
    </row>
    <row r="1544" spans="1:4" x14ac:dyDescent="0.25">
      <c r="A1544" s="39" t="s">
        <v>3487</v>
      </c>
      <c r="B1544" s="39" t="s">
        <v>2152</v>
      </c>
      <c r="C1544" s="39">
        <v>4</v>
      </c>
      <c r="D1544" s="39" t="s">
        <v>2122</v>
      </c>
    </row>
    <row r="1545" spans="1:4" x14ac:dyDescent="0.25">
      <c r="A1545" s="39" t="s">
        <v>3194</v>
      </c>
      <c r="B1545" s="39" t="s">
        <v>1861</v>
      </c>
      <c r="C1545" s="39">
        <v>4</v>
      </c>
      <c r="D1545" s="39" t="s">
        <v>2122</v>
      </c>
    </row>
    <row r="1546" spans="1:4" x14ac:dyDescent="0.25">
      <c r="A1546" s="39" t="s">
        <v>10804</v>
      </c>
      <c r="B1546" s="39" t="s">
        <v>4554</v>
      </c>
      <c r="C1546" s="39">
        <v>4</v>
      </c>
      <c r="D1546" s="39" t="s">
        <v>2122</v>
      </c>
    </row>
    <row r="1547" spans="1:4" x14ac:dyDescent="0.25">
      <c r="A1547" s="39" t="s">
        <v>5168</v>
      </c>
      <c r="B1547" s="39" t="s">
        <v>5169</v>
      </c>
      <c r="C1547" s="39">
        <v>4</v>
      </c>
      <c r="D1547" s="39" t="s">
        <v>2122</v>
      </c>
    </row>
    <row r="1548" spans="1:4" x14ac:dyDescent="0.25">
      <c r="A1548" s="39" t="s">
        <v>7140</v>
      </c>
      <c r="B1548" s="39" t="s">
        <v>4030</v>
      </c>
      <c r="C1548" s="39">
        <v>4</v>
      </c>
      <c r="D1548" s="39" t="s">
        <v>2122</v>
      </c>
    </row>
    <row r="1549" spans="1:4" x14ac:dyDescent="0.25">
      <c r="A1549" s="39" t="s">
        <v>5170</v>
      </c>
      <c r="B1549" s="39" t="s">
        <v>5171</v>
      </c>
      <c r="C1549" s="39">
        <v>4</v>
      </c>
      <c r="D1549" s="39" t="s">
        <v>2122</v>
      </c>
    </row>
    <row r="1550" spans="1:4" x14ac:dyDescent="0.25">
      <c r="A1550" s="39" t="s">
        <v>3488</v>
      </c>
      <c r="B1550" s="39" t="s">
        <v>2047</v>
      </c>
      <c r="C1550" s="39">
        <v>4</v>
      </c>
      <c r="D1550" s="39" t="s">
        <v>2122</v>
      </c>
    </row>
    <row r="1551" spans="1:4" x14ac:dyDescent="0.25">
      <c r="A1551" s="39" t="s">
        <v>7141</v>
      </c>
      <c r="B1551" s="39" t="s">
        <v>1353</v>
      </c>
      <c r="C1551" s="39">
        <v>4</v>
      </c>
      <c r="D1551" s="39" t="s">
        <v>2122</v>
      </c>
    </row>
    <row r="1552" spans="1:4" x14ac:dyDescent="0.25">
      <c r="A1552" s="39" t="s">
        <v>7142</v>
      </c>
      <c r="B1552" s="39" t="s">
        <v>7143</v>
      </c>
      <c r="C1552" s="39">
        <v>4</v>
      </c>
      <c r="D1552" s="39" t="s">
        <v>2122</v>
      </c>
    </row>
    <row r="1553" spans="1:4" x14ac:dyDescent="0.25">
      <c r="A1553" s="39" t="s">
        <v>7144</v>
      </c>
      <c r="B1553" s="39" t="s">
        <v>2468</v>
      </c>
      <c r="C1553" s="39">
        <v>4</v>
      </c>
      <c r="D1553" s="39" t="s">
        <v>2122</v>
      </c>
    </row>
    <row r="1554" spans="1:4" x14ac:dyDescent="0.25">
      <c r="A1554" s="39" t="s">
        <v>2343</v>
      </c>
      <c r="B1554" s="39" t="s">
        <v>44</v>
      </c>
      <c r="C1554" s="39">
        <v>4</v>
      </c>
      <c r="D1554" s="39" t="s">
        <v>2122</v>
      </c>
    </row>
    <row r="1555" spans="1:4" x14ac:dyDescent="0.25">
      <c r="A1555" s="39" t="s">
        <v>10805</v>
      </c>
      <c r="B1555" s="39" t="s">
        <v>4482</v>
      </c>
      <c r="C1555" s="39">
        <v>4</v>
      </c>
      <c r="D1555" s="39" t="s">
        <v>2122</v>
      </c>
    </row>
    <row r="1556" spans="1:4" x14ac:dyDescent="0.25">
      <c r="A1556" s="39" t="s">
        <v>1663</v>
      </c>
      <c r="B1556" s="39" t="s">
        <v>2151</v>
      </c>
      <c r="C1556" s="39">
        <v>4</v>
      </c>
      <c r="D1556" s="39" t="s">
        <v>2122</v>
      </c>
    </row>
    <row r="1557" spans="1:4" x14ac:dyDescent="0.25">
      <c r="A1557" s="39" t="s">
        <v>5172</v>
      </c>
      <c r="B1557" s="39" t="s">
        <v>5173</v>
      </c>
      <c r="C1557" s="39">
        <v>4</v>
      </c>
      <c r="D1557" s="39" t="s">
        <v>2122</v>
      </c>
    </row>
    <row r="1558" spans="1:4" x14ac:dyDescent="0.25">
      <c r="A1558" s="39" t="s">
        <v>7145</v>
      </c>
      <c r="B1558" s="39" t="s">
        <v>4183</v>
      </c>
      <c r="C1558" s="39">
        <v>4</v>
      </c>
      <c r="D1558" s="39" t="s">
        <v>2122</v>
      </c>
    </row>
    <row r="1559" spans="1:4" x14ac:dyDescent="0.25">
      <c r="A1559" s="39" t="s">
        <v>10806</v>
      </c>
      <c r="B1559" s="39" t="s">
        <v>10807</v>
      </c>
      <c r="C1559" s="39">
        <v>4</v>
      </c>
      <c r="D1559" s="39" t="s">
        <v>2122</v>
      </c>
    </row>
    <row r="1560" spans="1:4" x14ac:dyDescent="0.25">
      <c r="A1560" s="39" t="s">
        <v>7146</v>
      </c>
      <c r="B1560" s="39" t="s">
        <v>3963</v>
      </c>
      <c r="C1560" s="39">
        <v>4</v>
      </c>
      <c r="D1560" s="39" t="s">
        <v>2122</v>
      </c>
    </row>
    <row r="1561" spans="1:4" x14ac:dyDescent="0.25">
      <c r="A1561" s="39" t="s">
        <v>2214</v>
      </c>
      <c r="B1561" s="39" t="s">
        <v>1450</v>
      </c>
      <c r="C1561" s="39">
        <v>4</v>
      </c>
      <c r="D1561" s="39" t="s">
        <v>2122</v>
      </c>
    </row>
    <row r="1562" spans="1:4" x14ac:dyDescent="0.25">
      <c r="A1562" s="39" t="s">
        <v>1876</v>
      </c>
      <c r="B1562" s="39" t="s">
        <v>1462</v>
      </c>
      <c r="C1562" s="39">
        <v>4</v>
      </c>
      <c r="D1562" s="39" t="s">
        <v>2122</v>
      </c>
    </row>
    <row r="1563" spans="1:4" x14ac:dyDescent="0.25">
      <c r="A1563" s="39" t="s">
        <v>3197</v>
      </c>
      <c r="B1563" s="39" t="s">
        <v>936</v>
      </c>
      <c r="C1563" s="39">
        <v>4</v>
      </c>
      <c r="D1563" s="39" t="s">
        <v>2122</v>
      </c>
    </row>
    <row r="1564" spans="1:4" x14ac:dyDescent="0.25">
      <c r="A1564" s="39" t="s">
        <v>10808</v>
      </c>
      <c r="B1564" s="39" t="s">
        <v>10809</v>
      </c>
      <c r="C1564" s="39">
        <v>4</v>
      </c>
      <c r="D1564" s="39" t="s">
        <v>2122</v>
      </c>
    </row>
    <row r="1565" spans="1:4" x14ac:dyDescent="0.25">
      <c r="A1565" s="39" t="s">
        <v>5174</v>
      </c>
      <c r="B1565" s="39" t="s">
        <v>4153</v>
      </c>
      <c r="C1565" s="39">
        <v>4</v>
      </c>
      <c r="D1565" s="39" t="s">
        <v>2122</v>
      </c>
    </row>
    <row r="1566" spans="1:4" x14ac:dyDescent="0.25">
      <c r="A1566" s="39" t="s">
        <v>10810</v>
      </c>
      <c r="B1566" s="39" t="s">
        <v>4537</v>
      </c>
      <c r="C1566" s="39">
        <v>4</v>
      </c>
      <c r="D1566" s="39" t="s">
        <v>2122</v>
      </c>
    </row>
    <row r="1567" spans="1:4" x14ac:dyDescent="0.25">
      <c r="A1567" s="39" t="s">
        <v>1877</v>
      </c>
      <c r="B1567" s="39" t="s">
        <v>1283</v>
      </c>
      <c r="C1567" s="39">
        <v>4</v>
      </c>
      <c r="D1567" s="39" t="s">
        <v>2122</v>
      </c>
    </row>
    <row r="1568" spans="1:4" x14ac:dyDescent="0.25">
      <c r="A1568" s="39" t="s">
        <v>1839</v>
      </c>
      <c r="B1568" s="39" t="s">
        <v>1279</v>
      </c>
      <c r="C1568" s="39">
        <v>4</v>
      </c>
      <c r="D1568" s="39" t="s">
        <v>2122</v>
      </c>
    </row>
    <row r="1569" spans="1:4" x14ac:dyDescent="0.25">
      <c r="A1569" s="39" t="s">
        <v>2076</v>
      </c>
      <c r="B1569" s="39" t="s">
        <v>2077</v>
      </c>
      <c r="C1569" s="39">
        <v>4</v>
      </c>
      <c r="D1569" s="39" t="s">
        <v>2122</v>
      </c>
    </row>
    <row r="1570" spans="1:4" x14ac:dyDescent="0.25">
      <c r="A1570" s="39" t="s">
        <v>7147</v>
      </c>
      <c r="B1570" s="39" t="s">
        <v>4769</v>
      </c>
      <c r="C1570" s="39">
        <v>4</v>
      </c>
      <c r="D1570" s="39" t="s">
        <v>2122</v>
      </c>
    </row>
    <row r="1571" spans="1:4" x14ac:dyDescent="0.25">
      <c r="A1571" s="39" t="s">
        <v>7148</v>
      </c>
      <c r="B1571" s="39" t="s">
        <v>3064</v>
      </c>
      <c r="C1571" s="39">
        <v>4</v>
      </c>
      <c r="D1571" s="39" t="s">
        <v>2122</v>
      </c>
    </row>
    <row r="1572" spans="1:4" x14ac:dyDescent="0.25">
      <c r="A1572" s="39" t="s">
        <v>7149</v>
      </c>
      <c r="B1572" s="39" t="s">
        <v>7150</v>
      </c>
      <c r="C1572" s="39">
        <v>4</v>
      </c>
      <c r="D1572" s="39" t="s">
        <v>2122</v>
      </c>
    </row>
    <row r="1573" spans="1:4" x14ac:dyDescent="0.25">
      <c r="A1573" s="39" t="s">
        <v>2583</v>
      </c>
      <c r="B1573" s="39" t="s">
        <v>2718</v>
      </c>
      <c r="C1573" s="39">
        <v>4</v>
      </c>
      <c r="D1573" s="39" t="s">
        <v>2122</v>
      </c>
    </row>
    <row r="1574" spans="1:4" x14ac:dyDescent="0.25">
      <c r="A1574" s="39" t="s">
        <v>2719</v>
      </c>
      <c r="B1574" s="39" t="s">
        <v>2720</v>
      </c>
      <c r="C1574" s="39">
        <v>4</v>
      </c>
      <c r="D1574" s="39" t="s">
        <v>2122</v>
      </c>
    </row>
    <row r="1575" spans="1:4" x14ac:dyDescent="0.25">
      <c r="A1575" s="39" t="s">
        <v>10811</v>
      </c>
      <c r="B1575" s="39" t="s">
        <v>10812</v>
      </c>
      <c r="C1575" s="39">
        <v>4</v>
      </c>
      <c r="D1575" s="39" t="s">
        <v>2122</v>
      </c>
    </row>
    <row r="1576" spans="1:4" x14ac:dyDescent="0.25">
      <c r="A1576" s="39" t="s">
        <v>10813</v>
      </c>
      <c r="B1576" s="39" t="s">
        <v>10814</v>
      </c>
      <c r="C1576" s="39">
        <v>4</v>
      </c>
      <c r="D1576" s="39" t="s">
        <v>2122</v>
      </c>
    </row>
    <row r="1577" spans="1:4" x14ac:dyDescent="0.25">
      <c r="A1577" s="39" t="s">
        <v>10815</v>
      </c>
      <c r="B1577" s="39" t="s">
        <v>10816</v>
      </c>
      <c r="C1577" s="39">
        <v>4</v>
      </c>
      <c r="D1577" s="39" t="s">
        <v>2122</v>
      </c>
    </row>
    <row r="1578" spans="1:4" x14ac:dyDescent="0.25">
      <c r="A1578" s="39" t="s">
        <v>5175</v>
      </c>
      <c r="B1578" s="39" t="s">
        <v>4170</v>
      </c>
      <c r="C1578" s="39">
        <v>4</v>
      </c>
      <c r="D1578" s="39" t="s">
        <v>2122</v>
      </c>
    </row>
    <row r="1579" spans="1:4" x14ac:dyDescent="0.25">
      <c r="A1579" s="39" t="s">
        <v>5176</v>
      </c>
      <c r="B1579" s="39" t="s">
        <v>5177</v>
      </c>
      <c r="C1579" s="39">
        <v>4</v>
      </c>
      <c r="D1579" s="39" t="s">
        <v>2122</v>
      </c>
    </row>
    <row r="1580" spans="1:4" x14ac:dyDescent="0.25">
      <c r="A1580" s="39" t="s">
        <v>3489</v>
      </c>
      <c r="B1580" s="39" t="s">
        <v>3076</v>
      </c>
      <c r="C1580" s="39">
        <v>4</v>
      </c>
      <c r="D1580" s="39" t="s">
        <v>2122</v>
      </c>
    </row>
    <row r="1581" spans="1:4" x14ac:dyDescent="0.25">
      <c r="A1581" s="39" t="s">
        <v>7151</v>
      </c>
      <c r="B1581" s="39" t="s">
        <v>7152</v>
      </c>
      <c r="C1581" s="39">
        <v>4</v>
      </c>
      <c r="D1581" s="39" t="s">
        <v>2122</v>
      </c>
    </row>
    <row r="1582" spans="1:4" x14ac:dyDescent="0.25">
      <c r="A1582" s="39" t="s">
        <v>1878</v>
      </c>
      <c r="B1582" s="39" t="s">
        <v>1879</v>
      </c>
      <c r="C1582" s="39">
        <v>4</v>
      </c>
      <c r="D1582" s="39" t="s">
        <v>2122</v>
      </c>
    </row>
    <row r="1583" spans="1:4" x14ac:dyDescent="0.25">
      <c r="A1583" s="39" t="s">
        <v>2356</v>
      </c>
      <c r="B1583" s="39" t="s">
        <v>3199</v>
      </c>
      <c r="C1583" s="39">
        <v>4</v>
      </c>
      <c r="D1583" s="39" t="s">
        <v>2122</v>
      </c>
    </row>
    <row r="1584" spans="1:4" x14ac:dyDescent="0.25">
      <c r="A1584" s="39" t="s">
        <v>10817</v>
      </c>
      <c r="B1584" s="39" t="s">
        <v>10818</v>
      </c>
      <c r="C1584" s="39">
        <v>4</v>
      </c>
      <c r="D1584" s="39" t="s">
        <v>2122</v>
      </c>
    </row>
    <row r="1585" spans="1:4" x14ac:dyDescent="0.25">
      <c r="A1585" s="39" t="s">
        <v>7153</v>
      </c>
      <c r="B1585" s="39" t="s">
        <v>7154</v>
      </c>
      <c r="C1585" s="39">
        <v>4</v>
      </c>
      <c r="D1585" s="39" t="s">
        <v>2122</v>
      </c>
    </row>
    <row r="1586" spans="1:4" x14ac:dyDescent="0.25">
      <c r="A1586" s="39" t="s">
        <v>10819</v>
      </c>
      <c r="B1586" s="39" t="s">
        <v>10820</v>
      </c>
      <c r="C1586" s="39">
        <v>4</v>
      </c>
      <c r="D1586" s="39" t="s">
        <v>2122</v>
      </c>
    </row>
    <row r="1587" spans="1:4" x14ac:dyDescent="0.25">
      <c r="A1587" s="39" t="s">
        <v>7155</v>
      </c>
      <c r="B1587" s="39" t="s">
        <v>7156</v>
      </c>
      <c r="C1587" s="39">
        <v>4</v>
      </c>
      <c r="D1587" s="39" t="s">
        <v>2122</v>
      </c>
    </row>
    <row r="1588" spans="1:4" x14ac:dyDescent="0.25">
      <c r="A1588" s="39" t="s">
        <v>10821</v>
      </c>
      <c r="B1588" s="39" t="s">
        <v>4846</v>
      </c>
      <c r="C1588" s="39">
        <v>4</v>
      </c>
      <c r="D1588" s="39" t="s">
        <v>2122</v>
      </c>
    </row>
    <row r="1589" spans="1:4" x14ac:dyDescent="0.25">
      <c r="A1589" s="39" t="s">
        <v>10822</v>
      </c>
      <c r="B1589" s="39" t="s">
        <v>10823</v>
      </c>
      <c r="C1589" s="39">
        <v>4</v>
      </c>
      <c r="D1589" s="39" t="s">
        <v>2122</v>
      </c>
    </row>
    <row r="1590" spans="1:4" x14ac:dyDescent="0.25">
      <c r="A1590" s="39" t="s">
        <v>7157</v>
      </c>
      <c r="B1590" s="39" t="s">
        <v>7158</v>
      </c>
      <c r="C1590" s="39">
        <v>4</v>
      </c>
      <c r="D1590" s="39" t="s">
        <v>2122</v>
      </c>
    </row>
    <row r="1591" spans="1:4" x14ac:dyDescent="0.25">
      <c r="A1591" s="39" t="s">
        <v>5178</v>
      </c>
      <c r="B1591" s="39" t="s">
        <v>4138</v>
      </c>
      <c r="C1591" s="39">
        <v>4</v>
      </c>
      <c r="D1591" s="39" t="s">
        <v>2122</v>
      </c>
    </row>
    <row r="1592" spans="1:4" x14ac:dyDescent="0.25">
      <c r="A1592" s="39" t="s">
        <v>5179</v>
      </c>
      <c r="B1592" s="39" t="s">
        <v>4165</v>
      </c>
      <c r="C1592" s="39">
        <v>4</v>
      </c>
      <c r="D1592" s="39" t="s">
        <v>2122</v>
      </c>
    </row>
    <row r="1593" spans="1:4" x14ac:dyDescent="0.25">
      <c r="A1593" s="39" t="s">
        <v>10824</v>
      </c>
      <c r="B1593" s="39" t="s">
        <v>3947</v>
      </c>
      <c r="C1593" s="39">
        <v>4</v>
      </c>
      <c r="D1593" s="39" t="s">
        <v>2122</v>
      </c>
    </row>
    <row r="1594" spans="1:4" x14ac:dyDescent="0.25">
      <c r="A1594" s="39" t="s">
        <v>10825</v>
      </c>
      <c r="B1594" s="39" t="s">
        <v>3961</v>
      </c>
      <c r="C1594" s="39">
        <v>4</v>
      </c>
      <c r="D1594" s="39" t="s">
        <v>2122</v>
      </c>
    </row>
    <row r="1595" spans="1:4" x14ac:dyDescent="0.25">
      <c r="A1595" s="39" t="s">
        <v>7159</v>
      </c>
      <c r="B1595" s="39" t="s">
        <v>2979</v>
      </c>
      <c r="C1595" s="39">
        <v>4</v>
      </c>
      <c r="D1595" s="39" t="s">
        <v>2122</v>
      </c>
    </row>
    <row r="1596" spans="1:4" x14ac:dyDescent="0.25">
      <c r="A1596" s="39" t="s">
        <v>10826</v>
      </c>
      <c r="B1596" s="39" t="s">
        <v>10827</v>
      </c>
      <c r="C1596" s="39">
        <v>4</v>
      </c>
      <c r="D1596" s="39" t="s">
        <v>2122</v>
      </c>
    </row>
    <row r="1597" spans="1:4" x14ac:dyDescent="0.25">
      <c r="A1597" s="39" t="s">
        <v>7160</v>
      </c>
      <c r="B1597" s="39" t="s">
        <v>4440</v>
      </c>
      <c r="C1597" s="39">
        <v>4</v>
      </c>
      <c r="D1597" s="39" t="s">
        <v>2122</v>
      </c>
    </row>
    <row r="1598" spans="1:4" x14ac:dyDescent="0.25">
      <c r="A1598" s="39" t="s">
        <v>3490</v>
      </c>
      <c r="B1598" s="39" t="s">
        <v>2595</v>
      </c>
      <c r="C1598" s="39">
        <v>4</v>
      </c>
      <c r="D1598" s="39" t="s">
        <v>2122</v>
      </c>
    </row>
    <row r="1599" spans="1:4" x14ac:dyDescent="0.25">
      <c r="A1599" s="39" t="s">
        <v>5180</v>
      </c>
      <c r="B1599" s="39" t="s">
        <v>1112</v>
      </c>
      <c r="C1599" s="39">
        <v>4</v>
      </c>
      <c r="D1599" s="39" t="s">
        <v>2122</v>
      </c>
    </row>
    <row r="1600" spans="1:4" x14ac:dyDescent="0.25">
      <c r="A1600" s="39" t="s">
        <v>5181</v>
      </c>
      <c r="B1600" s="39" t="s">
        <v>5182</v>
      </c>
      <c r="C1600" s="39">
        <v>4</v>
      </c>
      <c r="D1600" s="39" t="s">
        <v>2122</v>
      </c>
    </row>
    <row r="1601" spans="1:4" x14ac:dyDescent="0.25">
      <c r="A1601" s="39" t="s">
        <v>293</v>
      </c>
      <c r="B1601" s="39" t="s">
        <v>774</v>
      </c>
      <c r="C1601" s="39">
        <v>4</v>
      </c>
      <c r="D1601" s="39" t="s">
        <v>2122</v>
      </c>
    </row>
    <row r="1602" spans="1:4" x14ac:dyDescent="0.25">
      <c r="A1602" s="39" t="s">
        <v>10828</v>
      </c>
      <c r="B1602" s="39" t="s">
        <v>10829</v>
      </c>
      <c r="C1602" s="39">
        <v>4</v>
      </c>
      <c r="D1602" s="39" t="s">
        <v>2122</v>
      </c>
    </row>
    <row r="1603" spans="1:4" x14ac:dyDescent="0.25">
      <c r="A1603" s="39" t="s">
        <v>3491</v>
      </c>
      <c r="B1603" s="39" t="s">
        <v>3747</v>
      </c>
      <c r="C1603" s="39">
        <v>4</v>
      </c>
      <c r="D1603" s="39" t="s">
        <v>2122</v>
      </c>
    </row>
    <row r="1604" spans="1:4" x14ac:dyDescent="0.25">
      <c r="A1604" s="39" t="s">
        <v>7161</v>
      </c>
      <c r="B1604" s="39" t="s">
        <v>7162</v>
      </c>
      <c r="C1604" s="39">
        <v>4</v>
      </c>
      <c r="D1604" s="39" t="s">
        <v>2122</v>
      </c>
    </row>
    <row r="1605" spans="1:4" x14ac:dyDescent="0.25">
      <c r="A1605" s="39" t="s">
        <v>10830</v>
      </c>
      <c r="B1605" s="39" t="s">
        <v>4113</v>
      </c>
      <c r="C1605" s="39">
        <v>4</v>
      </c>
      <c r="D1605" s="39" t="s">
        <v>2122</v>
      </c>
    </row>
    <row r="1606" spans="1:4" x14ac:dyDescent="0.25">
      <c r="A1606" s="39" t="s">
        <v>10831</v>
      </c>
      <c r="B1606" s="39" t="s">
        <v>10832</v>
      </c>
      <c r="C1606" s="39">
        <v>4</v>
      </c>
      <c r="D1606" s="39" t="s">
        <v>2122</v>
      </c>
    </row>
    <row r="1607" spans="1:4" x14ac:dyDescent="0.25">
      <c r="A1607" s="39" t="s">
        <v>1853</v>
      </c>
      <c r="B1607" s="39" t="s">
        <v>3202</v>
      </c>
      <c r="C1607" s="39">
        <v>4</v>
      </c>
      <c r="D1607" s="39" t="s">
        <v>2122</v>
      </c>
    </row>
    <row r="1608" spans="1:4" x14ac:dyDescent="0.25">
      <c r="A1608" s="39" t="s">
        <v>7163</v>
      </c>
      <c r="B1608" s="39" t="s">
        <v>7164</v>
      </c>
      <c r="C1608" s="39">
        <v>4</v>
      </c>
      <c r="D1608" s="39" t="s">
        <v>2122</v>
      </c>
    </row>
    <row r="1609" spans="1:4" x14ac:dyDescent="0.25">
      <c r="A1609" s="39" t="s">
        <v>7165</v>
      </c>
      <c r="B1609" s="39" t="s">
        <v>4143</v>
      </c>
      <c r="C1609" s="39">
        <v>4</v>
      </c>
      <c r="D1609" s="39" t="s">
        <v>2122</v>
      </c>
    </row>
    <row r="1610" spans="1:4" x14ac:dyDescent="0.25">
      <c r="A1610" s="39" t="s">
        <v>1880</v>
      </c>
      <c r="B1610" s="39" t="s">
        <v>1284</v>
      </c>
      <c r="C1610" s="39">
        <v>4</v>
      </c>
      <c r="D1610" s="39" t="s">
        <v>2122</v>
      </c>
    </row>
    <row r="1611" spans="1:4" x14ac:dyDescent="0.25">
      <c r="A1611" s="39" t="s">
        <v>10833</v>
      </c>
      <c r="B1611" s="39" t="s">
        <v>3915</v>
      </c>
      <c r="C1611" s="39">
        <v>4</v>
      </c>
      <c r="D1611" s="39" t="s">
        <v>2122</v>
      </c>
    </row>
    <row r="1612" spans="1:4" x14ac:dyDescent="0.25">
      <c r="A1612" s="39" t="s">
        <v>10834</v>
      </c>
      <c r="B1612" s="39" t="s">
        <v>4542</v>
      </c>
      <c r="C1612" s="39">
        <v>4</v>
      </c>
      <c r="D1612" s="39" t="s">
        <v>2122</v>
      </c>
    </row>
    <row r="1613" spans="1:4" x14ac:dyDescent="0.25">
      <c r="A1613" s="39" t="s">
        <v>7166</v>
      </c>
      <c r="B1613" s="39" t="s">
        <v>7167</v>
      </c>
      <c r="C1613" s="39">
        <v>4</v>
      </c>
      <c r="D1613" s="39" t="s">
        <v>2122</v>
      </c>
    </row>
    <row r="1614" spans="1:4" x14ac:dyDescent="0.25">
      <c r="A1614" s="39" t="s">
        <v>7168</v>
      </c>
      <c r="B1614" s="39" t="s">
        <v>7169</v>
      </c>
      <c r="C1614" s="39">
        <v>4</v>
      </c>
      <c r="D1614" s="39" t="s">
        <v>2122</v>
      </c>
    </row>
    <row r="1615" spans="1:4" x14ac:dyDescent="0.25">
      <c r="A1615" s="39" t="s">
        <v>10835</v>
      </c>
      <c r="B1615" s="39" t="s">
        <v>7170</v>
      </c>
      <c r="C1615" s="39">
        <v>4</v>
      </c>
      <c r="D1615" s="39" t="s">
        <v>2122</v>
      </c>
    </row>
    <row r="1616" spans="1:4" x14ac:dyDescent="0.25">
      <c r="A1616" s="39" t="s">
        <v>3492</v>
      </c>
      <c r="B1616" s="39" t="s">
        <v>3748</v>
      </c>
      <c r="C1616" s="39">
        <v>4</v>
      </c>
      <c r="D1616" s="39" t="s">
        <v>2122</v>
      </c>
    </row>
    <row r="1617" spans="1:4" x14ac:dyDescent="0.25">
      <c r="A1617" s="39" t="s">
        <v>2217</v>
      </c>
      <c r="B1617" s="39" t="s">
        <v>600</v>
      </c>
      <c r="C1617" s="39">
        <v>4</v>
      </c>
      <c r="D1617" s="39" t="s">
        <v>2122</v>
      </c>
    </row>
    <row r="1618" spans="1:4" x14ac:dyDescent="0.25">
      <c r="A1618" s="39" t="s">
        <v>10836</v>
      </c>
      <c r="B1618" s="39" t="s">
        <v>10837</v>
      </c>
      <c r="C1618" s="39">
        <v>4</v>
      </c>
      <c r="D1618" s="39" t="s">
        <v>2122</v>
      </c>
    </row>
    <row r="1619" spans="1:4" x14ac:dyDescent="0.25">
      <c r="A1619" s="39" t="s">
        <v>6</v>
      </c>
      <c r="B1619" s="39" t="s">
        <v>2218</v>
      </c>
      <c r="C1619" s="39">
        <v>4</v>
      </c>
      <c r="D1619" s="39" t="s">
        <v>2122</v>
      </c>
    </row>
    <row r="1620" spans="1:4" x14ac:dyDescent="0.25">
      <c r="A1620" s="39" t="s">
        <v>7171</v>
      </c>
      <c r="B1620" s="39" t="s">
        <v>7172</v>
      </c>
      <c r="C1620" s="39">
        <v>4</v>
      </c>
      <c r="D1620" s="39" t="s">
        <v>2122</v>
      </c>
    </row>
    <row r="1621" spans="1:4" x14ac:dyDescent="0.25">
      <c r="A1621" s="39" t="s">
        <v>5183</v>
      </c>
      <c r="B1621" s="39" t="s">
        <v>2921</v>
      </c>
      <c r="C1621" s="39">
        <v>4</v>
      </c>
      <c r="D1621" s="39" t="s">
        <v>2122</v>
      </c>
    </row>
    <row r="1622" spans="1:4" x14ac:dyDescent="0.25">
      <c r="A1622" s="39" t="s">
        <v>5184</v>
      </c>
      <c r="B1622" s="39" t="s">
        <v>5185</v>
      </c>
      <c r="C1622" s="39">
        <v>4</v>
      </c>
      <c r="D1622" s="39" t="s">
        <v>2122</v>
      </c>
    </row>
    <row r="1623" spans="1:4" x14ac:dyDescent="0.25">
      <c r="A1623" s="39" t="s">
        <v>10838</v>
      </c>
      <c r="B1623" s="39" t="s">
        <v>7173</v>
      </c>
      <c r="C1623" s="39">
        <v>4</v>
      </c>
      <c r="D1623" s="39" t="s">
        <v>2122</v>
      </c>
    </row>
    <row r="1624" spans="1:4" x14ac:dyDescent="0.25">
      <c r="A1624" s="39" t="s">
        <v>3493</v>
      </c>
      <c r="B1624" s="39" t="s">
        <v>3749</v>
      </c>
      <c r="C1624" s="39">
        <v>4</v>
      </c>
      <c r="D1624" s="39" t="s">
        <v>2122</v>
      </c>
    </row>
    <row r="1625" spans="1:4" x14ac:dyDescent="0.25">
      <c r="A1625" s="39" t="s">
        <v>5186</v>
      </c>
      <c r="B1625" s="39" t="s">
        <v>3091</v>
      </c>
      <c r="C1625" s="39">
        <v>4</v>
      </c>
      <c r="D1625" s="39" t="s">
        <v>2122</v>
      </c>
    </row>
    <row r="1626" spans="1:4" x14ac:dyDescent="0.25">
      <c r="A1626" s="39" t="s">
        <v>1881</v>
      </c>
      <c r="B1626" s="39" t="s">
        <v>1276</v>
      </c>
      <c r="C1626" s="39">
        <v>4</v>
      </c>
      <c r="D1626" s="39" t="s">
        <v>2122</v>
      </c>
    </row>
    <row r="1627" spans="1:4" x14ac:dyDescent="0.25">
      <c r="A1627" s="39" t="s">
        <v>10839</v>
      </c>
      <c r="B1627" s="39" t="s">
        <v>4765</v>
      </c>
      <c r="C1627" s="39">
        <v>4</v>
      </c>
      <c r="D1627" s="39" t="s">
        <v>2122</v>
      </c>
    </row>
    <row r="1628" spans="1:4" x14ac:dyDescent="0.25">
      <c r="A1628" s="39" t="s">
        <v>7174</v>
      </c>
      <c r="B1628" s="39" t="s">
        <v>7175</v>
      </c>
      <c r="C1628" s="39">
        <v>4</v>
      </c>
      <c r="D1628" s="39" t="s">
        <v>2122</v>
      </c>
    </row>
    <row r="1629" spans="1:4" x14ac:dyDescent="0.25">
      <c r="A1629" s="39" t="s">
        <v>10840</v>
      </c>
      <c r="B1629" s="39" t="s">
        <v>2998</v>
      </c>
      <c r="C1629" s="39">
        <v>4</v>
      </c>
      <c r="D1629" s="39" t="s">
        <v>2122</v>
      </c>
    </row>
    <row r="1630" spans="1:4" x14ac:dyDescent="0.25">
      <c r="A1630" s="39" t="s">
        <v>5187</v>
      </c>
      <c r="B1630" s="39" t="s">
        <v>2998</v>
      </c>
      <c r="C1630" s="39">
        <v>4</v>
      </c>
      <c r="D1630" s="39" t="s">
        <v>2122</v>
      </c>
    </row>
    <row r="1631" spans="1:4" x14ac:dyDescent="0.25">
      <c r="A1631" s="39" t="s">
        <v>10841</v>
      </c>
      <c r="B1631" s="39" t="s">
        <v>10842</v>
      </c>
      <c r="C1631" s="39">
        <v>4</v>
      </c>
      <c r="D1631" s="39" t="s">
        <v>2122</v>
      </c>
    </row>
    <row r="1632" spans="1:4" x14ac:dyDescent="0.25">
      <c r="A1632" s="39" t="s">
        <v>10843</v>
      </c>
      <c r="B1632" s="39" t="s">
        <v>4823</v>
      </c>
      <c r="C1632" s="39">
        <v>4</v>
      </c>
      <c r="D1632" s="39" t="s">
        <v>2122</v>
      </c>
    </row>
    <row r="1633" spans="1:4" x14ac:dyDescent="0.25">
      <c r="A1633" s="39" t="s">
        <v>7176</v>
      </c>
      <c r="B1633" s="39" t="s">
        <v>4148</v>
      </c>
      <c r="C1633" s="39">
        <v>4</v>
      </c>
      <c r="D1633" s="39" t="s">
        <v>2122</v>
      </c>
    </row>
    <row r="1634" spans="1:4" x14ac:dyDescent="0.25">
      <c r="A1634" s="39" t="s">
        <v>7177</v>
      </c>
      <c r="B1634" s="39" t="s">
        <v>7178</v>
      </c>
      <c r="C1634" s="39">
        <v>4</v>
      </c>
      <c r="D1634" s="39" t="s">
        <v>2122</v>
      </c>
    </row>
    <row r="1635" spans="1:4" x14ac:dyDescent="0.25">
      <c r="A1635" s="39" t="s">
        <v>10844</v>
      </c>
      <c r="B1635" s="39" t="s">
        <v>10845</v>
      </c>
      <c r="C1635" s="39">
        <v>4</v>
      </c>
      <c r="D1635" s="39" t="s">
        <v>2122</v>
      </c>
    </row>
    <row r="1636" spans="1:4" x14ac:dyDescent="0.25">
      <c r="A1636" s="39" t="s">
        <v>2721</v>
      </c>
      <c r="B1636" s="39" t="s">
        <v>2722</v>
      </c>
      <c r="C1636" s="39">
        <v>4</v>
      </c>
      <c r="D1636" s="39" t="s">
        <v>2122</v>
      </c>
    </row>
    <row r="1637" spans="1:4" x14ac:dyDescent="0.25">
      <c r="A1637" s="39" t="s">
        <v>1882</v>
      </c>
      <c r="B1637" s="39" t="s">
        <v>625</v>
      </c>
      <c r="C1637" s="39">
        <v>4</v>
      </c>
      <c r="D1637" s="39" t="s">
        <v>2122</v>
      </c>
    </row>
    <row r="1638" spans="1:4" x14ac:dyDescent="0.25">
      <c r="A1638" s="39" t="s">
        <v>7179</v>
      </c>
      <c r="B1638" s="39" t="s">
        <v>4413</v>
      </c>
      <c r="C1638" s="39">
        <v>4</v>
      </c>
      <c r="D1638" s="39" t="s">
        <v>2122</v>
      </c>
    </row>
    <row r="1639" spans="1:4" x14ac:dyDescent="0.25">
      <c r="A1639" s="39" t="s">
        <v>2078</v>
      </c>
      <c r="B1639" s="39" t="s">
        <v>2081</v>
      </c>
      <c r="C1639" s="39">
        <v>4</v>
      </c>
      <c r="D1639" s="39" t="s">
        <v>2122</v>
      </c>
    </row>
    <row r="1640" spans="1:4" x14ac:dyDescent="0.25">
      <c r="A1640" s="39" t="s">
        <v>5188</v>
      </c>
      <c r="B1640" s="39" t="s">
        <v>5189</v>
      </c>
      <c r="C1640" s="39">
        <v>4</v>
      </c>
      <c r="D1640" s="39" t="s">
        <v>2122</v>
      </c>
    </row>
    <row r="1641" spans="1:4" x14ac:dyDescent="0.25">
      <c r="A1641" s="39" t="s">
        <v>7180</v>
      </c>
      <c r="B1641" s="39" t="s">
        <v>4795</v>
      </c>
      <c r="C1641" s="39">
        <v>4</v>
      </c>
      <c r="D1641" s="39" t="s">
        <v>2122</v>
      </c>
    </row>
    <row r="1642" spans="1:4" x14ac:dyDescent="0.25">
      <c r="A1642" s="39" t="s">
        <v>7181</v>
      </c>
      <c r="B1642" s="39" t="s">
        <v>7182</v>
      </c>
      <c r="C1642" s="39">
        <v>4</v>
      </c>
      <c r="D1642" s="39" t="s">
        <v>2122</v>
      </c>
    </row>
    <row r="1643" spans="1:4" x14ac:dyDescent="0.25">
      <c r="A1643" s="39" t="s">
        <v>10846</v>
      </c>
      <c r="B1643" s="39" t="s">
        <v>10847</v>
      </c>
      <c r="C1643" s="39">
        <v>4</v>
      </c>
      <c r="D1643" s="39" t="s">
        <v>2122</v>
      </c>
    </row>
    <row r="1644" spans="1:4" x14ac:dyDescent="0.25">
      <c r="A1644" s="39" t="s">
        <v>10848</v>
      </c>
      <c r="B1644" s="39" t="s">
        <v>5624</v>
      </c>
      <c r="C1644" s="39">
        <v>4</v>
      </c>
      <c r="D1644" s="39" t="s">
        <v>2122</v>
      </c>
    </row>
    <row r="1645" spans="1:4" x14ac:dyDescent="0.25">
      <c r="A1645" s="39" t="s">
        <v>10849</v>
      </c>
      <c r="B1645" s="39" t="s">
        <v>10850</v>
      </c>
      <c r="C1645" s="39">
        <v>4</v>
      </c>
      <c r="D1645" s="39" t="s">
        <v>2122</v>
      </c>
    </row>
    <row r="1646" spans="1:4" x14ac:dyDescent="0.25">
      <c r="A1646" s="39" t="s">
        <v>7183</v>
      </c>
      <c r="B1646" s="39" t="s">
        <v>3026</v>
      </c>
      <c r="C1646" s="39">
        <v>4</v>
      </c>
      <c r="D1646" s="39" t="s">
        <v>2122</v>
      </c>
    </row>
    <row r="1647" spans="1:4" x14ac:dyDescent="0.25">
      <c r="A1647" s="39" t="s">
        <v>10851</v>
      </c>
      <c r="B1647" s="39" t="s">
        <v>6281</v>
      </c>
      <c r="C1647" s="39">
        <v>4</v>
      </c>
      <c r="D1647" s="39" t="s">
        <v>2122</v>
      </c>
    </row>
    <row r="1648" spans="1:4" x14ac:dyDescent="0.25">
      <c r="A1648" s="39" t="s">
        <v>7184</v>
      </c>
      <c r="B1648" s="39" t="s">
        <v>2909</v>
      </c>
      <c r="C1648" s="39">
        <v>4</v>
      </c>
      <c r="D1648" s="39" t="s">
        <v>2122</v>
      </c>
    </row>
    <row r="1649" spans="1:4" x14ac:dyDescent="0.25">
      <c r="A1649" s="39" t="s">
        <v>3203</v>
      </c>
      <c r="B1649" s="39" t="s">
        <v>720</v>
      </c>
      <c r="C1649" s="39">
        <v>4</v>
      </c>
      <c r="D1649" s="39" t="s">
        <v>2122</v>
      </c>
    </row>
    <row r="1650" spans="1:4" x14ac:dyDescent="0.25">
      <c r="A1650" s="39" t="s">
        <v>7185</v>
      </c>
      <c r="B1650" s="39" t="s">
        <v>4109</v>
      </c>
      <c r="C1650" s="39">
        <v>4</v>
      </c>
      <c r="D1650" s="39" t="s">
        <v>2122</v>
      </c>
    </row>
    <row r="1651" spans="1:4" x14ac:dyDescent="0.25">
      <c r="A1651" s="39" t="s">
        <v>10852</v>
      </c>
      <c r="B1651" s="39" t="s">
        <v>4394</v>
      </c>
      <c r="C1651" s="39">
        <v>4</v>
      </c>
      <c r="D1651" s="39" t="s">
        <v>2122</v>
      </c>
    </row>
    <row r="1652" spans="1:4" x14ac:dyDescent="0.25">
      <c r="A1652" s="39" t="s">
        <v>7186</v>
      </c>
      <c r="B1652" s="39" t="s">
        <v>2941</v>
      </c>
      <c r="C1652" s="39">
        <v>4</v>
      </c>
      <c r="D1652" s="39" t="s">
        <v>2122</v>
      </c>
    </row>
    <row r="1653" spans="1:4" x14ac:dyDescent="0.25">
      <c r="A1653" s="39" t="s">
        <v>7187</v>
      </c>
      <c r="B1653" s="39" t="s">
        <v>340</v>
      </c>
      <c r="C1653" s="39">
        <v>4</v>
      </c>
      <c r="D1653" s="39" t="s">
        <v>2122</v>
      </c>
    </row>
    <row r="1654" spans="1:4" x14ac:dyDescent="0.25">
      <c r="A1654" s="39" t="s">
        <v>2083</v>
      </c>
      <c r="B1654" s="39" t="s">
        <v>697</v>
      </c>
      <c r="C1654" s="39">
        <v>4</v>
      </c>
      <c r="D1654" s="39" t="s">
        <v>2122</v>
      </c>
    </row>
    <row r="1655" spans="1:4" x14ac:dyDescent="0.25">
      <c r="A1655" s="39" t="s">
        <v>2510</v>
      </c>
      <c r="B1655" s="39" t="s">
        <v>2453</v>
      </c>
      <c r="C1655" s="39">
        <v>4</v>
      </c>
      <c r="D1655" s="39" t="s">
        <v>2122</v>
      </c>
    </row>
    <row r="1656" spans="1:4" x14ac:dyDescent="0.25">
      <c r="A1656" s="39" t="s">
        <v>7188</v>
      </c>
      <c r="B1656" s="39" t="s">
        <v>7189</v>
      </c>
      <c r="C1656" s="39">
        <v>4</v>
      </c>
      <c r="D1656" s="39" t="s">
        <v>2122</v>
      </c>
    </row>
    <row r="1657" spans="1:4" x14ac:dyDescent="0.25">
      <c r="A1657" s="39" t="s">
        <v>5190</v>
      </c>
      <c r="B1657" s="39" t="s">
        <v>5191</v>
      </c>
      <c r="C1657" s="39">
        <v>4</v>
      </c>
      <c r="D1657" s="39" t="s">
        <v>2122</v>
      </c>
    </row>
    <row r="1658" spans="1:4" x14ac:dyDescent="0.25">
      <c r="A1658" s="39" t="s">
        <v>5192</v>
      </c>
      <c r="B1658" s="39" t="s">
        <v>1787</v>
      </c>
      <c r="C1658" s="39">
        <v>4</v>
      </c>
      <c r="D1658" s="39" t="s">
        <v>2122</v>
      </c>
    </row>
    <row r="1659" spans="1:4" x14ac:dyDescent="0.25">
      <c r="A1659" s="39" t="s">
        <v>10853</v>
      </c>
      <c r="B1659" s="39" t="s">
        <v>10854</v>
      </c>
      <c r="C1659" s="39">
        <v>4</v>
      </c>
      <c r="D1659" s="39" t="s">
        <v>2122</v>
      </c>
    </row>
    <row r="1660" spans="1:4" x14ac:dyDescent="0.25">
      <c r="A1660" s="39" t="s">
        <v>10855</v>
      </c>
      <c r="B1660" s="39" t="s">
        <v>2927</v>
      </c>
      <c r="C1660" s="39">
        <v>4</v>
      </c>
      <c r="D1660" s="39" t="s">
        <v>2122</v>
      </c>
    </row>
    <row r="1661" spans="1:4" x14ac:dyDescent="0.25">
      <c r="A1661" s="39" t="s">
        <v>7190</v>
      </c>
      <c r="B1661" s="39" t="s">
        <v>7191</v>
      </c>
      <c r="C1661" s="39">
        <v>4</v>
      </c>
      <c r="D1661" s="39" t="s">
        <v>2122</v>
      </c>
    </row>
    <row r="1662" spans="1:4" x14ac:dyDescent="0.25">
      <c r="A1662" s="39" t="s">
        <v>1816</v>
      </c>
      <c r="B1662" s="39" t="s">
        <v>961</v>
      </c>
      <c r="C1662" s="39">
        <v>4</v>
      </c>
      <c r="D1662" s="39" t="s">
        <v>2122</v>
      </c>
    </row>
    <row r="1663" spans="1:4" x14ac:dyDescent="0.25">
      <c r="A1663" s="39" t="s">
        <v>7192</v>
      </c>
      <c r="B1663" s="39" t="s">
        <v>4776</v>
      </c>
      <c r="C1663" s="39">
        <v>4</v>
      </c>
      <c r="D1663" s="39" t="s">
        <v>2122</v>
      </c>
    </row>
    <row r="1664" spans="1:4" x14ac:dyDescent="0.25">
      <c r="A1664" s="39" t="s">
        <v>7193</v>
      </c>
      <c r="B1664" s="39" t="s">
        <v>4438</v>
      </c>
      <c r="C1664" s="39">
        <v>4</v>
      </c>
      <c r="D1664" s="39" t="s">
        <v>2122</v>
      </c>
    </row>
    <row r="1665" spans="1:4" x14ac:dyDescent="0.25">
      <c r="A1665" s="39" t="s">
        <v>1523</v>
      </c>
      <c r="B1665" s="39" t="s">
        <v>1318</v>
      </c>
      <c r="C1665" s="39">
        <v>4</v>
      </c>
      <c r="D1665" s="39" t="s">
        <v>2122</v>
      </c>
    </row>
    <row r="1666" spans="1:4" x14ac:dyDescent="0.25">
      <c r="A1666" s="39" t="s">
        <v>3494</v>
      </c>
      <c r="B1666" s="39" t="s">
        <v>3750</v>
      </c>
      <c r="C1666" s="39">
        <v>4</v>
      </c>
      <c r="D1666" s="39" t="s">
        <v>2122</v>
      </c>
    </row>
    <row r="1667" spans="1:4" x14ac:dyDescent="0.25">
      <c r="A1667" s="39" t="s">
        <v>7194</v>
      </c>
      <c r="B1667" s="39" t="s">
        <v>7195</v>
      </c>
      <c r="C1667" s="39">
        <v>4</v>
      </c>
      <c r="D1667" s="39" t="s">
        <v>2122</v>
      </c>
    </row>
    <row r="1668" spans="1:4" x14ac:dyDescent="0.25">
      <c r="A1668" s="39" t="s">
        <v>10856</v>
      </c>
      <c r="B1668" s="39" t="s">
        <v>3204</v>
      </c>
      <c r="C1668" s="39">
        <v>4</v>
      </c>
      <c r="D1668" s="39" t="s">
        <v>2122</v>
      </c>
    </row>
    <row r="1669" spans="1:4" x14ac:dyDescent="0.25">
      <c r="A1669" s="39" t="s">
        <v>7196</v>
      </c>
      <c r="B1669" s="39" t="s">
        <v>3045</v>
      </c>
      <c r="C1669" s="39">
        <v>4</v>
      </c>
      <c r="D1669" s="39" t="s">
        <v>2122</v>
      </c>
    </row>
    <row r="1670" spans="1:4" x14ac:dyDescent="0.25">
      <c r="A1670" s="39" t="s">
        <v>5193</v>
      </c>
      <c r="B1670" s="39" t="s">
        <v>5194</v>
      </c>
      <c r="C1670" s="39">
        <v>4</v>
      </c>
      <c r="D1670" s="39" t="s">
        <v>2122</v>
      </c>
    </row>
    <row r="1671" spans="1:4" x14ac:dyDescent="0.25">
      <c r="A1671" s="39" t="s">
        <v>3495</v>
      </c>
      <c r="B1671" s="39" t="s">
        <v>2733</v>
      </c>
      <c r="C1671" s="39">
        <v>4</v>
      </c>
      <c r="D1671" s="39" t="s">
        <v>2122</v>
      </c>
    </row>
    <row r="1672" spans="1:4" x14ac:dyDescent="0.25">
      <c r="A1672" s="39" t="s">
        <v>7197</v>
      </c>
      <c r="B1672" s="39" t="s">
        <v>3946</v>
      </c>
      <c r="C1672" s="39">
        <v>4</v>
      </c>
      <c r="D1672" s="39" t="s">
        <v>2122</v>
      </c>
    </row>
    <row r="1673" spans="1:4" x14ac:dyDescent="0.25">
      <c r="A1673" s="39" t="s">
        <v>10857</v>
      </c>
      <c r="B1673" s="39" t="s">
        <v>10858</v>
      </c>
      <c r="C1673" s="39">
        <v>4</v>
      </c>
      <c r="D1673" s="39" t="s">
        <v>2122</v>
      </c>
    </row>
    <row r="1674" spans="1:4" x14ac:dyDescent="0.25">
      <c r="A1674" s="39" t="s">
        <v>10859</v>
      </c>
      <c r="B1674" s="39" t="s">
        <v>10860</v>
      </c>
      <c r="C1674" s="39">
        <v>4</v>
      </c>
      <c r="D1674" s="39" t="s">
        <v>2122</v>
      </c>
    </row>
    <row r="1675" spans="1:4" x14ac:dyDescent="0.25">
      <c r="A1675" s="39" t="s">
        <v>7198</v>
      </c>
      <c r="B1675" s="39" t="s">
        <v>3886</v>
      </c>
      <c r="C1675" s="39">
        <v>4</v>
      </c>
      <c r="D1675" s="39" t="s">
        <v>2122</v>
      </c>
    </row>
    <row r="1676" spans="1:4" x14ac:dyDescent="0.25">
      <c r="A1676" s="39" t="s">
        <v>7199</v>
      </c>
      <c r="B1676" s="39" t="s">
        <v>1587</v>
      </c>
      <c r="C1676" s="39">
        <v>4</v>
      </c>
      <c r="D1676" s="39" t="s">
        <v>2122</v>
      </c>
    </row>
    <row r="1677" spans="1:4" x14ac:dyDescent="0.25">
      <c r="A1677" s="39" t="s">
        <v>10861</v>
      </c>
      <c r="B1677" s="39" t="s">
        <v>10862</v>
      </c>
      <c r="C1677" s="39">
        <v>4</v>
      </c>
      <c r="D1677" s="39" t="s">
        <v>2122</v>
      </c>
    </row>
    <row r="1678" spans="1:4" x14ac:dyDescent="0.25">
      <c r="A1678" s="39" t="s">
        <v>5195</v>
      </c>
      <c r="B1678" s="39" t="s">
        <v>427</v>
      </c>
      <c r="C1678" s="39">
        <v>4</v>
      </c>
      <c r="D1678" s="39" t="s">
        <v>2122</v>
      </c>
    </row>
    <row r="1679" spans="1:4" x14ac:dyDescent="0.25">
      <c r="A1679" s="39" t="s">
        <v>5196</v>
      </c>
      <c r="B1679" s="39" t="s">
        <v>3080</v>
      </c>
      <c r="C1679" s="39">
        <v>4</v>
      </c>
      <c r="D1679" s="39" t="s">
        <v>2122</v>
      </c>
    </row>
    <row r="1680" spans="1:4" x14ac:dyDescent="0.25">
      <c r="A1680" s="39" t="s">
        <v>10863</v>
      </c>
      <c r="B1680" s="39" t="s">
        <v>10864</v>
      </c>
      <c r="C1680" s="39">
        <v>4</v>
      </c>
      <c r="D1680" s="39" t="s">
        <v>2122</v>
      </c>
    </row>
    <row r="1681" spans="1:4" x14ac:dyDescent="0.25">
      <c r="A1681" s="39" t="s">
        <v>1794</v>
      </c>
      <c r="B1681" s="39" t="s">
        <v>94</v>
      </c>
      <c r="C1681" s="39">
        <v>4</v>
      </c>
      <c r="D1681" s="39" t="s">
        <v>2122</v>
      </c>
    </row>
    <row r="1682" spans="1:4" x14ac:dyDescent="0.25">
      <c r="A1682" s="39" t="s">
        <v>10865</v>
      </c>
      <c r="B1682" s="39" t="s">
        <v>10866</v>
      </c>
      <c r="C1682" s="39">
        <v>4</v>
      </c>
      <c r="D1682" s="39" t="s">
        <v>2122</v>
      </c>
    </row>
    <row r="1683" spans="1:4" x14ac:dyDescent="0.25">
      <c r="A1683" s="39" t="s">
        <v>10867</v>
      </c>
      <c r="B1683" s="39" t="s">
        <v>10868</v>
      </c>
      <c r="C1683" s="39">
        <v>4</v>
      </c>
      <c r="D1683" s="39" t="s">
        <v>2122</v>
      </c>
    </row>
    <row r="1684" spans="1:4" x14ac:dyDescent="0.25">
      <c r="A1684" s="39" t="s">
        <v>7200</v>
      </c>
      <c r="B1684" s="39" t="s">
        <v>7201</v>
      </c>
      <c r="C1684" s="39">
        <v>4</v>
      </c>
      <c r="D1684" s="39" t="s">
        <v>2122</v>
      </c>
    </row>
    <row r="1685" spans="1:4" x14ac:dyDescent="0.25">
      <c r="A1685" s="39" t="s">
        <v>5197</v>
      </c>
      <c r="B1685" s="39" t="s">
        <v>1329</v>
      </c>
      <c r="C1685" s="39">
        <v>4</v>
      </c>
      <c r="D1685" s="39" t="s">
        <v>2122</v>
      </c>
    </row>
    <row r="1686" spans="1:4" x14ac:dyDescent="0.25">
      <c r="A1686" s="39" t="s">
        <v>7202</v>
      </c>
      <c r="B1686" s="39" t="s">
        <v>903</v>
      </c>
      <c r="C1686" s="39">
        <v>4</v>
      </c>
      <c r="D1686" s="39" t="s">
        <v>2122</v>
      </c>
    </row>
    <row r="1687" spans="1:4" x14ac:dyDescent="0.25">
      <c r="A1687" s="39" t="s">
        <v>1884</v>
      </c>
      <c r="B1687" s="39" t="s">
        <v>618</v>
      </c>
      <c r="C1687" s="39">
        <v>4</v>
      </c>
      <c r="D1687" s="39" t="s">
        <v>2122</v>
      </c>
    </row>
    <row r="1688" spans="1:4" x14ac:dyDescent="0.25">
      <c r="A1688" s="39" t="s">
        <v>5198</v>
      </c>
      <c r="B1688" s="39" t="s">
        <v>4055</v>
      </c>
      <c r="C1688" s="39">
        <v>4</v>
      </c>
      <c r="D1688" s="39" t="s">
        <v>2122</v>
      </c>
    </row>
    <row r="1689" spans="1:4" x14ac:dyDescent="0.25">
      <c r="A1689" s="39" t="s">
        <v>10869</v>
      </c>
      <c r="B1689" s="39" t="s">
        <v>10870</v>
      </c>
      <c r="C1689" s="39">
        <v>4</v>
      </c>
      <c r="D1689" s="39" t="s">
        <v>2122</v>
      </c>
    </row>
    <row r="1690" spans="1:4" x14ac:dyDescent="0.25">
      <c r="A1690" s="39" t="s">
        <v>5199</v>
      </c>
      <c r="B1690" s="39" t="s">
        <v>3081</v>
      </c>
      <c r="C1690" s="39">
        <v>4</v>
      </c>
      <c r="D1690" s="39" t="s">
        <v>2122</v>
      </c>
    </row>
    <row r="1691" spans="1:4" x14ac:dyDescent="0.25">
      <c r="A1691" s="39" t="s">
        <v>7203</v>
      </c>
      <c r="B1691" s="39" t="s">
        <v>7204</v>
      </c>
      <c r="C1691" s="39">
        <v>4</v>
      </c>
      <c r="D1691" s="39" t="s">
        <v>2122</v>
      </c>
    </row>
    <row r="1692" spans="1:4" x14ac:dyDescent="0.25">
      <c r="A1692" s="39" t="s">
        <v>5200</v>
      </c>
      <c r="B1692" s="39" t="s">
        <v>3023</v>
      </c>
      <c r="C1692" s="39">
        <v>4</v>
      </c>
      <c r="D1692" s="39" t="s">
        <v>2122</v>
      </c>
    </row>
    <row r="1693" spans="1:4" x14ac:dyDescent="0.25">
      <c r="A1693" s="39" t="s">
        <v>1885</v>
      </c>
      <c r="B1693" s="39" t="s">
        <v>1285</v>
      </c>
      <c r="C1693" s="39">
        <v>4</v>
      </c>
      <c r="D1693" s="39" t="s">
        <v>2122</v>
      </c>
    </row>
    <row r="1694" spans="1:4" x14ac:dyDescent="0.25">
      <c r="A1694" s="39" t="s">
        <v>10871</v>
      </c>
      <c r="B1694" s="39" t="s">
        <v>1134</v>
      </c>
      <c r="C1694" s="39">
        <v>4</v>
      </c>
      <c r="D1694" s="39" t="s">
        <v>2122</v>
      </c>
    </row>
    <row r="1695" spans="1:4" x14ac:dyDescent="0.25">
      <c r="A1695" s="39" t="s">
        <v>1374</v>
      </c>
      <c r="B1695" s="39" t="s">
        <v>1358</v>
      </c>
      <c r="C1695" s="39">
        <v>4</v>
      </c>
      <c r="D1695" s="39" t="s">
        <v>2122</v>
      </c>
    </row>
    <row r="1696" spans="1:4" x14ac:dyDescent="0.25">
      <c r="A1696" s="39" t="s">
        <v>2692</v>
      </c>
      <c r="B1696" s="39" t="s">
        <v>2131</v>
      </c>
      <c r="C1696" s="39">
        <v>4</v>
      </c>
      <c r="D1696" s="39" t="s">
        <v>2122</v>
      </c>
    </row>
    <row r="1697" spans="1:4" x14ac:dyDescent="0.25">
      <c r="A1697" s="39" t="s">
        <v>10872</v>
      </c>
      <c r="B1697" s="39" t="s">
        <v>4854</v>
      </c>
      <c r="C1697" s="39">
        <v>4</v>
      </c>
      <c r="D1697" s="39" t="s">
        <v>2122</v>
      </c>
    </row>
    <row r="1698" spans="1:4" x14ac:dyDescent="0.25">
      <c r="A1698" s="39" t="s">
        <v>1886</v>
      </c>
      <c r="B1698" s="39" t="s">
        <v>515</v>
      </c>
      <c r="C1698" s="39">
        <v>4</v>
      </c>
      <c r="D1698" s="39" t="s">
        <v>2122</v>
      </c>
    </row>
    <row r="1699" spans="1:4" x14ac:dyDescent="0.25">
      <c r="A1699" s="39" t="s">
        <v>7205</v>
      </c>
      <c r="B1699" s="39" t="s">
        <v>4008</v>
      </c>
      <c r="C1699" s="39">
        <v>4</v>
      </c>
      <c r="D1699" s="39" t="s">
        <v>2122</v>
      </c>
    </row>
    <row r="1700" spans="1:4" x14ac:dyDescent="0.25">
      <c r="A1700" s="39" t="s">
        <v>1265</v>
      </c>
      <c r="B1700" s="39" t="s">
        <v>974</v>
      </c>
      <c r="C1700" s="39">
        <v>4</v>
      </c>
      <c r="D1700" s="39" t="s">
        <v>2122</v>
      </c>
    </row>
    <row r="1701" spans="1:4" x14ac:dyDescent="0.25">
      <c r="A1701" s="39" t="s">
        <v>5201</v>
      </c>
      <c r="B1701" s="39" t="s">
        <v>5202</v>
      </c>
      <c r="C1701" s="39">
        <v>4</v>
      </c>
      <c r="D1701" s="39" t="s">
        <v>2122</v>
      </c>
    </row>
    <row r="1702" spans="1:4" x14ac:dyDescent="0.25">
      <c r="A1702" s="39" t="s">
        <v>10873</v>
      </c>
      <c r="B1702" s="39" t="s">
        <v>10874</v>
      </c>
      <c r="C1702" s="39">
        <v>4</v>
      </c>
      <c r="D1702" s="39" t="s">
        <v>2122</v>
      </c>
    </row>
    <row r="1703" spans="1:4" x14ac:dyDescent="0.25">
      <c r="A1703" s="39" t="s">
        <v>7206</v>
      </c>
      <c r="B1703" s="39" t="s">
        <v>7207</v>
      </c>
      <c r="C1703" s="39">
        <v>4</v>
      </c>
      <c r="D1703" s="39" t="s">
        <v>2122</v>
      </c>
    </row>
    <row r="1704" spans="1:4" x14ac:dyDescent="0.25">
      <c r="A1704" s="39" t="s">
        <v>5203</v>
      </c>
      <c r="B1704" s="39" t="s">
        <v>4022</v>
      </c>
      <c r="C1704" s="39">
        <v>4</v>
      </c>
      <c r="D1704" s="39" t="s">
        <v>2122</v>
      </c>
    </row>
    <row r="1705" spans="1:4" x14ac:dyDescent="0.25">
      <c r="A1705" s="39" t="s">
        <v>5204</v>
      </c>
      <c r="B1705" s="39" t="s">
        <v>2638</v>
      </c>
      <c r="C1705" s="39">
        <v>4</v>
      </c>
      <c r="D1705" s="39" t="s">
        <v>2122</v>
      </c>
    </row>
    <row r="1706" spans="1:4" x14ac:dyDescent="0.25">
      <c r="A1706" s="39" t="s">
        <v>10875</v>
      </c>
      <c r="B1706" s="39" t="s">
        <v>4595</v>
      </c>
      <c r="C1706" s="39">
        <v>4</v>
      </c>
      <c r="D1706" s="39" t="s">
        <v>2122</v>
      </c>
    </row>
    <row r="1707" spans="1:4" x14ac:dyDescent="0.25">
      <c r="A1707" s="39" t="s">
        <v>3496</v>
      </c>
      <c r="B1707" s="39" t="s">
        <v>3751</v>
      </c>
      <c r="C1707" s="39">
        <v>4</v>
      </c>
      <c r="D1707" s="39" t="s">
        <v>2122</v>
      </c>
    </row>
    <row r="1708" spans="1:4" x14ac:dyDescent="0.25">
      <c r="A1708" s="39" t="s">
        <v>10876</v>
      </c>
      <c r="B1708" s="39" t="s">
        <v>4005</v>
      </c>
      <c r="C1708" s="39">
        <v>4</v>
      </c>
      <c r="D1708" s="39" t="s">
        <v>2122</v>
      </c>
    </row>
    <row r="1709" spans="1:4" x14ac:dyDescent="0.25">
      <c r="A1709" s="39" t="s">
        <v>727</v>
      </c>
      <c r="B1709" s="39" t="s">
        <v>2222</v>
      </c>
      <c r="C1709" s="39">
        <v>4</v>
      </c>
      <c r="D1709" s="39" t="s">
        <v>2122</v>
      </c>
    </row>
    <row r="1710" spans="1:4" x14ac:dyDescent="0.25">
      <c r="A1710" s="39" t="s">
        <v>998</v>
      </c>
      <c r="B1710" s="39" t="s">
        <v>1343</v>
      </c>
      <c r="C1710" s="39">
        <v>4</v>
      </c>
      <c r="D1710" s="39" t="s">
        <v>2122</v>
      </c>
    </row>
    <row r="1711" spans="1:4" x14ac:dyDescent="0.25">
      <c r="A1711" s="39" t="s">
        <v>5205</v>
      </c>
      <c r="B1711" s="39" t="s">
        <v>1189</v>
      </c>
      <c r="C1711" s="39">
        <v>4</v>
      </c>
      <c r="D1711" s="39" t="s">
        <v>2122</v>
      </c>
    </row>
    <row r="1712" spans="1:4" x14ac:dyDescent="0.25">
      <c r="A1712" s="39" t="s">
        <v>7208</v>
      </c>
      <c r="B1712" s="39" t="s">
        <v>4821</v>
      </c>
      <c r="C1712" s="39">
        <v>4</v>
      </c>
      <c r="D1712" s="39" t="s">
        <v>2122</v>
      </c>
    </row>
    <row r="1713" spans="1:4" x14ac:dyDescent="0.25">
      <c r="A1713" s="39" t="s">
        <v>3208</v>
      </c>
      <c r="B1713" s="39" t="s">
        <v>1940</v>
      </c>
      <c r="C1713" s="39">
        <v>4</v>
      </c>
      <c r="D1713" s="39" t="s">
        <v>2122</v>
      </c>
    </row>
    <row r="1714" spans="1:4" x14ac:dyDescent="0.25">
      <c r="A1714" s="39" t="s">
        <v>5206</v>
      </c>
      <c r="B1714" s="39" t="s">
        <v>2956</v>
      </c>
      <c r="C1714" s="39">
        <v>4</v>
      </c>
      <c r="D1714" s="39" t="s">
        <v>2122</v>
      </c>
    </row>
    <row r="1715" spans="1:4" x14ac:dyDescent="0.25">
      <c r="A1715" s="39" t="s">
        <v>3497</v>
      </c>
      <c r="B1715" s="39" t="s">
        <v>3752</v>
      </c>
      <c r="C1715" s="39">
        <v>4</v>
      </c>
      <c r="D1715" s="39" t="s">
        <v>2122</v>
      </c>
    </row>
    <row r="1716" spans="1:4" x14ac:dyDescent="0.25">
      <c r="A1716" s="39" t="s">
        <v>1888</v>
      </c>
      <c r="B1716" s="39" t="s">
        <v>1068</v>
      </c>
      <c r="C1716" s="39">
        <v>4</v>
      </c>
      <c r="D1716" s="39" t="s">
        <v>2122</v>
      </c>
    </row>
    <row r="1717" spans="1:4" x14ac:dyDescent="0.25">
      <c r="A1717" s="39" t="s">
        <v>3498</v>
      </c>
      <c r="B1717" s="39" t="s">
        <v>1189</v>
      </c>
      <c r="C1717" s="39">
        <v>4</v>
      </c>
      <c r="D1717" s="39" t="s">
        <v>2122</v>
      </c>
    </row>
    <row r="1718" spans="1:4" x14ac:dyDescent="0.25">
      <c r="A1718" s="39" t="s">
        <v>10877</v>
      </c>
      <c r="B1718" s="39" t="s">
        <v>10878</v>
      </c>
      <c r="C1718" s="39">
        <v>4</v>
      </c>
      <c r="D1718" s="39" t="s">
        <v>2122</v>
      </c>
    </row>
    <row r="1719" spans="1:4" x14ac:dyDescent="0.25">
      <c r="A1719" s="39" t="s">
        <v>10879</v>
      </c>
      <c r="B1719" s="39" t="s">
        <v>10880</v>
      </c>
      <c r="C1719" s="39">
        <v>4</v>
      </c>
      <c r="D1719" s="39" t="s">
        <v>2122</v>
      </c>
    </row>
    <row r="1720" spans="1:4" x14ac:dyDescent="0.25">
      <c r="A1720" s="39" t="s">
        <v>5207</v>
      </c>
      <c r="B1720" s="39" t="s">
        <v>1189</v>
      </c>
      <c r="C1720" s="39">
        <v>4</v>
      </c>
      <c r="D1720" s="39" t="s">
        <v>2122</v>
      </c>
    </row>
    <row r="1721" spans="1:4" x14ac:dyDescent="0.25">
      <c r="A1721" s="39" t="s">
        <v>3499</v>
      </c>
      <c r="B1721" s="39" t="s">
        <v>3753</v>
      </c>
      <c r="C1721" s="39">
        <v>4</v>
      </c>
      <c r="D1721" s="39" t="s">
        <v>2122</v>
      </c>
    </row>
    <row r="1722" spans="1:4" x14ac:dyDescent="0.25">
      <c r="A1722" s="39" t="s">
        <v>5208</v>
      </c>
      <c r="B1722" s="39" t="s">
        <v>5209</v>
      </c>
      <c r="C1722" s="39">
        <v>4</v>
      </c>
      <c r="D1722" s="39" t="s">
        <v>2122</v>
      </c>
    </row>
    <row r="1723" spans="1:4" x14ac:dyDescent="0.25">
      <c r="A1723" s="39" t="s">
        <v>3209</v>
      </c>
      <c r="B1723" s="39" t="s">
        <v>2199</v>
      </c>
      <c r="C1723" s="39">
        <v>4</v>
      </c>
      <c r="D1723" s="39" t="s">
        <v>2122</v>
      </c>
    </row>
    <row r="1724" spans="1:4" x14ac:dyDescent="0.25">
      <c r="A1724" s="39" t="s">
        <v>10881</v>
      </c>
      <c r="B1724" s="39" t="s">
        <v>10882</v>
      </c>
      <c r="C1724" s="39">
        <v>4</v>
      </c>
      <c r="D1724" s="39" t="s">
        <v>2122</v>
      </c>
    </row>
    <row r="1725" spans="1:4" x14ac:dyDescent="0.25">
      <c r="A1725" s="39" t="s">
        <v>3210</v>
      </c>
      <c r="B1725" s="39" t="s">
        <v>2578</v>
      </c>
      <c r="C1725" s="39">
        <v>4</v>
      </c>
      <c r="D1725" s="39" t="s">
        <v>2122</v>
      </c>
    </row>
    <row r="1726" spans="1:4" x14ac:dyDescent="0.25">
      <c r="A1726" s="39" t="s">
        <v>3500</v>
      </c>
      <c r="B1726" s="39" t="s">
        <v>1406</v>
      </c>
      <c r="C1726" s="39">
        <v>4</v>
      </c>
      <c r="D1726" s="39" t="s">
        <v>2122</v>
      </c>
    </row>
    <row r="1727" spans="1:4" x14ac:dyDescent="0.25">
      <c r="A1727" s="39" t="s">
        <v>7211</v>
      </c>
      <c r="B1727" s="39" t="s">
        <v>1649</v>
      </c>
      <c r="C1727" s="39">
        <v>4</v>
      </c>
      <c r="D1727" s="39" t="s">
        <v>2122</v>
      </c>
    </row>
    <row r="1728" spans="1:4" x14ac:dyDescent="0.25">
      <c r="A1728" s="39" t="s">
        <v>653</v>
      </c>
      <c r="B1728" s="39" t="s">
        <v>2084</v>
      </c>
      <c r="C1728" s="39">
        <v>4</v>
      </c>
      <c r="D1728" s="39" t="s">
        <v>2122</v>
      </c>
    </row>
    <row r="1729" spans="1:4" x14ac:dyDescent="0.25">
      <c r="A1729" s="39" t="s">
        <v>3501</v>
      </c>
      <c r="B1729" s="39" t="s">
        <v>2891</v>
      </c>
      <c r="C1729" s="39">
        <v>4</v>
      </c>
      <c r="D1729" s="39" t="s">
        <v>2122</v>
      </c>
    </row>
    <row r="1730" spans="1:4" x14ac:dyDescent="0.25">
      <c r="A1730" s="39" t="s">
        <v>3502</v>
      </c>
      <c r="B1730" s="39" t="s">
        <v>3754</v>
      </c>
      <c r="C1730" s="39">
        <v>4</v>
      </c>
      <c r="D1730" s="39" t="s">
        <v>2122</v>
      </c>
    </row>
    <row r="1731" spans="1:4" x14ac:dyDescent="0.25">
      <c r="A1731" s="39" t="s">
        <v>31</v>
      </c>
      <c r="B1731" s="39" t="s">
        <v>1281</v>
      </c>
      <c r="C1731" s="39">
        <v>4</v>
      </c>
      <c r="D1731" s="39" t="s">
        <v>2122</v>
      </c>
    </row>
    <row r="1732" spans="1:4" x14ac:dyDescent="0.25">
      <c r="A1732" s="39" t="s">
        <v>7212</v>
      </c>
      <c r="B1732" s="39" t="s">
        <v>4188</v>
      </c>
      <c r="C1732" s="39">
        <v>4</v>
      </c>
      <c r="D1732" s="39" t="s">
        <v>2122</v>
      </c>
    </row>
    <row r="1733" spans="1:4" x14ac:dyDescent="0.25">
      <c r="A1733" s="39" t="s">
        <v>2513</v>
      </c>
      <c r="B1733" s="39" t="s">
        <v>2051</v>
      </c>
      <c r="C1733" s="39">
        <v>4</v>
      </c>
      <c r="D1733" s="39" t="s">
        <v>2122</v>
      </c>
    </row>
    <row r="1734" spans="1:4" x14ac:dyDescent="0.25">
      <c r="A1734" s="39" t="s">
        <v>10883</v>
      </c>
      <c r="B1734" s="39" t="s">
        <v>4037</v>
      </c>
      <c r="C1734" s="39">
        <v>4</v>
      </c>
      <c r="D1734" s="39" t="s">
        <v>2122</v>
      </c>
    </row>
    <row r="1735" spans="1:4" x14ac:dyDescent="0.25">
      <c r="A1735" s="39" t="s">
        <v>7213</v>
      </c>
      <c r="B1735" s="39" t="s">
        <v>7214</v>
      </c>
      <c r="C1735" s="39">
        <v>4</v>
      </c>
      <c r="D1735" s="39" t="s">
        <v>2122</v>
      </c>
    </row>
    <row r="1736" spans="1:4" x14ac:dyDescent="0.25">
      <c r="A1736" s="39" t="s">
        <v>1334</v>
      </c>
      <c r="B1736" s="39" t="s">
        <v>1005</v>
      </c>
      <c r="C1736" s="39">
        <v>4</v>
      </c>
      <c r="D1736" s="39" t="s">
        <v>2122</v>
      </c>
    </row>
    <row r="1737" spans="1:4" x14ac:dyDescent="0.25">
      <c r="A1737" s="39" t="s">
        <v>7215</v>
      </c>
      <c r="B1737" s="39" t="s">
        <v>7216</v>
      </c>
      <c r="C1737" s="39">
        <v>4</v>
      </c>
      <c r="D1737" s="39" t="s">
        <v>2122</v>
      </c>
    </row>
    <row r="1738" spans="1:4" x14ac:dyDescent="0.25">
      <c r="A1738" s="39" t="s">
        <v>7217</v>
      </c>
      <c r="B1738" s="39" t="s">
        <v>7218</v>
      </c>
      <c r="C1738" s="39">
        <v>4</v>
      </c>
      <c r="D1738" s="39" t="s">
        <v>2122</v>
      </c>
    </row>
    <row r="1739" spans="1:4" x14ac:dyDescent="0.25">
      <c r="A1739" s="39" t="s">
        <v>3211</v>
      </c>
      <c r="B1739" s="39" t="s">
        <v>2646</v>
      </c>
      <c r="C1739" s="39">
        <v>4</v>
      </c>
      <c r="D1739" s="39" t="s">
        <v>2122</v>
      </c>
    </row>
    <row r="1740" spans="1:4" x14ac:dyDescent="0.25">
      <c r="A1740" s="39" t="s">
        <v>5212</v>
      </c>
      <c r="B1740" s="39" t="s">
        <v>3096</v>
      </c>
      <c r="C1740" s="39">
        <v>4</v>
      </c>
      <c r="D1740" s="39" t="s">
        <v>2122</v>
      </c>
    </row>
    <row r="1741" spans="1:4" x14ac:dyDescent="0.25">
      <c r="A1741" s="39" t="s">
        <v>10884</v>
      </c>
      <c r="B1741" s="39" t="s">
        <v>10885</v>
      </c>
      <c r="C1741" s="39">
        <v>4</v>
      </c>
      <c r="D1741" s="39" t="s">
        <v>2122</v>
      </c>
    </row>
    <row r="1742" spans="1:4" x14ac:dyDescent="0.25">
      <c r="A1742" s="39" t="s">
        <v>5213</v>
      </c>
      <c r="B1742" s="39" t="s">
        <v>3755</v>
      </c>
      <c r="C1742" s="39">
        <v>4</v>
      </c>
      <c r="D1742" s="39" t="s">
        <v>2122</v>
      </c>
    </row>
    <row r="1743" spans="1:4" x14ac:dyDescent="0.25">
      <c r="A1743" s="39" t="s">
        <v>7219</v>
      </c>
      <c r="B1743" s="39" t="s">
        <v>7220</v>
      </c>
      <c r="C1743" s="39">
        <v>4</v>
      </c>
      <c r="D1743" s="39" t="s">
        <v>2122</v>
      </c>
    </row>
    <row r="1744" spans="1:4" x14ac:dyDescent="0.25">
      <c r="A1744" s="39" t="s">
        <v>10886</v>
      </c>
      <c r="B1744" s="39" t="s">
        <v>10887</v>
      </c>
      <c r="C1744" s="39">
        <v>4</v>
      </c>
      <c r="D1744" s="39" t="s">
        <v>2122</v>
      </c>
    </row>
    <row r="1745" spans="1:4" x14ac:dyDescent="0.25">
      <c r="A1745" s="39" t="s">
        <v>10888</v>
      </c>
      <c r="B1745" s="39" t="s">
        <v>6232</v>
      </c>
      <c r="C1745" s="39">
        <v>4</v>
      </c>
      <c r="D1745" s="39" t="s">
        <v>2122</v>
      </c>
    </row>
    <row r="1746" spans="1:4" x14ac:dyDescent="0.25">
      <c r="A1746" s="39" t="s">
        <v>3504</v>
      </c>
      <c r="B1746" s="39" t="s">
        <v>3757</v>
      </c>
      <c r="C1746" s="39">
        <v>4</v>
      </c>
      <c r="D1746" s="39" t="s">
        <v>2122</v>
      </c>
    </row>
    <row r="1747" spans="1:4" x14ac:dyDescent="0.25">
      <c r="A1747" s="39" t="s">
        <v>5214</v>
      </c>
      <c r="B1747" s="39" t="s">
        <v>5215</v>
      </c>
      <c r="C1747" s="39">
        <v>4</v>
      </c>
      <c r="D1747" s="39" t="s">
        <v>2122</v>
      </c>
    </row>
    <row r="1748" spans="1:4" x14ac:dyDescent="0.25">
      <c r="A1748" s="39" t="s">
        <v>3505</v>
      </c>
      <c r="B1748" s="39" t="s">
        <v>842</v>
      </c>
      <c r="C1748" s="39">
        <v>4</v>
      </c>
      <c r="D1748" s="39" t="s">
        <v>2122</v>
      </c>
    </row>
    <row r="1749" spans="1:4" x14ac:dyDescent="0.25">
      <c r="A1749" s="39" t="s">
        <v>10889</v>
      </c>
      <c r="B1749" s="39" t="s">
        <v>10890</v>
      </c>
      <c r="C1749" s="39">
        <v>4</v>
      </c>
      <c r="D1749" s="39" t="s">
        <v>2122</v>
      </c>
    </row>
    <row r="1750" spans="1:4" x14ac:dyDescent="0.25">
      <c r="A1750" s="39" t="s">
        <v>5216</v>
      </c>
      <c r="B1750" s="39" t="s">
        <v>1375</v>
      </c>
      <c r="C1750" s="39">
        <v>4</v>
      </c>
      <c r="D1750" s="39" t="s">
        <v>2122</v>
      </c>
    </row>
    <row r="1751" spans="1:4" x14ac:dyDescent="0.25">
      <c r="A1751" s="39" t="s">
        <v>10891</v>
      </c>
      <c r="B1751" s="39" t="s">
        <v>10892</v>
      </c>
      <c r="C1751" s="39">
        <v>4</v>
      </c>
      <c r="D1751" s="39" t="s">
        <v>2122</v>
      </c>
    </row>
    <row r="1752" spans="1:4" x14ac:dyDescent="0.25">
      <c r="A1752" s="39" t="s">
        <v>3506</v>
      </c>
      <c r="B1752" s="39" t="s">
        <v>3758</v>
      </c>
      <c r="C1752" s="39">
        <v>4</v>
      </c>
      <c r="D1752" s="39" t="s">
        <v>2122</v>
      </c>
    </row>
    <row r="1753" spans="1:4" x14ac:dyDescent="0.25">
      <c r="A1753" s="39" t="s">
        <v>7221</v>
      </c>
      <c r="B1753" s="39" t="s">
        <v>3920</v>
      </c>
      <c r="C1753" s="39">
        <v>4</v>
      </c>
      <c r="D1753" s="39" t="s">
        <v>2122</v>
      </c>
    </row>
    <row r="1754" spans="1:4" x14ac:dyDescent="0.25">
      <c r="A1754" s="39" t="s">
        <v>7222</v>
      </c>
      <c r="B1754" s="39" t="s">
        <v>7223</v>
      </c>
      <c r="C1754" s="39">
        <v>4</v>
      </c>
      <c r="D1754" s="39" t="s">
        <v>2122</v>
      </c>
    </row>
    <row r="1755" spans="1:4" x14ac:dyDescent="0.25">
      <c r="A1755" s="39" t="s">
        <v>7224</v>
      </c>
      <c r="B1755" s="39" t="s">
        <v>7225</v>
      </c>
      <c r="C1755" s="39">
        <v>4</v>
      </c>
      <c r="D1755" s="39" t="s">
        <v>2122</v>
      </c>
    </row>
    <row r="1756" spans="1:4" x14ac:dyDescent="0.25">
      <c r="A1756" s="39" t="s">
        <v>5217</v>
      </c>
      <c r="B1756" s="39" t="s">
        <v>1220</v>
      </c>
      <c r="C1756" s="39">
        <v>4</v>
      </c>
      <c r="D1756" s="39" t="s">
        <v>2122</v>
      </c>
    </row>
    <row r="1757" spans="1:4" x14ac:dyDescent="0.25">
      <c r="A1757" s="39" t="s">
        <v>7226</v>
      </c>
      <c r="B1757" s="39" t="s">
        <v>4006</v>
      </c>
      <c r="C1757" s="39">
        <v>4</v>
      </c>
      <c r="D1757" s="39" t="s">
        <v>2122</v>
      </c>
    </row>
    <row r="1758" spans="1:4" x14ac:dyDescent="0.25">
      <c r="A1758" s="39" t="s">
        <v>3507</v>
      </c>
      <c r="B1758" s="39" t="s">
        <v>3759</v>
      </c>
      <c r="C1758" s="39">
        <v>4</v>
      </c>
      <c r="D1758" s="39" t="s">
        <v>2122</v>
      </c>
    </row>
    <row r="1759" spans="1:4" x14ac:dyDescent="0.25">
      <c r="A1759" s="39" t="s">
        <v>10893</v>
      </c>
      <c r="B1759" s="39" t="s">
        <v>10894</v>
      </c>
      <c r="C1759" s="39">
        <v>4</v>
      </c>
      <c r="D1759" s="39" t="s">
        <v>2122</v>
      </c>
    </row>
    <row r="1760" spans="1:4" x14ac:dyDescent="0.25">
      <c r="A1760" s="39" t="s">
        <v>10895</v>
      </c>
      <c r="B1760" s="39" t="s">
        <v>10896</v>
      </c>
      <c r="C1760" s="39">
        <v>4</v>
      </c>
      <c r="D1760" s="39" t="s">
        <v>2122</v>
      </c>
    </row>
    <row r="1761" spans="1:4" x14ac:dyDescent="0.25">
      <c r="A1761" s="39" t="s">
        <v>3213</v>
      </c>
      <c r="B1761" s="39" t="s">
        <v>3099</v>
      </c>
      <c r="C1761" s="39">
        <v>4</v>
      </c>
      <c r="D1761" s="39" t="s">
        <v>2122</v>
      </c>
    </row>
    <row r="1762" spans="1:4" x14ac:dyDescent="0.25">
      <c r="A1762" s="39" t="s">
        <v>5218</v>
      </c>
      <c r="B1762" s="39" t="s">
        <v>1240</v>
      </c>
      <c r="C1762" s="39">
        <v>4</v>
      </c>
      <c r="D1762" s="39" t="s">
        <v>2122</v>
      </c>
    </row>
    <row r="1763" spans="1:4" x14ac:dyDescent="0.25">
      <c r="A1763" s="39" t="s">
        <v>3508</v>
      </c>
      <c r="B1763" s="39" t="s">
        <v>3760</v>
      </c>
      <c r="C1763" s="39">
        <v>4</v>
      </c>
      <c r="D1763" s="39" t="s">
        <v>2122</v>
      </c>
    </row>
    <row r="1764" spans="1:4" x14ac:dyDescent="0.25">
      <c r="A1764" s="39" t="s">
        <v>2725</v>
      </c>
      <c r="B1764" s="39" t="s">
        <v>118</v>
      </c>
      <c r="C1764" s="39">
        <v>4</v>
      </c>
      <c r="D1764" s="39" t="s">
        <v>2122</v>
      </c>
    </row>
    <row r="1765" spans="1:4" x14ac:dyDescent="0.25">
      <c r="A1765" s="39" t="s">
        <v>7227</v>
      </c>
      <c r="B1765" s="39" t="s">
        <v>7228</v>
      </c>
      <c r="C1765" s="39">
        <v>4</v>
      </c>
      <c r="D1765" s="39" t="s">
        <v>2122</v>
      </c>
    </row>
    <row r="1766" spans="1:4" x14ac:dyDescent="0.25">
      <c r="A1766" s="39" t="s">
        <v>3214</v>
      </c>
      <c r="B1766" s="39" t="s">
        <v>3215</v>
      </c>
      <c r="C1766" s="39">
        <v>4</v>
      </c>
      <c r="D1766" s="39" t="s">
        <v>2122</v>
      </c>
    </row>
    <row r="1767" spans="1:4" x14ac:dyDescent="0.25">
      <c r="A1767" s="39" t="s">
        <v>3509</v>
      </c>
      <c r="B1767" s="39" t="s">
        <v>2474</v>
      </c>
      <c r="C1767" s="39">
        <v>4</v>
      </c>
      <c r="D1767" s="39" t="s">
        <v>2122</v>
      </c>
    </row>
    <row r="1768" spans="1:4" x14ac:dyDescent="0.25">
      <c r="A1768" s="39" t="s">
        <v>5219</v>
      </c>
      <c r="B1768" s="39" t="s">
        <v>2876</v>
      </c>
      <c r="C1768" s="39">
        <v>4</v>
      </c>
      <c r="D1768" s="39" t="s">
        <v>2122</v>
      </c>
    </row>
    <row r="1769" spans="1:4" x14ac:dyDescent="0.25">
      <c r="A1769" s="39" t="s">
        <v>1890</v>
      </c>
      <c r="B1769" s="39" t="s">
        <v>835</v>
      </c>
      <c r="C1769" s="39">
        <v>4</v>
      </c>
      <c r="D1769" s="39" t="s">
        <v>2122</v>
      </c>
    </row>
    <row r="1770" spans="1:4" x14ac:dyDescent="0.25">
      <c r="A1770" s="39" t="s">
        <v>3510</v>
      </c>
      <c r="B1770" s="39" t="s">
        <v>3761</v>
      </c>
      <c r="C1770" s="39">
        <v>4</v>
      </c>
      <c r="D1770" s="39" t="s">
        <v>2122</v>
      </c>
    </row>
    <row r="1771" spans="1:4" x14ac:dyDescent="0.25">
      <c r="A1771" s="39" t="s">
        <v>2726</v>
      </c>
      <c r="B1771" s="39" t="s">
        <v>62</v>
      </c>
      <c r="C1771" s="39">
        <v>4</v>
      </c>
      <c r="D1771" s="39" t="s">
        <v>2122</v>
      </c>
    </row>
    <row r="1772" spans="1:4" x14ac:dyDescent="0.25">
      <c r="A1772" s="39" t="s">
        <v>7229</v>
      </c>
      <c r="B1772" s="39" t="s">
        <v>7230</v>
      </c>
      <c r="C1772" s="39">
        <v>4</v>
      </c>
      <c r="D1772" s="39" t="s">
        <v>2122</v>
      </c>
    </row>
    <row r="1773" spans="1:4" x14ac:dyDescent="0.25">
      <c r="A1773" s="39" t="s">
        <v>239</v>
      </c>
      <c r="B1773" s="39" t="s">
        <v>2329</v>
      </c>
      <c r="C1773" s="39">
        <v>4</v>
      </c>
      <c r="D1773" s="39" t="s">
        <v>2122</v>
      </c>
    </row>
    <row r="1774" spans="1:4" x14ac:dyDescent="0.25">
      <c r="A1774" s="39" t="s">
        <v>7231</v>
      </c>
      <c r="B1774" s="39" t="s">
        <v>3762</v>
      </c>
      <c r="C1774" s="39">
        <v>4</v>
      </c>
      <c r="D1774" s="39" t="s">
        <v>2122</v>
      </c>
    </row>
    <row r="1775" spans="1:4" x14ac:dyDescent="0.25">
      <c r="A1775" s="39" t="s">
        <v>3216</v>
      </c>
      <c r="B1775" s="39" t="s">
        <v>3217</v>
      </c>
      <c r="C1775" s="39">
        <v>4</v>
      </c>
      <c r="D1775" s="39" t="s">
        <v>2122</v>
      </c>
    </row>
    <row r="1776" spans="1:4" x14ac:dyDescent="0.25">
      <c r="A1776" s="39" t="s">
        <v>7232</v>
      </c>
      <c r="B1776" s="39" t="s">
        <v>7233</v>
      </c>
      <c r="C1776" s="39">
        <v>4</v>
      </c>
      <c r="D1776" s="39" t="s">
        <v>2122</v>
      </c>
    </row>
    <row r="1777" spans="1:4" x14ac:dyDescent="0.25">
      <c r="A1777" s="39" t="s">
        <v>10897</v>
      </c>
      <c r="B1777" s="39" t="s">
        <v>3921</v>
      </c>
      <c r="C1777" s="39">
        <v>4</v>
      </c>
      <c r="D1777" s="39" t="s">
        <v>2122</v>
      </c>
    </row>
    <row r="1778" spans="1:4" x14ac:dyDescent="0.25">
      <c r="A1778" s="39" t="s">
        <v>3511</v>
      </c>
      <c r="B1778" s="39" t="s">
        <v>3075</v>
      </c>
      <c r="C1778" s="39">
        <v>4</v>
      </c>
      <c r="D1778" s="39" t="s">
        <v>2122</v>
      </c>
    </row>
    <row r="1779" spans="1:4" x14ac:dyDescent="0.25">
      <c r="A1779" s="39" t="s">
        <v>899</v>
      </c>
      <c r="B1779" s="39" t="s">
        <v>1619</v>
      </c>
      <c r="C1779" s="39">
        <v>4</v>
      </c>
      <c r="D1779" s="39" t="s">
        <v>2122</v>
      </c>
    </row>
    <row r="1780" spans="1:4" x14ac:dyDescent="0.25">
      <c r="A1780" s="39" t="s">
        <v>2967</v>
      </c>
      <c r="B1780" s="39" t="s">
        <v>2586</v>
      </c>
      <c r="C1780" s="39">
        <v>4</v>
      </c>
      <c r="D1780" s="39" t="s">
        <v>2122</v>
      </c>
    </row>
    <row r="1781" spans="1:4" x14ac:dyDescent="0.25">
      <c r="A1781" s="39" t="s">
        <v>5220</v>
      </c>
      <c r="B1781" s="39" t="s">
        <v>230</v>
      </c>
      <c r="C1781" s="39">
        <v>4</v>
      </c>
      <c r="D1781" s="39" t="s">
        <v>2122</v>
      </c>
    </row>
    <row r="1782" spans="1:4" x14ac:dyDescent="0.25">
      <c r="A1782" s="39" t="s">
        <v>10898</v>
      </c>
      <c r="B1782" s="39" t="s">
        <v>10899</v>
      </c>
      <c r="C1782" s="39">
        <v>4</v>
      </c>
      <c r="D1782" s="39" t="s">
        <v>2122</v>
      </c>
    </row>
    <row r="1783" spans="1:4" x14ac:dyDescent="0.25">
      <c r="A1783" s="39" t="s">
        <v>5221</v>
      </c>
      <c r="B1783" s="39" t="s">
        <v>2789</v>
      </c>
      <c r="C1783" s="39">
        <v>4</v>
      </c>
      <c r="D1783" s="39" t="s">
        <v>2122</v>
      </c>
    </row>
    <row r="1784" spans="1:4" x14ac:dyDescent="0.25">
      <c r="A1784" s="39" t="s">
        <v>3512</v>
      </c>
      <c r="B1784" s="39" t="s">
        <v>2202</v>
      </c>
      <c r="C1784" s="39">
        <v>4</v>
      </c>
      <c r="D1784" s="39" t="s">
        <v>2122</v>
      </c>
    </row>
    <row r="1785" spans="1:4" x14ac:dyDescent="0.25">
      <c r="A1785" s="39" t="s">
        <v>7234</v>
      </c>
      <c r="B1785" s="39" t="s">
        <v>7235</v>
      </c>
      <c r="C1785" s="39">
        <v>4</v>
      </c>
      <c r="D1785" s="39" t="s">
        <v>2122</v>
      </c>
    </row>
    <row r="1786" spans="1:4" x14ac:dyDescent="0.25">
      <c r="A1786" s="39" t="s">
        <v>2224</v>
      </c>
      <c r="B1786" s="39" t="s">
        <v>2226</v>
      </c>
      <c r="C1786" s="39">
        <v>4</v>
      </c>
      <c r="D1786" s="39" t="s">
        <v>2122</v>
      </c>
    </row>
    <row r="1787" spans="1:4" x14ac:dyDescent="0.25">
      <c r="A1787" s="39" t="s">
        <v>7236</v>
      </c>
      <c r="B1787" s="39" t="s">
        <v>7237</v>
      </c>
      <c r="C1787" s="39">
        <v>4</v>
      </c>
      <c r="D1787" s="39" t="s">
        <v>2122</v>
      </c>
    </row>
    <row r="1788" spans="1:4" x14ac:dyDescent="0.25">
      <c r="A1788" s="39" t="s">
        <v>7238</v>
      </c>
      <c r="B1788" s="39" t="s">
        <v>7239</v>
      </c>
      <c r="C1788" s="39">
        <v>4</v>
      </c>
      <c r="D1788" s="39" t="s">
        <v>2122</v>
      </c>
    </row>
    <row r="1789" spans="1:4" x14ac:dyDescent="0.25">
      <c r="A1789" s="39" t="s">
        <v>5222</v>
      </c>
      <c r="B1789" s="39" t="s">
        <v>5223</v>
      </c>
      <c r="C1789" s="39">
        <v>4</v>
      </c>
      <c r="D1789" s="39" t="s">
        <v>2122</v>
      </c>
    </row>
    <row r="1790" spans="1:4" x14ac:dyDescent="0.25">
      <c r="A1790" s="39" t="s">
        <v>3218</v>
      </c>
      <c r="B1790" s="39" t="s">
        <v>1147</v>
      </c>
      <c r="C1790" s="39">
        <v>4</v>
      </c>
      <c r="D1790" s="39" t="s">
        <v>2122</v>
      </c>
    </row>
    <row r="1791" spans="1:4" x14ac:dyDescent="0.25">
      <c r="A1791" s="39" t="s">
        <v>7240</v>
      </c>
      <c r="B1791" s="39" t="s">
        <v>7241</v>
      </c>
      <c r="C1791" s="39">
        <v>4</v>
      </c>
      <c r="D1791" s="39" t="s">
        <v>2122</v>
      </c>
    </row>
    <row r="1792" spans="1:4" x14ac:dyDescent="0.25">
      <c r="A1792" s="39" t="s">
        <v>10900</v>
      </c>
      <c r="B1792" s="39" t="s">
        <v>6207</v>
      </c>
      <c r="C1792" s="39">
        <v>4</v>
      </c>
      <c r="D1792" s="39" t="s">
        <v>2122</v>
      </c>
    </row>
    <row r="1793" spans="1:4" x14ac:dyDescent="0.25">
      <c r="A1793" s="39" t="s">
        <v>2504</v>
      </c>
      <c r="B1793" s="39" t="s">
        <v>196</v>
      </c>
      <c r="C1793" s="39">
        <v>4</v>
      </c>
      <c r="D1793" s="39" t="s">
        <v>2122</v>
      </c>
    </row>
    <row r="1794" spans="1:4" x14ac:dyDescent="0.25">
      <c r="A1794" s="39" t="s">
        <v>7242</v>
      </c>
      <c r="B1794" s="39" t="s">
        <v>7243</v>
      </c>
      <c r="C1794" s="39">
        <v>4</v>
      </c>
      <c r="D1794" s="39" t="s">
        <v>2122</v>
      </c>
    </row>
    <row r="1795" spans="1:4" x14ac:dyDescent="0.25">
      <c r="A1795" s="39" t="s">
        <v>10901</v>
      </c>
      <c r="B1795" s="39" t="s">
        <v>4003</v>
      </c>
      <c r="C1795" s="39">
        <v>4</v>
      </c>
      <c r="D1795" s="39" t="s">
        <v>2122</v>
      </c>
    </row>
    <row r="1796" spans="1:4" x14ac:dyDescent="0.25">
      <c r="A1796" s="39" t="s">
        <v>7244</v>
      </c>
      <c r="B1796" s="39" t="s">
        <v>7245</v>
      </c>
      <c r="C1796" s="39">
        <v>4</v>
      </c>
      <c r="D1796" s="39" t="s">
        <v>2122</v>
      </c>
    </row>
    <row r="1797" spans="1:4" x14ac:dyDescent="0.25">
      <c r="A1797" s="39" t="s">
        <v>7246</v>
      </c>
      <c r="B1797" s="39" t="s">
        <v>7247</v>
      </c>
      <c r="C1797" s="39">
        <v>4</v>
      </c>
      <c r="D1797" s="39" t="s">
        <v>2122</v>
      </c>
    </row>
    <row r="1798" spans="1:4" x14ac:dyDescent="0.25">
      <c r="A1798" s="39" t="s">
        <v>3219</v>
      </c>
      <c r="B1798" s="39" t="s">
        <v>3220</v>
      </c>
      <c r="C1798" s="39">
        <v>4</v>
      </c>
      <c r="D1798" s="39" t="s">
        <v>2122</v>
      </c>
    </row>
    <row r="1799" spans="1:4" x14ac:dyDescent="0.25">
      <c r="A1799" s="39" t="s">
        <v>2475</v>
      </c>
      <c r="B1799" s="39" t="s">
        <v>2727</v>
      </c>
      <c r="C1799" s="39">
        <v>4</v>
      </c>
      <c r="D1799" s="39" t="s">
        <v>2122</v>
      </c>
    </row>
    <row r="1800" spans="1:4" x14ac:dyDescent="0.25">
      <c r="A1800" s="39" t="s">
        <v>5224</v>
      </c>
      <c r="B1800" s="39" t="s">
        <v>1936</v>
      </c>
      <c r="C1800" s="39">
        <v>4</v>
      </c>
      <c r="D1800" s="39" t="s">
        <v>2122</v>
      </c>
    </row>
    <row r="1801" spans="1:4" x14ac:dyDescent="0.25">
      <c r="A1801" s="39" t="s">
        <v>7248</v>
      </c>
      <c r="B1801" s="39" t="s">
        <v>2472</v>
      </c>
      <c r="C1801" s="39">
        <v>4</v>
      </c>
      <c r="D1801" s="39" t="s">
        <v>2122</v>
      </c>
    </row>
    <row r="1802" spans="1:4" x14ac:dyDescent="0.25">
      <c r="A1802" s="39" t="s">
        <v>2677</v>
      </c>
      <c r="B1802" s="39" t="s">
        <v>1057</v>
      </c>
      <c r="C1802" s="39">
        <v>4</v>
      </c>
      <c r="D1802" s="39" t="s">
        <v>2122</v>
      </c>
    </row>
    <row r="1803" spans="1:4" x14ac:dyDescent="0.25">
      <c r="A1803" s="39" t="s">
        <v>7249</v>
      </c>
      <c r="B1803" s="39" t="s">
        <v>7250</v>
      </c>
      <c r="C1803" s="39">
        <v>4</v>
      </c>
      <c r="D1803" s="39" t="s">
        <v>2122</v>
      </c>
    </row>
    <row r="1804" spans="1:4" x14ac:dyDescent="0.25">
      <c r="A1804" s="39" t="s">
        <v>3221</v>
      </c>
      <c r="B1804" s="39" t="s">
        <v>2728</v>
      </c>
      <c r="C1804" s="39">
        <v>4</v>
      </c>
      <c r="D1804" s="39" t="s">
        <v>2122</v>
      </c>
    </row>
    <row r="1805" spans="1:4" x14ac:dyDescent="0.25">
      <c r="A1805" s="39" t="s">
        <v>2729</v>
      </c>
      <c r="B1805" s="39" t="s">
        <v>1465</v>
      </c>
      <c r="C1805" s="39">
        <v>4</v>
      </c>
      <c r="D1805" s="39" t="s">
        <v>2122</v>
      </c>
    </row>
    <row r="1806" spans="1:4" x14ac:dyDescent="0.25">
      <c r="A1806" s="39" t="s">
        <v>1615</v>
      </c>
      <c r="B1806" s="39" t="s">
        <v>1241</v>
      </c>
      <c r="C1806" s="39">
        <v>4</v>
      </c>
      <c r="D1806" s="39" t="s">
        <v>2122</v>
      </c>
    </row>
    <row r="1807" spans="1:4" x14ac:dyDescent="0.25">
      <c r="A1807" s="39" t="s">
        <v>3513</v>
      </c>
      <c r="B1807" s="39" t="s">
        <v>3763</v>
      </c>
      <c r="C1807" s="39">
        <v>4</v>
      </c>
      <c r="D1807" s="39" t="s">
        <v>2122</v>
      </c>
    </row>
    <row r="1808" spans="1:4" x14ac:dyDescent="0.25">
      <c r="A1808" s="39" t="s">
        <v>7251</v>
      </c>
      <c r="B1808" s="39" t="s">
        <v>7252</v>
      </c>
      <c r="C1808" s="39">
        <v>4</v>
      </c>
      <c r="D1808" s="39" t="s">
        <v>2122</v>
      </c>
    </row>
    <row r="1809" spans="1:4" x14ac:dyDescent="0.25">
      <c r="A1809" s="39" t="s">
        <v>3514</v>
      </c>
      <c r="B1809" s="39" t="s">
        <v>3764</v>
      </c>
      <c r="C1809" s="39">
        <v>4</v>
      </c>
      <c r="D1809" s="39" t="s">
        <v>2122</v>
      </c>
    </row>
    <row r="1810" spans="1:4" x14ac:dyDescent="0.25">
      <c r="A1810" s="39" t="s">
        <v>10902</v>
      </c>
      <c r="B1810" s="39" t="s">
        <v>6187</v>
      </c>
      <c r="C1810" s="39">
        <v>4</v>
      </c>
      <c r="D1810" s="39" t="s">
        <v>2122</v>
      </c>
    </row>
    <row r="1811" spans="1:4" x14ac:dyDescent="0.25">
      <c r="A1811" s="39" t="s">
        <v>7253</v>
      </c>
      <c r="B1811" s="39" t="s">
        <v>4779</v>
      </c>
      <c r="C1811" s="39">
        <v>4</v>
      </c>
      <c r="D1811" s="39" t="s">
        <v>2122</v>
      </c>
    </row>
    <row r="1812" spans="1:4" x14ac:dyDescent="0.25">
      <c r="A1812" s="39" t="s">
        <v>3515</v>
      </c>
      <c r="B1812" s="39" t="s">
        <v>2178</v>
      </c>
      <c r="C1812" s="39">
        <v>4</v>
      </c>
      <c r="D1812" s="39" t="s">
        <v>2122</v>
      </c>
    </row>
    <row r="1813" spans="1:4" x14ac:dyDescent="0.25">
      <c r="A1813" s="39" t="s">
        <v>10903</v>
      </c>
      <c r="B1813" s="39" t="s">
        <v>6151</v>
      </c>
      <c r="C1813" s="39">
        <v>4</v>
      </c>
      <c r="D1813" s="39" t="s">
        <v>2122</v>
      </c>
    </row>
    <row r="1814" spans="1:4" x14ac:dyDescent="0.25">
      <c r="A1814" s="39" t="s">
        <v>1891</v>
      </c>
      <c r="B1814" s="39" t="s">
        <v>1287</v>
      </c>
      <c r="C1814" s="39">
        <v>4</v>
      </c>
      <c r="D1814" s="39" t="s">
        <v>2122</v>
      </c>
    </row>
    <row r="1815" spans="1:4" x14ac:dyDescent="0.25">
      <c r="A1815" s="39" t="s">
        <v>3516</v>
      </c>
      <c r="B1815" s="39" t="s">
        <v>753</v>
      </c>
      <c r="C1815" s="39">
        <v>4</v>
      </c>
      <c r="D1815" s="39" t="s">
        <v>2122</v>
      </c>
    </row>
    <row r="1816" spans="1:4" x14ac:dyDescent="0.25">
      <c r="A1816" s="39" t="s">
        <v>7254</v>
      </c>
      <c r="B1816" s="39" t="s">
        <v>7255</v>
      </c>
      <c r="C1816" s="39">
        <v>4</v>
      </c>
      <c r="D1816" s="39" t="s">
        <v>2122</v>
      </c>
    </row>
    <row r="1817" spans="1:4" x14ac:dyDescent="0.25">
      <c r="A1817" s="39" t="s">
        <v>10904</v>
      </c>
      <c r="B1817" s="39" t="s">
        <v>10905</v>
      </c>
      <c r="C1817" s="39">
        <v>4</v>
      </c>
      <c r="D1817" s="39" t="s">
        <v>2122</v>
      </c>
    </row>
    <row r="1818" spans="1:4" x14ac:dyDescent="0.25">
      <c r="A1818" s="39" t="s">
        <v>10906</v>
      </c>
      <c r="B1818" s="39" t="s">
        <v>4414</v>
      </c>
      <c r="C1818" s="39">
        <v>4</v>
      </c>
      <c r="D1818" s="39" t="s">
        <v>2122</v>
      </c>
    </row>
    <row r="1819" spans="1:4" x14ac:dyDescent="0.25">
      <c r="A1819" s="39" t="s">
        <v>3222</v>
      </c>
      <c r="B1819" s="39" t="s">
        <v>3223</v>
      </c>
      <c r="C1819" s="39">
        <v>4</v>
      </c>
      <c r="D1819" s="39" t="s">
        <v>2122</v>
      </c>
    </row>
    <row r="1820" spans="1:4" x14ac:dyDescent="0.25">
      <c r="A1820" s="39" t="s">
        <v>10907</v>
      </c>
      <c r="B1820" s="39" t="s">
        <v>10908</v>
      </c>
      <c r="C1820" s="39">
        <v>4</v>
      </c>
      <c r="D1820" s="39" t="s">
        <v>2122</v>
      </c>
    </row>
    <row r="1821" spans="1:4" x14ac:dyDescent="0.25">
      <c r="A1821" s="39" t="s">
        <v>3517</v>
      </c>
      <c r="B1821" s="39" t="s">
        <v>3765</v>
      </c>
      <c r="C1821" s="39">
        <v>4</v>
      </c>
      <c r="D1821" s="39" t="s">
        <v>2122</v>
      </c>
    </row>
    <row r="1822" spans="1:4" x14ac:dyDescent="0.25">
      <c r="A1822" s="39" t="s">
        <v>5225</v>
      </c>
      <c r="B1822" s="39" t="s">
        <v>5226</v>
      </c>
      <c r="C1822" s="39">
        <v>4</v>
      </c>
      <c r="D1822" s="39" t="s">
        <v>2122</v>
      </c>
    </row>
    <row r="1823" spans="1:4" x14ac:dyDescent="0.25">
      <c r="A1823" s="39" t="s">
        <v>3518</v>
      </c>
      <c r="B1823" s="39" t="s">
        <v>3766</v>
      </c>
      <c r="C1823" s="39">
        <v>4</v>
      </c>
      <c r="D1823" s="39" t="s">
        <v>2122</v>
      </c>
    </row>
    <row r="1824" spans="1:4" x14ac:dyDescent="0.25">
      <c r="A1824" s="39" t="s">
        <v>7256</v>
      </c>
      <c r="B1824" s="39" t="s">
        <v>7257</v>
      </c>
      <c r="C1824" s="39">
        <v>4</v>
      </c>
      <c r="D1824" s="39" t="s">
        <v>2122</v>
      </c>
    </row>
    <row r="1825" spans="1:4" x14ac:dyDescent="0.25">
      <c r="A1825" s="39" t="s">
        <v>7258</v>
      </c>
      <c r="B1825" s="39" t="s">
        <v>2942</v>
      </c>
      <c r="C1825" s="39">
        <v>4</v>
      </c>
      <c r="D1825" s="39" t="s">
        <v>2122</v>
      </c>
    </row>
    <row r="1826" spans="1:4" x14ac:dyDescent="0.25">
      <c r="A1826" s="39" t="s">
        <v>5227</v>
      </c>
      <c r="B1826" s="39" t="s">
        <v>243</v>
      </c>
      <c r="C1826" s="39">
        <v>4</v>
      </c>
      <c r="D1826" s="39" t="s">
        <v>2122</v>
      </c>
    </row>
    <row r="1827" spans="1:4" x14ac:dyDescent="0.25">
      <c r="A1827" s="39" t="s">
        <v>2227</v>
      </c>
      <c r="B1827" s="39" t="s">
        <v>2229</v>
      </c>
      <c r="C1827" s="39">
        <v>4</v>
      </c>
      <c r="D1827" s="39" t="s">
        <v>2122</v>
      </c>
    </row>
    <row r="1828" spans="1:4" x14ac:dyDescent="0.25">
      <c r="A1828" s="39" t="s">
        <v>1895</v>
      </c>
      <c r="B1828" s="39" t="s">
        <v>1289</v>
      </c>
      <c r="C1828" s="39">
        <v>4</v>
      </c>
      <c r="D1828" s="39" t="s">
        <v>2122</v>
      </c>
    </row>
    <row r="1829" spans="1:4" x14ac:dyDescent="0.25">
      <c r="A1829" s="39" t="s">
        <v>5228</v>
      </c>
      <c r="B1829" s="39" t="s">
        <v>494</v>
      </c>
      <c r="C1829" s="39">
        <v>4</v>
      </c>
      <c r="D1829" s="39" t="s">
        <v>2122</v>
      </c>
    </row>
    <row r="1830" spans="1:4" x14ac:dyDescent="0.25">
      <c r="A1830" s="39" t="s">
        <v>10909</v>
      </c>
      <c r="B1830" s="39" t="s">
        <v>4002</v>
      </c>
      <c r="C1830" s="39">
        <v>4</v>
      </c>
      <c r="D1830" s="39" t="s">
        <v>2122</v>
      </c>
    </row>
    <row r="1831" spans="1:4" x14ac:dyDescent="0.25">
      <c r="A1831" s="39" t="s">
        <v>10910</v>
      </c>
      <c r="B1831" s="39" t="s">
        <v>1851</v>
      </c>
      <c r="C1831" s="39">
        <v>4</v>
      </c>
      <c r="D1831" s="39" t="s">
        <v>2122</v>
      </c>
    </row>
    <row r="1832" spans="1:4" x14ac:dyDescent="0.25">
      <c r="A1832" s="39" t="s">
        <v>3519</v>
      </c>
      <c r="B1832" s="39" t="s">
        <v>3767</v>
      </c>
      <c r="C1832" s="39">
        <v>4</v>
      </c>
      <c r="D1832" s="39" t="s">
        <v>2122</v>
      </c>
    </row>
    <row r="1833" spans="1:4" x14ac:dyDescent="0.25">
      <c r="A1833" s="39" t="s">
        <v>5229</v>
      </c>
      <c r="B1833" s="39" t="s">
        <v>8</v>
      </c>
      <c r="C1833" s="39">
        <v>4</v>
      </c>
      <c r="D1833" s="39" t="s">
        <v>2122</v>
      </c>
    </row>
    <row r="1834" spans="1:4" x14ac:dyDescent="0.25">
      <c r="A1834" s="39" t="s">
        <v>5230</v>
      </c>
      <c r="B1834" s="39" t="s">
        <v>5231</v>
      </c>
      <c r="C1834" s="39">
        <v>4</v>
      </c>
      <c r="D1834" s="39" t="s">
        <v>2122</v>
      </c>
    </row>
    <row r="1835" spans="1:4" x14ac:dyDescent="0.25">
      <c r="A1835" s="39" t="s">
        <v>10911</v>
      </c>
      <c r="B1835" s="39" t="s">
        <v>10912</v>
      </c>
      <c r="C1835" s="39">
        <v>4</v>
      </c>
      <c r="D1835" s="39" t="s">
        <v>2122</v>
      </c>
    </row>
    <row r="1836" spans="1:4" x14ac:dyDescent="0.25">
      <c r="A1836" s="39" t="s">
        <v>10913</v>
      </c>
      <c r="B1836" s="39" t="s">
        <v>10914</v>
      </c>
      <c r="C1836" s="39">
        <v>4</v>
      </c>
      <c r="D1836" s="39" t="s">
        <v>2122</v>
      </c>
    </row>
    <row r="1837" spans="1:4" x14ac:dyDescent="0.25">
      <c r="A1837" s="39" t="s">
        <v>3226</v>
      </c>
      <c r="B1837" s="39" t="s">
        <v>2270</v>
      </c>
      <c r="C1837" s="39">
        <v>4</v>
      </c>
      <c r="D1837" s="39" t="s">
        <v>2122</v>
      </c>
    </row>
    <row r="1838" spans="1:4" x14ac:dyDescent="0.25">
      <c r="A1838" s="39" t="s">
        <v>101</v>
      </c>
      <c r="B1838" s="39" t="s">
        <v>992</v>
      </c>
      <c r="C1838" s="39">
        <v>4</v>
      </c>
      <c r="D1838" s="39" t="s">
        <v>2122</v>
      </c>
    </row>
    <row r="1839" spans="1:4" x14ac:dyDescent="0.25">
      <c r="A1839" s="39" t="s">
        <v>3520</v>
      </c>
      <c r="B1839" s="39" t="s">
        <v>3768</v>
      </c>
      <c r="C1839" s="39">
        <v>4</v>
      </c>
      <c r="D1839" s="39" t="s">
        <v>2122</v>
      </c>
    </row>
    <row r="1840" spans="1:4" x14ac:dyDescent="0.25">
      <c r="A1840" s="39" t="s">
        <v>3162</v>
      </c>
      <c r="B1840" s="39" t="s">
        <v>1035</v>
      </c>
      <c r="C1840" s="39">
        <v>4</v>
      </c>
      <c r="D1840" s="39" t="s">
        <v>2122</v>
      </c>
    </row>
    <row r="1841" spans="1:4" x14ac:dyDescent="0.25">
      <c r="A1841" s="39" t="s">
        <v>10915</v>
      </c>
      <c r="B1841" s="39" t="s">
        <v>4114</v>
      </c>
      <c r="C1841" s="39">
        <v>4</v>
      </c>
      <c r="D1841" s="39" t="s">
        <v>2122</v>
      </c>
    </row>
    <row r="1842" spans="1:4" x14ac:dyDescent="0.25">
      <c r="A1842" s="39" t="s">
        <v>5232</v>
      </c>
      <c r="B1842" s="39" t="s">
        <v>1466</v>
      </c>
      <c r="C1842" s="39">
        <v>4</v>
      </c>
      <c r="D1842" s="39" t="s">
        <v>2122</v>
      </c>
    </row>
    <row r="1843" spans="1:4" x14ac:dyDescent="0.25">
      <c r="A1843" s="39" t="s">
        <v>2928</v>
      </c>
      <c r="B1843" s="39" t="s">
        <v>3227</v>
      </c>
      <c r="C1843" s="39">
        <v>4</v>
      </c>
      <c r="D1843" s="39" t="s">
        <v>2122</v>
      </c>
    </row>
    <row r="1844" spans="1:4" x14ac:dyDescent="0.25">
      <c r="A1844" s="39" t="s">
        <v>7259</v>
      </c>
      <c r="B1844" s="39" t="s">
        <v>7260</v>
      </c>
      <c r="C1844" s="39">
        <v>4</v>
      </c>
      <c r="D1844" s="39" t="s">
        <v>2122</v>
      </c>
    </row>
    <row r="1845" spans="1:4" x14ac:dyDescent="0.25">
      <c r="A1845" s="39" t="s">
        <v>7261</v>
      </c>
      <c r="B1845" s="39" t="s">
        <v>7262</v>
      </c>
      <c r="C1845" s="39">
        <v>4</v>
      </c>
      <c r="D1845" s="39" t="s">
        <v>2122</v>
      </c>
    </row>
    <row r="1846" spans="1:4" x14ac:dyDescent="0.25">
      <c r="A1846" s="39" t="s">
        <v>57</v>
      </c>
      <c r="B1846" s="39" t="s">
        <v>511</v>
      </c>
      <c r="C1846" s="39">
        <v>4</v>
      </c>
      <c r="D1846" s="39" t="s">
        <v>2122</v>
      </c>
    </row>
    <row r="1847" spans="1:4" x14ac:dyDescent="0.25">
      <c r="A1847" s="39" t="s">
        <v>3228</v>
      </c>
      <c r="B1847" s="39" t="s">
        <v>2332</v>
      </c>
      <c r="C1847" s="39">
        <v>4</v>
      </c>
      <c r="D1847" s="39" t="s">
        <v>2122</v>
      </c>
    </row>
    <row r="1848" spans="1:4" x14ac:dyDescent="0.25">
      <c r="A1848" s="39" t="s">
        <v>10916</v>
      </c>
      <c r="B1848" s="39" t="s">
        <v>10917</v>
      </c>
      <c r="C1848" s="39">
        <v>4</v>
      </c>
      <c r="D1848" s="39" t="s">
        <v>2122</v>
      </c>
    </row>
    <row r="1849" spans="1:4" x14ac:dyDescent="0.25">
      <c r="A1849" s="39" t="s">
        <v>10918</v>
      </c>
      <c r="B1849" s="39" t="s">
        <v>245</v>
      </c>
      <c r="C1849" s="39">
        <v>4</v>
      </c>
      <c r="D1849" s="39" t="s">
        <v>2122</v>
      </c>
    </row>
    <row r="1850" spans="1:4" x14ac:dyDescent="0.25">
      <c r="A1850" s="39" t="s">
        <v>3229</v>
      </c>
      <c r="B1850" s="39" t="s">
        <v>409</v>
      </c>
      <c r="C1850" s="39">
        <v>4</v>
      </c>
      <c r="D1850" s="39" t="s">
        <v>2122</v>
      </c>
    </row>
    <row r="1851" spans="1:4" x14ac:dyDescent="0.25">
      <c r="A1851" s="39" t="s">
        <v>5233</v>
      </c>
      <c r="B1851" s="39" t="s">
        <v>3065</v>
      </c>
      <c r="C1851" s="39">
        <v>4</v>
      </c>
      <c r="D1851" s="39" t="s">
        <v>2122</v>
      </c>
    </row>
    <row r="1852" spans="1:4" x14ac:dyDescent="0.25">
      <c r="A1852" s="39" t="s">
        <v>5234</v>
      </c>
      <c r="B1852" s="39" t="s">
        <v>2391</v>
      </c>
      <c r="C1852" s="39">
        <v>4</v>
      </c>
      <c r="D1852" s="39" t="s">
        <v>2122</v>
      </c>
    </row>
    <row r="1853" spans="1:4" x14ac:dyDescent="0.25">
      <c r="A1853" s="39" t="s">
        <v>10919</v>
      </c>
      <c r="B1853" s="39" t="s">
        <v>10920</v>
      </c>
      <c r="C1853" s="39">
        <v>4</v>
      </c>
      <c r="D1853" s="39" t="s">
        <v>2122</v>
      </c>
    </row>
    <row r="1854" spans="1:4" x14ac:dyDescent="0.25">
      <c r="A1854" s="39" t="s">
        <v>5235</v>
      </c>
      <c r="B1854" s="39" t="s">
        <v>4166</v>
      </c>
      <c r="C1854" s="39">
        <v>4</v>
      </c>
      <c r="D1854" s="39" t="s">
        <v>2122</v>
      </c>
    </row>
    <row r="1855" spans="1:4" x14ac:dyDescent="0.25">
      <c r="A1855" s="39" t="s">
        <v>10921</v>
      </c>
      <c r="B1855" s="39" t="s">
        <v>10922</v>
      </c>
      <c r="C1855" s="39">
        <v>4</v>
      </c>
      <c r="D1855" s="39" t="s">
        <v>2122</v>
      </c>
    </row>
    <row r="1856" spans="1:4" x14ac:dyDescent="0.25">
      <c r="A1856" s="39" t="s">
        <v>5236</v>
      </c>
      <c r="B1856" s="39" t="s">
        <v>245</v>
      </c>
      <c r="C1856" s="39">
        <v>4</v>
      </c>
      <c r="D1856" s="39" t="s">
        <v>2122</v>
      </c>
    </row>
    <row r="1857" spans="1:4" x14ac:dyDescent="0.25">
      <c r="A1857" s="39" t="s">
        <v>3230</v>
      </c>
      <c r="B1857" s="39" t="s">
        <v>2540</v>
      </c>
      <c r="C1857" s="39">
        <v>4</v>
      </c>
      <c r="D1857" s="39" t="s">
        <v>2122</v>
      </c>
    </row>
    <row r="1858" spans="1:4" x14ac:dyDescent="0.25">
      <c r="A1858" s="39" t="s">
        <v>7263</v>
      </c>
      <c r="B1858" s="39" t="s">
        <v>3985</v>
      </c>
      <c r="C1858" s="39">
        <v>4</v>
      </c>
      <c r="D1858" s="39" t="s">
        <v>2122</v>
      </c>
    </row>
    <row r="1859" spans="1:4" x14ac:dyDescent="0.25">
      <c r="A1859" s="39" t="s">
        <v>2730</v>
      </c>
      <c r="B1859" s="39" t="s">
        <v>2731</v>
      </c>
      <c r="C1859" s="39">
        <v>4</v>
      </c>
      <c r="D1859" s="39" t="s">
        <v>2122</v>
      </c>
    </row>
    <row r="1860" spans="1:4" x14ac:dyDescent="0.25">
      <c r="A1860" s="39" t="s">
        <v>7264</v>
      </c>
      <c r="B1860" s="39" t="s">
        <v>4048</v>
      </c>
      <c r="C1860" s="39">
        <v>4</v>
      </c>
      <c r="D1860" s="39" t="s">
        <v>2122</v>
      </c>
    </row>
    <row r="1861" spans="1:4" x14ac:dyDescent="0.25">
      <c r="A1861" s="39" t="s">
        <v>10923</v>
      </c>
      <c r="B1861" s="39" t="s">
        <v>10924</v>
      </c>
      <c r="C1861" s="39">
        <v>4</v>
      </c>
      <c r="D1861" s="39" t="s">
        <v>2122</v>
      </c>
    </row>
    <row r="1862" spans="1:4" x14ac:dyDescent="0.25">
      <c r="A1862" s="39" t="s">
        <v>1545</v>
      </c>
      <c r="B1862" s="39" t="s">
        <v>1355</v>
      </c>
      <c r="C1862" s="39">
        <v>4</v>
      </c>
      <c r="D1862" s="39" t="s">
        <v>2122</v>
      </c>
    </row>
    <row r="1863" spans="1:4" x14ac:dyDescent="0.25">
      <c r="A1863" s="39" t="s">
        <v>5237</v>
      </c>
      <c r="B1863" s="39" t="s">
        <v>2985</v>
      </c>
      <c r="C1863" s="39">
        <v>4</v>
      </c>
      <c r="D1863" s="39" t="s">
        <v>2122</v>
      </c>
    </row>
    <row r="1864" spans="1:4" x14ac:dyDescent="0.25">
      <c r="A1864" s="39" t="s">
        <v>3521</v>
      </c>
      <c r="B1864" s="39" t="s">
        <v>3769</v>
      </c>
      <c r="C1864" s="39">
        <v>4</v>
      </c>
      <c r="D1864" s="39" t="s">
        <v>2122</v>
      </c>
    </row>
    <row r="1865" spans="1:4" x14ac:dyDescent="0.25">
      <c r="A1865" s="39" t="s">
        <v>10925</v>
      </c>
      <c r="B1865" s="39" t="s">
        <v>10926</v>
      </c>
      <c r="C1865" s="39">
        <v>4</v>
      </c>
      <c r="D1865" s="39" t="s">
        <v>2122</v>
      </c>
    </row>
    <row r="1866" spans="1:4" x14ac:dyDescent="0.25">
      <c r="A1866" s="39" t="s">
        <v>10927</v>
      </c>
      <c r="B1866" s="39" t="s">
        <v>3970</v>
      </c>
      <c r="C1866" s="39">
        <v>4</v>
      </c>
      <c r="D1866" s="39" t="s">
        <v>2122</v>
      </c>
    </row>
    <row r="1867" spans="1:4" x14ac:dyDescent="0.25">
      <c r="A1867" s="39" t="s">
        <v>10928</v>
      </c>
      <c r="B1867" s="39" t="s">
        <v>3063</v>
      </c>
      <c r="C1867" s="39">
        <v>4</v>
      </c>
      <c r="D1867" s="39" t="s">
        <v>2122</v>
      </c>
    </row>
    <row r="1868" spans="1:4" x14ac:dyDescent="0.25">
      <c r="A1868" s="39" t="s">
        <v>5238</v>
      </c>
      <c r="B1868" s="39" t="s">
        <v>5239</v>
      </c>
      <c r="C1868" s="39">
        <v>4</v>
      </c>
      <c r="D1868" s="39" t="s">
        <v>2122</v>
      </c>
    </row>
    <row r="1869" spans="1:4" x14ac:dyDescent="0.25">
      <c r="A1869" s="39" t="s">
        <v>5240</v>
      </c>
      <c r="B1869" s="39" t="s">
        <v>4025</v>
      </c>
      <c r="C1869" s="39">
        <v>4</v>
      </c>
      <c r="D1869" s="39" t="s">
        <v>2122</v>
      </c>
    </row>
    <row r="1870" spans="1:4" x14ac:dyDescent="0.25">
      <c r="A1870" s="39" t="s">
        <v>10929</v>
      </c>
      <c r="B1870" s="39" t="s">
        <v>6735</v>
      </c>
      <c r="C1870" s="39">
        <v>4</v>
      </c>
      <c r="D1870" s="39" t="s">
        <v>2122</v>
      </c>
    </row>
    <row r="1871" spans="1:4" x14ac:dyDescent="0.25">
      <c r="A1871" s="39" t="s">
        <v>821</v>
      </c>
      <c r="B1871" s="39" t="s">
        <v>661</v>
      </c>
      <c r="C1871" s="39">
        <v>4</v>
      </c>
      <c r="D1871" s="39" t="s">
        <v>2122</v>
      </c>
    </row>
    <row r="1872" spans="1:4" x14ac:dyDescent="0.25">
      <c r="A1872" s="39" t="s">
        <v>10930</v>
      </c>
      <c r="B1872" s="39" t="s">
        <v>3014</v>
      </c>
      <c r="C1872" s="39">
        <v>4</v>
      </c>
      <c r="D1872" s="39" t="s">
        <v>2122</v>
      </c>
    </row>
    <row r="1873" spans="1:4" x14ac:dyDescent="0.25">
      <c r="A1873" s="39" t="s">
        <v>10931</v>
      </c>
      <c r="B1873" s="39" t="s">
        <v>4468</v>
      </c>
      <c r="C1873" s="39">
        <v>4</v>
      </c>
      <c r="D1873" s="39" t="s">
        <v>2122</v>
      </c>
    </row>
    <row r="1874" spans="1:4" x14ac:dyDescent="0.25">
      <c r="A1874" s="39" t="s">
        <v>3522</v>
      </c>
      <c r="B1874" s="39" t="s">
        <v>3770</v>
      </c>
      <c r="C1874" s="39">
        <v>4</v>
      </c>
      <c r="D1874" s="39" t="s">
        <v>2122</v>
      </c>
    </row>
    <row r="1875" spans="1:4" x14ac:dyDescent="0.25">
      <c r="A1875" s="39" t="s">
        <v>10932</v>
      </c>
      <c r="B1875" s="39" t="s">
        <v>4103</v>
      </c>
      <c r="C1875" s="39">
        <v>4</v>
      </c>
      <c r="D1875" s="39" t="s">
        <v>2122</v>
      </c>
    </row>
    <row r="1876" spans="1:4" x14ac:dyDescent="0.25">
      <c r="A1876" s="39" t="s">
        <v>7267</v>
      </c>
      <c r="B1876" s="39" t="s">
        <v>4121</v>
      </c>
      <c r="C1876" s="39">
        <v>4</v>
      </c>
      <c r="D1876" s="39" t="s">
        <v>2122</v>
      </c>
    </row>
    <row r="1877" spans="1:4" x14ac:dyDescent="0.25">
      <c r="A1877" s="39" t="s">
        <v>1899</v>
      </c>
      <c r="B1877" s="39" t="s">
        <v>1125</v>
      </c>
      <c r="C1877" s="39">
        <v>4</v>
      </c>
      <c r="D1877" s="39" t="s">
        <v>2122</v>
      </c>
    </row>
    <row r="1878" spans="1:4" x14ac:dyDescent="0.25">
      <c r="A1878" s="39" t="s">
        <v>10933</v>
      </c>
      <c r="B1878" s="39" t="s">
        <v>10934</v>
      </c>
      <c r="C1878" s="39">
        <v>4</v>
      </c>
      <c r="D1878" s="39" t="s">
        <v>2122</v>
      </c>
    </row>
    <row r="1879" spans="1:4" x14ac:dyDescent="0.25">
      <c r="A1879" s="39" t="s">
        <v>7268</v>
      </c>
      <c r="B1879" s="39" t="s">
        <v>7269</v>
      </c>
      <c r="C1879" s="39">
        <v>4</v>
      </c>
      <c r="D1879" s="39" t="s">
        <v>2122</v>
      </c>
    </row>
    <row r="1880" spans="1:4" x14ac:dyDescent="0.25">
      <c r="A1880" s="39" t="s">
        <v>3523</v>
      </c>
      <c r="B1880" s="39" t="s">
        <v>3771</v>
      </c>
      <c r="C1880" s="39">
        <v>4</v>
      </c>
      <c r="D1880" s="39" t="s">
        <v>2122</v>
      </c>
    </row>
    <row r="1881" spans="1:4" x14ac:dyDescent="0.25">
      <c r="A1881" s="39" t="s">
        <v>5241</v>
      </c>
      <c r="B1881" s="39" t="s">
        <v>5242</v>
      </c>
      <c r="C1881" s="39">
        <v>4</v>
      </c>
      <c r="D1881" s="39" t="s">
        <v>2122</v>
      </c>
    </row>
    <row r="1882" spans="1:4" x14ac:dyDescent="0.25">
      <c r="A1882" s="39" t="s">
        <v>3231</v>
      </c>
      <c r="B1882" s="39" t="s">
        <v>1752</v>
      </c>
      <c r="C1882" s="39">
        <v>4</v>
      </c>
      <c r="D1882" s="39" t="s">
        <v>2122</v>
      </c>
    </row>
    <row r="1883" spans="1:4" x14ac:dyDescent="0.25">
      <c r="A1883" s="39" t="s">
        <v>10935</v>
      </c>
      <c r="B1883" s="39" t="s">
        <v>10936</v>
      </c>
      <c r="C1883" s="39">
        <v>4</v>
      </c>
      <c r="D1883" s="39" t="s">
        <v>2122</v>
      </c>
    </row>
    <row r="1884" spans="1:4" x14ac:dyDescent="0.25">
      <c r="A1884" s="39" t="s">
        <v>2400</v>
      </c>
      <c r="B1884" s="39" t="s">
        <v>976</v>
      </c>
      <c r="C1884" s="39">
        <v>4</v>
      </c>
      <c r="D1884" s="39" t="s">
        <v>2122</v>
      </c>
    </row>
    <row r="1885" spans="1:4" x14ac:dyDescent="0.25">
      <c r="A1885" s="39" t="s">
        <v>7270</v>
      </c>
      <c r="B1885" s="39" t="s">
        <v>7271</v>
      </c>
      <c r="C1885" s="39">
        <v>4</v>
      </c>
      <c r="D1885" s="39" t="s">
        <v>2122</v>
      </c>
    </row>
    <row r="1886" spans="1:4" x14ac:dyDescent="0.25">
      <c r="A1886" s="39" t="s">
        <v>10937</v>
      </c>
      <c r="B1886" s="39" t="s">
        <v>4046</v>
      </c>
      <c r="C1886" s="39">
        <v>4</v>
      </c>
      <c r="D1886" s="39" t="s">
        <v>2122</v>
      </c>
    </row>
    <row r="1887" spans="1:4" x14ac:dyDescent="0.25">
      <c r="A1887" s="39" t="s">
        <v>10938</v>
      </c>
      <c r="B1887" s="39" t="s">
        <v>6217</v>
      </c>
      <c r="C1887" s="39">
        <v>4</v>
      </c>
      <c r="D1887" s="39" t="s">
        <v>2122</v>
      </c>
    </row>
    <row r="1888" spans="1:4" x14ac:dyDescent="0.25">
      <c r="A1888" s="39" t="s">
        <v>5243</v>
      </c>
      <c r="B1888" s="39" t="s">
        <v>167</v>
      </c>
      <c r="C1888" s="39">
        <v>4</v>
      </c>
      <c r="D1888" s="39" t="s">
        <v>2122</v>
      </c>
    </row>
    <row r="1889" spans="1:4" x14ac:dyDescent="0.25">
      <c r="A1889" s="39" t="s">
        <v>5244</v>
      </c>
      <c r="B1889" s="39" t="s">
        <v>607</v>
      </c>
      <c r="C1889" s="39">
        <v>4</v>
      </c>
      <c r="D1889" s="39" t="s">
        <v>2122</v>
      </c>
    </row>
    <row r="1890" spans="1:4" x14ac:dyDescent="0.25">
      <c r="A1890" s="39" t="s">
        <v>3524</v>
      </c>
      <c r="B1890" s="39" t="s">
        <v>2886</v>
      </c>
      <c r="C1890" s="39">
        <v>4</v>
      </c>
      <c r="D1890" s="39" t="s">
        <v>2122</v>
      </c>
    </row>
    <row r="1891" spans="1:4" x14ac:dyDescent="0.25">
      <c r="A1891" s="39" t="s">
        <v>10939</v>
      </c>
      <c r="B1891" s="39" t="s">
        <v>10940</v>
      </c>
      <c r="C1891" s="39">
        <v>4</v>
      </c>
      <c r="D1891" s="39" t="s">
        <v>2122</v>
      </c>
    </row>
    <row r="1892" spans="1:4" x14ac:dyDescent="0.25">
      <c r="A1892" s="39" t="s">
        <v>608</v>
      </c>
      <c r="B1892" s="39" t="s">
        <v>1969</v>
      </c>
      <c r="C1892" s="39">
        <v>4</v>
      </c>
      <c r="D1892" s="39" t="s">
        <v>2122</v>
      </c>
    </row>
    <row r="1893" spans="1:4" x14ac:dyDescent="0.25">
      <c r="A1893" s="39" t="s">
        <v>3525</v>
      </c>
      <c r="B1893" s="39" t="s">
        <v>3772</v>
      </c>
      <c r="C1893" s="39">
        <v>4</v>
      </c>
      <c r="D1893" s="39" t="s">
        <v>2122</v>
      </c>
    </row>
    <row r="1894" spans="1:4" x14ac:dyDescent="0.25">
      <c r="A1894" s="39" t="s">
        <v>10941</v>
      </c>
      <c r="B1894" s="39" t="s">
        <v>10942</v>
      </c>
      <c r="C1894" s="39">
        <v>4</v>
      </c>
      <c r="D1894" s="39" t="s">
        <v>2122</v>
      </c>
    </row>
    <row r="1895" spans="1:4" x14ac:dyDescent="0.25">
      <c r="A1895" s="39" t="s">
        <v>7272</v>
      </c>
      <c r="B1895" s="39" t="s">
        <v>7273</v>
      </c>
      <c r="C1895" s="39">
        <v>4</v>
      </c>
      <c r="D1895" s="39" t="s">
        <v>2122</v>
      </c>
    </row>
    <row r="1896" spans="1:4" x14ac:dyDescent="0.25">
      <c r="A1896" s="39" t="s">
        <v>7274</v>
      </c>
      <c r="B1896" s="39" t="s">
        <v>7275</v>
      </c>
      <c r="C1896" s="39">
        <v>4</v>
      </c>
      <c r="D1896" s="39" t="s">
        <v>2122</v>
      </c>
    </row>
    <row r="1897" spans="1:4" x14ac:dyDescent="0.25">
      <c r="A1897" s="39" t="s">
        <v>7276</v>
      </c>
      <c r="B1897" s="39" t="s">
        <v>7277</v>
      </c>
      <c r="C1897" s="39">
        <v>4</v>
      </c>
      <c r="D1897" s="39" t="s">
        <v>2122</v>
      </c>
    </row>
    <row r="1898" spans="1:4" x14ac:dyDescent="0.25">
      <c r="A1898" s="39" t="s">
        <v>7278</v>
      </c>
      <c r="B1898" s="39" t="s">
        <v>7279</v>
      </c>
      <c r="C1898" s="39">
        <v>4</v>
      </c>
      <c r="D1898" s="39" t="s">
        <v>2122</v>
      </c>
    </row>
    <row r="1899" spans="1:4" x14ac:dyDescent="0.25">
      <c r="A1899" s="39" t="s">
        <v>5245</v>
      </c>
      <c r="B1899" s="39" t="s">
        <v>5246</v>
      </c>
      <c r="C1899" s="39">
        <v>4</v>
      </c>
      <c r="D1899" s="39" t="s">
        <v>2122</v>
      </c>
    </row>
    <row r="1900" spans="1:4" x14ac:dyDescent="0.25">
      <c r="A1900" s="39" t="s">
        <v>5247</v>
      </c>
      <c r="B1900" s="39" t="s">
        <v>5248</v>
      </c>
      <c r="C1900" s="39">
        <v>4</v>
      </c>
      <c r="D1900" s="39" t="s">
        <v>2122</v>
      </c>
    </row>
    <row r="1901" spans="1:4" x14ac:dyDescent="0.25">
      <c r="A1901" s="39" t="s">
        <v>7280</v>
      </c>
      <c r="B1901" s="39" t="s">
        <v>318</v>
      </c>
      <c r="C1901" s="39">
        <v>4</v>
      </c>
      <c r="D1901" s="39" t="s">
        <v>2122</v>
      </c>
    </row>
    <row r="1902" spans="1:4" x14ac:dyDescent="0.25">
      <c r="A1902" s="39" t="s">
        <v>10943</v>
      </c>
      <c r="B1902" s="39" t="s">
        <v>10944</v>
      </c>
      <c r="C1902" s="39">
        <v>4</v>
      </c>
      <c r="D1902" s="39" t="s">
        <v>2122</v>
      </c>
    </row>
    <row r="1903" spans="1:4" x14ac:dyDescent="0.25">
      <c r="A1903" s="39" t="s">
        <v>10945</v>
      </c>
      <c r="B1903" s="39" t="s">
        <v>2277</v>
      </c>
      <c r="C1903" s="39">
        <v>4</v>
      </c>
      <c r="D1903" s="39" t="s">
        <v>2122</v>
      </c>
    </row>
    <row r="1904" spans="1:4" x14ac:dyDescent="0.25">
      <c r="A1904" s="39" t="s">
        <v>5249</v>
      </c>
      <c r="B1904" s="39" t="s">
        <v>5250</v>
      </c>
      <c r="C1904" s="39">
        <v>4</v>
      </c>
      <c r="D1904" s="39" t="s">
        <v>2122</v>
      </c>
    </row>
    <row r="1905" spans="1:4" x14ac:dyDescent="0.25">
      <c r="A1905" s="39" t="s">
        <v>10946</v>
      </c>
      <c r="B1905" s="39" t="s">
        <v>10947</v>
      </c>
      <c r="C1905" s="39">
        <v>4</v>
      </c>
      <c r="D1905" s="39" t="s">
        <v>2122</v>
      </c>
    </row>
    <row r="1906" spans="1:4" x14ac:dyDescent="0.25">
      <c r="A1906" s="39" t="s">
        <v>7281</v>
      </c>
      <c r="B1906" s="39" t="s">
        <v>3974</v>
      </c>
      <c r="C1906" s="39">
        <v>4</v>
      </c>
      <c r="D1906" s="39" t="s">
        <v>2122</v>
      </c>
    </row>
    <row r="1907" spans="1:4" x14ac:dyDescent="0.25">
      <c r="A1907" s="39" t="s">
        <v>7282</v>
      </c>
      <c r="B1907" s="39" t="s">
        <v>7283</v>
      </c>
      <c r="C1907" s="39">
        <v>4</v>
      </c>
      <c r="D1907" s="39" t="s">
        <v>2122</v>
      </c>
    </row>
    <row r="1908" spans="1:4" x14ac:dyDescent="0.25">
      <c r="A1908" s="39" t="s">
        <v>3526</v>
      </c>
      <c r="B1908" s="39" t="s">
        <v>2887</v>
      </c>
      <c r="C1908" s="39">
        <v>4</v>
      </c>
      <c r="D1908" s="39" t="s">
        <v>2122</v>
      </c>
    </row>
    <row r="1909" spans="1:4" x14ac:dyDescent="0.25">
      <c r="A1909" s="39" t="s">
        <v>7284</v>
      </c>
      <c r="B1909" s="39" t="s">
        <v>7285</v>
      </c>
      <c r="C1909" s="39">
        <v>4</v>
      </c>
      <c r="D1909" s="39" t="s">
        <v>2122</v>
      </c>
    </row>
    <row r="1910" spans="1:4" x14ac:dyDescent="0.25">
      <c r="A1910" s="39" t="s">
        <v>7286</v>
      </c>
      <c r="B1910" s="39" t="s">
        <v>7287</v>
      </c>
      <c r="C1910" s="39">
        <v>4</v>
      </c>
      <c r="D1910" s="39" t="s">
        <v>2122</v>
      </c>
    </row>
    <row r="1911" spans="1:4" x14ac:dyDescent="0.25">
      <c r="A1911" s="39" t="s">
        <v>7288</v>
      </c>
      <c r="B1911" s="39" t="s">
        <v>7289</v>
      </c>
      <c r="C1911" s="39">
        <v>4</v>
      </c>
      <c r="D1911" s="39" t="s">
        <v>2122</v>
      </c>
    </row>
    <row r="1912" spans="1:4" x14ac:dyDescent="0.25">
      <c r="A1912" s="39" t="s">
        <v>3527</v>
      </c>
      <c r="B1912" s="39" t="s">
        <v>3773</v>
      </c>
      <c r="C1912" s="39">
        <v>4</v>
      </c>
      <c r="D1912" s="39" t="s">
        <v>2122</v>
      </c>
    </row>
    <row r="1913" spans="1:4" x14ac:dyDescent="0.25">
      <c r="A1913" s="39" t="s">
        <v>5251</v>
      </c>
      <c r="B1913" s="39" t="s">
        <v>2603</v>
      </c>
      <c r="C1913" s="39">
        <v>4</v>
      </c>
      <c r="D1913" s="39" t="s">
        <v>2122</v>
      </c>
    </row>
    <row r="1914" spans="1:4" x14ac:dyDescent="0.25">
      <c r="A1914" s="39" t="s">
        <v>7290</v>
      </c>
      <c r="B1914" s="39" t="s">
        <v>7291</v>
      </c>
      <c r="C1914" s="39">
        <v>4</v>
      </c>
      <c r="D1914" s="39" t="s">
        <v>2122</v>
      </c>
    </row>
    <row r="1915" spans="1:4" x14ac:dyDescent="0.25">
      <c r="A1915" s="39" t="s">
        <v>5252</v>
      </c>
      <c r="B1915" s="39" t="s">
        <v>2971</v>
      </c>
      <c r="C1915" s="39">
        <v>4</v>
      </c>
      <c r="D1915" s="39" t="s">
        <v>2122</v>
      </c>
    </row>
    <row r="1916" spans="1:4" x14ac:dyDescent="0.25">
      <c r="A1916" s="39" t="s">
        <v>3528</v>
      </c>
      <c r="B1916" s="39" t="s">
        <v>3774</v>
      </c>
      <c r="C1916" s="39">
        <v>4</v>
      </c>
      <c r="D1916" s="39" t="s">
        <v>2122</v>
      </c>
    </row>
    <row r="1917" spans="1:4" x14ac:dyDescent="0.25">
      <c r="A1917" s="39" t="s">
        <v>1153</v>
      </c>
      <c r="B1917" s="39" t="s">
        <v>1346</v>
      </c>
      <c r="C1917" s="39">
        <v>4</v>
      </c>
      <c r="D1917" s="39" t="s">
        <v>2122</v>
      </c>
    </row>
    <row r="1918" spans="1:4" x14ac:dyDescent="0.25">
      <c r="A1918" s="39" t="s">
        <v>1557</v>
      </c>
      <c r="B1918" s="39" t="s">
        <v>1430</v>
      </c>
      <c r="C1918" s="39">
        <v>4</v>
      </c>
      <c r="D1918" s="39" t="s">
        <v>2122</v>
      </c>
    </row>
    <row r="1919" spans="1:4" x14ac:dyDescent="0.25">
      <c r="A1919" s="39" t="s">
        <v>10948</v>
      </c>
      <c r="B1919" s="39" t="s">
        <v>10949</v>
      </c>
      <c r="C1919" s="39">
        <v>4</v>
      </c>
      <c r="D1919" s="39" t="s">
        <v>2122</v>
      </c>
    </row>
    <row r="1920" spans="1:4" x14ac:dyDescent="0.25">
      <c r="A1920" s="39" t="s">
        <v>10950</v>
      </c>
      <c r="B1920" s="39" t="s">
        <v>10951</v>
      </c>
      <c r="C1920" s="39">
        <v>4</v>
      </c>
      <c r="D1920" s="39" t="s">
        <v>2122</v>
      </c>
    </row>
    <row r="1921" spans="1:4" x14ac:dyDescent="0.25">
      <c r="A1921" s="39" t="s">
        <v>10952</v>
      </c>
      <c r="B1921" s="39" t="s">
        <v>10953</v>
      </c>
      <c r="C1921" s="39">
        <v>4</v>
      </c>
      <c r="D1921" s="39" t="s">
        <v>2122</v>
      </c>
    </row>
    <row r="1922" spans="1:4" x14ac:dyDescent="0.25">
      <c r="A1922" s="39" t="s">
        <v>10954</v>
      </c>
      <c r="B1922" s="39" t="s">
        <v>4431</v>
      </c>
      <c r="C1922" s="39">
        <v>4</v>
      </c>
      <c r="D1922" s="39" t="s">
        <v>2122</v>
      </c>
    </row>
    <row r="1923" spans="1:4" x14ac:dyDescent="0.25">
      <c r="A1923" s="39" t="s">
        <v>5253</v>
      </c>
      <c r="B1923" s="39" t="s">
        <v>1589</v>
      </c>
      <c r="C1923" s="39">
        <v>4</v>
      </c>
      <c r="D1923" s="39" t="s">
        <v>2122</v>
      </c>
    </row>
    <row r="1924" spans="1:4" x14ac:dyDescent="0.25">
      <c r="A1924" s="39" t="s">
        <v>7292</v>
      </c>
      <c r="B1924" s="39" t="s">
        <v>4142</v>
      </c>
      <c r="C1924" s="39">
        <v>4</v>
      </c>
      <c r="D1924" s="39" t="s">
        <v>2122</v>
      </c>
    </row>
    <row r="1925" spans="1:4" x14ac:dyDescent="0.25">
      <c r="A1925" s="39" t="s">
        <v>10955</v>
      </c>
      <c r="B1925" s="39" t="s">
        <v>72</v>
      </c>
      <c r="C1925" s="39">
        <v>4</v>
      </c>
      <c r="D1925" s="39" t="s">
        <v>2122</v>
      </c>
    </row>
    <row r="1926" spans="1:4" x14ac:dyDescent="0.25">
      <c r="A1926" s="39" t="s">
        <v>10956</v>
      </c>
      <c r="B1926" s="39" t="s">
        <v>4194</v>
      </c>
      <c r="C1926" s="39">
        <v>4</v>
      </c>
      <c r="D1926" s="39" t="s">
        <v>2122</v>
      </c>
    </row>
    <row r="1927" spans="1:4" x14ac:dyDescent="0.25">
      <c r="A1927" s="39" t="s">
        <v>10957</v>
      </c>
      <c r="B1927" s="39" t="s">
        <v>5936</v>
      </c>
      <c r="C1927" s="39">
        <v>4</v>
      </c>
      <c r="D1927" s="39" t="s">
        <v>2122</v>
      </c>
    </row>
    <row r="1928" spans="1:4" x14ac:dyDescent="0.25">
      <c r="A1928" s="39" t="s">
        <v>7293</v>
      </c>
      <c r="B1928" s="39" t="s">
        <v>7294</v>
      </c>
      <c r="C1928" s="39">
        <v>4</v>
      </c>
      <c r="D1928" s="39" t="s">
        <v>2122</v>
      </c>
    </row>
    <row r="1929" spans="1:4" x14ac:dyDescent="0.25">
      <c r="A1929" s="39" t="s">
        <v>5254</v>
      </c>
      <c r="B1929" s="39" t="s">
        <v>1335</v>
      </c>
      <c r="C1929" s="39">
        <v>4</v>
      </c>
      <c r="D1929" s="39" t="s">
        <v>2122</v>
      </c>
    </row>
    <row r="1930" spans="1:4" x14ac:dyDescent="0.25">
      <c r="A1930" s="39" t="s">
        <v>5255</v>
      </c>
      <c r="B1930" s="39" t="s">
        <v>5256</v>
      </c>
      <c r="C1930" s="39">
        <v>4</v>
      </c>
      <c r="D1930" s="39" t="s">
        <v>2122</v>
      </c>
    </row>
    <row r="1931" spans="1:4" x14ac:dyDescent="0.25">
      <c r="A1931" s="39" t="s">
        <v>3530</v>
      </c>
      <c r="B1931" s="39" t="s">
        <v>3776</v>
      </c>
      <c r="C1931" s="39">
        <v>4</v>
      </c>
      <c r="D1931" s="39" t="s">
        <v>2122</v>
      </c>
    </row>
    <row r="1932" spans="1:4" x14ac:dyDescent="0.25">
      <c r="A1932" s="39" t="s">
        <v>7295</v>
      </c>
      <c r="B1932" s="39" t="s">
        <v>7296</v>
      </c>
      <c r="C1932" s="39">
        <v>4</v>
      </c>
      <c r="D1932" s="39" t="s">
        <v>2122</v>
      </c>
    </row>
    <row r="1933" spans="1:4" x14ac:dyDescent="0.25">
      <c r="A1933" s="39" t="s">
        <v>3232</v>
      </c>
      <c r="B1933" s="39" t="s">
        <v>2017</v>
      </c>
      <c r="C1933" s="39">
        <v>4</v>
      </c>
      <c r="D1933" s="39" t="s">
        <v>2122</v>
      </c>
    </row>
    <row r="1934" spans="1:4" x14ac:dyDescent="0.25">
      <c r="A1934" s="39" t="s">
        <v>5257</v>
      </c>
      <c r="B1934" s="39" t="s">
        <v>5258</v>
      </c>
      <c r="C1934" s="39">
        <v>4</v>
      </c>
      <c r="D1934" s="39" t="s">
        <v>2122</v>
      </c>
    </row>
    <row r="1935" spans="1:4" x14ac:dyDescent="0.25">
      <c r="A1935" s="39" t="s">
        <v>5259</v>
      </c>
      <c r="B1935" s="39" t="s">
        <v>2403</v>
      </c>
      <c r="C1935" s="39">
        <v>4</v>
      </c>
      <c r="D1935" s="39" t="s">
        <v>2122</v>
      </c>
    </row>
    <row r="1936" spans="1:4" x14ac:dyDescent="0.25">
      <c r="A1936" s="39" t="s">
        <v>1901</v>
      </c>
      <c r="B1936" s="39" t="s">
        <v>99</v>
      </c>
      <c r="C1936" s="39">
        <v>4</v>
      </c>
      <c r="D1936" s="39" t="s">
        <v>2122</v>
      </c>
    </row>
    <row r="1937" spans="1:4" x14ac:dyDescent="0.25">
      <c r="A1937" s="39" t="s">
        <v>1902</v>
      </c>
      <c r="B1937" s="39" t="s">
        <v>366</v>
      </c>
      <c r="C1937" s="39">
        <v>4</v>
      </c>
      <c r="D1937" s="39" t="s">
        <v>2122</v>
      </c>
    </row>
    <row r="1938" spans="1:4" x14ac:dyDescent="0.25">
      <c r="A1938" s="39" t="s">
        <v>5260</v>
      </c>
      <c r="B1938" s="39" t="s">
        <v>3980</v>
      </c>
      <c r="C1938" s="39">
        <v>4</v>
      </c>
      <c r="D1938" s="39" t="s">
        <v>2122</v>
      </c>
    </row>
    <row r="1939" spans="1:4" x14ac:dyDescent="0.25">
      <c r="A1939" s="39" t="s">
        <v>10958</v>
      </c>
      <c r="B1939" s="39" t="s">
        <v>1854</v>
      </c>
      <c r="C1939" s="39">
        <v>4</v>
      </c>
      <c r="D1939" s="39" t="s">
        <v>2122</v>
      </c>
    </row>
    <row r="1940" spans="1:4" x14ac:dyDescent="0.25">
      <c r="A1940" s="39" t="s">
        <v>5261</v>
      </c>
      <c r="B1940" s="39" t="s">
        <v>5262</v>
      </c>
      <c r="C1940" s="39">
        <v>4</v>
      </c>
      <c r="D1940" s="39" t="s">
        <v>2122</v>
      </c>
    </row>
    <row r="1941" spans="1:4" x14ac:dyDescent="0.25">
      <c r="A1941" s="39" t="s">
        <v>5263</v>
      </c>
      <c r="B1941" s="39" t="s">
        <v>2964</v>
      </c>
      <c r="C1941" s="39">
        <v>4</v>
      </c>
      <c r="D1941" s="39" t="s">
        <v>2122</v>
      </c>
    </row>
    <row r="1942" spans="1:4" x14ac:dyDescent="0.25">
      <c r="A1942" s="39" t="s">
        <v>7297</v>
      </c>
      <c r="B1942" s="39" t="s">
        <v>4078</v>
      </c>
      <c r="C1942" s="39">
        <v>4</v>
      </c>
      <c r="D1942" s="39" t="s">
        <v>2122</v>
      </c>
    </row>
    <row r="1943" spans="1:4" x14ac:dyDescent="0.25">
      <c r="A1943" s="39" t="s">
        <v>5264</v>
      </c>
      <c r="B1943" s="39" t="s">
        <v>5265</v>
      </c>
      <c r="C1943" s="39">
        <v>4</v>
      </c>
      <c r="D1943" s="39" t="s">
        <v>2122</v>
      </c>
    </row>
    <row r="1944" spans="1:4" x14ac:dyDescent="0.25">
      <c r="A1944" s="39" t="s">
        <v>10959</v>
      </c>
      <c r="B1944" s="39" t="s">
        <v>5950</v>
      </c>
      <c r="C1944" s="39">
        <v>4</v>
      </c>
      <c r="D1944" s="39" t="s">
        <v>2122</v>
      </c>
    </row>
    <row r="1945" spans="1:4" x14ac:dyDescent="0.25">
      <c r="A1945" s="39" t="s">
        <v>10960</v>
      </c>
      <c r="B1945" s="39" t="s">
        <v>3987</v>
      </c>
      <c r="C1945" s="39">
        <v>4</v>
      </c>
      <c r="D1945" s="39" t="s">
        <v>2122</v>
      </c>
    </row>
    <row r="1946" spans="1:4" x14ac:dyDescent="0.25">
      <c r="A1946" s="39" t="s">
        <v>5266</v>
      </c>
      <c r="B1946" s="39" t="s">
        <v>2954</v>
      </c>
      <c r="C1946" s="39">
        <v>4</v>
      </c>
      <c r="D1946" s="39" t="s">
        <v>2122</v>
      </c>
    </row>
    <row r="1947" spans="1:4" x14ac:dyDescent="0.25">
      <c r="A1947" s="39" t="s">
        <v>10961</v>
      </c>
      <c r="B1947" s="39" t="s">
        <v>10962</v>
      </c>
      <c r="C1947" s="39">
        <v>4</v>
      </c>
      <c r="D1947" s="39" t="s">
        <v>2122</v>
      </c>
    </row>
    <row r="1948" spans="1:4" x14ac:dyDescent="0.25">
      <c r="A1948" s="39" t="s">
        <v>5267</v>
      </c>
      <c r="B1948" s="39" t="s">
        <v>4185</v>
      </c>
      <c r="C1948" s="39">
        <v>4</v>
      </c>
      <c r="D1948" s="39" t="s">
        <v>2122</v>
      </c>
    </row>
    <row r="1949" spans="1:4" x14ac:dyDescent="0.25">
      <c r="A1949" s="39" t="s">
        <v>5268</v>
      </c>
      <c r="B1949" s="39" t="s">
        <v>4026</v>
      </c>
      <c r="C1949" s="39">
        <v>4</v>
      </c>
      <c r="D1949" s="39" t="s">
        <v>2122</v>
      </c>
    </row>
    <row r="1950" spans="1:4" x14ac:dyDescent="0.25">
      <c r="A1950" s="39" t="s">
        <v>1903</v>
      </c>
      <c r="B1950" s="39" t="s">
        <v>1391</v>
      </c>
      <c r="C1950" s="39">
        <v>4</v>
      </c>
      <c r="D1950" s="39" t="s">
        <v>2122</v>
      </c>
    </row>
    <row r="1951" spans="1:4" x14ac:dyDescent="0.25">
      <c r="A1951" s="39" t="s">
        <v>3531</v>
      </c>
      <c r="B1951" s="39" t="s">
        <v>3777</v>
      </c>
      <c r="C1951" s="39">
        <v>4</v>
      </c>
      <c r="D1951" s="39" t="s">
        <v>2122</v>
      </c>
    </row>
    <row r="1952" spans="1:4" x14ac:dyDescent="0.25">
      <c r="A1952" s="39" t="s">
        <v>7298</v>
      </c>
      <c r="B1952" s="39" t="s">
        <v>7299</v>
      </c>
      <c r="C1952" s="39">
        <v>4</v>
      </c>
      <c r="D1952" s="39" t="s">
        <v>2122</v>
      </c>
    </row>
    <row r="1953" spans="1:4" x14ac:dyDescent="0.25">
      <c r="A1953" s="39" t="s">
        <v>2388</v>
      </c>
      <c r="B1953" s="39" t="s">
        <v>2405</v>
      </c>
      <c r="C1953" s="39">
        <v>4</v>
      </c>
      <c r="D1953" s="39" t="s">
        <v>2122</v>
      </c>
    </row>
    <row r="1954" spans="1:4" x14ac:dyDescent="0.25">
      <c r="A1954" s="39" t="s">
        <v>2250</v>
      </c>
      <c r="B1954" s="39" t="s">
        <v>2635</v>
      </c>
      <c r="C1954" s="39">
        <v>4</v>
      </c>
      <c r="D1954" s="39" t="s">
        <v>2122</v>
      </c>
    </row>
    <row r="1955" spans="1:4" x14ac:dyDescent="0.25">
      <c r="A1955" s="39" t="s">
        <v>10963</v>
      </c>
      <c r="B1955" s="39" t="s">
        <v>5639</v>
      </c>
      <c r="C1955" s="39">
        <v>4</v>
      </c>
      <c r="D1955" s="39" t="s">
        <v>2122</v>
      </c>
    </row>
    <row r="1956" spans="1:4" x14ac:dyDescent="0.25">
      <c r="A1956" s="39" t="s">
        <v>10964</v>
      </c>
      <c r="B1956" s="39" t="s">
        <v>10965</v>
      </c>
      <c r="C1956" s="39">
        <v>4</v>
      </c>
      <c r="D1956" s="39" t="s">
        <v>2122</v>
      </c>
    </row>
    <row r="1957" spans="1:4" x14ac:dyDescent="0.25">
      <c r="A1957" s="39" t="s">
        <v>7300</v>
      </c>
      <c r="B1957" s="39" t="s">
        <v>3034</v>
      </c>
      <c r="C1957" s="39">
        <v>4</v>
      </c>
      <c r="D1957" s="39" t="s">
        <v>2122</v>
      </c>
    </row>
    <row r="1958" spans="1:4" x14ac:dyDescent="0.25">
      <c r="A1958" s="39" t="s">
        <v>7301</v>
      </c>
      <c r="B1958" s="39" t="s">
        <v>7302</v>
      </c>
      <c r="C1958" s="39">
        <v>4</v>
      </c>
      <c r="D1958" s="39" t="s">
        <v>2122</v>
      </c>
    </row>
    <row r="1959" spans="1:4" x14ac:dyDescent="0.25">
      <c r="A1959" s="39" t="s">
        <v>7303</v>
      </c>
      <c r="B1959" s="39" t="s">
        <v>7304</v>
      </c>
      <c r="C1959" s="39">
        <v>4</v>
      </c>
      <c r="D1959" s="39" t="s">
        <v>2122</v>
      </c>
    </row>
    <row r="1960" spans="1:4" x14ac:dyDescent="0.25">
      <c r="A1960" s="39" t="s">
        <v>5269</v>
      </c>
      <c r="B1960" s="39" t="s">
        <v>5270</v>
      </c>
      <c r="C1960" s="39">
        <v>4</v>
      </c>
      <c r="D1960" s="39" t="s">
        <v>2122</v>
      </c>
    </row>
    <row r="1961" spans="1:4" x14ac:dyDescent="0.25">
      <c r="A1961" s="39" t="s">
        <v>2747</v>
      </c>
      <c r="B1961" s="39" t="s">
        <v>2748</v>
      </c>
      <c r="C1961" s="39">
        <v>4</v>
      </c>
      <c r="D1961" s="39" t="s">
        <v>2122</v>
      </c>
    </row>
    <row r="1962" spans="1:4" x14ac:dyDescent="0.25">
      <c r="A1962" s="39" t="s">
        <v>3234</v>
      </c>
      <c r="B1962" s="39" t="s">
        <v>495</v>
      </c>
      <c r="C1962" s="39">
        <v>4</v>
      </c>
      <c r="D1962" s="39" t="s">
        <v>2122</v>
      </c>
    </row>
    <row r="1963" spans="1:4" x14ac:dyDescent="0.25">
      <c r="A1963" s="39" t="s">
        <v>2511</v>
      </c>
      <c r="B1963" s="39" t="s">
        <v>2148</v>
      </c>
      <c r="C1963" s="39">
        <v>4</v>
      </c>
      <c r="D1963" s="39" t="s">
        <v>2122</v>
      </c>
    </row>
    <row r="1964" spans="1:4" x14ac:dyDescent="0.25">
      <c r="A1964" s="39" t="s">
        <v>3532</v>
      </c>
      <c r="B1964" s="39" t="s">
        <v>3778</v>
      </c>
      <c r="C1964" s="39">
        <v>4</v>
      </c>
      <c r="D1964" s="39" t="s">
        <v>2122</v>
      </c>
    </row>
    <row r="1965" spans="1:4" x14ac:dyDescent="0.25">
      <c r="A1965" s="39" t="s">
        <v>10966</v>
      </c>
      <c r="B1965" s="39" t="s">
        <v>5633</v>
      </c>
      <c r="C1965" s="39">
        <v>4</v>
      </c>
      <c r="D1965" s="39" t="s">
        <v>2122</v>
      </c>
    </row>
    <row r="1966" spans="1:4" x14ac:dyDescent="0.25">
      <c r="A1966" s="39" t="s">
        <v>10967</v>
      </c>
      <c r="B1966" s="39" t="s">
        <v>6206</v>
      </c>
      <c r="C1966" s="39">
        <v>4</v>
      </c>
      <c r="D1966" s="39" t="s">
        <v>2122</v>
      </c>
    </row>
    <row r="1967" spans="1:4" x14ac:dyDescent="0.25">
      <c r="A1967" s="39" t="s">
        <v>10968</v>
      </c>
      <c r="B1967" s="39" t="s">
        <v>6216</v>
      </c>
      <c r="C1967" s="39">
        <v>4</v>
      </c>
      <c r="D1967" s="39" t="s">
        <v>2122</v>
      </c>
    </row>
    <row r="1968" spans="1:4" x14ac:dyDescent="0.25">
      <c r="A1968" s="39" t="s">
        <v>1682</v>
      </c>
      <c r="B1968" s="39" t="s">
        <v>439</v>
      </c>
      <c r="C1968" s="39">
        <v>4</v>
      </c>
      <c r="D1968" s="39" t="s">
        <v>2122</v>
      </c>
    </row>
    <row r="1969" spans="1:4" x14ac:dyDescent="0.25">
      <c r="A1969" s="39" t="s">
        <v>5271</v>
      </c>
      <c r="B1969" s="39" t="s">
        <v>5272</v>
      </c>
      <c r="C1969" s="39">
        <v>4</v>
      </c>
      <c r="D1969" s="39" t="s">
        <v>2122</v>
      </c>
    </row>
    <row r="1970" spans="1:4" x14ac:dyDescent="0.25">
      <c r="A1970" s="39" t="s">
        <v>7305</v>
      </c>
      <c r="B1970" s="39" t="s">
        <v>4714</v>
      </c>
      <c r="C1970" s="39">
        <v>4</v>
      </c>
      <c r="D1970" s="39" t="s">
        <v>2122</v>
      </c>
    </row>
    <row r="1971" spans="1:4" x14ac:dyDescent="0.25">
      <c r="A1971" s="39" t="s">
        <v>5273</v>
      </c>
      <c r="B1971" s="39" t="s">
        <v>5274</v>
      </c>
      <c r="C1971" s="39">
        <v>4</v>
      </c>
      <c r="D1971" s="39" t="s">
        <v>2122</v>
      </c>
    </row>
    <row r="1972" spans="1:4" x14ac:dyDescent="0.25">
      <c r="A1972" s="39" t="s">
        <v>5275</v>
      </c>
      <c r="B1972" s="39" t="s">
        <v>5276</v>
      </c>
      <c r="C1972" s="39">
        <v>4</v>
      </c>
      <c r="D1972" s="39" t="s">
        <v>2122</v>
      </c>
    </row>
    <row r="1973" spans="1:4" x14ac:dyDescent="0.25">
      <c r="A1973" s="39" t="s">
        <v>10969</v>
      </c>
      <c r="B1973" s="39" t="s">
        <v>10970</v>
      </c>
      <c r="C1973" s="39">
        <v>4</v>
      </c>
      <c r="D1973" s="39" t="s">
        <v>2122</v>
      </c>
    </row>
    <row r="1974" spans="1:4" x14ac:dyDescent="0.25">
      <c r="A1974" s="39" t="s">
        <v>7306</v>
      </c>
      <c r="B1974" s="39" t="s">
        <v>4190</v>
      </c>
      <c r="C1974" s="39">
        <v>4</v>
      </c>
      <c r="D1974" s="39" t="s">
        <v>2122</v>
      </c>
    </row>
    <row r="1975" spans="1:4" x14ac:dyDescent="0.25">
      <c r="A1975" s="39" t="s">
        <v>721</v>
      </c>
      <c r="B1975" s="39" t="s">
        <v>25</v>
      </c>
      <c r="C1975" s="39">
        <v>4</v>
      </c>
      <c r="D1975" s="39" t="s">
        <v>2122</v>
      </c>
    </row>
    <row r="1976" spans="1:4" x14ac:dyDescent="0.25">
      <c r="A1976" s="39" t="s">
        <v>812</v>
      </c>
      <c r="B1976" s="39" t="s">
        <v>406</v>
      </c>
      <c r="C1976" s="39">
        <v>4</v>
      </c>
      <c r="D1976" s="39" t="s">
        <v>2122</v>
      </c>
    </row>
    <row r="1977" spans="1:4" x14ac:dyDescent="0.25">
      <c r="A1977" s="39" t="s">
        <v>10971</v>
      </c>
      <c r="B1977" s="39" t="s">
        <v>3965</v>
      </c>
      <c r="C1977" s="39">
        <v>4</v>
      </c>
      <c r="D1977" s="39" t="s">
        <v>2122</v>
      </c>
    </row>
    <row r="1978" spans="1:4" x14ac:dyDescent="0.25">
      <c r="A1978" s="39" t="s">
        <v>2558</v>
      </c>
      <c r="B1978" s="39" t="s">
        <v>2644</v>
      </c>
      <c r="C1978" s="39">
        <v>4</v>
      </c>
      <c r="D1978" s="39" t="s">
        <v>2122</v>
      </c>
    </row>
    <row r="1979" spans="1:4" x14ac:dyDescent="0.25">
      <c r="A1979" s="39" t="s">
        <v>10972</v>
      </c>
      <c r="B1979" s="39" t="s">
        <v>3913</v>
      </c>
      <c r="C1979" s="39">
        <v>4</v>
      </c>
      <c r="D1979" s="39" t="s">
        <v>2122</v>
      </c>
    </row>
    <row r="1980" spans="1:4" x14ac:dyDescent="0.25">
      <c r="A1980" s="39" t="s">
        <v>7307</v>
      </c>
      <c r="B1980" s="39" t="s">
        <v>7308</v>
      </c>
      <c r="C1980" s="39">
        <v>4</v>
      </c>
      <c r="D1980" s="39" t="s">
        <v>2122</v>
      </c>
    </row>
    <row r="1981" spans="1:4" x14ac:dyDescent="0.25">
      <c r="A1981" s="39" t="s">
        <v>10973</v>
      </c>
      <c r="B1981" s="39" t="s">
        <v>2778</v>
      </c>
      <c r="C1981" s="39">
        <v>4</v>
      </c>
      <c r="D1981" s="39" t="s">
        <v>2122</v>
      </c>
    </row>
    <row r="1982" spans="1:4" x14ac:dyDescent="0.25">
      <c r="A1982" s="39" t="s">
        <v>5277</v>
      </c>
      <c r="B1982" s="39" t="s">
        <v>3037</v>
      </c>
      <c r="C1982" s="39">
        <v>4</v>
      </c>
      <c r="D1982" s="39" t="s">
        <v>2122</v>
      </c>
    </row>
    <row r="1983" spans="1:4" x14ac:dyDescent="0.25">
      <c r="A1983" s="39" t="s">
        <v>10974</v>
      </c>
      <c r="B1983" s="39" t="s">
        <v>10975</v>
      </c>
      <c r="C1983" s="39">
        <v>4</v>
      </c>
      <c r="D1983" s="39" t="s">
        <v>2122</v>
      </c>
    </row>
    <row r="1984" spans="1:4" x14ac:dyDescent="0.25">
      <c r="A1984" s="39" t="s">
        <v>3235</v>
      </c>
      <c r="B1984" s="39" t="s">
        <v>2086</v>
      </c>
      <c r="C1984" s="39">
        <v>4</v>
      </c>
      <c r="D1984" s="39" t="s">
        <v>2122</v>
      </c>
    </row>
    <row r="1985" spans="1:4" x14ac:dyDescent="0.25">
      <c r="A1985" s="39" t="s">
        <v>10976</v>
      </c>
      <c r="B1985" s="39" t="s">
        <v>10977</v>
      </c>
      <c r="C1985" s="39">
        <v>4</v>
      </c>
      <c r="D1985" s="39" t="s">
        <v>2122</v>
      </c>
    </row>
    <row r="1986" spans="1:4" x14ac:dyDescent="0.25">
      <c r="A1986" s="39" t="s">
        <v>10978</v>
      </c>
      <c r="B1986" s="39" t="s">
        <v>4357</v>
      </c>
      <c r="C1986" s="39">
        <v>4</v>
      </c>
      <c r="D1986" s="39" t="s">
        <v>2122</v>
      </c>
    </row>
    <row r="1987" spans="1:4" x14ac:dyDescent="0.25">
      <c r="A1987" s="39" t="s">
        <v>7309</v>
      </c>
      <c r="B1987" s="39" t="s">
        <v>7310</v>
      </c>
      <c r="C1987" s="39">
        <v>4</v>
      </c>
      <c r="D1987" s="39" t="s">
        <v>2122</v>
      </c>
    </row>
    <row r="1988" spans="1:4" x14ac:dyDescent="0.25">
      <c r="A1988" s="39" t="s">
        <v>5278</v>
      </c>
      <c r="B1988" s="39" t="s">
        <v>2527</v>
      </c>
      <c r="C1988" s="39">
        <v>4</v>
      </c>
      <c r="D1988" s="39" t="s">
        <v>2122</v>
      </c>
    </row>
    <row r="1989" spans="1:4" x14ac:dyDescent="0.25">
      <c r="A1989" s="39" t="s">
        <v>10979</v>
      </c>
      <c r="B1989" s="39" t="s">
        <v>4207</v>
      </c>
      <c r="C1989" s="39">
        <v>4</v>
      </c>
      <c r="D1989" s="39" t="s">
        <v>2122</v>
      </c>
    </row>
    <row r="1990" spans="1:4" x14ac:dyDescent="0.25">
      <c r="A1990" s="39" t="s">
        <v>1906</v>
      </c>
      <c r="B1990" s="39" t="s">
        <v>183</v>
      </c>
      <c r="C1990" s="39">
        <v>4</v>
      </c>
      <c r="D1990" s="39" t="s">
        <v>2122</v>
      </c>
    </row>
    <row r="1991" spans="1:4" x14ac:dyDescent="0.25">
      <c r="A1991" s="39" t="s">
        <v>3236</v>
      </c>
      <c r="B1991" s="39" t="s">
        <v>814</v>
      </c>
      <c r="C1991" s="39">
        <v>4</v>
      </c>
      <c r="D1991" s="39" t="s">
        <v>2122</v>
      </c>
    </row>
    <row r="1992" spans="1:4" x14ac:dyDescent="0.25">
      <c r="A1992" s="39" t="s">
        <v>483</v>
      </c>
      <c r="B1992" s="39" t="s">
        <v>13</v>
      </c>
      <c r="C1992" s="39">
        <v>4</v>
      </c>
      <c r="D1992" s="39" t="s">
        <v>2122</v>
      </c>
    </row>
    <row r="1993" spans="1:4" x14ac:dyDescent="0.25">
      <c r="A1993" s="39" t="s">
        <v>5281</v>
      </c>
      <c r="B1993" s="39" t="s">
        <v>5282</v>
      </c>
      <c r="C1993" s="39">
        <v>4</v>
      </c>
      <c r="D1993" s="39" t="s">
        <v>2122</v>
      </c>
    </row>
    <row r="1994" spans="1:4" x14ac:dyDescent="0.25">
      <c r="A1994" s="39" t="s">
        <v>7311</v>
      </c>
      <c r="B1994" s="39" t="s">
        <v>7312</v>
      </c>
      <c r="C1994" s="39">
        <v>4</v>
      </c>
      <c r="D1994" s="39" t="s">
        <v>2122</v>
      </c>
    </row>
    <row r="1995" spans="1:4" x14ac:dyDescent="0.25">
      <c r="A1995" s="39" t="s">
        <v>2236</v>
      </c>
      <c r="B1995" s="39" t="s">
        <v>2237</v>
      </c>
      <c r="C1995" s="39">
        <v>4</v>
      </c>
      <c r="D1995" s="39" t="s">
        <v>2122</v>
      </c>
    </row>
    <row r="1996" spans="1:4" x14ac:dyDescent="0.25">
      <c r="A1996" s="39" t="s">
        <v>5283</v>
      </c>
      <c r="B1996" s="39" t="s">
        <v>3097</v>
      </c>
      <c r="C1996" s="39">
        <v>4</v>
      </c>
      <c r="D1996" s="39" t="s">
        <v>2122</v>
      </c>
    </row>
    <row r="1997" spans="1:4" x14ac:dyDescent="0.25">
      <c r="A1997" s="39" t="s">
        <v>10980</v>
      </c>
      <c r="B1997" s="39" t="s">
        <v>10981</v>
      </c>
      <c r="C1997" s="39">
        <v>4</v>
      </c>
      <c r="D1997" s="39" t="s">
        <v>2122</v>
      </c>
    </row>
    <row r="1998" spans="1:4" x14ac:dyDescent="0.25">
      <c r="A1998" s="39" t="s">
        <v>10982</v>
      </c>
      <c r="B1998" s="39" t="s">
        <v>2554</v>
      </c>
      <c r="C1998" s="39">
        <v>4</v>
      </c>
      <c r="D1998" s="39" t="s">
        <v>2122</v>
      </c>
    </row>
    <row r="1999" spans="1:4" x14ac:dyDescent="0.25">
      <c r="A1999" s="39" t="s">
        <v>2522</v>
      </c>
      <c r="B1999" s="39" t="s">
        <v>1830</v>
      </c>
      <c r="C1999" s="39">
        <v>4</v>
      </c>
      <c r="D1999" s="39" t="s">
        <v>2122</v>
      </c>
    </row>
    <row r="2000" spans="1:4" x14ac:dyDescent="0.25">
      <c r="A2000" s="39" t="s">
        <v>5284</v>
      </c>
      <c r="B2000" s="39" t="s">
        <v>5285</v>
      </c>
      <c r="C2000" s="39">
        <v>4</v>
      </c>
      <c r="D2000" s="39" t="s">
        <v>2122</v>
      </c>
    </row>
    <row r="2001" spans="1:4" x14ac:dyDescent="0.25">
      <c r="A2001" s="39" t="s">
        <v>10983</v>
      </c>
      <c r="B2001" s="39" t="s">
        <v>4519</v>
      </c>
      <c r="C2001" s="39">
        <v>4</v>
      </c>
      <c r="D2001" s="39" t="s">
        <v>2122</v>
      </c>
    </row>
    <row r="2002" spans="1:4" x14ac:dyDescent="0.25">
      <c r="A2002" s="39" t="s">
        <v>5286</v>
      </c>
      <c r="B2002" s="39" t="s">
        <v>731</v>
      </c>
      <c r="C2002" s="39">
        <v>4</v>
      </c>
      <c r="D2002" s="39" t="s">
        <v>2122</v>
      </c>
    </row>
    <row r="2003" spans="1:4" x14ac:dyDescent="0.25">
      <c r="A2003" s="39" t="s">
        <v>5287</v>
      </c>
      <c r="B2003" s="39" t="s">
        <v>2984</v>
      </c>
      <c r="C2003" s="39">
        <v>4</v>
      </c>
      <c r="D2003" s="39" t="s">
        <v>2122</v>
      </c>
    </row>
    <row r="2004" spans="1:4" x14ac:dyDescent="0.25">
      <c r="A2004" s="39" t="s">
        <v>7313</v>
      </c>
      <c r="B2004" s="39" t="s">
        <v>7314</v>
      </c>
      <c r="C2004" s="39">
        <v>4</v>
      </c>
      <c r="D2004" s="39" t="s">
        <v>2122</v>
      </c>
    </row>
    <row r="2005" spans="1:4" x14ac:dyDescent="0.25">
      <c r="A2005" s="39" t="s">
        <v>10984</v>
      </c>
      <c r="B2005" s="39" t="s">
        <v>10985</v>
      </c>
      <c r="C2005" s="39">
        <v>4</v>
      </c>
      <c r="D2005" s="39" t="s">
        <v>2122</v>
      </c>
    </row>
    <row r="2006" spans="1:4" x14ac:dyDescent="0.25">
      <c r="A2006" s="39" t="s">
        <v>7315</v>
      </c>
      <c r="B2006" s="39" t="s">
        <v>7316</v>
      </c>
      <c r="C2006" s="39">
        <v>4</v>
      </c>
      <c r="D2006" s="39" t="s">
        <v>2122</v>
      </c>
    </row>
    <row r="2007" spans="1:4" x14ac:dyDescent="0.25">
      <c r="A2007" s="39" t="s">
        <v>2411</v>
      </c>
      <c r="B2007" s="39" t="s">
        <v>2284</v>
      </c>
      <c r="C2007" s="39">
        <v>4</v>
      </c>
      <c r="D2007" s="39" t="s">
        <v>2122</v>
      </c>
    </row>
    <row r="2008" spans="1:4" x14ac:dyDescent="0.25">
      <c r="A2008" s="39" t="s">
        <v>7317</v>
      </c>
      <c r="B2008" s="39" t="s">
        <v>4777</v>
      </c>
      <c r="C2008" s="39">
        <v>4</v>
      </c>
      <c r="D2008" s="39" t="s">
        <v>2122</v>
      </c>
    </row>
    <row r="2009" spans="1:4" x14ac:dyDescent="0.25">
      <c r="A2009" s="39" t="s">
        <v>10986</v>
      </c>
      <c r="B2009" s="39" t="s">
        <v>10987</v>
      </c>
      <c r="C2009" s="39">
        <v>4</v>
      </c>
      <c r="D2009" s="39" t="s">
        <v>2122</v>
      </c>
    </row>
    <row r="2010" spans="1:4" x14ac:dyDescent="0.25">
      <c r="A2010" s="39" t="s">
        <v>3237</v>
      </c>
      <c r="B2010" s="39" t="s">
        <v>3207</v>
      </c>
      <c r="C2010" s="39">
        <v>4</v>
      </c>
      <c r="D2010" s="39" t="s">
        <v>2122</v>
      </c>
    </row>
    <row r="2011" spans="1:4" x14ac:dyDescent="0.25">
      <c r="A2011" s="39" t="s">
        <v>5288</v>
      </c>
      <c r="B2011" s="39" t="s">
        <v>5289</v>
      </c>
      <c r="C2011" s="39">
        <v>4</v>
      </c>
      <c r="D2011" s="39" t="s">
        <v>2122</v>
      </c>
    </row>
    <row r="2012" spans="1:4" x14ac:dyDescent="0.25">
      <c r="A2012" s="39" t="s">
        <v>1348</v>
      </c>
      <c r="B2012" s="39" t="s">
        <v>529</v>
      </c>
      <c r="C2012" s="39">
        <v>4</v>
      </c>
      <c r="D2012" s="39" t="s">
        <v>2122</v>
      </c>
    </row>
    <row r="2013" spans="1:4" x14ac:dyDescent="0.25">
      <c r="A2013" s="39" t="s">
        <v>1558</v>
      </c>
      <c r="B2013" s="39" t="s">
        <v>379</v>
      </c>
      <c r="C2013" s="39">
        <v>4</v>
      </c>
      <c r="D2013" s="39" t="s">
        <v>2122</v>
      </c>
    </row>
    <row r="2014" spans="1:4" x14ac:dyDescent="0.25">
      <c r="A2014" s="39" t="s">
        <v>10988</v>
      </c>
      <c r="B2014" s="39" t="s">
        <v>10989</v>
      </c>
      <c r="C2014" s="39">
        <v>4</v>
      </c>
      <c r="D2014" s="39" t="s">
        <v>2122</v>
      </c>
    </row>
    <row r="2015" spans="1:4" x14ac:dyDescent="0.25">
      <c r="A2015" s="39" t="s">
        <v>1022</v>
      </c>
      <c r="B2015" s="39" t="s">
        <v>191</v>
      </c>
      <c r="C2015" s="39">
        <v>4</v>
      </c>
      <c r="D2015" s="39" t="s">
        <v>2122</v>
      </c>
    </row>
    <row r="2016" spans="1:4" x14ac:dyDescent="0.25">
      <c r="A2016" s="39" t="s">
        <v>5290</v>
      </c>
      <c r="B2016" s="39" t="s">
        <v>5291</v>
      </c>
      <c r="C2016" s="39">
        <v>4</v>
      </c>
      <c r="D2016" s="39" t="s">
        <v>2122</v>
      </c>
    </row>
    <row r="2017" spans="1:4" x14ac:dyDescent="0.25">
      <c r="A2017" s="39" t="s">
        <v>10990</v>
      </c>
      <c r="B2017" s="39" t="s">
        <v>10991</v>
      </c>
      <c r="C2017" s="39">
        <v>4</v>
      </c>
      <c r="D2017" s="39" t="s">
        <v>2122</v>
      </c>
    </row>
    <row r="2018" spans="1:4" x14ac:dyDescent="0.25">
      <c r="A2018" s="39" t="s">
        <v>7318</v>
      </c>
      <c r="B2018" s="39" t="s">
        <v>3085</v>
      </c>
      <c r="C2018" s="39">
        <v>4</v>
      </c>
      <c r="D2018" s="39" t="s">
        <v>2122</v>
      </c>
    </row>
    <row r="2019" spans="1:4" x14ac:dyDescent="0.25">
      <c r="A2019" s="39" t="s">
        <v>10992</v>
      </c>
      <c r="B2019" s="39" t="s">
        <v>3967</v>
      </c>
      <c r="C2019" s="39">
        <v>4</v>
      </c>
      <c r="D2019" s="39" t="s">
        <v>2122</v>
      </c>
    </row>
    <row r="2020" spans="1:4" x14ac:dyDescent="0.25">
      <c r="A2020" s="39" t="s">
        <v>7319</v>
      </c>
      <c r="B2020" s="39" t="s">
        <v>7320</v>
      </c>
      <c r="C2020" s="39">
        <v>4</v>
      </c>
      <c r="D2020" s="39" t="s">
        <v>2122</v>
      </c>
    </row>
    <row r="2021" spans="1:4" x14ac:dyDescent="0.25">
      <c r="A2021" s="39" t="s">
        <v>10993</v>
      </c>
      <c r="B2021" s="39" t="s">
        <v>6224</v>
      </c>
      <c r="C2021" s="39">
        <v>4</v>
      </c>
      <c r="D2021" s="39" t="s">
        <v>2122</v>
      </c>
    </row>
    <row r="2022" spans="1:4" x14ac:dyDescent="0.25">
      <c r="A2022" s="39" t="s">
        <v>7321</v>
      </c>
      <c r="B2022" s="39" t="s">
        <v>7322</v>
      </c>
      <c r="C2022" s="39">
        <v>4</v>
      </c>
      <c r="D2022" s="39" t="s">
        <v>2122</v>
      </c>
    </row>
    <row r="2023" spans="1:4" x14ac:dyDescent="0.25">
      <c r="A2023" s="39" t="s">
        <v>389</v>
      </c>
      <c r="B2023" s="39" t="s">
        <v>1357</v>
      </c>
      <c r="C2023" s="39">
        <v>4</v>
      </c>
      <c r="D2023" s="39" t="s">
        <v>2122</v>
      </c>
    </row>
    <row r="2024" spans="1:4" x14ac:dyDescent="0.25">
      <c r="A2024" s="39" t="s">
        <v>7323</v>
      </c>
      <c r="B2024" s="39" t="s">
        <v>4713</v>
      </c>
      <c r="C2024" s="39">
        <v>4</v>
      </c>
      <c r="D2024" s="39" t="s">
        <v>2122</v>
      </c>
    </row>
    <row r="2025" spans="1:4" x14ac:dyDescent="0.25">
      <c r="A2025" s="39" t="s">
        <v>10994</v>
      </c>
      <c r="B2025" s="39" t="s">
        <v>2626</v>
      </c>
      <c r="C2025" s="39">
        <v>4</v>
      </c>
      <c r="D2025" s="39" t="s">
        <v>2122</v>
      </c>
    </row>
    <row r="2026" spans="1:4" x14ac:dyDescent="0.25">
      <c r="A2026" s="39" t="s">
        <v>10995</v>
      </c>
      <c r="B2026" s="39" t="s">
        <v>10996</v>
      </c>
      <c r="C2026" s="39">
        <v>4</v>
      </c>
      <c r="D2026" s="39" t="s">
        <v>2122</v>
      </c>
    </row>
    <row r="2027" spans="1:4" x14ac:dyDescent="0.25">
      <c r="A2027" s="39" t="s">
        <v>7324</v>
      </c>
      <c r="B2027" s="39" t="s">
        <v>1829</v>
      </c>
      <c r="C2027" s="39">
        <v>4</v>
      </c>
      <c r="D2027" s="39" t="s">
        <v>2122</v>
      </c>
    </row>
    <row r="2028" spans="1:4" x14ac:dyDescent="0.25">
      <c r="A2028" s="39" t="s">
        <v>10997</v>
      </c>
      <c r="B2028" s="39" t="s">
        <v>4870</v>
      </c>
      <c r="C2028" s="39">
        <v>4</v>
      </c>
      <c r="D2028" s="39" t="s">
        <v>2122</v>
      </c>
    </row>
    <row r="2029" spans="1:4" x14ac:dyDescent="0.25">
      <c r="A2029" s="39" t="s">
        <v>799</v>
      </c>
      <c r="B2029" s="39" t="s">
        <v>2337</v>
      </c>
      <c r="C2029" s="39">
        <v>4</v>
      </c>
      <c r="D2029" s="39" t="s">
        <v>2122</v>
      </c>
    </row>
    <row r="2030" spans="1:4" x14ac:dyDescent="0.25">
      <c r="A2030" s="39" t="s">
        <v>7325</v>
      </c>
      <c r="B2030" s="39" t="s">
        <v>7326</v>
      </c>
      <c r="C2030" s="39">
        <v>4</v>
      </c>
      <c r="D2030" s="39" t="s">
        <v>2122</v>
      </c>
    </row>
    <row r="2031" spans="1:4" x14ac:dyDescent="0.25">
      <c r="A2031" s="39" t="s">
        <v>5292</v>
      </c>
      <c r="B2031" s="39" t="s">
        <v>1455</v>
      </c>
      <c r="C2031" s="39">
        <v>4</v>
      </c>
      <c r="D2031" s="39" t="s">
        <v>2122</v>
      </c>
    </row>
    <row r="2032" spans="1:4" x14ac:dyDescent="0.25">
      <c r="A2032" s="39" t="s">
        <v>10998</v>
      </c>
      <c r="B2032" s="39" t="s">
        <v>10999</v>
      </c>
      <c r="C2032" s="39">
        <v>4</v>
      </c>
      <c r="D2032" s="39" t="s">
        <v>2122</v>
      </c>
    </row>
    <row r="2033" spans="1:4" x14ac:dyDescent="0.25">
      <c r="A2033" s="39" t="s">
        <v>7327</v>
      </c>
      <c r="B2033" s="39" t="s">
        <v>7328</v>
      </c>
      <c r="C2033" s="39">
        <v>4</v>
      </c>
      <c r="D2033" s="39" t="s">
        <v>2122</v>
      </c>
    </row>
    <row r="2034" spans="1:4" x14ac:dyDescent="0.25">
      <c r="A2034" s="39" t="s">
        <v>3534</v>
      </c>
      <c r="B2034" s="39" t="s">
        <v>2931</v>
      </c>
      <c r="C2034" s="39">
        <v>4</v>
      </c>
      <c r="D2034" s="39" t="s">
        <v>2122</v>
      </c>
    </row>
    <row r="2035" spans="1:4" x14ac:dyDescent="0.25">
      <c r="A2035" s="39" t="s">
        <v>3238</v>
      </c>
      <c r="B2035" s="39" t="s">
        <v>3239</v>
      </c>
      <c r="C2035" s="39">
        <v>4</v>
      </c>
      <c r="D2035" s="39" t="s">
        <v>2122</v>
      </c>
    </row>
    <row r="2036" spans="1:4" x14ac:dyDescent="0.25">
      <c r="A2036" s="39" t="s">
        <v>1915</v>
      </c>
      <c r="B2036" s="39" t="s">
        <v>1293</v>
      </c>
      <c r="C2036" s="39">
        <v>4</v>
      </c>
      <c r="D2036" s="39" t="s">
        <v>2122</v>
      </c>
    </row>
    <row r="2037" spans="1:4" x14ac:dyDescent="0.25">
      <c r="A2037" s="39" t="s">
        <v>3535</v>
      </c>
      <c r="B2037" s="39" t="s">
        <v>3780</v>
      </c>
      <c r="C2037" s="39">
        <v>4</v>
      </c>
      <c r="D2037" s="39" t="s">
        <v>2122</v>
      </c>
    </row>
    <row r="2038" spans="1:4" x14ac:dyDescent="0.25">
      <c r="A2038" s="39" t="s">
        <v>11000</v>
      </c>
      <c r="B2038" s="39" t="s">
        <v>3888</v>
      </c>
      <c r="C2038" s="39">
        <v>4</v>
      </c>
      <c r="D2038" s="39" t="s">
        <v>2122</v>
      </c>
    </row>
    <row r="2039" spans="1:4" x14ac:dyDescent="0.25">
      <c r="A2039" s="39" t="s">
        <v>11001</v>
      </c>
      <c r="B2039" s="39" t="s">
        <v>11002</v>
      </c>
      <c r="C2039" s="39">
        <v>4</v>
      </c>
      <c r="D2039" s="39" t="s">
        <v>2122</v>
      </c>
    </row>
    <row r="2040" spans="1:4" x14ac:dyDescent="0.25">
      <c r="A2040" s="39" t="s">
        <v>5297</v>
      </c>
      <c r="B2040" s="39" t="s">
        <v>4193</v>
      </c>
      <c r="C2040" s="39">
        <v>4</v>
      </c>
      <c r="D2040" s="39" t="s">
        <v>2122</v>
      </c>
    </row>
    <row r="2041" spans="1:4" x14ac:dyDescent="0.25">
      <c r="A2041" s="39" t="s">
        <v>11003</v>
      </c>
      <c r="B2041" s="39" t="s">
        <v>11004</v>
      </c>
      <c r="C2041" s="39">
        <v>4</v>
      </c>
      <c r="D2041" s="39" t="s">
        <v>2122</v>
      </c>
    </row>
    <row r="2042" spans="1:4" x14ac:dyDescent="0.25">
      <c r="A2042" s="39" t="s">
        <v>7329</v>
      </c>
      <c r="B2042" s="39" t="s">
        <v>7330</v>
      </c>
      <c r="C2042" s="39">
        <v>4</v>
      </c>
      <c r="D2042" s="39" t="s">
        <v>2122</v>
      </c>
    </row>
    <row r="2043" spans="1:4" x14ac:dyDescent="0.25">
      <c r="A2043" s="39" t="s">
        <v>2749</v>
      </c>
      <c r="B2043" s="39" t="s">
        <v>2750</v>
      </c>
      <c r="C2043" s="39">
        <v>4</v>
      </c>
      <c r="D2043" s="39" t="s">
        <v>2122</v>
      </c>
    </row>
    <row r="2044" spans="1:4" x14ac:dyDescent="0.25">
      <c r="A2044" s="39" t="s">
        <v>7333</v>
      </c>
      <c r="B2044" s="39" t="s">
        <v>7334</v>
      </c>
      <c r="C2044" s="39">
        <v>4</v>
      </c>
      <c r="D2044" s="39" t="s">
        <v>2122</v>
      </c>
    </row>
    <row r="2045" spans="1:4" x14ac:dyDescent="0.25">
      <c r="A2045" s="39" t="s">
        <v>7335</v>
      </c>
      <c r="B2045" s="39" t="s">
        <v>7336</v>
      </c>
      <c r="C2045" s="39">
        <v>4</v>
      </c>
      <c r="D2045" s="39" t="s">
        <v>2122</v>
      </c>
    </row>
    <row r="2046" spans="1:4" x14ac:dyDescent="0.25">
      <c r="A2046" s="39" t="s">
        <v>1148</v>
      </c>
      <c r="B2046" s="39" t="s">
        <v>514</v>
      </c>
      <c r="C2046" s="39">
        <v>4</v>
      </c>
      <c r="D2046" s="39" t="s">
        <v>2122</v>
      </c>
    </row>
    <row r="2047" spans="1:4" x14ac:dyDescent="0.25">
      <c r="A2047" s="39" t="s">
        <v>11005</v>
      </c>
      <c r="B2047" s="39" t="s">
        <v>11006</v>
      </c>
      <c r="C2047" s="39">
        <v>4</v>
      </c>
      <c r="D2047" s="39" t="s">
        <v>2122</v>
      </c>
    </row>
    <row r="2048" spans="1:4" x14ac:dyDescent="0.25">
      <c r="A2048" s="39" t="s">
        <v>5298</v>
      </c>
      <c r="B2048" s="39" t="s">
        <v>5299</v>
      </c>
      <c r="C2048" s="39">
        <v>4</v>
      </c>
      <c r="D2048" s="39" t="s">
        <v>2122</v>
      </c>
    </row>
    <row r="2049" spans="1:4" x14ac:dyDescent="0.25">
      <c r="A2049" s="39" t="s">
        <v>11007</v>
      </c>
      <c r="B2049" s="39" t="s">
        <v>11008</v>
      </c>
      <c r="C2049" s="39">
        <v>4</v>
      </c>
      <c r="D2049" s="39" t="s">
        <v>2122</v>
      </c>
    </row>
    <row r="2050" spans="1:4" x14ac:dyDescent="0.25">
      <c r="A2050" s="39" t="s">
        <v>7337</v>
      </c>
      <c r="B2050" s="39" t="s">
        <v>7338</v>
      </c>
      <c r="C2050" s="39">
        <v>4</v>
      </c>
      <c r="D2050" s="39" t="s">
        <v>2122</v>
      </c>
    </row>
    <row r="2051" spans="1:4" x14ac:dyDescent="0.25">
      <c r="A2051" s="39" t="s">
        <v>41</v>
      </c>
      <c r="B2051" s="39" t="s">
        <v>1425</v>
      </c>
      <c r="C2051" s="39">
        <v>4</v>
      </c>
      <c r="D2051" s="39" t="s">
        <v>2122</v>
      </c>
    </row>
    <row r="2052" spans="1:4" x14ac:dyDescent="0.25">
      <c r="A2052" s="39" t="s">
        <v>5300</v>
      </c>
      <c r="B2052" s="39" t="s">
        <v>5301</v>
      </c>
      <c r="C2052" s="39">
        <v>4</v>
      </c>
      <c r="D2052" s="39" t="s">
        <v>2122</v>
      </c>
    </row>
    <row r="2053" spans="1:4" x14ac:dyDescent="0.25">
      <c r="A2053" s="39" t="s">
        <v>7339</v>
      </c>
      <c r="B2053" s="39" t="s">
        <v>7340</v>
      </c>
      <c r="C2053" s="39">
        <v>4</v>
      </c>
      <c r="D2053" s="39" t="s">
        <v>2122</v>
      </c>
    </row>
    <row r="2054" spans="1:4" x14ac:dyDescent="0.25">
      <c r="A2054" s="39" t="s">
        <v>7341</v>
      </c>
      <c r="B2054" s="39" t="s">
        <v>4437</v>
      </c>
      <c r="C2054" s="39">
        <v>4</v>
      </c>
      <c r="D2054" s="39" t="s">
        <v>2122</v>
      </c>
    </row>
    <row r="2055" spans="1:4" x14ac:dyDescent="0.25">
      <c r="A2055" s="39" t="s">
        <v>7342</v>
      </c>
      <c r="B2055" s="39" t="s">
        <v>2490</v>
      </c>
      <c r="C2055" s="39">
        <v>4</v>
      </c>
      <c r="D2055" s="39" t="s">
        <v>2122</v>
      </c>
    </row>
    <row r="2056" spans="1:4" x14ac:dyDescent="0.25">
      <c r="A2056" s="39" t="s">
        <v>7343</v>
      </c>
      <c r="B2056" s="39" t="s">
        <v>7344</v>
      </c>
      <c r="C2056" s="39">
        <v>4</v>
      </c>
      <c r="D2056" s="39" t="s">
        <v>2122</v>
      </c>
    </row>
    <row r="2057" spans="1:4" x14ac:dyDescent="0.25">
      <c r="A2057" s="39" t="s">
        <v>1745</v>
      </c>
      <c r="B2057" s="39" t="s">
        <v>1384</v>
      </c>
      <c r="C2057" s="39">
        <v>4</v>
      </c>
      <c r="D2057" s="39" t="s">
        <v>2122</v>
      </c>
    </row>
    <row r="2058" spans="1:4" x14ac:dyDescent="0.25">
      <c r="A2058" s="39" t="s">
        <v>11009</v>
      </c>
      <c r="B2058" s="39" t="s">
        <v>11010</v>
      </c>
      <c r="C2058" s="39">
        <v>4</v>
      </c>
      <c r="D2058" s="39" t="s">
        <v>2122</v>
      </c>
    </row>
    <row r="2059" spans="1:4" x14ac:dyDescent="0.25">
      <c r="A2059" s="39" t="s">
        <v>371</v>
      </c>
      <c r="B2059" s="39" t="s">
        <v>1314</v>
      </c>
      <c r="C2059" s="39">
        <v>4</v>
      </c>
      <c r="D2059" s="39" t="s">
        <v>2122</v>
      </c>
    </row>
    <row r="2060" spans="1:4" x14ac:dyDescent="0.25">
      <c r="A2060" s="39" t="s">
        <v>11011</v>
      </c>
      <c r="B2060" s="39" t="s">
        <v>11012</v>
      </c>
      <c r="C2060" s="39">
        <v>4</v>
      </c>
      <c r="D2060" s="39" t="s">
        <v>2122</v>
      </c>
    </row>
    <row r="2061" spans="1:4" x14ac:dyDescent="0.25">
      <c r="A2061" s="39" t="s">
        <v>7345</v>
      </c>
      <c r="B2061" s="39" t="s">
        <v>7346</v>
      </c>
      <c r="C2061" s="39">
        <v>4</v>
      </c>
      <c r="D2061" s="39" t="s">
        <v>2122</v>
      </c>
    </row>
    <row r="2062" spans="1:4" x14ac:dyDescent="0.25">
      <c r="A2062" s="39" t="s">
        <v>5304</v>
      </c>
      <c r="B2062" s="39" t="s">
        <v>4206</v>
      </c>
      <c r="C2062" s="39">
        <v>4</v>
      </c>
      <c r="D2062" s="39" t="s">
        <v>2122</v>
      </c>
    </row>
    <row r="2063" spans="1:4" x14ac:dyDescent="0.25">
      <c r="A2063" s="39" t="s">
        <v>3537</v>
      </c>
      <c r="B2063" s="39" t="s">
        <v>3783</v>
      </c>
      <c r="C2063" s="39">
        <v>4</v>
      </c>
      <c r="D2063" s="39" t="s">
        <v>2122</v>
      </c>
    </row>
    <row r="2064" spans="1:4" x14ac:dyDescent="0.25">
      <c r="A2064" s="39" t="s">
        <v>5305</v>
      </c>
      <c r="B2064" s="39" t="s">
        <v>756</v>
      </c>
      <c r="C2064" s="39">
        <v>4</v>
      </c>
      <c r="D2064" s="39" t="s">
        <v>2122</v>
      </c>
    </row>
    <row r="2065" spans="1:4" x14ac:dyDescent="0.25">
      <c r="A2065" s="39" t="s">
        <v>2409</v>
      </c>
      <c r="B2065" s="39" t="s">
        <v>2410</v>
      </c>
      <c r="C2065" s="39">
        <v>4</v>
      </c>
      <c r="D2065" s="39" t="s">
        <v>2122</v>
      </c>
    </row>
    <row r="2066" spans="1:4" x14ac:dyDescent="0.25">
      <c r="A2066" s="39" t="s">
        <v>5306</v>
      </c>
      <c r="B2066" s="39" t="s">
        <v>5307</v>
      </c>
      <c r="C2066" s="39">
        <v>4</v>
      </c>
      <c r="D2066" s="39" t="s">
        <v>2122</v>
      </c>
    </row>
    <row r="2067" spans="1:4" x14ac:dyDescent="0.25">
      <c r="A2067" s="39" t="s">
        <v>11013</v>
      </c>
      <c r="B2067" s="39" t="s">
        <v>3900</v>
      </c>
      <c r="C2067" s="39">
        <v>4</v>
      </c>
      <c r="D2067" s="39" t="s">
        <v>2122</v>
      </c>
    </row>
    <row r="2068" spans="1:4" x14ac:dyDescent="0.25">
      <c r="A2068" s="39" t="s">
        <v>5308</v>
      </c>
      <c r="B2068" s="39" t="s">
        <v>5309</v>
      </c>
      <c r="C2068" s="39">
        <v>4</v>
      </c>
      <c r="D2068" s="39" t="s">
        <v>2122</v>
      </c>
    </row>
    <row r="2069" spans="1:4" x14ac:dyDescent="0.25">
      <c r="A2069" s="39" t="s">
        <v>1834</v>
      </c>
      <c r="B2069" s="39" t="s">
        <v>2244</v>
      </c>
      <c r="C2069" s="39">
        <v>4</v>
      </c>
      <c r="D2069" s="39" t="s">
        <v>2122</v>
      </c>
    </row>
    <row r="2070" spans="1:4" x14ac:dyDescent="0.25">
      <c r="A2070" s="39" t="s">
        <v>7348</v>
      </c>
      <c r="B2070" s="39" t="s">
        <v>2924</v>
      </c>
      <c r="C2070" s="39">
        <v>4</v>
      </c>
      <c r="D2070" s="39" t="s">
        <v>2122</v>
      </c>
    </row>
    <row r="2071" spans="1:4" x14ac:dyDescent="0.25">
      <c r="A2071" s="39" t="s">
        <v>11014</v>
      </c>
      <c r="B2071" s="39" t="s">
        <v>11015</v>
      </c>
      <c r="C2071" s="39">
        <v>4</v>
      </c>
      <c r="D2071" s="39" t="s">
        <v>2122</v>
      </c>
    </row>
    <row r="2072" spans="1:4" x14ac:dyDescent="0.25">
      <c r="A2072" s="39" t="s">
        <v>2684</v>
      </c>
      <c r="B2072" s="39" t="s">
        <v>2640</v>
      </c>
      <c r="C2072" s="39">
        <v>4</v>
      </c>
      <c r="D2072" s="39" t="s">
        <v>2122</v>
      </c>
    </row>
    <row r="2073" spans="1:4" x14ac:dyDescent="0.25">
      <c r="A2073" s="39" t="s">
        <v>3538</v>
      </c>
      <c r="B2073" s="39" t="s">
        <v>2925</v>
      </c>
      <c r="C2073" s="39">
        <v>4</v>
      </c>
      <c r="D2073" s="39" t="s">
        <v>2122</v>
      </c>
    </row>
    <row r="2074" spans="1:4" x14ac:dyDescent="0.25">
      <c r="A2074" s="39" t="s">
        <v>5310</v>
      </c>
      <c r="B2074" s="39" t="s">
        <v>5311</v>
      </c>
      <c r="C2074" s="39">
        <v>4</v>
      </c>
      <c r="D2074" s="39" t="s">
        <v>2122</v>
      </c>
    </row>
    <row r="2075" spans="1:4" x14ac:dyDescent="0.25">
      <c r="A2075" s="39" t="s">
        <v>2245</v>
      </c>
      <c r="B2075" s="39" t="s">
        <v>557</v>
      </c>
      <c r="C2075" s="39">
        <v>4</v>
      </c>
      <c r="D2075" s="39" t="s">
        <v>2122</v>
      </c>
    </row>
    <row r="2076" spans="1:4" x14ac:dyDescent="0.25">
      <c r="A2076" s="39" t="s">
        <v>11016</v>
      </c>
      <c r="B2076" s="39" t="s">
        <v>11017</v>
      </c>
      <c r="C2076" s="39">
        <v>4</v>
      </c>
      <c r="D2076" s="39" t="s">
        <v>2122</v>
      </c>
    </row>
    <row r="2077" spans="1:4" x14ac:dyDescent="0.25">
      <c r="A2077" s="39" t="s">
        <v>5312</v>
      </c>
      <c r="B2077" s="39" t="s">
        <v>4177</v>
      </c>
      <c r="C2077" s="39">
        <v>4</v>
      </c>
      <c r="D2077" s="39" t="s">
        <v>2122</v>
      </c>
    </row>
    <row r="2078" spans="1:4" x14ac:dyDescent="0.25">
      <c r="A2078" s="39" t="s">
        <v>3539</v>
      </c>
      <c r="B2078" s="39" t="s">
        <v>3784</v>
      </c>
      <c r="C2078" s="39">
        <v>4</v>
      </c>
      <c r="D2078" s="39" t="s">
        <v>2122</v>
      </c>
    </row>
    <row r="2079" spans="1:4" x14ac:dyDescent="0.25">
      <c r="A2079" s="39" t="s">
        <v>5313</v>
      </c>
      <c r="B2079" s="39" t="s">
        <v>2910</v>
      </c>
      <c r="C2079" s="39">
        <v>4</v>
      </c>
      <c r="D2079" s="39" t="s">
        <v>2122</v>
      </c>
    </row>
    <row r="2080" spans="1:4" x14ac:dyDescent="0.25">
      <c r="A2080" s="39" t="s">
        <v>5314</v>
      </c>
      <c r="B2080" s="39" t="s">
        <v>5315</v>
      </c>
      <c r="C2080" s="39">
        <v>4</v>
      </c>
      <c r="D2080" s="39" t="s">
        <v>2122</v>
      </c>
    </row>
    <row r="2081" spans="1:4" x14ac:dyDescent="0.25">
      <c r="A2081" s="39" t="s">
        <v>5316</v>
      </c>
      <c r="B2081" s="39" t="s">
        <v>2977</v>
      </c>
      <c r="C2081" s="39">
        <v>4</v>
      </c>
      <c r="D2081" s="39" t="s">
        <v>2122</v>
      </c>
    </row>
    <row r="2082" spans="1:4" x14ac:dyDescent="0.25">
      <c r="A2082" s="39" t="s">
        <v>7349</v>
      </c>
      <c r="B2082" s="39" t="s">
        <v>7350</v>
      </c>
      <c r="C2082" s="39">
        <v>4</v>
      </c>
      <c r="D2082" s="39" t="s">
        <v>2122</v>
      </c>
    </row>
    <row r="2083" spans="1:4" x14ac:dyDescent="0.25">
      <c r="A2083" s="39" t="s">
        <v>2246</v>
      </c>
      <c r="B2083" s="39" t="s">
        <v>2120</v>
      </c>
      <c r="C2083" s="39">
        <v>4</v>
      </c>
      <c r="D2083" s="39" t="s">
        <v>2122</v>
      </c>
    </row>
    <row r="2084" spans="1:4" x14ac:dyDescent="0.25">
      <c r="A2084" s="39" t="s">
        <v>3018</v>
      </c>
      <c r="B2084" s="39" t="s">
        <v>273</v>
      </c>
      <c r="C2084" s="39">
        <v>4</v>
      </c>
      <c r="D2084" s="39" t="s">
        <v>2122</v>
      </c>
    </row>
    <row r="2085" spans="1:4" x14ac:dyDescent="0.25">
      <c r="A2085" s="39" t="s">
        <v>5317</v>
      </c>
      <c r="B2085" s="39" t="s">
        <v>5318</v>
      </c>
      <c r="C2085" s="39">
        <v>4</v>
      </c>
      <c r="D2085" s="39" t="s">
        <v>2122</v>
      </c>
    </row>
    <row r="2086" spans="1:4" x14ac:dyDescent="0.25">
      <c r="A2086" s="39" t="s">
        <v>7351</v>
      </c>
      <c r="B2086" s="39" t="s">
        <v>7352</v>
      </c>
      <c r="C2086" s="39">
        <v>4</v>
      </c>
      <c r="D2086" s="39" t="s">
        <v>2122</v>
      </c>
    </row>
    <row r="2087" spans="1:4" x14ac:dyDescent="0.25">
      <c r="A2087" s="39" t="s">
        <v>7353</v>
      </c>
      <c r="B2087" s="39" t="s">
        <v>4152</v>
      </c>
      <c r="C2087" s="39">
        <v>4</v>
      </c>
      <c r="D2087" s="39" t="s">
        <v>2122</v>
      </c>
    </row>
    <row r="2088" spans="1:4" x14ac:dyDescent="0.25">
      <c r="A2088" s="39" t="s">
        <v>5319</v>
      </c>
      <c r="B2088" s="39" t="s">
        <v>5320</v>
      </c>
      <c r="C2088" s="39">
        <v>4</v>
      </c>
      <c r="D2088" s="39" t="s">
        <v>2122</v>
      </c>
    </row>
    <row r="2089" spans="1:4" x14ac:dyDescent="0.25">
      <c r="A2089" s="39" t="s">
        <v>7354</v>
      </c>
      <c r="B2089" s="39" t="s">
        <v>4075</v>
      </c>
      <c r="C2089" s="39">
        <v>4</v>
      </c>
      <c r="D2089" s="39" t="s">
        <v>2122</v>
      </c>
    </row>
    <row r="2090" spans="1:4" x14ac:dyDescent="0.25">
      <c r="A2090" s="39" t="s">
        <v>7355</v>
      </c>
      <c r="B2090" s="39" t="s">
        <v>7356</v>
      </c>
      <c r="C2090" s="39">
        <v>4</v>
      </c>
      <c r="D2090" s="39" t="s">
        <v>2122</v>
      </c>
    </row>
    <row r="2091" spans="1:4" x14ac:dyDescent="0.25">
      <c r="A2091" s="39" t="s">
        <v>3540</v>
      </c>
      <c r="B2091" s="39" t="s">
        <v>3785</v>
      </c>
      <c r="C2091" s="39">
        <v>4</v>
      </c>
      <c r="D2091" s="39" t="s">
        <v>2122</v>
      </c>
    </row>
    <row r="2092" spans="1:4" x14ac:dyDescent="0.25">
      <c r="A2092" s="39" t="s">
        <v>7357</v>
      </c>
      <c r="B2092" s="39" t="s">
        <v>7358</v>
      </c>
      <c r="C2092" s="39">
        <v>4</v>
      </c>
      <c r="D2092" s="39" t="s">
        <v>2122</v>
      </c>
    </row>
    <row r="2093" spans="1:4" x14ac:dyDescent="0.25">
      <c r="A2093" s="39" t="s">
        <v>3541</v>
      </c>
      <c r="B2093" s="39" t="s">
        <v>1625</v>
      </c>
      <c r="C2093" s="39">
        <v>4</v>
      </c>
      <c r="D2093" s="39" t="s">
        <v>2122</v>
      </c>
    </row>
    <row r="2094" spans="1:4" x14ac:dyDescent="0.25">
      <c r="A2094" s="39" t="s">
        <v>7359</v>
      </c>
      <c r="B2094" s="39" t="s">
        <v>7360</v>
      </c>
      <c r="C2094" s="39">
        <v>4</v>
      </c>
      <c r="D2094" s="39" t="s">
        <v>2122</v>
      </c>
    </row>
    <row r="2095" spans="1:4" x14ac:dyDescent="0.25">
      <c r="A2095" s="39" t="s">
        <v>7361</v>
      </c>
      <c r="B2095" s="39" t="s">
        <v>4739</v>
      </c>
      <c r="C2095" s="39">
        <v>4</v>
      </c>
      <c r="D2095" s="39" t="s">
        <v>2122</v>
      </c>
    </row>
    <row r="2096" spans="1:4" x14ac:dyDescent="0.25">
      <c r="A2096" s="39" t="s">
        <v>3243</v>
      </c>
      <c r="B2096" s="39" t="s">
        <v>2336</v>
      </c>
      <c r="C2096" s="39">
        <v>4</v>
      </c>
      <c r="D2096" s="39" t="s">
        <v>2122</v>
      </c>
    </row>
    <row r="2097" spans="1:4" x14ac:dyDescent="0.25">
      <c r="A2097" s="39" t="s">
        <v>3542</v>
      </c>
      <c r="B2097" s="39" t="s">
        <v>3786</v>
      </c>
      <c r="C2097" s="39">
        <v>4</v>
      </c>
      <c r="D2097" s="39" t="s">
        <v>2122</v>
      </c>
    </row>
    <row r="2098" spans="1:4" x14ac:dyDescent="0.25">
      <c r="A2098" s="39" t="s">
        <v>11018</v>
      </c>
      <c r="B2098" s="39" t="s">
        <v>3971</v>
      </c>
      <c r="C2098" s="39">
        <v>4</v>
      </c>
      <c r="D2098" s="39" t="s">
        <v>2122</v>
      </c>
    </row>
    <row r="2099" spans="1:4" x14ac:dyDescent="0.25">
      <c r="A2099" s="39" t="s">
        <v>11019</v>
      </c>
      <c r="B2099" s="39" t="s">
        <v>11020</v>
      </c>
      <c r="C2099" s="39">
        <v>4</v>
      </c>
      <c r="D2099" s="39" t="s">
        <v>2122</v>
      </c>
    </row>
    <row r="2100" spans="1:4" x14ac:dyDescent="0.25">
      <c r="A2100" s="39" t="s">
        <v>3543</v>
      </c>
      <c r="B2100" s="39" t="s">
        <v>3098</v>
      </c>
      <c r="C2100" s="39">
        <v>4</v>
      </c>
      <c r="D2100" s="39" t="s">
        <v>2122</v>
      </c>
    </row>
    <row r="2101" spans="1:4" x14ac:dyDescent="0.25">
      <c r="A2101" s="39" t="s">
        <v>5321</v>
      </c>
      <c r="B2101" s="39" t="s">
        <v>5322</v>
      </c>
      <c r="C2101" s="39">
        <v>4</v>
      </c>
      <c r="D2101" s="39" t="s">
        <v>2122</v>
      </c>
    </row>
    <row r="2102" spans="1:4" x14ac:dyDescent="0.25">
      <c r="A2102" s="39" t="s">
        <v>2502</v>
      </c>
      <c r="B2102" s="39" t="s">
        <v>2523</v>
      </c>
      <c r="C2102" s="39">
        <v>4</v>
      </c>
      <c r="D2102" s="39" t="s">
        <v>2122</v>
      </c>
    </row>
    <row r="2103" spans="1:4" x14ac:dyDescent="0.25">
      <c r="A2103" s="39" t="s">
        <v>5323</v>
      </c>
      <c r="B2103" s="39" t="s">
        <v>4176</v>
      </c>
      <c r="C2103" s="39">
        <v>4</v>
      </c>
      <c r="D2103" s="39" t="s">
        <v>2122</v>
      </c>
    </row>
    <row r="2104" spans="1:4" x14ac:dyDescent="0.25">
      <c r="A2104" s="39" t="s">
        <v>1096</v>
      </c>
      <c r="B2104" s="39" t="s">
        <v>1385</v>
      </c>
      <c r="C2104" s="39">
        <v>4</v>
      </c>
      <c r="D2104" s="39" t="s">
        <v>2122</v>
      </c>
    </row>
    <row r="2105" spans="1:4" x14ac:dyDescent="0.25">
      <c r="A2105" s="39" t="s">
        <v>3544</v>
      </c>
      <c r="B2105" s="39" t="s">
        <v>3025</v>
      </c>
      <c r="C2105" s="39">
        <v>4</v>
      </c>
      <c r="D2105" s="39" t="s">
        <v>2122</v>
      </c>
    </row>
    <row r="2106" spans="1:4" x14ac:dyDescent="0.25">
      <c r="A2106" s="39" t="s">
        <v>7362</v>
      </c>
      <c r="B2106" s="39" t="s">
        <v>7363</v>
      </c>
      <c r="C2106" s="39">
        <v>4</v>
      </c>
      <c r="D2106" s="39" t="s">
        <v>2122</v>
      </c>
    </row>
    <row r="2107" spans="1:4" x14ac:dyDescent="0.25">
      <c r="A2107" s="39" t="s">
        <v>5325</v>
      </c>
      <c r="B2107" s="39" t="s">
        <v>2966</v>
      </c>
      <c r="C2107" s="39">
        <v>4</v>
      </c>
      <c r="D2107" s="39" t="s">
        <v>2122</v>
      </c>
    </row>
    <row r="2108" spans="1:4" x14ac:dyDescent="0.25">
      <c r="A2108" s="39" t="s">
        <v>5326</v>
      </c>
      <c r="B2108" s="39" t="s">
        <v>5327</v>
      </c>
      <c r="C2108" s="39">
        <v>4</v>
      </c>
      <c r="D2108" s="39" t="s">
        <v>2122</v>
      </c>
    </row>
    <row r="2109" spans="1:4" x14ac:dyDescent="0.25">
      <c r="A2109" s="39" t="s">
        <v>3101</v>
      </c>
      <c r="B2109" s="39" t="s">
        <v>3244</v>
      </c>
      <c r="C2109" s="39">
        <v>4</v>
      </c>
      <c r="D2109" s="39" t="s">
        <v>2122</v>
      </c>
    </row>
    <row r="2110" spans="1:4" x14ac:dyDescent="0.25">
      <c r="A2110" s="39" t="s">
        <v>11021</v>
      </c>
      <c r="B2110" s="39" t="s">
        <v>2997</v>
      </c>
      <c r="C2110" s="39">
        <v>4</v>
      </c>
      <c r="D2110" s="39" t="s">
        <v>2122</v>
      </c>
    </row>
    <row r="2111" spans="1:4" x14ac:dyDescent="0.25">
      <c r="A2111" s="39" t="s">
        <v>3545</v>
      </c>
      <c r="B2111" s="39" t="s">
        <v>3788</v>
      </c>
      <c r="C2111" s="39">
        <v>4</v>
      </c>
      <c r="D2111" s="39" t="s">
        <v>2122</v>
      </c>
    </row>
    <row r="2112" spans="1:4" x14ac:dyDescent="0.25">
      <c r="A2112" s="39" t="s">
        <v>5328</v>
      </c>
      <c r="B2112" s="39" t="s">
        <v>2994</v>
      </c>
      <c r="C2112" s="39">
        <v>4</v>
      </c>
      <c r="D2112" s="39" t="s">
        <v>2122</v>
      </c>
    </row>
    <row r="2113" spans="1:4" x14ac:dyDescent="0.25">
      <c r="A2113" s="39" t="s">
        <v>11022</v>
      </c>
      <c r="B2113" s="39" t="s">
        <v>4291</v>
      </c>
      <c r="C2113" s="39">
        <v>4</v>
      </c>
      <c r="D2113" s="39" t="s">
        <v>2122</v>
      </c>
    </row>
    <row r="2114" spans="1:4" x14ac:dyDescent="0.25">
      <c r="A2114" s="39" t="s">
        <v>5329</v>
      </c>
      <c r="B2114" s="39" t="s">
        <v>5330</v>
      </c>
      <c r="C2114" s="39">
        <v>4</v>
      </c>
      <c r="D2114" s="39" t="s">
        <v>2122</v>
      </c>
    </row>
    <row r="2115" spans="1:4" x14ac:dyDescent="0.25">
      <c r="A2115" s="39" t="s">
        <v>7364</v>
      </c>
      <c r="B2115" s="39" t="s">
        <v>1234</v>
      </c>
      <c r="C2115" s="39">
        <v>4</v>
      </c>
      <c r="D2115" s="39" t="s">
        <v>2122</v>
      </c>
    </row>
    <row r="2116" spans="1:4" x14ac:dyDescent="0.25">
      <c r="A2116" s="39" t="s">
        <v>3546</v>
      </c>
      <c r="B2116" s="39" t="s">
        <v>3789</v>
      </c>
      <c r="C2116" s="39">
        <v>4</v>
      </c>
      <c r="D2116" s="39" t="s">
        <v>2122</v>
      </c>
    </row>
    <row r="2117" spans="1:4" x14ac:dyDescent="0.25">
      <c r="A2117" s="39" t="s">
        <v>7365</v>
      </c>
      <c r="B2117" s="39" t="s">
        <v>7366</v>
      </c>
      <c r="C2117" s="39">
        <v>4</v>
      </c>
      <c r="D2117" s="39" t="s">
        <v>2122</v>
      </c>
    </row>
    <row r="2118" spans="1:4" x14ac:dyDescent="0.25">
      <c r="A2118" s="39" t="s">
        <v>11023</v>
      </c>
      <c r="B2118" s="39" t="s">
        <v>11024</v>
      </c>
      <c r="C2118" s="39">
        <v>4</v>
      </c>
      <c r="D2118" s="39" t="s">
        <v>2122</v>
      </c>
    </row>
    <row r="2119" spans="1:4" x14ac:dyDescent="0.25">
      <c r="A2119" s="39" t="s">
        <v>5331</v>
      </c>
      <c r="B2119" s="39" t="s">
        <v>3938</v>
      </c>
      <c r="C2119" s="39">
        <v>4</v>
      </c>
      <c r="D2119" s="39" t="s">
        <v>2122</v>
      </c>
    </row>
    <row r="2120" spans="1:4" x14ac:dyDescent="0.25">
      <c r="A2120" s="39" t="s">
        <v>11025</v>
      </c>
      <c r="B2120" s="39" t="s">
        <v>6111</v>
      </c>
      <c r="C2120" s="39">
        <v>4</v>
      </c>
      <c r="D2120" s="39" t="s">
        <v>2122</v>
      </c>
    </row>
    <row r="2121" spans="1:4" x14ac:dyDescent="0.25">
      <c r="A2121" s="39" t="s">
        <v>7369</v>
      </c>
      <c r="B2121" s="39" t="s">
        <v>4778</v>
      </c>
      <c r="C2121" s="39">
        <v>4</v>
      </c>
      <c r="D2121" s="39" t="s">
        <v>2122</v>
      </c>
    </row>
    <row r="2122" spans="1:4" x14ac:dyDescent="0.25">
      <c r="A2122" s="39" t="s">
        <v>11026</v>
      </c>
      <c r="B2122" s="39" t="s">
        <v>5332</v>
      </c>
      <c r="C2122" s="39">
        <v>4</v>
      </c>
      <c r="D2122" s="39" t="s">
        <v>2122</v>
      </c>
    </row>
    <row r="2123" spans="1:4" x14ac:dyDescent="0.25">
      <c r="A2123" s="39" t="s">
        <v>1340</v>
      </c>
      <c r="B2123" s="39" t="s">
        <v>2412</v>
      </c>
      <c r="C2123" s="39">
        <v>4</v>
      </c>
      <c r="D2123" s="39" t="s">
        <v>2122</v>
      </c>
    </row>
    <row r="2124" spans="1:4" x14ac:dyDescent="0.25">
      <c r="A2124" s="39" t="s">
        <v>1919</v>
      </c>
      <c r="B2124" s="39" t="s">
        <v>1320</v>
      </c>
      <c r="C2124" s="39">
        <v>4</v>
      </c>
      <c r="D2124" s="39" t="s">
        <v>2122</v>
      </c>
    </row>
    <row r="2125" spans="1:4" x14ac:dyDescent="0.25">
      <c r="A2125" s="39" t="s">
        <v>11027</v>
      </c>
      <c r="B2125" s="39" t="s">
        <v>11028</v>
      </c>
      <c r="C2125" s="39">
        <v>4</v>
      </c>
      <c r="D2125" s="39" t="s">
        <v>2122</v>
      </c>
    </row>
    <row r="2126" spans="1:4" x14ac:dyDescent="0.25">
      <c r="A2126" s="39" t="s">
        <v>3547</v>
      </c>
      <c r="B2126" s="39" t="s">
        <v>3790</v>
      </c>
      <c r="C2126" s="39">
        <v>4</v>
      </c>
      <c r="D2126" s="39" t="s">
        <v>2122</v>
      </c>
    </row>
    <row r="2127" spans="1:4" x14ac:dyDescent="0.25">
      <c r="A2127" s="39" t="s">
        <v>7370</v>
      </c>
      <c r="B2127" s="39" t="s">
        <v>4181</v>
      </c>
      <c r="C2127" s="39">
        <v>4</v>
      </c>
      <c r="D2127" s="39" t="s">
        <v>2122</v>
      </c>
    </row>
    <row r="2128" spans="1:4" x14ac:dyDescent="0.25">
      <c r="A2128" s="39" t="s">
        <v>3548</v>
      </c>
      <c r="B2128" s="39" t="s">
        <v>3791</v>
      </c>
      <c r="C2128" s="39">
        <v>4</v>
      </c>
      <c r="D2128" s="39" t="s">
        <v>2122</v>
      </c>
    </row>
    <row r="2129" spans="1:4" x14ac:dyDescent="0.25">
      <c r="A2129" s="39" t="s">
        <v>7371</v>
      </c>
      <c r="B2129" s="39" t="s">
        <v>3031</v>
      </c>
      <c r="C2129" s="39">
        <v>4</v>
      </c>
      <c r="D2129" s="39" t="s">
        <v>2122</v>
      </c>
    </row>
    <row r="2130" spans="1:4" x14ac:dyDescent="0.25">
      <c r="A2130" s="39" t="s">
        <v>11029</v>
      </c>
      <c r="B2130" s="39" t="s">
        <v>11030</v>
      </c>
      <c r="C2130" s="39">
        <v>4</v>
      </c>
      <c r="D2130" s="39" t="s">
        <v>2122</v>
      </c>
    </row>
    <row r="2131" spans="1:4" x14ac:dyDescent="0.25">
      <c r="A2131" s="39" t="s">
        <v>5333</v>
      </c>
      <c r="B2131" s="39" t="s">
        <v>4171</v>
      </c>
      <c r="C2131" s="39">
        <v>4</v>
      </c>
      <c r="D2131" s="39" t="s">
        <v>2122</v>
      </c>
    </row>
    <row r="2132" spans="1:4" x14ac:dyDescent="0.25">
      <c r="A2132" s="39" t="s">
        <v>7372</v>
      </c>
      <c r="B2132" s="39" t="s">
        <v>7373</v>
      </c>
      <c r="C2132" s="39">
        <v>4</v>
      </c>
      <c r="D2132" s="39" t="s">
        <v>2122</v>
      </c>
    </row>
    <row r="2133" spans="1:4" x14ac:dyDescent="0.25">
      <c r="A2133" s="39" t="s">
        <v>3549</v>
      </c>
      <c r="B2133" s="39" t="s">
        <v>3792</v>
      </c>
      <c r="C2133" s="39">
        <v>4</v>
      </c>
      <c r="D2133" s="39" t="s">
        <v>2122</v>
      </c>
    </row>
    <row r="2134" spans="1:4" x14ac:dyDescent="0.25">
      <c r="A2134" s="39" t="s">
        <v>7374</v>
      </c>
      <c r="B2134" s="39" t="s">
        <v>4833</v>
      </c>
      <c r="C2134" s="39">
        <v>4</v>
      </c>
      <c r="D2134" s="39" t="s">
        <v>2122</v>
      </c>
    </row>
    <row r="2135" spans="1:4" x14ac:dyDescent="0.25">
      <c r="A2135" s="39" t="s">
        <v>7375</v>
      </c>
      <c r="B2135" s="39" t="s">
        <v>7376</v>
      </c>
      <c r="C2135" s="39">
        <v>4</v>
      </c>
      <c r="D2135" s="39" t="s">
        <v>2122</v>
      </c>
    </row>
    <row r="2136" spans="1:4" x14ac:dyDescent="0.25">
      <c r="A2136" s="39" t="s">
        <v>7377</v>
      </c>
      <c r="B2136" s="39" t="s">
        <v>7378</v>
      </c>
      <c r="C2136" s="39">
        <v>4</v>
      </c>
      <c r="D2136" s="39" t="s">
        <v>2122</v>
      </c>
    </row>
    <row r="2137" spans="1:4" x14ac:dyDescent="0.25">
      <c r="A2137" s="39" t="s">
        <v>11031</v>
      </c>
      <c r="B2137" s="39" t="s">
        <v>11032</v>
      </c>
      <c r="C2137" s="39">
        <v>4</v>
      </c>
      <c r="D2137" s="39" t="s">
        <v>2122</v>
      </c>
    </row>
    <row r="2138" spans="1:4" x14ac:dyDescent="0.25">
      <c r="A2138" s="39" t="s">
        <v>3550</v>
      </c>
      <c r="B2138" s="39" t="s">
        <v>1363</v>
      </c>
      <c r="C2138" s="39">
        <v>4</v>
      </c>
      <c r="D2138" s="39" t="s">
        <v>2122</v>
      </c>
    </row>
    <row r="2139" spans="1:4" x14ac:dyDescent="0.25">
      <c r="A2139" s="39" t="s">
        <v>11033</v>
      </c>
      <c r="B2139" s="39" t="s">
        <v>4709</v>
      </c>
      <c r="C2139" s="39">
        <v>4</v>
      </c>
      <c r="D2139" s="39" t="s">
        <v>2122</v>
      </c>
    </row>
    <row r="2140" spans="1:4" x14ac:dyDescent="0.25">
      <c r="A2140" s="39" t="s">
        <v>7379</v>
      </c>
      <c r="B2140" s="39" t="s">
        <v>4330</v>
      </c>
      <c r="C2140" s="39">
        <v>4</v>
      </c>
      <c r="D2140" s="39" t="s">
        <v>2122</v>
      </c>
    </row>
    <row r="2141" spans="1:4" x14ac:dyDescent="0.25">
      <c r="A2141" s="39" t="s">
        <v>3552</v>
      </c>
      <c r="B2141" s="39" t="s">
        <v>3068</v>
      </c>
      <c r="C2141" s="39">
        <v>4</v>
      </c>
      <c r="D2141" s="39" t="s">
        <v>2122</v>
      </c>
    </row>
    <row r="2142" spans="1:4" x14ac:dyDescent="0.25">
      <c r="A2142" s="39" t="s">
        <v>11034</v>
      </c>
      <c r="B2142" s="39" t="s">
        <v>4115</v>
      </c>
      <c r="C2142" s="39">
        <v>4</v>
      </c>
      <c r="D2142" s="39" t="s">
        <v>2122</v>
      </c>
    </row>
    <row r="2143" spans="1:4" x14ac:dyDescent="0.25">
      <c r="A2143" s="39" t="s">
        <v>11035</v>
      </c>
      <c r="B2143" s="39" t="s">
        <v>11036</v>
      </c>
      <c r="C2143" s="39">
        <v>4</v>
      </c>
      <c r="D2143" s="39" t="s">
        <v>2122</v>
      </c>
    </row>
    <row r="2144" spans="1:4" x14ac:dyDescent="0.25">
      <c r="A2144" s="39" t="s">
        <v>7380</v>
      </c>
      <c r="B2144" s="39" t="s">
        <v>4332</v>
      </c>
      <c r="C2144" s="39">
        <v>4</v>
      </c>
      <c r="D2144" s="39" t="s">
        <v>2122</v>
      </c>
    </row>
    <row r="2145" spans="1:4" x14ac:dyDescent="0.25">
      <c r="A2145" s="39" t="s">
        <v>3553</v>
      </c>
      <c r="B2145" s="39" t="s">
        <v>3794</v>
      </c>
      <c r="C2145" s="39">
        <v>4</v>
      </c>
      <c r="D2145" s="39" t="s">
        <v>2122</v>
      </c>
    </row>
    <row r="2146" spans="1:4" x14ac:dyDescent="0.25">
      <c r="A2146" s="39" t="s">
        <v>5334</v>
      </c>
      <c r="B2146" s="39" t="s">
        <v>4191</v>
      </c>
      <c r="C2146" s="39">
        <v>4</v>
      </c>
      <c r="D2146" s="39" t="s">
        <v>2122</v>
      </c>
    </row>
    <row r="2147" spans="1:4" x14ac:dyDescent="0.25">
      <c r="A2147" s="39" t="s">
        <v>3248</v>
      </c>
      <c r="B2147" s="39" t="s">
        <v>666</v>
      </c>
      <c r="C2147" s="39">
        <v>4</v>
      </c>
      <c r="D2147" s="39" t="s">
        <v>2122</v>
      </c>
    </row>
    <row r="2148" spans="1:4" x14ac:dyDescent="0.25">
      <c r="A2148" s="39" t="s">
        <v>11037</v>
      </c>
      <c r="B2148" s="39" t="s">
        <v>11038</v>
      </c>
      <c r="C2148" s="39">
        <v>4</v>
      </c>
      <c r="D2148" s="39" t="s">
        <v>2122</v>
      </c>
    </row>
    <row r="2149" spans="1:4" x14ac:dyDescent="0.25">
      <c r="A2149" s="39" t="s">
        <v>11039</v>
      </c>
      <c r="B2149" s="39" t="s">
        <v>11040</v>
      </c>
      <c r="C2149" s="39">
        <v>4</v>
      </c>
      <c r="D2149" s="39" t="s">
        <v>2122</v>
      </c>
    </row>
    <row r="2150" spans="1:4" x14ac:dyDescent="0.25">
      <c r="A2150" s="39" t="s">
        <v>11041</v>
      </c>
      <c r="B2150" s="39" t="s">
        <v>11042</v>
      </c>
      <c r="C2150" s="39">
        <v>4</v>
      </c>
      <c r="D2150" s="39" t="s">
        <v>2122</v>
      </c>
    </row>
    <row r="2151" spans="1:4" x14ac:dyDescent="0.25">
      <c r="A2151" s="39" t="s">
        <v>5335</v>
      </c>
      <c r="B2151" s="39" t="s">
        <v>3043</v>
      </c>
      <c r="C2151" s="39">
        <v>4</v>
      </c>
      <c r="D2151" s="39" t="s">
        <v>2122</v>
      </c>
    </row>
    <row r="2152" spans="1:4" x14ac:dyDescent="0.25">
      <c r="A2152" s="39" t="s">
        <v>11043</v>
      </c>
      <c r="B2152" s="39" t="s">
        <v>11044</v>
      </c>
      <c r="C2152" s="39">
        <v>4</v>
      </c>
      <c r="D2152" s="39" t="s">
        <v>2122</v>
      </c>
    </row>
    <row r="2153" spans="1:4" x14ac:dyDescent="0.25">
      <c r="A2153" s="39" t="s">
        <v>7381</v>
      </c>
      <c r="B2153" s="39" t="s">
        <v>7382</v>
      </c>
      <c r="C2153" s="39">
        <v>4</v>
      </c>
      <c r="D2153" s="39" t="s">
        <v>2122</v>
      </c>
    </row>
    <row r="2154" spans="1:4" x14ac:dyDescent="0.25">
      <c r="A2154" s="39" t="s">
        <v>3554</v>
      </c>
      <c r="B2154" s="39" t="s">
        <v>3795</v>
      </c>
      <c r="C2154" s="39">
        <v>4</v>
      </c>
      <c r="D2154" s="39" t="s">
        <v>2122</v>
      </c>
    </row>
    <row r="2155" spans="1:4" x14ac:dyDescent="0.25">
      <c r="A2155" s="39" t="s">
        <v>7383</v>
      </c>
      <c r="B2155" s="39" t="s">
        <v>7384</v>
      </c>
      <c r="C2155" s="39">
        <v>4</v>
      </c>
      <c r="D2155" s="39" t="s">
        <v>2122</v>
      </c>
    </row>
    <row r="2156" spans="1:4" x14ac:dyDescent="0.25">
      <c r="A2156" s="39" t="s">
        <v>1717</v>
      </c>
      <c r="B2156" s="39" t="s">
        <v>262</v>
      </c>
      <c r="C2156" s="39">
        <v>4</v>
      </c>
      <c r="D2156" s="39" t="s">
        <v>2122</v>
      </c>
    </row>
    <row r="2157" spans="1:4" x14ac:dyDescent="0.25">
      <c r="A2157" s="39" t="s">
        <v>7385</v>
      </c>
      <c r="B2157" s="39" t="s">
        <v>7386</v>
      </c>
      <c r="C2157" s="39">
        <v>4</v>
      </c>
      <c r="D2157" s="39" t="s">
        <v>2122</v>
      </c>
    </row>
    <row r="2158" spans="1:4" x14ac:dyDescent="0.25">
      <c r="A2158" s="39" t="s">
        <v>5336</v>
      </c>
      <c r="B2158" s="39" t="s">
        <v>2501</v>
      </c>
      <c r="C2158" s="39">
        <v>4</v>
      </c>
      <c r="D2158" s="39" t="s">
        <v>2122</v>
      </c>
    </row>
    <row r="2159" spans="1:4" x14ac:dyDescent="0.25">
      <c r="A2159" s="39" t="s">
        <v>5337</v>
      </c>
      <c r="B2159" s="39" t="s">
        <v>5338</v>
      </c>
      <c r="C2159" s="39">
        <v>4</v>
      </c>
      <c r="D2159" s="39" t="s">
        <v>2122</v>
      </c>
    </row>
    <row r="2160" spans="1:4" x14ac:dyDescent="0.25">
      <c r="A2160" s="39" t="s">
        <v>11045</v>
      </c>
      <c r="B2160" s="39" t="s">
        <v>11046</v>
      </c>
      <c r="C2160" s="39">
        <v>4</v>
      </c>
      <c r="D2160" s="39" t="s">
        <v>2122</v>
      </c>
    </row>
    <row r="2161" spans="1:4" x14ac:dyDescent="0.25">
      <c r="A2161" s="39" t="s">
        <v>11047</v>
      </c>
      <c r="B2161" s="39" t="s">
        <v>4656</v>
      </c>
      <c r="C2161" s="39">
        <v>4</v>
      </c>
      <c r="D2161" s="39" t="s">
        <v>2122</v>
      </c>
    </row>
    <row r="2162" spans="1:4" x14ac:dyDescent="0.25">
      <c r="A2162" s="39" t="s">
        <v>3250</v>
      </c>
      <c r="B2162" s="39" t="s">
        <v>3251</v>
      </c>
      <c r="C2162" s="39">
        <v>4</v>
      </c>
      <c r="D2162" s="39" t="s">
        <v>2122</v>
      </c>
    </row>
    <row r="2163" spans="1:4" x14ac:dyDescent="0.25">
      <c r="A2163" s="39" t="s">
        <v>1677</v>
      </c>
      <c r="B2163" s="39" t="s">
        <v>2989</v>
      </c>
      <c r="C2163" s="39">
        <v>4</v>
      </c>
      <c r="D2163" s="39" t="s">
        <v>2122</v>
      </c>
    </row>
    <row r="2164" spans="1:4" x14ac:dyDescent="0.25">
      <c r="A2164" s="39" t="s">
        <v>11048</v>
      </c>
      <c r="B2164" s="39" t="s">
        <v>11049</v>
      </c>
      <c r="C2164" s="39">
        <v>4</v>
      </c>
      <c r="D2164" s="39" t="s">
        <v>2122</v>
      </c>
    </row>
    <row r="2165" spans="1:4" x14ac:dyDescent="0.25">
      <c r="A2165" s="39" t="s">
        <v>11050</v>
      </c>
      <c r="B2165" s="39" t="s">
        <v>11051</v>
      </c>
      <c r="C2165" s="39">
        <v>4</v>
      </c>
      <c r="D2165" s="39" t="s">
        <v>2122</v>
      </c>
    </row>
    <row r="2166" spans="1:4" x14ac:dyDescent="0.25">
      <c r="A2166" s="39" t="s">
        <v>7387</v>
      </c>
      <c r="B2166" s="39" t="s">
        <v>7388</v>
      </c>
      <c r="C2166" s="39">
        <v>4</v>
      </c>
      <c r="D2166" s="39" t="s">
        <v>2122</v>
      </c>
    </row>
    <row r="2167" spans="1:4" x14ac:dyDescent="0.25">
      <c r="A2167" s="39" t="s">
        <v>7389</v>
      </c>
      <c r="B2167" s="39" t="s">
        <v>7390</v>
      </c>
      <c r="C2167" s="39">
        <v>4</v>
      </c>
      <c r="D2167" s="39" t="s">
        <v>2122</v>
      </c>
    </row>
    <row r="2168" spans="1:4" x14ac:dyDescent="0.25">
      <c r="A2168" s="39" t="s">
        <v>7393</v>
      </c>
      <c r="B2168" s="39" t="s">
        <v>7394</v>
      </c>
      <c r="C2168" s="39">
        <v>4</v>
      </c>
      <c r="D2168" s="39" t="s">
        <v>2122</v>
      </c>
    </row>
    <row r="2169" spans="1:4" x14ac:dyDescent="0.25">
      <c r="A2169" s="39" t="s">
        <v>11052</v>
      </c>
      <c r="B2169" s="39" t="s">
        <v>11053</v>
      </c>
      <c r="C2169" s="39">
        <v>4</v>
      </c>
      <c r="D2169" s="39" t="s">
        <v>2122</v>
      </c>
    </row>
    <row r="2170" spans="1:4" x14ac:dyDescent="0.25">
      <c r="A2170" s="39" t="s">
        <v>7395</v>
      </c>
      <c r="B2170" s="39" t="s">
        <v>4741</v>
      </c>
      <c r="C2170" s="39">
        <v>4</v>
      </c>
      <c r="D2170" s="39" t="s">
        <v>2122</v>
      </c>
    </row>
    <row r="2171" spans="1:4" x14ac:dyDescent="0.25">
      <c r="A2171" s="39" t="s">
        <v>3555</v>
      </c>
      <c r="B2171" s="39" t="s">
        <v>3796</v>
      </c>
      <c r="C2171" s="39">
        <v>4</v>
      </c>
      <c r="D2171" s="39" t="s">
        <v>2122</v>
      </c>
    </row>
    <row r="2172" spans="1:4" x14ac:dyDescent="0.25">
      <c r="A2172" s="39" t="s">
        <v>5341</v>
      </c>
      <c r="B2172" s="39" t="s">
        <v>5342</v>
      </c>
      <c r="C2172" s="39">
        <v>4</v>
      </c>
      <c r="D2172" s="39" t="s">
        <v>2122</v>
      </c>
    </row>
    <row r="2173" spans="1:4" x14ac:dyDescent="0.25">
      <c r="A2173" s="39" t="s">
        <v>5343</v>
      </c>
      <c r="B2173" s="39" t="s">
        <v>5344</v>
      </c>
      <c r="C2173" s="39">
        <v>4</v>
      </c>
      <c r="D2173" s="39" t="s">
        <v>2122</v>
      </c>
    </row>
    <row r="2174" spans="1:4" x14ac:dyDescent="0.25">
      <c r="A2174" s="39" t="s">
        <v>5345</v>
      </c>
      <c r="B2174" s="39" t="s">
        <v>865</v>
      </c>
      <c r="C2174" s="39">
        <v>4</v>
      </c>
      <c r="D2174" s="39" t="s">
        <v>2122</v>
      </c>
    </row>
    <row r="2175" spans="1:4" x14ac:dyDescent="0.25">
      <c r="A2175" s="39" t="s">
        <v>5346</v>
      </c>
      <c r="B2175" s="39" t="s">
        <v>3057</v>
      </c>
      <c r="C2175" s="39">
        <v>4</v>
      </c>
      <c r="D2175" s="39" t="s">
        <v>2122</v>
      </c>
    </row>
    <row r="2176" spans="1:4" x14ac:dyDescent="0.25">
      <c r="A2176" s="39" t="s">
        <v>3556</v>
      </c>
      <c r="B2176" s="39" t="s">
        <v>3797</v>
      </c>
      <c r="C2176" s="39">
        <v>4</v>
      </c>
      <c r="D2176" s="39" t="s">
        <v>2122</v>
      </c>
    </row>
    <row r="2177" spans="1:4" x14ac:dyDescent="0.25">
      <c r="A2177" s="39" t="s">
        <v>1197</v>
      </c>
      <c r="B2177" s="39" t="s">
        <v>3252</v>
      </c>
      <c r="C2177" s="39">
        <v>4</v>
      </c>
      <c r="D2177" s="39" t="s">
        <v>2122</v>
      </c>
    </row>
    <row r="2178" spans="1:4" x14ac:dyDescent="0.25">
      <c r="A2178" s="39" t="s">
        <v>11054</v>
      </c>
      <c r="B2178" s="39" t="s">
        <v>11055</v>
      </c>
      <c r="C2178" s="39">
        <v>4</v>
      </c>
      <c r="D2178" s="39" t="s">
        <v>2122</v>
      </c>
    </row>
    <row r="2179" spans="1:4" x14ac:dyDescent="0.25">
      <c r="A2179" s="39" t="s">
        <v>11056</v>
      </c>
      <c r="B2179" s="39" t="s">
        <v>5900</v>
      </c>
      <c r="C2179" s="39">
        <v>4</v>
      </c>
      <c r="D2179" s="39" t="s">
        <v>2122</v>
      </c>
    </row>
    <row r="2180" spans="1:4" x14ac:dyDescent="0.25">
      <c r="A2180" s="39" t="s">
        <v>7396</v>
      </c>
      <c r="B2180" s="39" t="s">
        <v>4189</v>
      </c>
      <c r="C2180" s="39">
        <v>4</v>
      </c>
      <c r="D2180" s="39" t="s">
        <v>2122</v>
      </c>
    </row>
    <row r="2181" spans="1:4" x14ac:dyDescent="0.25">
      <c r="A2181" s="39" t="s">
        <v>11057</v>
      </c>
      <c r="B2181" s="39" t="s">
        <v>11058</v>
      </c>
      <c r="C2181" s="39">
        <v>4</v>
      </c>
      <c r="D2181" s="39" t="s">
        <v>2122</v>
      </c>
    </row>
    <row r="2182" spans="1:4" x14ac:dyDescent="0.25">
      <c r="A2182" s="39" t="s">
        <v>11059</v>
      </c>
      <c r="B2182" s="39" t="s">
        <v>5887</v>
      </c>
      <c r="C2182" s="39">
        <v>4</v>
      </c>
      <c r="D2182" s="39" t="s">
        <v>2122</v>
      </c>
    </row>
    <row r="2183" spans="1:4" x14ac:dyDescent="0.25">
      <c r="A2183" s="39" t="s">
        <v>1924</v>
      </c>
      <c r="B2183" s="39" t="s">
        <v>1266</v>
      </c>
      <c r="C2183" s="39">
        <v>4</v>
      </c>
      <c r="D2183" s="39" t="s">
        <v>2122</v>
      </c>
    </row>
    <row r="2184" spans="1:4" x14ac:dyDescent="0.25">
      <c r="A2184" s="39" t="s">
        <v>7397</v>
      </c>
      <c r="B2184" s="39" t="s">
        <v>7398</v>
      </c>
      <c r="C2184" s="39">
        <v>4</v>
      </c>
      <c r="D2184" s="39" t="s">
        <v>2122</v>
      </c>
    </row>
    <row r="2185" spans="1:4" x14ac:dyDescent="0.25">
      <c r="A2185" s="39" t="s">
        <v>7399</v>
      </c>
      <c r="B2185" s="39" t="s">
        <v>3032</v>
      </c>
      <c r="C2185" s="39">
        <v>4</v>
      </c>
      <c r="D2185" s="39" t="s">
        <v>2122</v>
      </c>
    </row>
    <row r="2186" spans="1:4" x14ac:dyDescent="0.25">
      <c r="A2186" s="39" t="s">
        <v>5347</v>
      </c>
      <c r="B2186" s="39" t="s">
        <v>5348</v>
      </c>
      <c r="C2186" s="39">
        <v>4</v>
      </c>
      <c r="D2186" s="39" t="s">
        <v>2122</v>
      </c>
    </row>
    <row r="2187" spans="1:4" x14ac:dyDescent="0.25">
      <c r="A2187" s="39" t="s">
        <v>5349</v>
      </c>
      <c r="B2187" s="39" t="s">
        <v>5350</v>
      </c>
      <c r="C2187" s="39">
        <v>4</v>
      </c>
      <c r="D2187" s="39" t="s">
        <v>2122</v>
      </c>
    </row>
    <row r="2188" spans="1:4" x14ac:dyDescent="0.25">
      <c r="A2188" s="39" t="s">
        <v>11060</v>
      </c>
      <c r="B2188" s="39" t="s">
        <v>5848</v>
      </c>
      <c r="C2188" s="39">
        <v>4</v>
      </c>
      <c r="D2188" s="39" t="s">
        <v>2122</v>
      </c>
    </row>
    <row r="2189" spans="1:4" x14ac:dyDescent="0.25">
      <c r="A2189" s="39" t="s">
        <v>7400</v>
      </c>
      <c r="B2189" s="39" t="s">
        <v>7401</v>
      </c>
      <c r="C2189" s="39">
        <v>4</v>
      </c>
      <c r="D2189" s="39" t="s">
        <v>2122</v>
      </c>
    </row>
    <row r="2190" spans="1:4" x14ac:dyDescent="0.25">
      <c r="A2190" s="39" t="s">
        <v>11061</v>
      </c>
      <c r="B2190" s="39" t="s">
        <v>5811</v>
      </c>
      <c r="C2190" s="39">
        <v>4</v>
      </c>
      <c r="D2190" s="39" t="s">
        <v>2122</v>
      </c>
    </row>
    <row r="2191" spans="1:4" x14ac:dyDescent="0.25">
      <c r="A2191" s="39" t="s">
        <v>7402</v>
      </c>
      <c r="B2191" s="39" t="s">
        <v>3982</v>
      </c>
      <c r="C2191" s="39">
        <v>4</v>
      </c>
      <c r="D2191" s="39" t="s">
        <v>2122</v>
      </c>
    </row>
    <row r="2192" spans="1:4" x14ac:dyDescent="0.25">
      <c r="A2192" s="39" t="s">
        <v>11062</v>
      </c>
      <c r="B2192" s="39" t="s">
        <v>11063</v>
      </c>
      <c r="C2192" s="39">
        <v>4</v>
      </c>
      <c r="D2192" s="39" t="s">
        <v>2122</v>
      </c>
    </row>
    <row r="2193" spans="1:4" x14ac:dyDescent="0.25">
      <c r="A2193" s="39" t="s">
        <v>7403</v>
      </c>
      <c r="B2193" s="39" t="s">
        <v>4782</v>
      </c>
      <c r="C2193" s="39">
        <v>4</v>
      </c>
      <c r="D2193" s="39" t="s">
        <v>2122</v>
      </c>
    </row>
    <row r="2194" spans="1:4" x14ac:dyDescent="0.25">
      <c r="A2194" s="39" t="s">
        <v>3254</v>
      </c>
      <c r="B2194" s="39" t="s">
        <v>3255</v>
      </c>
      <c r="C2194" s="39">
        <v>4</v>
      </c>
      <c r="D2194" s="39" t="s">
        <v>2122</v>
      </c>
    </row>
    <row r="2195" spans="1:4" x14ac:dyDescent="0.25">
      <c r="A2195" s="39" t="s">
        <v>7404</v>
      </c>
      <c r="B2195" s="39" t="s">
        <v>7405</v>
      </c>
      <c r="C2195" s="39">
        <v>4</v>
      </c>
      <c r="D2195" s="39" t="s">
        <v>2122</v>
      </c>
    </row>
    <row r="2196" spans="1:4" x14ac:dyDescent="0.25">
      <c r="A2196" s="39" t="s">
        <v>2089</v>
      </c>
      <c r="B2196" s="39" t="s">
        <v>1170</v>
      </c>
      <c r="C2196" s="39">
        <v>4</v>
      </c>
      <c r="D2196" s="39" t="s">
        <v>2122</v>
      </c>
    </row>
    <row r="2197" spans="1:4" x14ac:dyDescent="0.25">
      <c r="A2197" s="39" t="s">
        <v>7406</v>
      </c>
      <c r="B2197" s="39" t="s">
        <v>2938</v>
      </c>
      <c r="C2197" s="39">
        <v>4</v>
      </c>
      <c r="D2197" s="39" t="s">
        <v>2122</v>
      </c>
    </row>
    <row r="2198" spans="1:4" x14ac:dyDescent="0.25">
      <c r="A2198" s="39" t="s">
        <v>11064</v>
      </c>
      <c r="B2198" s="39" t="s">
        <v>4135</v>
      </c>
      <c r="C2198" s="39">
        <v>4</v>
      </c>
      <c r="D2198" s="39" t="s">
        <v>2122</v>
      </c>
    </row>
    <row r="2199" spans="1:4" x14ac:dyDescent="0.25">
      <c r="A2199" s="39" t="s">
        <v>7407</v>
      </c>
      <c r="B2199" s="39" t="s">
        <v>4023</v>
      </c>
      <c r="C2199" s="39">
        <v>4</v>
      </c>
      <c r="D2199" s="39" t="s">
        <v>2122</v>
      </c>
    </row>
    <row r="2200" spans="1:4" x14ac:dyDescent="0.25">
      <c r="A2200" s="39" t="s">
        <v>5351</v>
      </c>
      <c r="B2200" s="39" t="s">
        <v>2049</v>
      </c>
      <c r="C2200" s="39">
        <v>4</v>
      </c>
      <c r="D2200" s="39" t="s">
        <v>2122</v>
      </c>
    </row>
    <row r="2201" spans="1:4" x14ac:dyDescent="0.25">
      <c r="A2201" s="39" t="s">
        <v>2235</v>
      </c>
      <c r="B2201" s="39" t="s">
        <v>2414</v>
      </c>
      <c r="C2201" s="39">
        <v>4</v>
      </c>
      <c r="D2201" s="39" t="s">
        <v>2122</v>
      </c>
    </row>
    <row r="2202" spans="1:4" x14ac:dyDescent="0.25">
      <c r="A2202" s="39" t="s">
        <v>11065</v>
      </c>
      <c r="B2202" s="39" t="s">
        <v>11066</v>
      </c>
      <c r="C2202" s="39">
        <v>4</v>
      </c>
      <c r="D2202" s="39" t="s">
        <v>2122</v>
      </c>
    </row>
    <row r="2203" spans="1:4" x14ac:dyDescent="0.25">
      <c r="A2203" s="39" t="s">
        <v>5352</v>
      </c>
      <c r="B2203" s="39" t="s">
        <v>3937</v>
      </c>
      <c r="C2203" s="39">
        <v>4</v>
      </c>
      <c r="D2203" s="39" t="s">
        <v>2122</v>
      </c>
    </row>
    <row r="2204" spans="1:4" x14ac:dyDescent="0.25">
      <c r="A2204" s="39" t="s">
        <v>11067</v>
      </c>
      <c r="B2204" s="39" t="s">
        <v>11068</v>
      </c>
      <c r="C2204" s="39">
        <v>4</v>
      </c>
      <c r="D2204" s="39" t="s">
        <v>2122</v>
      </c>
    </row>
    <row r="2205" spans="1:4" x14ac:dyDescent="0.25">
      <c r="A2205" s="39" t="s">
        <v>7408</v>
      </c>
      <c r="B2205" s="39" t="s">
        <v>4187</v>
      </c>
      <c r="C2205" s="39">
        <v>4</v>
      </c>
      <c r="D2205" s="39" t="s">
        <v>2122</v>
      </c>
    </row>
    <row r="2206" spans="1:4" x14ac:dyDescent="0.25">
      <c r="A2206" s="39" t="s">
        <v>351</v>
      </c>
      <c r="B2206" s="39" t="s">
        <v>877</v>
      </c>
      <c r="C2206" s="39">
        <v>4</v>
      </c>
      <c r="D2206" s="39" t="s">
        <v>2122</v>
      </c>
    </row>
    <row r="2207" spans="1:4" x14ac:dyDescent="0.25">
      <c r="A2207" s="39" t="s">
        <v>5353</v>
      </c>
      <c r="B2207" s="39" t="s">
        <v>3007</v>
      </c>
      <c r="C2207" s="39">
        <v>4</v>
      </c>
      <c r="D2207" s="39" t="s">
        <v>2122</v>
      </c>
    </row>
    <row r="2208" spans="1:4" x14ac:dyDescent="0.25">
      <c r="A2208" s="39" t="s">
        <v>11069</v>
      </c>
      <c r="B2208" s="39" t="s">
        <v>4766</v>
      </c>
      <c r="C2208" s="39">
        <v>4</v>
      </c>
      <c r="D2208" s="39" t="s">
        <v>2122</v>
      </c>
    </row>
    <row r="2209" spans="1:4" x14ac:dyDescent="0.25">
      <c r="A2209" s="39" t="s">
        <v>2753</v>
      </c>
      <c r="B2209" s="39" t="s">
        <v>2385</v>
      </c>
      <c r="C2209" s="39">
        <v>4</v>
      </c>
      <c r="D2209" s="39" t="s">
        <v>2122</v>
      </c>
    </row>
    <row r="2210" spans="1:4" x14ac:dyDescent="0.25">
      <c r="A2210" s="39" t="s">
        <v>7409</v>
      </c>
      <c r="B2210" s="39" t="s">
        <v>3054</v>
      </c>
      <c r="C2210" s="39">
        <v>4</v>
      </c>
      <c r="D2210" s="39" t="s">
        <v>2122</v>
      </c>
    </row>
    <row r="2211" spans="1:4" x14ac:dyDescent="0.25">
      <c r="A2211" s="39" t="s">
        <v>5354</v>
      </c>
      <c r="B2211" s="39" t="s">
        <v>5355</v>
      </c>
      <c r="C2211" s="39">
        <v>4</v>
      </c>
      <c r="D2211" s="39" t="s">
        <v>2122</v>
      </c>
    </row>
    <row r="2212" spans="1:4" x14ac:dyDescent="0.25">
      <c r="A2212" s="39" t="s">
        <v>5356</v>
      </c>
      <c r="B2212" s="39" t="s">
        <v>5357</v>
      </c>
      <c r="C2212" s="39">
        <v>4</v>
      </c>
      <c r="D2212" s="39" t="s">
        <v>2122</v>
      </c>
    </row>
    <row r="2213" spans="1:4" x14ac:dyDescent="0.25">
      <c r="A2213" s="39" t="s">
        <v>11070</v>
      </c>
      <c r="B2213" s="39" t="s">
        <v>5935</v>
      </c>
      <c r="C2213" s="39">
        <v>4</v>
      </c>
      <c r="D2213" s="39" t="s">
        <v>2122</v>
      </c>
    </row>
    <row r="2214" spans="1:4" x14ac:dyDescent="0.25">
      <c r="A2214" s="39" t="s">
        <v>7410</v>
      </c>
      <c r="B2214" s="39" t="s">
        <v>7411</v>
      </c>
      <c r="C2214" s="39">
        <v>4</v>
      </c>
      <c r="D2214" s="39" t="s">
        <v>2122</v>
      </c>
    </row>
    <row r="2215" spans="1:4" x14ac:dyDescent="0.25">
      <c r="A2215" s="39" t="s">
        <v>5358</v>
      </c>
      <c r="B2215" s="39" t="s">
        <v>5359</v>
      </c>
      <c r="C2215" s="39">
        <v>4</v>
      </c>
      <c r="D2215" s="39" t="s">
        <v>2122</v>
      </c>
    </row>
    <row r="2216" spans="1:4" x14ac:dyDescent="0.25">
      <c r="A2216" s="39" t="s">
        <v>11071</v>
      </c>
      <c r="B2216" s="39" t="s">
        <v>11072</v>
      </c>
      <c r="C2216" s="39">
        <v>4</v>
      </c>
      <c r="D2216" s="39" t="s">
        <v>2122</v>
      </c>
    </row>
    <row r="2217" spans="1:4" x14ac:dyDescent="0.25">
      <c r="A2217" s="39" t="s">
        <v>5360</v>
      </c>
      <c r="B2217" s="39" t="s">
        <v>5361</v>
      </c>
      <c r="C2217" s="39">
        <v>4</v>
      </c>
      <c r="D2217" s="39" t="s">
        <v>2122</v>
      </c>
    </row>
    <row r="2218" spans="1:4" x14ac:dyDescent="0.25">
      <c r="A2218" s="39" t="s">
        <v>11073</v>
      </c>
      <c r="B2218" s="39" t="s">
        <v>5362</v>
      </c>
      <c r="C2218" s="39">
        <v>4</v>
      </c>
      <c r="D2218" s="39" t="s">
        <v>2122</v>
      </c>
    </row>
    <row r="2219" spans="1:4" x14ac:dyDescent="0.25">
      <c r="A2219" s="39" t="s">
        <v>11074</v>
      </c>
      <c r="B2219" s="39" t="s">
        <v>4859</v>
      </c>
      <c r="C2219" s="39">
        <v>4</v>
      </c>
      <c r="D2219" s="39" t="s">
        <v>2122</v>
      </c>
    </row>
    <row r="2220" spans="1:4" x14ac:dyDescent="0.25">
      <c r="A2220" s="39" t="s">
        <v>7414</v>
      </c>
      <c r="B2220" s="39" t="s">
        <v>7415</v>
      </c>
      <c r="C2220" s="39">
        <v>4</v>
      </c>
      <c r="D2220" s="39" t="s">
        <v>2122</v>
      </c>
    </row>
    <row r="2221" spans="1:4" x14ac:dyDescent="0.25">
      <c r="A2221" s="39" t="s">
        <v>1925</v>
      </c>
      <c r="B2221" s="39" t="s">
        <v>1131</v>
      </c>
      <c r="C2221" s="39">
        <v>4</v>
      </c>
      <c r="D2221" s="39" t="s">
        <v>2122</v>
      </c>
    </row>
    <row r="2222" spans="1:4" x14ac:dyDescent="0.25">
      <c r="A2222" s="39" t="s">
        <v>3559</v>
      </c>
      <c r="B2222" s="39" t="s">
        <v>3800</v>
      </c>
      <c r="C2222" s="39">
        <v>4</v>
      </c>
      <c r="D2222" s="39" t="s">
        <v>2122</v>
      </c>
    </row>
    <row r="2223" spans="1:4" x14ac:dyDescent="0.25">
      <c r="A2223" s="39" t="s">
        <v>3257</v>
      </c>
      <c r="B2223" s="39" t="s">
        <v>3258</v>
      </c>
      <c r="C2223" s="39">
        <v>4</v>
      </c>
      <c r="D2223" s="39" t="s">
        <v>2122</v>
      </c>
    </row>
    <row r="2224" spans="1:4" x14ac:dyDescent="0.25">
      <c r="A2224" s="39" t="s">
        <v>11075</v>
      </c>
      <c r="B2224" s="39" t="s">
        <v>4430</v>
      </c>
      <c r="C2224" s="39">
        <v>4</v>
      </c>
      <c r="D2224" s="39" t="s">
        <v>2122</v>
      </c>
    </row>
    <row r="2225" spans="1:4" x14ac:dyDescent="0.25">
      <c r="A2225" s="39" t="s">
        <v>5363</v>
      </c>
      <c r="B2225" s="39" t="s">
        <v>3368</v>
      </c>
      <c r="C2225" s="39">
        <v>4</v>
      </c>
      <c r="D2225" s="39" t="s">
        <v>2122</v>
      </c>
    </row>
    <row r="2226" spans="1:4" x14ac:dyDescent="0.25">
      <c r="A2226" s="39" t="s">
        <v>11076</v>
      </c>
      <c r="B2226" s="39" t="s">
        <v>3941</v>
      </c>
      <c r="C2226" s="39">
        <v>4</v>
      </c>
      <c r="D2226" s="39" t="s">
        <v>2122</v>
      </c>
    </row>
    <row r="2227" spans="1:4" x14ac:dyDescent="0.25">
      <c r="A2227" s="39" t="s">
        <v>5364</v>
      </c>
      <c r="B2227" s="39" t="s">
        <v>3086</v>
      </c>
      <c r="C2227" s="39">
        <v>4</v>
      </c>
      <c r="D2227" s="39" t="s">
        <v>2122</v>
      </c>
    </row>
    <row r="2228" spans="1:4" x14ac:dyDescent="0.25">
      <c r="A2228" s="39" t="s">
        <v>5365</v>
      </c>
      <c r="B2228" s="39" t="s">
        <v>1793</v>
      </c>
      <c r="C2228" s="39">
        <v>4</v>
      </c>
      <c r="D2228" s="39" t="s">
        <v>2122</v>
      </c>
    </row>
    <row r="2229" spans="1:4" x14ac:dyDescent="0.25">
      <c r="A2229" s="39" t="s">
        <v>3242</v>
      </c>
      <c r="B2229" s="39" t="s">
        <v>185</v>
      </c>
      <c r="C2229" s="39">
        <v>4</v>
      </c>
      <c r="D2229" s="39" t="s">
        <v>2122</v>
      </c>
    </row>
    <row r="2230" spans="1:4" x14ac:dyDescent="0.25">
      <c r="A2230" s="39" t="s">
        <v>7416</v>
      </c>
      <c r="B2230" s="39" t="s">
        <v>7417</v>
      </c>
      <c r="C2230" s="39">
        <v>4</v>
      </c>
      <c r="D2230" s="39" t="s">
        <v>2122</v>
      </c>
    </row>
    <row r="2231" spans="1:4" x14ac:dyDescent="0.25">
      <c r="A2231" s="39" t="s">
        <v>2093</v>
      </c>
      <c r="B2231" s="39" t="s">
        <v>524</v>
      </c>
      <c r="C2231" s="39">
        <v>4</v>
      </c>
      <c r="D2231" s="39" t="s">
        <v>2122</v>
      </c>
    </row>
    <row r="2232" spans="1:4" x14ac:dyDescent="0.25">
      <c r="A2232" s="39" t="s">
        <v>3060</v>
      </c>
      <c r="B2232" s="39" t="s">
        <v>2608</v>
      </c>
      <c r="C2232" s="39">
        <v>4</v>
      </c>
      <c r="D2232" s="39" t="s">
        <v>2122</v>
      </c>
    </row>
    <row r="2233" spans="1:4" x14ac:dyDescent="0.25">
      <c r="A2233" s="39" t="s">
        <v>1626</v>
      </c>
      <c r="B2233" s="39" t="s">
        <v>193</v>
      </c>
      <c r="C2233" s="39">
        <v>4</v>
      </c>
      <c r="D2233" s="39" t="s">
        <v>2122</v>
      </c>
    </row>
    <row r="2234" spans="1:4" x14ac:dyDescent="0.25">
      <c r="A2234" s="39" t="s">
        <v>1926</v>
      </c>
      <c r="B2234" s="39" t="s">
        <v>807</v>
      </c>
      <c r="C2234" s="39">
        <v>4</v>
      </c>
      <c r="D2234" s="39" t="s">
        <v>2122</v>
      </c>
    </row>
    <row r="2235" spans="1:4" x14ac:dyDescent="0.25">
      <c r="A2235" s="39" t="s">
        <v>2754</v>
      </c>
      <c r="B2235" s="39" t="s">
        <v>2756</v>
      </c>
      <c r="C2235" s="39">
        <v>4</v>
      </c>
      <c r="D2235" s="39" t="s">
        <v>2122</v>
      </c>
    </row>
    <row r="2236" spans="1:4" x14ac:dyDescent="0.25">
      <c r="A2236" s="39" t="s">
        <v>7418</v>
      </c>
      <c r="B2236" s="39" t="s">
        <v>7419</v>
      </c>
      <c r="C2236" s="39">
        <v>4</v>
      </c>
      <c r="D2236" s="39" t="s">
        <v>2122</v>
      </c>
    </row>
    <row r="2237" spans="1:4" x14ac:dyDescent="0.25">
      <c r="A2237" s="39" t="s">
        <v>11077</v>
      </c>
      <c r="B2237" s="39" t="s">
        <v>11078</v>
      </c>
      <c r="C2237" s="39">
        <v>4</v>
      </c>
      <c r="D2237" s="39" t="s">
        <v>2122</v>
      </c>
    </row>
    <row r="2238" spans="1:4" x14ac:dyDescent="0.25">
      <c r="A2238" s="39" t="s">
        <v>3560</v>
      </c>
      <c r="B2238" s="39" t="s">
        <v>2493</v>
      </c>
      <c r="C2238" s="39">
        <v>4</v>
      </c>
      <c r="D2238" s="39" t="s">
        <v>2122</v>
      </c>
    </row>
    <row r="2239" spans="1:4" x14ac:dyDescent="0.25">
      <c r="A2239" s="39" t="s">
        <v>7420</v>
      </c>
      <c r="B2239" s="39" t="s">
        <v>7421</v>
      </c>
      <c r="C2239" s="39">
        <v>4</v>
      </c>
      <c r="D2239" s="39" t="s">
        <v>2122</v>
      </c>
    </row>
    <row r="2240" spans="1:4" x14ac:dyDescent="0.25">
      <c r="A2240" s="39" t="s">
        <v>1984</v>
      </c>
      <c r="B2240" s="39" t="s">
        <v>170</v>
      </c>
      <c r="C2240" s="39">
        <v>4</v>
      </c>
      <c r="D2240" s="39" t="s">
        <v>2122</v>
      </c>
    </row>
    <row r="2241" spans="1:4" x14ac:dyDescent="0.25">
      <c r="A2241" s="39" t="s">
        <v>11079</v>
      </c>
      <c r="B2241" s="39" t="s">
        <v>4784</v>
      </c>
      <c r="C2241" s="39">
        <v>4</v>
      </c>
      <c r="D2241" s="39" t="s">
        <v>2122</v>
      </c>
    </row>
    <row r="2242" spans="1:4" x14ac:dyDescent="0.25">
      <c r="A2242" s="39" t="s">
        <v>926</v>
      </c>
      <c r="B2242" s="39" t="s">
        <v>2417</v>
      </c>
      <c r="C2242" s="39">
        <v>4</v>
      </c>
      <c r="D2242" s="39" t="s">
        <v>2122</v>
      </c>
    </row>
    <row r="2243" spans="1:4" x14ac:dyDescent="0.25">
      <c r="A2243" s="39" t="s">
        <v>1833</v>
      </c>
      <c r="B2243" s="39" t="s">
        <v>3260</v>
      </c>
      <c r="C2243" s="39">
        <v>4</v>
      </c>
      <c r="D2243" s="39" t="s">
        <v>2122</v>
      </c>
    </row>
    <row r="2244" spans="1:4" x14ac:dyDescent="0.25">
      <c r="A2244" s="39" t="s">
        <v>11080</v>
      </c>
      <c r="B2244" s="39" t="s">
        <v>5937</v>
      </c>
      <c r="C2244" s="39">
        <v>4</v>
      </c>
      <c r="D2244" s="39" t="s">
        <v>2122</v>
      </c>
    </row>
    <row r="2245" spans="1:4" x14ac:dyDescent="0.25">
      <c r="A2245" s="39" t="s">
        <v>7422</v>
      </c>
      <c r="B2245" s="39" t="s">
        <v>2946</v>
      </c>
      <c r="C2245" s="39">
        <v>4</v>
      </c>
      <c r="D2245" s="39" t="s">
        <v>2122</v>
      </c>
    </row>
    <row r="2246" spans="1:4" x14ac:dyDescent="0.25">
      <c r="A2246" s="39" t="s">
        <v>11081</v>
      </c>
      <c r="B2246" s="39" t="s">
        <v>11082</v>
      </c>
      <c r="C2246" s="39">
        <v>4</v>
      </c>
      <c r="D2246" s="39" t="s">
        <v>2122</v>
      </c>
    </row>
    <row r="2247" spans="1:4" x14ac:dyDescent="0.25">
      <c r="A2247" s="39" t="s">
        <v>5366</v>
      </c>
      <c r="B2247" s="39" t="s">
        <v>5367</v>
      </c>
      <c r="C2247" s="39">
        <v>4</v>
      </c>
      <c r="D2247" s="39" t="s">
        <v>2122</v>
      </c>
    </row>
    <row r="2248" spans="1:4" x14ac:dyDescent="0.25">
      <c r="A2248" s="39" t="s">
        <v>7423</v>
      </c>
      <c r="B2248" s="39" t="s">
        <v>7424</v>
      </c>
      <c r="C2248" s="39">
        <v>4</v>
      </c>
      <c r="D2248" s="39" t="s">
        <v>2122</v>
      </c>
    </row>
    <row r="2249" spans="1:4" x14ac:dyDescent="0.25">
      <c r="A2249" s="39" t="s">
        <v>7425</v>
      </c>
      <c r="B2249" s="39" t="s">
        <v>4024</v>
      </c>
      <c r="C2249" s="39">
        <v>4</v>
      </c>
      <c r="D2249" s="39" t="s">
        <v>2122</v>
      </c>
    </row>
    <row r="2250" spans="1:4" x14ac:dyDescent="0.25">
      <c r="A2250" s="39" t="s">
        <v>2757</v>
      </c>
      <c r="B2250" s="39" t="s">
        <v>2473</v>
      </c>
      <c r="C2250" s="39">
        <v>4</v>
      </c>
      <c r="D2250" s="39" t="s">
        <v>2122</v>
      </c>
    </row>
    <row r="2251" spans="1:4" x14ac:dyDescent="0.25">
      <c r="A2251" s="39" t="s">
        <v>3563</v>
      </c>
      <c r="B2251" s="39" t="s">
        <v>3803</v>
      </c>
      <c r="C2251" s="39">
        <v>4</v>
      </c>
      <c r="D2251" s="39" t="s">
        <v>2122</v>
      </c>
    </row>
    <row r="2252" spans="1:4" x14ac:dyDescent="0.25">
      <c r="A2252" s="39" t="s">
        <v>2094</v>
      </c>
      <c r="B2252" s="39" t="s">
        <v>2095</v>
      </c>
      <c r="C2252" s="39">
        <v>4</v>
      </c>
      <c r="D2252" s="39" t="s">
        <v>2122</v>
      </c>
    </row>
    <row r="2253" spans="1:4" x14ac:dyDescent="0.25">
      <c r="A2253" s="39" t="s">
        <v>11083</v>
      </c>
      <c r="B2253" s="39" t="s">
        <v>7426</v>
      </c>
      <c r="C2253" s="39">
        <v>4</v>
      </c>
      <c r="D2253" s="39" t="s">
        <v>2122</v>
      </c>
    </row>
    <row r="2254" spans="1:4" x14ac:dyDescent="0.25">
      <c r="A2254" s="39" t="s">
        <v>11084</v>
      </c>
      <c r="B2254" s="39" t="s">
        <v>11085</v>
      </c>
      <c r="C2254" s="39">
        <v>4</v>
      </c>
      <c r="D2254" s="39" t="s">
        <v>2122</v>
      </c>
    </row>
    <row r="2255" spans="1:4" x14ac:dyDescent="0.25">
      <c r="A2255" s="39" t="s">
        <v>11086</v>
      </c>
      <c r="B2255" s="39" t="s">
        <v>11087</v>
      </c>
      <c r="C2255" s="39">
        <v>4</v>
      </c>
      <c r="D2255" s="39" t="s">
        <v>2122</v>
      </c>
    </row>
    <row r="2256" spans="1:4" x14ac:dyDescent="0.25">
      <c r="A2256" s="39" t="s">
        <v>3565</v>
      </c>
      <c r="B2256" s="39" t="s">
        <v>3805</v>
      </c>
      <c r="C2256" s="39">
        <v>4</v>
      </c>
      <c r="D2256" s="39" t="s">
        <v>2122</v>
      </c>
    </row>
    <row r="2257" spans="1:4" x14ac:dyDescent="0.25">
      <c r="A2257" s="39" t="s">
        <v>1927</v>
      </c>
      <c r="B2257" s="39" t="s">
        <v>863</v>
      </c>
      <c r="C2257" s="39">
        <v>4</v>
      </c>
      <c r="D2257" s="39" t="s">
        <v>2122</v>
      </c>
    </row>
    <row r="2258" spans="1:4" x14ac:dyDescent="0.25">
      <c r="A2258" s="39" t="s">
        <v>11088</v>
      </c>
      <c r="B2258" s="39" t="s">
        <v>11089</v>
      </c>
      <c r="C2258" s="39">
        <v>4</v>
      </c>
      <c r="D2258" s="39" t="s">
        <v>2122</v>
      </c>
    </row>
    <row r="2259" spans="1:4" x14ac:dyDescent="0.25">
      <c r="A2259" s="39" t="s">
        <v>11090</v>
      </c>
      <c r="B2259" s="39" t="s">
        <v>2908</v>
      </c>
      <c r="C2259" s="39">
        <v>4</v>
      </c>
      <c r="D2259" s="39" t="s">
        <v>2122</v>
      </c>
    </row>
    <row r="2260" spans="1:4" x14ac:dyDescent="0.25">
      <c r="A2260" s="39" t="s">
        <v>7427</v>
      </c>
      <c r="B2260" s="39" t="s">
        <v>7428</v>
      </c>
      <c r="C2260" s="39">
        <v>4</v>
      </c>
      <c r="D2260" s="39" t="s">
        <v>2122</v>
      </c>
    </row>
    <row r="2261" spans="1:4" x14ac:dyDescent="0.25">
      <c r="A2261" s="39" t="s">
        <v>7429</v>
      </c>
      <c r="B2261" s="39" t="s">
        <v>3899</v>
      </c>
      <c r="C2261" s="39">
        <v>4</v>
      </c>
      <c r="D2261" s="39" t="s">
        <v>2122</v>
      </c>
    </row>
    <row r="2262" spans="1:4" x14ac:dyDescent="0.25">
      <c r="A2262" s="39" t="s">
        <v>7430</v>
      </c>
      <c r="B2262" s="39" t="s">
        <v>2480</v>
      </c>
      <c r="C2262" s="39">
        <v>4</v>
      </c>
      <c r="D2262" s="39" t="s">
        <v>2122</v>
      </c>
    </row>
    <row r="2263" spans="1:4" x14ac:dyDescent="0.25">
      <c r="A2263" s="39" t="s">
        <v>7431</v>
      </c>
      <c r="B2263" s="39" t="s">
        <v>2553</v>
      </c>
      <c r="C2263" s="39">
        <v>4</v>
      </c>
      <c r="D2263" s="39" t="s">
        <v>2122</v>
      </c>
    </row>
    <row r="2264" spans="1:4" x14ac:dyDescent="0.25">
      <c r="A2264" s="39" t="s">
        <v>246</v>
      </c>
      <c r="B2264" s="39" t="s">
        <v>622</v>
      </c>
      <c r="C2264" s="39">
        <v>4</v>
      </c>
      <c r="D2264" s="39" t="s">
        <v>2122</v>
      </c>
    </row>
    <row r="2265" spans="1:4" x14ac:dyDescent="0.25">
      <c r="A2265" s="39" t="s">
        <v>5368</v>
      </c>
      <c r="B2265" s="39" t="s">
        <v>2974</v>
      </c>
      <c r="C2265" s="39">
        <v>4</v>
      </c>
      <c r="D2265" s="39" t="s">
        <v>2122</v>
      </c>
    </row>
    <row r="2266" spans="1:4" x14ac:dyDescent="0.25">
      <c r="A2266" s="39" t="s">
        <v>5369</v>
      </c>
      <c r="B2266" s="39" t="s">
        <v>1356</v>
      </c>
      <c r="C2266" s="39">
        <v>4</v>
      </c>
      <c r="D2266" s="39" t="s">
        <v>2122</v>
      </c>
    </row>
    <row r="2267" spans="1:4" x14ac:dyDescent="0.25">
      <c r="A2267" s="39" t="s">
        <v>11091</v>
      </c>
      <c r="B2267" s="39" t="s">
        <v>11092</v>
      </c>
      <c r="C2267" s="39">
        <v>4</v>
      </c>
      <c r="D2267" s="39" t="s">
        <v>2122</v>
      </c>
    </row>
    <row r="2268" spans="1:4" x14ac:dyDescent="0.25">
      <c r="A2268" s="39" t="s">
        <v>50</v>
      </c>
      <c r="B2268" s="39" t="s">
        <v>654</v>
      </c>
      <c r="C2268" s="39">
        <v>4</v>
      </c>
      <c r="D2268" s="39" t="s">
        <v>2122</v>
      </c>
    </row>
    <row r="2269" spans="1:4" x14ac:dyDescent="0.25">
      <c r="A2269" s="39" t="s">
        <v>5370</v>
      </c>
      <c r="B2269" s="39" t="s">
        <v>4203</v>
      </c>
      <c r="C2269" s="39">
        <v>4</v>
      </c>
      <c r="D2269" s="39" t="s">
        <v>2122</v>
      </c>
    </row>
    <row r="2270" spans="1:4" x14ac:dyDescent="0.25">
      <c r="A2270" s="39" t="s">
        <v>1795</v>
      </c>
      <c r="B2270" s="39" t="s">
        <v>1295</v>
      </c>
      <c r="C2270" s="39">
        <v>4</v>
      </c>
      <c r="D2270" s="39" t="s">
        <v>2122</v>
      </c>
    </row>
    <row r="2271" spans="1:4" x14ac:dyDescent="0.25">
      <c r="A2271" s="39" t="s">
        <v>7432</v>
      </c>
      <c r="B2271" s="39" t="s">
        <v>3922</v>
      </c>
      <c r="C2271" s="39">
        <v>4</v>
      </c>
      <c r="D2271" s="39" t="s">
        <v>2122</v>
      </c>
    </row>
    <row r="2272" spans="1:4" x14ac:dyDescent="0.25">
      <c r="A2272" s="39" t="s">
        <v>11093</v>
      </c>
      <c r="B2272" s="39" t="s">
        <v>11094</v>
      </c>
      <c r="C2272" s="39">
        <v>4</v>
      </c>
      <c r="D2272" s="39" t="s">
        <v>2122</v>
      </c>
    </row>
    <row r="2273" spans="1:4" x14ac:dyDescent="0.25">
      <c r="A2273" s="39" t="s">
        <v>3566</v>
      </c>
      <c r="B2273" s="39" t="s">
        <v>925</v>
      </c>
      <c r="C2273" s="39">
        <v>4</v>
      </c>
      <c r="D2273" s="39" t="s">
        <v>2122</v>
      </c>
    </row>
    <row r="2274" spans="1:4" x14ac:dyDescent="0.25">
      <c r="A2274" s="39" t="s">
        <v>11095</v>
      </c>
      <c r="B2274" s="39" t="s">
        <v>3089</v>
      </c>
      <c r="C2274" s="39">
        <v>4</v>
      </c>
      <c r="D2274" s="39" t="s">
        <v>2122</v>
      </c>
    </row>
    <row r="2275" spans="1:4" x14ac:dyDescent="0.25">
      <c r="A2275" s="39" t="s">
        <v>1928</v>
      </c>
      <c r="B2275" s="39" t="s">
        <v>927</v>
      </c>
      <c r="C2275" s="39">
        <v>4</v>
      </c>
      <c r="D2275" s="39" t="s">
        <v>2122</v>
      </c>
    </row>
    <row r="2276" spans="1:4" x14ac:dyDescent="0.25">
      <c r="A2276" s="39" t="s">
        <v>11096</v>
      </c>
      <c r="B2276" s="39" t="s">
        <v>11097</v>
      </c>
      <c r="C2276" s="39">
        <v>4</v>
      </c>
      <c r="D2276" s="39" t="s">
        <v>2122</v>
      </c>
    </row>
    <row r="2277" spans="1:4" x14ac:dyDescent="0.25">
      <c r="A2277" s="39" t="s">
        <v>5371</v>
      </c>
      <c r="B2277" s="39" t="s">
        <v>3087</v>
      </c>
      <c r="C2277" s="39">
        <v>4</v>
      </c>
      <c r="D2277" s="39" t="s">
        <v>2122</v>
      </c>
    </row>
    <row r="2278" spans="1:4" x14ac:dyDescent="0.25">
      <c r="A2278" s="39" t="s">
        <v>3567</v>
      </c>
      <c r="B2278" s="39" t="s">
        <v>3806</v>
      </c>
      <c r="C2278" s="39">
        <v>4</v>
      </c>
      <c r="D2278" s="39" t="s">
        <v>2122</v>
      </c>
    </row>
    <row r="2279" spans="1:4" x14ac:dyDescent="0.25">
      <c r="A2279" s="39" t="s">
        <v>2328</v>
      </c>
      <c r="B2279" s="39" t="s">
        <v>567</v>
      </c>
      <c r="C2279" s="39">
        <v>4</v>
      </c>
      <c r="D2279" s="39" t="s">
        <v>2122</v>
      </c>
    </row>
    <row r="2280" spans="1:4" x14ac:dyDescent="0.25">
      <c r="A2280" s="39" t="s">
        <v>3568</v>
      </c>
      <c r="B2280" s="39" t="s">
        <v>3807</v>
      </c>
      <c r="C2280" s="39">
        <v>4</v>
      </c>
      <c r="D2280" s="39" t="s">
        <v>2122</v>
      </c>
    </row>
    <row r="2281" spans="1:4" x14ac:dyDescent="0.25">
      <c r="A2281" s="39" t="s">
        <v>7433</v>
      </c>
      <c r="B2281" s="39" t="s">
        <v>7434</v>
      </c>
      <c r="C2281" s="39">
        <v>4</v>
      </c>
      <c r="D2281" s="39" t="s">
        <v>2122</v>
      </c>
    </row>
    <row r="2282" spans="1:4" x14ac:dyDescent="0.25">
      <c r="A2282" s="39" t="s">
        <v>5372</v>
      </c>
      <c r="B2282" s="39" t="s">
        <v>2601</v>
      </c>
      <c r="C2282" s="39">
        <v>4</v>
      </c>
      <c r="D2282" s="39" t="s">
        <v>2122</v>
      </c>
    </row>
    <row r="2283" spans="1:4" x14ac:dyDescent="0.25">
      <c r="A2283" s="39" t="s">
        <v>7435</v>
      </c>
      <c r="B2283" s="39" t="s">
        <v>7436</v>
      </c>
      <c r="C2283" s="39">
        <v>4</v>
      </c>
      <c r="D2283" s="39" t="s">
        <v>2122</v>
      </c>
    </row>
    <row r="2284" spans="1:4" x14ac:dyDescent="0.25">
      <c r="A2284" s="39" t="s">
        <v>381</v>
      </c>
      <c r="B2284" s="39" t="s">
        <v>1300</v>
      </c>
      <c r="C2284" s="39">
        <v>4</v>
      </c>
      <c r="D2284" s="39" t="s">
        <v>2122</v>
      </c>
    </row>
    <row r="2285" spans="1:4" x14ac:dyDescent="0.25">
      <c r="A2285" s="39" t="s">
        <v>3569</v>
      </c>
      <c r="B2285" s="39" t="s">
        <v>1028</v>
      </c>
      <c r="C2285" s="39">
        <v>4</v>
      </c>
      <c r="D2285" s="39" t="s">
        <v>2122</v>
      </c>
    </row>
    <row r="2286" spans="1:4" x14ac:dyDescent="0.25">
      <c r="A2286" s="39" t="s">
        <v>7437</v>
      </c>
      <c r="B2286" s="39" t="s">
        <v>7438</v>
      </c>
      <c r="C2286" s="39">
        <v>4</v>
      </c>
      <c r="D2286" s="39" t="s">
        <v>2122</v>
      </c>
    </row>
    <row r="2287" spans="1:4" x14ac:dyDescent="0.25">
      <c r="A2287" s="39" t="s">
        <v>7439</v>
      </c>
      <c r="B2287" s="39" t="s">
        <v>4099</v>
      </c>
      <c r="C2287" s="39">
        <v>4</v>
      </c>
      <c r="D2287" s="39" t="s">
        <v>2122</v>
      </c>
    </row>
    <row r="2288" spans="1:4" x14ac:dyDescent="0.25">
      <c r="A2288" s="39" t="s">
        <v>1914</v>
      </c>
      <c r="B2288" s="39" t="s">
        <v>447</v>
      </c>
      <c r="C2288" s="39">
        <v>4</v>
      </c>
      <c r="D2288" s="39" t="s">
        <v>2122</v>
      </c>
    </row>
    <row r="2289" spans="1:4" x14ac:dyDescent="0.25">
      <c r="A2289" s="39" t="s">
        <v>3261</v>
      </c>
      <c r="B2289" s="39" t="s">
        <v>2482</v>
      </c>
      <c r="C2289" s="39">
        <v>4</v>
      </c>
      <c r="D2289" s="39" t="s">
        <v>2122</v>
      </c>
    </row>
    <row r="2290" spans="1:4" x14ac:dyDescent="0.25">
      <c r="A2290" s="39" t="s">
        <v>3570</v>
      </c>
      <c r="B2290" s="39" t="s">
        <v>2953</v>
      </c>
      <c r="C2290" s="39">
        <v>4</v>
      </c>
      <c r="D2290" s="39" t="s">
        <v>2122</v>
      </c>
    </row>
    <row r="2291" spans="1:4" x14ac:dyDescent="0.25">
      <c r="A2291" s="39" t="s">
        <v>1929</v>
      </c>
      <c r="B2291" s="39" t="s">
        <v>252</v>
      </c>
      <c r="C2291" s="39">
        <v>4</v>
      </c>
      <c r="D2291" s="39" t="s">
        <v>2122</v>
      </c>
    </row>
    <row r="2292" spans="1:4" x14ac:dyDescent="0.25">
      <c r="A2292" s="39" t="s">
        <v>7440</v>
      </c>
      <c r="B2292" s="39" t="s">
        <v>7441</v>
      </c>
      <c r="C2292" s="39">
        <v>4</v>
      </c>
      <c r="D2292" s="39" t="s">
        <v>2122</v>
      </c>
    </row>
    <row r="2293" spans="1:4" x14ac:dyDescent="0.25">
      <c r="A2293" s="39" t="s">
        <v>2175</v>
      </c>
      <c r="B2293" s="39" t="s">
        <v>994</v>
      </c>
      <c r="C2293" s="39">
        <v>4</v>
      </c>
      <c r="D2293" s="39" t="s">
        <v>2122</v>
      </c>
    </row>
    <row r="2294" spans="1:4" x14ac:dyDescent="0.25">
      <c r="A2294" s="39" t="s">
        <v>7442</v>
      </c>
      <c r="B2294" s="39" t="s">
        <v>2772</v>
      </c>
      <c r="C2294" s="39">
        <v>4</v>
      </c>
      <c r="D2294" s="39" t="s">
        <v>2122</v>
      </c>
    </row>
    <row r="2295" spans="1:4" x14ac:dyDescent="0.25">
      <c r="A2295" s="39" t="s">
        <v>7443</v>
      </c>
      <c r="B2295" s="39" t="s">
        <v>7444</v>
      </c>
      <c r="C2295" s="39">
        <v>4</v>
      </c>
      <c r="D2295" s="39" t="s">
        <v>2122</v>
      </c>
    </row>
    <row r="2296" spans="1:4" x14ac:dyDescent="0.25">
      <c r="A2296" s="39" t="s">
        <v>11098</v>
      </c>
      <c r="B2296" s="39" t="s">
        <v>11099</v>
      </c>
      <c r="C2296" s="39">
        <v>4</v>
      </c>
      <c r="D2296" s="39" t="s">
        <v>2122</v>
      </c>
    </row>
    <row r="2297" spans="1:4" x14ac:dyDescent="0.25">
      <c r="A2297" s="39" t="s">
        <v>5375</v>
      </c>
      <c r="B2297" s="39" t="s">
        <v>4167</v>
      </c>
      <c r="C2297" s="39">
        <v>4</v>
      </c>
      <c r="D2297" s="39" t="s">
        <v>2122</v>
      </c>
    </row>
    <row r="2298" spans="1:4" x14ac:dyDescent="0.25">
      <c r="A2298" s="39" t="s">
        <v>1192</v>
      </c>
      <c r="B2298" s="39" t="s">
        <v>1303</v>
      </c>
      <c r="C2298" s="39">
        <v>4</v>
      </c>
      <c r="D2298" s="39" t="s">
        <v>2122</v>
      </c>
    </row>
    <row r="2299" spans="1:4" x14ac:dyDescent="0.25">
      <c r="A2299" s="39" t="s">
        <v>3264</v>
      </c>
      <c r="B2299" s="39" t="s">
        <v>74</v>
      </c>
      <c r="C2299" s="39">
        <v>4</v>
      </c>
      <c r="D2299" s="39" t="s">
        <v>2122</v>
      </c>
    </row>
    <row r="2300" spans="1:4" x14ac:dyDescent="0.25">
      <c r="A2300" s="39" t="s">
        <v>2100</v>
      </c>
      <c r="B2300" s="39" t="s">
        <v>2101</v>
      </c>
      <c r="C2300" s="39">
        <v>4</v>
      </c>
      <c r="D2300" s="39" t="s">
        <v>2122</v>
      </c>
    </row>
    <row r="2301" spans="1:4" x14ac:dyDescent="0.25">
      <c r="A2301" s="39" t="s">
        <v>11100</v>
      </c>
      <c r="B2301" s="39" t="s">
        <v>11101</v>
      </c>
      <c r="C2301" s="39">
        <v>4</v>
      </c>
      <c r="D2301" s="39" t="s">
        <v>2122</v>
      </c>
    </row>
    <row r="2302" spans="1:4" x14ac:dyDescent="0.25">
      <c r="A2302" s="39" t="s">
        <v>11102</v>
      </c>
      <c r="B2302" s="39" t="s">
        <v>11103</v>
      </c>
      <c r="C2302" s="39">
        <v>4</v>
      </c>
      <c r="D2302" s="39" t="s">
        <v>2122</v>
      </c>
    </row>
    <row r="2303" spans="1:4" x14ac:dyDescent="0.25">
      <c r="A2303" s="39" t="s">
        <v>2408</v>
      </c>
      <c r="B2303" s="39" t="s">
        <v>2420</v>
      </c>
      <c r="C2303" s="39">
        <v>4</v>
      </c>
      <c r="D2303" s="39" t="s">
        <v>2122</v>
      </c>
    </row>
    <row r="2304" spans="1:4" x14ac:dyDescent="0.25">
      <c r="A2304" s="39" t="s">
        <v>7445</v>
      </c>
      <c r="B2304" s="39" t="s">
        <v>7446</v>
      </c>
      <c r="C2304" s="39">
        <v>4</v>
      </c>
      <c r="D2304" s="39" t="s">
        <v>2122</v>
      </c>
    </row>
    <row r="2305" spans="1:4" x14ac:dyDescent="0.25">
      <c r="A2305" s="39" t="s">
        <v>11104</v>
      </c>
      <c r="B2305" s="39" t="s">
        <v>5808</v>
      </c>
      <c r="C2305" s="39">
        <v>4</v>
      </c>
      <c r="D2305" s="39" t="s">
        <v>2122</v>
      </c>
    </row>
    <row r="2306" spans="1:4" x14ac:dyDescent="0.25">
      <c r="A2306" s="39" t="s">
        <v>3571</v>
      </c>
      <c r="B2306" s="39" t="s">
        <v>3808</v>
      </c>
      <c r="C2306" s="39">
        <v>4</v>
      </c>
      <c r="D2306" s="39" t="s">
        <v>2122</v>
      </c>
    </row>
    <row r="2307" spans="1:4" x14ac:dyDescent="0.25">
      <c r="A2307" s="39" t="s">
        <v>1932</v>
      </c>
      <c r="B2307" s="39" t="s">
        <v>1368</v>
      </c>
      <c r="C2307" s="39">
        <v>4</v>
      </c>
      <c r="D2307" s="39" t="s">
        <v>2122</v>
      </c>
    </row>
    <row r="2308" spans="1:4" x14ac:dyDescent="0.25">
      <c r="A2308" s="39" t="s">
        <v>11105</v>
      </c>
      <c r="B2308" s="39" t="s">
        <v>5810</v>
      </c>
      <c r="C2308" s="39">
        <v>4</v>
      </c>
      <c r="D2308" s="39" t="s">
        <v>2122</v>
      </c>
    </row>
    <row r="2309" spans="1:4" x14ac:dyDescent="0.25">
      <c r="A2309" s="39" t="s">
        <v>5376</v>
      </c>
      <c r="B2309" s="39" t="s">
        <v>5377</v>
      </c>
      <c r="C2309" s="39">
        <v>4</v>
      </c>
      <c r="D2309" s="39" t="s">
        <v>2122</v>
      </c>
    </row>
    <row r="2310" spans="1:4" x14ac:dyDescent="0.25">
      <c r="A2310" s="39" t="s">
        <v>11106</v>
      </c>
      <c r="B2310" s="39" t="s">
        <v>11107</v>
      </c>
      <c r="C2310" s="39">
        <v>4</v>
      </c>
      <c r="D2310" s="39" t="s">
        <v>2122</v>
      </c>
    </row>
    <row r="2311" spans="1:4" x14ac:dyDescent="0.25">
      <c r="A2311" s="39" t="s">
        <v>758</v>
      </c>
      <c r="B2311" s="39" t="s">
        <v>951</v>
      </c>
      <c r="C2311" s="39">
        <v>4</v>
      </c>
      <c r="D2311" s="39" t="s">
        <v>2122</v>
      </c>
    </row>
    <row r="2312" spans="1:4" x14ac:dyDescent="0.25">
      <c r="A2312" s="39" t="s">
        <v>11108</v>
      </c>
      <c r="B2312" s="39" t="s">
        <v>11109</v>
      </c>
      <c r="C2312" s="39">
        <v>4</v>
      </c>
      <c r="D2312" s="39" t="s">
        <v>2122</v>
      </c>
    </row>
    <row r="2313" spans="1:4" x14ac:dyDescent="0.25">
      <c r="A2313" s="39" t="s">
        <v>5378</v>
      </c>
      <c r="B2313" s="39" t="s">
        <v>2609</v>
      </c>
      <c r="C2313" s="39">
        <v>4</v>
      </c>
      <c r="D2313" s="39" t="s">
        <v>2122</v>
      </c>
    </row>
    <row r="2314" spans="1:4" x14ac:dyDescent="0.25">
      <c r="A2314" s="39" t="s">
        <v>11110</v>
      </c>
      <c r="B2314" s="39" t="s">
        <v>11111</v>
      </c>
      <c r="C2314" s="39">
        <v>4</v>
      </c>
      <c r="D2314" s="39" t="s">
        <v>2122</v>
      </c>
    </row>
    <row r="2315" spans="1:4" x14ac:dyDescent="0.25">
      <c r="A2315" s="39" t="s">
        <v>5379</v>
      </c>
      <c r="B2315" s="39" t="s">
        <v>2714</v>
      </c>
      <c r="C2315" s="39">
        <v>4</v>
      </c>
      <c r="D2315" s="39" t="s">
        <v>2122</v>
      </c>
    </row>
    <row r="2316" spans="1:4" x14ac:dyDescent="0.25">
      <c r="A2316" s="39" t="s">
        <v>11112</v>
      </c>
      <c r="B2316" s="39" t="s">
        <v>5818</v>
      </c>
      <c r="C2316" s="39">
        <v>4</v>
      </c>
      <c r="D2316" s="39" t="s">
        <v>2122</v>
      </c>
    </row>
    <row r="2317" spans="1:4" x14ac:dyDescent="0.25">
      <c r="A2317" s="39" t="s">
        <v>7447</v>
      </c>
      <c r="B2317" s="39" t="s">
        <v>4836</v>
      </c>
      <c r="C2317" s="39">
        <v>4</v>
      </c>
      <c r="D2317" s="39" t="s">
        <v>2122</v>
      </c>
    </row>
    <row r="2318" spans="1:4" x14ac:dyDescent="0.25">
      <c r="A2318" s="39" t="s">
        <v>11113</v>
      </c>
      <c r="B2318" s="39" t="s">
        <v>11114</v>
      </c>
      <c r="C2318" s="39">
        <v>4</v>
      </c>
      <c r="D2318" s="39" t="s">
        <v>2122</v>
      </c>
    </row>
    <row r="2319" spans="1:4" x14ac:dyDescent="0.25">
      <c r="A2319" s="39" t="s">
        <v>1439</v>
      </c>
      <c r="B2319" s="39" t="s">
        <v>2147</v>
      </c>
      <c r="C2319" s="39">
        <v>4</v>
      </c>
      <c r="D2319" s="39" t="s">
        <v>2122</v>
      </c>
    </row>
    <row r="2320" spans="1:4" x14ac:dyDescent="0.25">
      <c r="A2320" s="39" t="s">
        <v>1934</v>
      </c>
      <c r="B2320" s="39" t="s">
        <v>1007</v>
      </c>
      <c r="C2320" s="39">
        <v>4</v>
      </c>
      <c r="D2320" s="39" t="s">
        <v>2122</v>
      </c>
    </row>
    <row r="2321" spans="1:4" x14ac:dyDescent="0.25">
      <c r="A2321" s="39" t="s">
        <v>11115</v>
      </c>
      <c r="B2321" s="39" t="s">
        <v>4197</v>
      </c>
      <c r="C2321" s="39">
        <v>4</v>
      </c>
      <c r="D2321" s="39" t="s">
        <v>2122</v>
      </c>
    </row>
    <row r="2322" spans="1:4" x14ac:dyDescent="0.25">
      <c r="A2322" s="39" t="s">
        <v>5380</v>
      </c>
      <c r="B2322" s="39" t="s">
        <v>5381</v>
      </c>
      <c r="C2322" s="39">
        <v>4</v>
      </c>
      <c r="D2322" s="39" t="s">
        <v>2122</v>
      </c>
    </row>
    <row r="2323" spans="1:4" x14ac:dyDescent="0.25">
      <c r="A2323" s="39" t="s">
        <v>1935</v>
      </c>
      <c r="B2323" s="39" t="s">
        <v>1436</v>
      </c>
      <c r="C2323" s="39">
        <v>4</v>
      </c>
      <c r="D2323" s="39" t="s">
        <v>2122</v>
      </c>
    </row>
    <row r="2324" spans="1:4" x14ac:dyDescent="0.25">
      <c r="A2324" s="39" t="s">
        <v>11116</v>
      </c>
      <c r="B2324" s="39" t="s">
        <v>6189</v>
      </c>
      <c r="C2324" s="39">
        <v>4</v>
      </c>
      <c r="D2324" s="39" t="s">
        <v>2122</v>
      </c>
    </row>
    <row r="2325" spans="1:4" x14ac:dyDescent="0.25">
      <c r="A2325" s="39" t="s">
        <v>3267</v>
      </c>
      <c r="B2325" s="39" t="s">
        <v>2421</v>
      </c>
      <c r="C2325" s="39">
        <v>4</v>
      </c>
      <c r="D2325" s="39" t="s">
        <v>2122</v>
      </c>
    </row>
    <row r="2326" spans="1:4" x14ac:dyDescent="0.25">
      <c r="A2326" s="39" t="s">
        <v>1937</v>
      </c>
      <c r="B2326" s="39" t="s">
        <v>1267</v>
      </c>
      <c r="C2326" s="39">
        <v>4</v>
      </c>
      <c r="D2326" s="39" t="s">
        <v>2122</v>
      </c>
    </row>
    <row r="2327" spans="1:4" x14ac:dyDescent="0.25">
      <c r="A2327" s="39" t="s">
        <v>7448</v>
      </c>
      <c r="B2327" s="39" t="s">
        <v>7449</v>
      </c>
      <c r="C2327" s="39">
        <v>4</v>
      </c>
      <c r="D2327" s="39" t="s">
        <v>2122</v>
      </c>
    </row>
    <row r="2328" spans="1:4" x14ac:dyDescent="0.25">
      <c r="A2328" s="39" t="s">
        <v>11117</v>
      </c>
      <c r="B2328" s="39" t="s">
        <v>4684</v>
      </c>
      <c r="C2328" s="39">
        <v>4</v>
      </c>
      <c r="D2328" s="39" t="s">
        <v>2122</v>
      </c>
    </row>
    <row r="2329" spans="1:4" x14ac:dyDescent="0.25">
      <c r="A2329" s="39" t="s">
        <v>5382</v>
      </c>
      <c r="B2329" s="39" t="s">
        <v>2481</v>
      </c>
      <c r="C2329" s="39">
        <v>4</v>
      </c>
      <c r="D2329" s="39" t="s">
        <v>2122</v>
      </c>
    </row>
    <row r="2330" spans="1:4" x14ac:dyDescent="0.25">
      <c r="A2330" s="39" t="s">
        <v>7450</v>
      </c>
      <c r="B2330" s="39" t="s">
        <v>4849</v>
      </c>
      <c r="C2330" s="39">
        <v>4</v>
      </c>
      <c r="D2330" s="39" t="s">
        <v>2122</v>
      </c>
    </row>
    <row r="2331" spans="1:4" x14ac:dyDescent="0.25">
      <c r="A2331" s="39" t="s">
        <v>11118</v>
      </c>
      <c r="B2331" s="39" t="s">
        <v>11119</v>
      </c>
      <c r="C2331" s="39">
        <v>4</v>
      </c>
      <c r="D2331" s="39" t="s">
        <v>2122</v>
      </c>
    </row>
    <row r="2332" spans="1:4" x14ac:dyDescent="0.25">
      <c r="A2332" s="39" t="s">
        <v>11120</v>
      </c>
      <c r="B2332" s="39" t="s">
        <v>5707</v>
      </c>
      <c r="C2332" s="39">
        <v>4</v>
      </c>
      <c r="D2332" s="39" t="s">
        <v>2122</v>
      </c>
    </row>
    <row r="2333" spans="1:4" x14ac:dyDescent="0.25">
      <c r="A2333" s="39" t="s">
        <v>1989</v>
      </c>
      <c r="B2333" s="39" t="s">
        <v>825</v>
      </c>
      <c r="C2333" s="39">
        <v>4</v>
      </c>
      <c r="D2333" s="39" t="s">
        <v>2122</v>
      </c>
    </row>
    <row r="2334" spans="1:4" x14ac:dyDescent="0.25">
      <c r="A2334" s="39" t="s">
        <v>3269</v>
      </c>
      <c r="B2334" s="39" t="s">
        <v>3270</v>
      </c>
      <c r="C2334" s="39">
        <v>4</v>
      </c>
      <c r="D2334" s="39" t="s">
        <v>2122</v>
      </c>
    </row>
    <row r="2335" spans="1:4" x14ac:dyDescent="0.25">
      <c r="A2335" s="39" t="s">
        <v>5383</v>
      </c>
      <c r="B2335" s="39" t="s">
        <v>2397</v>
      </c>
      <c r="C2335" s="39">
        <v>4</v>
      </c>
      <c r="D2335" s="39" t="s">
        <v>2122</v>
      </c>
    </row>
    <row r="2336" spans="1:4" x14ac:dyDescent="0.25">
      <c r="A2336" s="39" t="s">
        <v>306</v>
      </c>
      <c r="B2336" s="39" t="s">
        <v>550</v>
      </c>
      <c r="C2336" s="39">
        <v>4</v>
      </c>
      <c r="D2336" s="39" t="s">
        <v>2122</v>
      </c>
    </row>
    <row r="2337" spans="1:4" x14ac:dyDescent="0.25">
      <c r="A2337" s="39" t="s">
        <v>7451</v>
      </c>
      <c r="B2337" s="39" t="s">
        <v>1173</v>
      </c>
      <c r="C2337" s="39">
        <v>4</v>
      </c>
      <c r="D2337" s="39" t="s">
        <v>2122</v>
      </c>
    </row>
    <row r="2338" spans="1:4" x14ac:dyDescent="0.25">
      <c r="A2338" s="39" t="s">
        <v>7452</v>
      </c>
      <c r="B2338" s="39" t="s">
        <v>7453</v>
      </c>
      <c r="C2338" s="39">
        <v>4</v>
      </c>
      <c r="D2338" s="39" t="s">
        <v>2122</v>
      </c>
    </row>
    <row r="2339" spans="1:4" x14ac:dyDescent="0.25">
      <c r="A2339" s="39" t="s">
        <v>11121</v>
      </c>
      <c r="B2339" s="39" t="s">
        <v>836</v>
      </c>
      <c r="C2339" s="39">
        <v>4</v>
      </c>
      <c r="D2339" s="39" t="s">
        <v>2122</v>
      </c>
    </row>
    <row r="2340" spans="1:4" x14ac:dyDescent="0.25">
      <c r="A2340" s="39" t="s">
        <v>7454</v>
      </c>
      <c r="B2340" s="39" t="s">
        <v>2592</v>
      </c>
      <c r="C2340" s="39">
        <v>4</v>
      </c>
      <c r="D2340" s="39" t="s">
        <v>2122</v>
      </c>
    </row>
    <row r="2341" spans="1:4" x14ac:dyDescent="0.25">
      <c r="A2341" s="39" t="s">
        <v>5384</v>
      </c>
      <c r="B2341" s="39" t="s">
        <v>4071</v>
      </c>
      <c r="C2341" s="39">
        <v>4</v>
      </c>
      <c r="D2341" s="39" t="s">
        <v>2122</v>
      </c>
    </row>
    <row r="2342" spans="1:4" x14ac:dyDescent="0.25">
      <c r="A2342" s="39" t="s">
        <v>3572</v>
      </c>
      <c r="B2342" s="39" t="s">
        <v>3809</v>
      </c>
      <c r="C2342" s="39">
        <v>4</v>
      </c>
      <c r="D2342" s="39" t="s">
        <v>2122</v>
      </c>
    </row>
    <row r="2343" spans="1:4" x14ac:dyDescent="0.25">
      <c r="A2343" s="39" t="s">
        <v>7455</v>
      </c>
      <c r="B2343" s="39" t="s">
        <v>7456</v>
      </c>
      <c r="C2343" s="39">
        <v>4</v>
      </c>
      <c r="D2343" s="39" t="s">
        <v>2122</v>
      </c>
    </row>
    <row r="2344" spans="1:4" x14ac:dyDescent="0.25">
      <c r="A2344" s="39" t="s">
        <v>11122</v>
      </c>
      <c r="B2344" s="39" t="s">
        <v>6046</v>
      </c>
      <c r="C2344" s="39">
        <v>4</v>
      </c>
      <c r="D2344" s="39" t="s">
        <v>2122</v>
      </c>
    </row>
    <row r="2345" spans="1:4" x14ac:dyDescent="0.25">
      <c r="A2345" s="39" t="s">
        <v>11123</v>
      </c>
      <c r="B2345" s="39" t="s">
        <v>11124</v>
      </c>
      <c r="C2345" s="39">
        <v>4</v>
      </c>
      <c r="D2345" s="39" t="s">
        <v>2122</v>
      </c>
    </row>
    <row r="2346" spans="1:4" x14ac:dyDescent="0.25">
      <c r="A2346" s="39" t="s">
        <v>11125</v>
      </c>
      <c r="B2346" s="39" t="s">
        <v>11126</v>
      </c>
      <c r="C2346" s="39">
        <v>4</v>
      </c>
      <c r="D2346" s="39" t="s">
        <v>2122</v>
      </c>
    </row>
    <row r="2347" spans="1:4" x14ac:dyDescent="0.25">
      <c r="A2347" s="39" t="s">
        <v>11127</v>
      </c>
      <c r="B2347" s="39" t="s">
        <v>11128</v>
      </c>
      <c r="C2347" s="39">
        <v>4</v>
      </c>
      <c r="D2347" s="39" t="s">
        <v>2122</v>
      </c>
    </row>
    <row r="2348" spans="1:4" x14ac:dyDescent="0.25">
      <c r="A2348" s="39" t="s">
        <v>3573</v>
      </c>
      <c r="B2348" s="39" t="s">
        <v>3810</v>
      </c>
      <c r="C2348" s="39">
        <v>4</v>
      </c>
      <c r="D2348" s="39" t="s">
        <v>2122</v>
      </c>
    </row>
    <row r="2349" spans="1:4" x14ac:dyDescent="0.25">
      <c r="A2349" s="39" t="s">
        <v>11129</v>
      </c>
      <c r="B2349" s="39" t="s">
        <v>11130</v>
      </c>
      <c r="C2349" s="39">
        <v>4</v>
      </c>
      <c r="D2349" s="39" t="s">
        <v>2122</v>
      </c>
    </row>
    <row r="2350" spans="1:4" x14ac:dyDescent="0.25">
      <c r="A2350" s="39" t="s">
        <v>7457</v>
      </c>
      <c r="B2350" s="39" t="s">
        <v>7458</v>
      </c>
      <c r="C2350" s="39">
        <v>4</v>
      </c>
      <c r="D2350" s="39" t="s">
        <v>2122</v>
      </c>
    </row>
    <row r="2351" spans="1:4" x14ac:dyDescent="0.25">
      <c r="A2351" s="39" t="s">
        <v>11131</v>
      </c>
      <c r="B2351" s="39" t="s">
        <v>11132</v>
      </c>
      <c r="C2351" s="39">
        <v>4</v>
      </c>
      <c r="D2351" s="39" t="s">
        <v>2122</v>
      </c>
    </row>
    <row r="2352" spans="1:4" x14ac:dyDescent="0.25">
      <c r="A2352" s="39" t="s">
        <v>5387</v>
      </c>
      <c r="B2352" s="39" t="s">
        <v>3366</v>
      </c>
      <c r="C2352" s="39">
        <v>4</v>
      </c>
      <c r="D2352" s="39" t="s">
        <v>2122</v>
      </c>
    </row>
    <row r="2353" spans="1:4" x14ac:dyDescent="0.25">
      <c r="A2353" s="39" t="s">
        <v>5388</v>
      </c>
      <c r="B2353" s="39" t="s">
        <v>5389</v>
      </c>
      <c r="C2353" s="39">
        <v>4</v>
      </c>
      <c r="D2353" s="39" t="s">
        <v>2122</v>
      </c>
    </row>
    <row r="2354" spans="1:4" x14ac:dyDescent="0.25">
      <c r="A2354" s="39" t="s">
        <v>5390</v>
      </c>
      <c r="B2354" s="39" t="s">
        <v>2959</v>
      </c>
      <c r="C2354" s="39">
        <v>4</v>
      </c>
      <c r="D2354" s="39" t="s">
        <v>2122</v>
      </c>
    </row>
    <row r="2355" spans="1:4" x14ac:dyDescent="0.25">
      <c r="A2355" s="39" t="s">
        <v>11133</v>
      </c>
      <c r="B2355" s="39" t="s">
        <v>11134</v>
      </c>
      <c r="C2355" s="39">
        <v>4</v>
      </c>
      <c r="D2355" s="39" t="s">
        <v>2122</v>
      </c>
    </row>
    <row r="2356" spans="1:4" x14ac:dyDescent="0.25">
      <c r="A2356" s="39" t="s">
        <v>2577</v>
      </c>
      <c r="B2356" s="39" t="s">
        <v>3271</v>
      </c>
      <c r="C2356" s="39">
        <v>4</v>
      </c>
      <c r="D2356" s="39" t="s">
        <v>2122</v>
      </c>
    </row>
    <row r="2357" spans="1:4" x14ac:dyDescent="0.25">
      <c r="A2357" s="39" t="s">
        <v>3574</v>
      </c>
      <c r="B2357" s="39" t="s">
        <v>3811</v>
      </c>
      <c r="C2357" s="39">
        <v>4</v>
      </c>
      <c r="D2357" s="39" t="s">
        <v>2122</v>
      </c>
    </row>
    <row r="2358" spans="1:4" x14ac:dyDescent="0.25">
      <c r="A2358" s="39" t="s">
        <v>3575</v>
      </c>
      <c r="B2358" s="39" t="s">
        <v>3812</v>
      </c>
      <c r="C2358" s="39">
        <v>4</v>
      </c>
      <c r="D2358" s="39" t="s">
        <v>2122</v>
      </c>
    </row>
    <row r="2359" spans="1:4" x14ac:dyDescent="0.25">
      <c r="A2359" s="39" t="s">
        <v>1631</v>
      </c>
      <c r="B2359" s="39" t="s">
        <v>2255</v>
      </c>
      <c r="C2359" s="39">
        <v>4</v>
      </c>
      <c r="D2359" s="39" t="s">
        <v>2122</v>
      </c>
    </row>
    <row r="2360" spans="1:4" x14ac:dyDescent="0.25">
      <c r="A2360" s="39" t="s">
        <v>11135</v>
      </c>
      <c r="B2360" s="39" t="s">
        <v>6156</v>
      </c>
      <c r="C2360" s="39">
        <v>4</v>
      </c>
      <c r="D2360" s="39" t="s">
        <v>2122</v>
      </c>
    </row>
    <row r="2361" spans="1:4" x14ac:dyDescent="0.25">
      <c r="A2361" s="39" t="s">
        <v>5391</v>
      </c>
      <c r="B2361" s="39" t="s">
        <v>1333</v>
      </c>
      <c r="C2361" s="39">
        <v>4</v>
      </c>
      <c r="D2361" s="39" t="s">
        <v>2122</v>
      </c>
    </row>
    <row r="2362" spans="1:4" x14ac:dyDescent="0.25">
      <c r="A2362" s="39" t="s">
        <v>5392</v>
      </c>
      <c r="B2362" s="39" t="s">
        <v>5393</v>
      </c>
      <c r="C2362" s="39">
        <v>4</v>
      </c>
      <c r="D2362" s="39" t="s">
        <v>2122</v>
      </c>
    </row>
    <row r="2363" spans="1:4" x14ac:dyDescent="0.25">
      <c r="A2363" s="39" t="s">
        <v>3576</v>
      </c>
      <c r="B2363" s="39" t="s">
        <v>3813</v>
      </c>
      <c r="C2363" s="39">
        <v>4</v>
      </c>
      <c r="D2363" s="39" t="s">
        <v>2122</v>
      </c>
    </row>
    <row r="2364" spans="1:4" x14ac:dyDescent="0.25">
      <c r="A2364" s="39" t="s">
        <v>11136</v>
      </c>
      <c r="B2364" s="39" t="s">
        <v>6150</v>
      </c>
      <c r="C2364" s="39">
        <v>4</v>
      </c>
      <c r="D2364" s="39" t="s">
        <v>2122</v>
      </c>
    </row>
    <row r="2365" spans="1:4" x14ac:dyDescent="0.25">
      <c r="A2365" s="39" t="s">
        <v>1543</v>
      </c>
      <c r="B2365" s="39" t="s">
        <v>1328</v>
      </c>
      <c r="C2365" s="39">
        <v>4</v>
      </c>
      <c r="D2365" s="39" t="s">
        <v>2122</v>
      </c>
    </row>
    <row r="2366" spans="1:4" x14ac:dyDescent="0.25">
      <c r="A2366" s="39" t="s">
        <v>51</v>
      </c>
      <c r="B2366" s="39" t="s">
        <v>2257</v>
      </c>
      <c r="C2366" s="39">
        <v>4</v>
      </c>
      <c r="D2366" s="39" t="s">
        <v>2122</v>
      </c>
    </row>
    <row r="2367" spans="1:4" x14ac:dyDescent="0.25">
      <c r="A2367" s="39" t="s">
        <v>65</v>
      </c>
      <c r="B2367" s="39" t="s">
        <v>1349</v>
      </c>
      <c r="C2367" s="39">
        <v>4</v>
      </c>
      <c r="D2367" s="39" t="s">
        <v>2122</v>
      </c>
    </row>
    <row r="2368" spans="1:4" x14ac:dyDescent="0.25">
      <c r="A2368" s="39" t="s">
        <v>5394</v>
      </c>
      <c r="B2368" s="39" t="s">
        <v>4205</v>
      </c>
      <c r="C2368" s="39">
        <v>4</v>
      </c>
      <c r="D2368" s="39" t="s">
        <v>2122</v>
      </c>
    </row>
    <row r="2369" spans="1:4" x14ac:dyDescent="0.25">
      <c r="A2369" s="39" t="s">
        <v>676</v>
      </c>
      <c r="B2369" s="39" t="s">
        <v>1435</v>
      </c>
      <c r="C2369" s="39">
        <v>4</v>
      </c>
      <c r="D2369" s="39" t="s">
        <v>2122</v>
      </c>
    </row>
    <row r="2370" spans="1:4" x14ac:dyDescent="0.25">
      <c r="A2370" s="39" t="s">
        <v>11137</v>
      </c>
      <c r="B2370" s="39" t="s">
        <v>11138</v>
      </c>
      <c r="C2370" s="39">
        <v>4</v>
      </c>
      <c r="D2370" s="39" t="s">
        <v>2122</v>
      </c>
    </row>
    <row r="2371" spans="1:4" x14ac:dyDescent="0.25">
      <c r="A2371" s="39" t="s">
        <v>5395</v>
      </c>
      <c r="B2371" s="39" t="s">
        <v>3365</v>
      </c>
      <c r="C2371" s="39">
        <v>4</v>
      </c>
      <c r="D2371" s="39" t="s">
        <v>2122</v>
      </c>
    </row>
    <row r="2372" spans="1:4" x14ac:dyDescent="0.25">
      <c r="A2372" s="39" t="s">
        <v>11139</v>
      </c>
      <c r="B2372" s="39" t="s">
        <v>6152</v>
      </c>
      <c r="C2372" s="39">
        <v>4</v>
      </c>
      <c r="D2372" s="39" t="s">
        <v>2122</v>
      </c>
    </row>
    <row r="2373" spans="1:4" x14ac:dyDescent="0.25">
      <c r="A2373" s="39" t="s">
        <v>11140</v>
      </c>
      <c r="B2373" s="39" t="s">
        <v>4087</v>
      </c>
      <c r="C2373" s="39">
        <v>4</v>
      </c>
      <c r="D2373" s="39" t="s">
        <v>2122</v>
      </c>
    </row>
    <row r="2374" spans="1:4" x14ac:dyDescent="0.25">
      <c r="A2374" s="39" t="s">
        <v>3272</v>
      </c>
      <c r="B2374" s="39" t="s">
        <v>2598</v>
      </c>
      <c r="C2374" s="39">
        <v>4</v>
      </c>
      <c r="D2374" s="39" t="s">
        <v>2122</v>
      </c>
    </row>
    <row r="2375" spans="1:4" x14ac:dyDescent="0.25">
      <c r="A2375" s="39" t="s">
        <v>11141</v>
      </c>
      <c r="B2375" s="39" t="s">
        <v>11142</v>
      </c>
      <c r="C2375" s="39">
        <v>4</v>
      </c>
      <c r="D2375" s="39" t="s">
        <v>2122</v>
      </c>
    </row>
    <row r="2376" spans="1:4" x14ac:dyDescent="0.25">
      <c r="A2376" s="39" t="s">
        <v>3577</v>
      </c>
      <c r="B2376" s="39" t="s">
        <v>3814</v>
      </c>
      <c r="C2376" s="39">
        <v>4</v>
      </c>
      <c r="D2376" s="39" t="s">
        <v>2122</v>
      </c>
    </row>
    <row r="2377" spans="1:4" x14ac:dyDescent="0.25">
      <c r="A2377" s="39" t="s">
        <v>11143</v>
      </c>
      <c r="B2377" s="39" t="s">
        <v>4416</v>
      </c>
      <c r="C2377" s="39">
        <v>4</v>
      </c>
      <c r="D2377" s="39" t="s">
        <v>2122</v>
      </c>
    </row>
    <row r="2378" spans="1:4" x14ac:dyDescent="0.25">
      <c r="A2378" s="39" t="s">
        <v>7459</v>
      </c>
      <c r="B2378" s="39" t="s">
        <v>7460</v>
      </c>
      <c r="C2378" s="39">
        <v>4</v>
      </c>
      <c r="D2378" s="39" t="s">
        <v>2122</v>
      </c>
    </row>
    <row r="2379" spans="1:4" x14ac:dyDescent="0.25">
      <c r="A2379" s="39" t="s">
        <v>7461</v>
      </c>
      <c r="B2379" s="39" t="s">
        <v>3030</v>
      </c>
      <c r="C2379" s="39">
        <v>4</v>
      </c>
      <c r="D2379" s="39" t="s">
        <v>2122</v>
      </c>
    </row>
    <row r="2380" spans="1:4" x14ac:dyDescent="0.25">
      <c r="A2380" s="39" t="s">
        <v>7462</v>
      </c>
      <c r="B2380" s="39" t="s">
        <v>7463</v>
      </c>
      <c r="C2380" s="39">
        <v>4</v>
      </c>
      <c r="D2380" s="39" t="s">
        <v>2122</v>
      </c>
    </row>
    <row r="2381" spans="1:4" x14ac:dyDescent="0.25">
      <c r="A2381" s="39" t="s">
        <v>11144</v>
      </c>
      <c r="B2381" s="39" t="s">
        <v>11145</v>
      </c>
      <c r="C2381" s="39">
        <v>4</v>
      </c>
      <c r="D2381" s="39" t="s">
        <v>2122</v>
      </c>
    </row>
    <row r="2382" spans="1:4" x14ac:dyDescent="0.25">
      <c r="A2382" s="39" t="s">
        <v>5396</v>
      </c>
      <c r="B2382" s="39" t="s">
        <v>4101</v>
      </c>
      <c r="C2382" s="39">
        <v>4</v>
      </c>
      <c r="D2382" s="39" t="s">
        <v>2122</v>
      </c>
    </row>
    <row r="2383" spans="1:4" x14ac:dyDescent="0.25">
      <c r="A2383" s="39" t="s">
        <v>11146</v>
      </c>
      <c r="B2383" s="39" t="s">
        <v>11147</v>
      </c>
      <c r="C2383" s="39">
        <v>4</v>
      </c>
      <c r="D2383" s="39" t="s">
        <v>2122</v>
      </c>
    </row>
    <row r="2384" spans="1:4" x14ac:dyDescent="0.25">
      <c r="A2384" s="39" t="s">
        <v>3273</v>
      </c>
      <c r="B2384" s="39" t="s">
        <v>2617</v>
      </c>
      <c r="C2384" s="39">
        <v>4</v>
      </c>
      <c r="D2384" s="39" t="s">
        <v>2122</v>
      </c>
    </row>
    <row r="2385" spans="1:4" x14ac:dyDescent="0.25">
      <c r="A2385" s="39" t="s">
        <v>1403</v>
      </c>
      <c r="B2385" s="39" t="s">
        <v>164</v>
      </c>
      <c r="C2385" s="39">
        <v>4</v>
      </c>
      <c r="D2385" s="39" t="s">
        <v>2122</v>
      </c>
    </row>
    <row r="2386" spans="1:4" x14ac:dyDescent="0.25">
      <c r="A2386" s="39" t="s">
        <v>7464</v>
      </c>
      <c r="B2386" s="39" t="s">
        <v>7465</v>
      </c>
      <c r="C2386" s="39">
        <v>4</v>
      </c>
      <c r="D2386" s="39" t="s">
        <v>2122</v>
      </c>
    </row>
    <row r="2387" spans="1:4" x14ac:dyDescent="0.25">
      <c r="A2387" s="39" t="s">
        <v>1945</v>
      </c>
      <c r="B2387" s="39" t="s">
        <v>1268</v>
      </c>
      <c r="C2387" s="39">
        <v>4</v>
      </c>
      <c r="D2387" s="39" t="s">
        <v>2122</v>
      </c>
    </row>
    <row r="2388" spans="1:4" x14ac:dyDescent="0.25">
      <c r="A2388" s="39" t="s">
        <v>3274</v>
      </c>
      <c r="B2388" s="39" t="s">
        <v>3275</v>
      </c>
      <c r="C2388" s="39">
        <v>4</v>
      </c>
      <c r="D2388" s="39" t="s">
        <v>2122</v>
      </c>
    </row>
    <row r="2389" spans="1:4" x14ac:dyDescent="0.25">
      <c r="A2389" s="39" t="s">
        <v>11148</v>
      </c>
      <c r="B2389" s="39" t="s">
        <v>11149</v>
      </c>
      <c r="C2389" s="39">
        <v>4</v>
      </c>
      <c r="D2389" s="39" t="s">
        <v>2122</v>
      </c>
    </row>
    <row r="2390" spans="1:4" x14ac:dyDescent="0.25">
      <c r="A2390" s="39" t="s">
        <v>2334</v>
      </c>
      <c r="B2390" s="39" t="s">
        <v>2767</v>
      </c>
      <c r="C2390" s="39">
        <v>4</v>
      </c>
      <c r="D2390" s="39" t="s">
        <v>2122</v>
      </c>
    </row>
    <row r="2391" spans="1:4" x14ac:dyDescent="0.25">
      <c r="A2391" s="39" t="s">
        <v>11150</v>
      </c>
      <c r="B2391" s="39" t="s">
        <v>4844</v>
      </c>
      <c r="C2391" s="39">
        <v>4</v>
      </c>
      <c r="D2391" s="39" t="s">
        <v>2122</v>
      </c>
    </row>
    <row r="2392" spans="1:4" x14ac:dyDescent="0.25">
      <c r="A2392" s="39" t="s">
        <v>11151</v>
      </c>
      <c r="B2392" s="39" t="s">
        <v>11152</v>
      </c>
      <c r="C2392" s="39">
        <v>4</v>
      </c>
      <c r="D2392" s="39" t="s">
        <v>2122</v>
      </c>
    </row>
    <row r="2393" spans="1:4" x14ac:dyDescent="0.25">
      <c r="A2393" s="39" t="s">
        <v>11153</v>
      </c>
      <c r="B2393" s="39" t="s">
        <v>11154</v>
      </c>
      <c r="C2393" s="39">
        <v>4</v>
      </c>
      <c r="D2393" s="39" t="s">
        <v>2122</v>
      </c>
    </row>
    <row r="2394" spans="1:4" x14ac:dyDescent="0.25">
      <c r="A2394" s="39" t="s">
        <v>11155</v>
      </c>
      <c r="B2394" s="39" t="s">
        <v>1047</v>
      </c>
      <c r="C2394" s="39">
        <v>4</v>
      </c>
      <c r="D2394" s="39" t="s">
        <v>2122</v>
      </c>
    </row>
    <row r="2395" spans="1:4" x14ac:dyDescent="0.25">
      <c r="A2395" s="39" t="s">
        <v>11156</v>
      </c>
      <c r="B2395" s="39" t="s">
        <v>11157</v>
      </c>
      <c r="C2395" s="39">
        <v>4</v>
      </c>
      <c r="D2395" s="39" t="s">
        <v>2122</v>
      </c>
    </row>
    <row r="2396" spans="1:4" x14ac:dyDescent="0.25">
      <c r="A2396" s="39" t="s">
        <v>5397</v>
      </c>
      <c r="B2396" s="39" t="s">
        <v>5398</v>
      </c>
      <c r="C2396" s="39">
        <v>4</v>
      </c>
      <c r="D2396" s="39" t="s">
        <v>2122</v>
      </c>
    </row>
    <row r="2397" spans="1:4" x14ac:dyDescent="0.25">
      <c r="A2397" s="39" t="s">
        <v>7466</v>
      </c>
      <c r="B2397" s="39" t="s">
        <v>7467</v>
      </c>
      <c r="C2397" s="39">
        <v>4</v>
      </c>
      <c r="D2397" s="39" t="s">
        <v>2122</v>
      </c>
    </row>
    <row r="2398" spans="1:4" x14ac:dyDescent="0.25">
      <c r="A2398" s="39" t="s">
        <v>7468</v>
      </c>
      <c r="B2398" s="39" t="s">
        <v>7469</v>
      </c>
      <c r="C2398" s="39">
        <v>4</v>
      </c>
      <c r="D2398" s="39" t="s">
        <v>2122</v>
      </c>
    </row>
    <row r="2399" spans="1:4" x14ac:dyDescent="0.25">
      <c r="A2399" s="39" t="s">
        <v>11158</v>
      </c>
      <c r="B2399" s="39" t="s">
        <v>11159</v>
      </c>
      <c r="C2399" s="39">
        <v>4</v>
      </c>
      <c r="D2399" s="39" t="s">
        <v>2122</v>
      </c>
    </row>
    <row r="2400" spans="1:4" x14ac:dyDescent="0.25">
      <c r="A2400" s="39" t="s">
        <v>5399</v>
      </c>
      <c r="B2400" s="39" t="s">
        <v>5400</v>
      </c>
      <c r="C2400" s="39">
        <v>4</v>
      </c>
      <c r="D2400" s="39" t="s">
        <v>2122</v>
      </c>
    </row>
    <row r="2401" spans="1:4" x14ac:dyDescent="0.25">
      <c r="A2401" s="39" t="s">
        <v>1222</v>
      </c>
      <c r="B2401" s="39" t="s">
        <v>3000</v>
      </c>
      <c r="C2401" s="39">
        <v>4</v>
      </c>
      <c r="D2401" s="39" t="s">
        <v>2122</v>
      </c>
    </row>
    <row r="2402" spans="1:4" x14ac:dyDescent="0.25">
      <c r="A2402" s="39" t="s">
        <v>735</v>
      </c>
      <c r="B2402" s="39" t="s">
        <v>2258</v>
      </c>
      <c r="C2402" s="39">
        <v>4</v>
      </c>
      <c r="D2402" s="39" t="s">
        <v>2122</v>
      </c>
    </row>
    <row r="2403" spans="1:4" x14ac:dyDescent="0.25">
      <c r="A2403" s="39" t="s">
        <v>3578</v>
      </c>
      <c r="B2403" s="39" t="s">
        <v>2580</v>
      </c>
      <c r="C2403" s="39">
        <v>4</v>
      </c>
      <c r="D2403" s="39" t="s">
        <v>2122</v>
      </c>
    </row>
    <row r="2404" spans="1:4" x14ac:dyDescent="0.25">
      <c r="A2404" s="39" t="s">
        <v>3276</v>
      </c>
      <c r="B2404" s="39" t="s">
        <v>39</v>
      </c>
      <c r="C2404" s="39">
        <v>4</v>
      </c>
      <c r="D2404" s="39" t="s">
        <v>2122</v>
      </c>
    </row>
    <row r="2405" spans="1:4" x14ac:dyDescent="0.25">
      <c r="A2405" s="39" t="s">
        <v>16</v>
      </c>
      <c r="B2405" s="39" t="s">
        <v>2929</v>
      </c>
      <c r="C2405" s="39">
        <v>4</v>
      </c>
      <c r="D2405" s="39" t="s">
        <v>2122</v>
      </c>
    </row>
    <row r="2406" spans="1:4" x14ac:dyDescent="0.25">
      <c r="A2406" s="39" t="s">
        <v>3277</v>
      </c>
      <c r="B2406" s="39" t="s">
        <v>3278</v>
      </c>
      <c r="C2406" s="39">
        <v>4</v>
      </c>
      <c r="D2406" s="39" t="s">
        <v>2122</v>
      </c>
    </row>
    <row r="2407" spans="1:4" x14ac:dyDescent="0.25">
      <c r="A2407" s="39" t="s">
        <v>2423</v>
      </c>
      <c r="B2407" s="39" t="s">
        <v>2424</v>
      </c>
      <c r="C2407" s="39">
        <v>4</v>
      </c>
      <c r="D2407" s="39" t="s">
        <v>2122</v>
      </c>
    </row>
    <row r="2408" spans="1:4" x14ac:dyDescent="0.25">
      <c r="A2408" s="39" t="s">
        <v>2080</v>
      </c>
      <c r="B2408" s="39" t="s">
        <v>2104</v>
      </c>
      <c r="C2408" s="39">
        <v>4</v>
      </c>
      <c r="D2408" s="39" t="s">
        <v>2122</v>
      </c>
    </row>
    <row r="2409" spans="1:4" x14ac:dyDescent="0.25">
      <c r="A2409" s="39" t="s">
        <v>3579</v>
      </c>
      <c r="B2409" s="39" t="s">
        <v>2535</v>
      </c>
      <c r="C2409" s="39">
        <v>4</v>
      </c>
      <c r="D2409" s="39" t="s">
        <v>2122</v>
      </c>
    </row>
    <row r="2410" spans="1:4" x14ac:dyDescent="0.25">
      <c r="A2410" s="39" t="s">
        <v>1946</v>
      </c>
      <c r="B2410" s="39" t="s">
        <v>180</v>
      </c>
      <c r="C2410" s="39">
        <v>4</v>
      </c>
      <c r="D2410" s="39" t="s">
        <v>2122</v>
      </c>
    </row>
    <row r="2411" spans="1:4" x14ac:dyDescent="0.25">
      <c r="A2411" s="39" t="s">
        <v>11160</v>
      </c>
      <c r="B2411" s="39" t="s">
        <v>7470</v>
      </c>
      <c r="C2411" s="39">
        <v>4</v>
      </c>
      <c r="D2411" s="39" t="s">
        <v>2122</v>
      </c>
    </row>
    <row r="2412" spans="1:4" x14ac:dyDescent="0.25">
      <c r="A2412" s="39" t="s">
        <v>7471</v>
      </c>
      <c r="B2412" s="39" t="s">
        <v>3024</v>
      </c>
      <c r="C2412" s="39">
        <v>4</v>
      </c>
      <c r="D2412" s="39" t="s">
        <v>2122</v>
      </c>
    </row>
    <row r="2413" spans="1:4" x14ac:dyDescent="0.25">
      <c r="A2413" s="39" t="s">
        <v>7472</v>
      </c>
      <c r="B2413" s="39" t="s">
        <v>4471</v>
      </c>
      <c r="C2413" s="39">
        <v>4</v>
      </c>
      <c r="D2413" s="39" t="s">
        <v>2122</v>
      </c>
    </row>
    <row r="2414" spans="1:4" x14ac:dyDescent="0.25">
      <c r="A2414" s="39" t="s">
        <v>5401</v>
      </c>
      <c r="B2414" s="39" t="s">
        <v>2973</v>
      </c>
      <c r="C2414" s="39">
        <v>4</v>
      </c>
      <c r="D2414" s="39" t="s">
        <v>2122</v>
      </c>
    </row>
    <row r="2415" spans="1:4" x14ac:dyDescent="0.25">
      <c r="A2415" s="39" t="s">
        <v>5402</v>
      </c>
      <c r="B2415" s="39" t="s">
        <v>5403</v>
      </c>
      <c r="C2415" s="39">
        <v>4</v>
      </c>
      <c r="D2415" s="39" t="s">
        <v>2122</v>
      </c>
    </row>
    <row r="2416" spans="1:4" x14ac:dyDescent="0.25">
      <c r="A2416" s="39" t="s">
        <v>11161</v>
      </c>
      <c r="B2416" s="39" t="s">
        <v>11162</v>
      </c>
      <c r="C2416" s="39">
        <v>4</v>
      </c>
      <c r="D2416" s="39" t="s">
        <v>2122</v>
      </c>
    </row>
    <row r="2417" spans="1:4" x14ac:dyDescent="0.25">
      <c r="A2417" s="39" t="s">
        <v>2407</v>
      </c>
      <c r="B2417" s="39" t="s">
        <v>481</v>
      </c>
      <c r="C2417" s="39">
        <v>4</v>
      </c>
      <c r="D2417" s="39" t="s">
        <v>2122</v>
      </c>
    </row>
    <row r="2418" spans="1:4" x14ac:dyDescent="0.25">
      <c r="A2418" s="39" t="s">
        <v>11163</v>
      </c>
      <c r="B2418" s="39" t="s">
        <v>11164</v>
      </c>
      <c r="C2418" s="39">
        <v>4</v>
      </c>
      <c r="D2418" s="39" t="s">
        <v>2122</v>
      </c>
    </row>
    <row r="2419" spans="1:4" x14ac:dyDescent="0.25">
      <c r="A2419" s="39" t="s">
        <v>11165</v>
      </c>
      <c r="B2419" s="39" t="s">
        <v>11166</v>
      </c>
      <c r="C2419" s="39">
        <v>4</v>
      </c>
      <c r="D2419" s="39" t="s">
        <v>2122</v>
      </c>
    </row>
    <row r="2420" spans="1:4" x14ac:dyDescent="0.25">
      <c r="A2420" s="39" t="s">
        <v>254</v>
      </c>
      <c r="B2420" s="39" t="s">
        <v>2734</v>
      </c>
      <c r="C2420" s="39">
        <v>4</v>
      </c>
      <c r="D2420" s="39" t="s">
        <v>2122</v>
      </c>
    </row>
    <row r="2421" spans="1:4" x14ac:dyDescent="0.25">
      <c r="A2421" s="39" t="s">
        <v>7473</v>
      </c>
      <c r="B2421" s="39" t="s">
        <v>7474</v>
      </c>
      <c r="C2421" s="39">
        <v>4</v>
      </c>
      <c r="D2421" s="39" t="s">
        <v>2122</v>
      </c>
    </row>
    <row r="2422" spans="1:4" x14ac:dyDescent="0.25">
      <c r="A2422" s="39" t="s">
        <v>1948</v>
      </c>
      <c r="B2422" s="39" t="s">
        <v>1290</v>
      </c>
      <c r="C2422" s="39">
        <v>4</v>
      </c>
      <c r="D2422" s="39" t="s">
        <v>2122</v>
      </c>
    </row>
    <row r="2423" spans="1:4" x14ac:dyDescent="0.25">
      <c r="A2423" s="39" t="s">
        <v>5404</v>
      </c>
      <c r="B2423" s="39" t="s">
        <v>740</v>
      </c>
      <c r="C2423" s="39">
        <v>4</v>
      </c>
      <c r="D2423" s="39" t="s">
        <v>2122</v>
      </c>
    </row>
    <row r="2424" spans="1:4" x14ac:dyDescent="0.25">
      <c r="A2424" s="39" t="s">
        <v>2525</v>
      </c>
      <c r="B2424" s="39" t="s">
        <v>1063</v>
      </c>
      <c r="C2424" s="39">
        <v>4</v>
      </c>
      <c r="D2424" s="39" t="s">
        <v>2122</v>
      </c>
    </row>
    <row r="2425" spans="1:4" x14ac:dyDescent="0.25">
      <c r="A2425" s="39" t="s">
        <v>5405</v>
      </c>
      <c r="B2425" s="39" t="s">
        <v>5406</v>
      </c>
      <c r="C2425" s="39">
        <v>4</v>
      </c>
      <c r="D2425" s="39" t="s">
        <v>2122</v>
      </c>
    </row>
    <row r="2426" spans="1:4" x14ac:dyDescent="0.25">
      <c r="A2426" s="39" t="s">
        <v>1949</v>
      </c>
      <c r="B2426" s="39" t="s">
        <v>1078</v>
      </c>
      <c r="C2426" s="39">
        <v>4</v>
      </c>
      <c r="D2426" s="39" t="s">
        <v>2122</v>
      </c>
    </row>
    <row r="2427" spans="1:4" x14ac:dyDescent="0.25">
      <c r="A2427" s="39" t="s">
        <v>7475</v>
      </c>
      <c r="B2427" s="39" t="s">
        <v>4027</v>
      </c>
      <c r="C2427" s="39">
        <v>4</v>
      </c>
      <c r="D2427" s="39" t="s">
        <v>2122</v>
      </c>
    </row>
    <row r="2428" spans="1:4" x14ac:dyDescent="0.25">
      <c r="A2428" s="39" t="s">
        <v>5407</v>
      </c>
      <c r="B2428" s="39" t="s">
        <v>5408</v>
      </c>
      <c r="C2428" s="39">
        <v>4</v>
      </c>
      <c r="D2428" s="39" t="s">
        <v>2122</v>
      </c>
    </row>
    <row r="2429" spans="1:4" x14ac:dyDescent="0.25">
      <c r="A2429" s="39" t="s">
        <v>3580</v>
      </c>
      <c r="B2429" s="39" t="s">
        <v>3815</v>
      </c>
      <c r="C2429" s="39">
        <v>4</v>
      </c>
      <c r="D2429" s="39" t="s">
        <v>2122</v>
      </c>
    </row>
    <row r="2430" spans="1:4" x14ac:dyDescent="0.25">
      <c r="A2430" s="39" t="s">
        <v>7476</v>
      </c>
      <c r="B2430" s="39" t="s">
        <v>7477</v>
      </c>
      <c r="C2430" s="39">
        <v>4</v>
      </c>
      <c r="D2430" s="39" t="s">
        <v>2122</v>
      </c>
    </row>
    <row r="2431" spans="1:4" x14ac:dyDescent="0.25">
      <c r="A2431" s="39" t="s">
        <v>3279</v>
      </c>
      <c r="B2431" s="39" t="s">
        <v>1559</v>
      </c>
      <c r="C2431" s="39">
        <v>4</v>
      </c>
      <c r="D2431" s="39" t="s">
        <v>2122</v>
      </c>
    </row>
    <row r="2432" spans="1:4" x14ac:dyDescent="0.25">
      <c r="A2432" s="39" t="s">
        <v>11167</v>
      </c>
      <c r="B2432" s="39" t="s">
        <v>6205</v>
      </c>
      <c r="C2432" s="39">
        <v>4</v>
      </c>
      <c r="D2432" s="39" t="s">
        <v>2122</v>
      </c>
    </row>
    <row r="2433" spans="1:4" x14ac:dyDescent="0.25">
      <c r="A2433" s="39" t="s">
        <v>7478</v>
      </c>
      <c r="B2433" s="39" t="s">
        <v>7479</v>
      </c>
      <c r="C2433" s="39">
        <v>4</v>
      </c>
      <c r="D2433" s="39" t="s">
        <v>2122</v>
      </c>
    </row>
    <row r="2434" spans="1:4" x14ac:dyDescent="0.25">
      <c r="A2434" s="39" t="s">
        <v>1950</v>
      </c>
      <c r="B2434" s="39" t="s">
        <v>1030</v>
      </c>
      <c r="C2434" s="39">
        <v>4</v>
      </c>
      <c r="D2434" s="39" t="s">
        <v>2122</v>
      </c>
    </row>
    <row r="2435" spans="1:4" x14ac:dyDescent="0.25">
      <c r="A2435" s="39" t="s">
        <v>7480</v>
      </c>
      <c r="B2435" s="39" t="s">
        <v>7481</v>
      </c>
      <c r="C2435" s="39">
        <v>4</v>
      </c>
      <c r="D2435" s="39" t="s">
        <v>2122</v>
      </c>
    </row>
    <row r="2436" spans="1:4" x14ac:dyDescent="0.25">
      <c r="A2436" s="39" t="s">
        <v>1951</v>
      </c>
      <c r="B2436" s="39" t="s">
        <v>1367</v>
      </c>
      <c r="C2436" s="39">
        <v>4</v>
      </c>
      <c r="D2436" s="39" t="s">
        <v>2122</v>
      </c>
    </row>
    <row r="2437" spans="1:4" x14ac:dyDescent="0.25">
      <c r="A2437" s="39" t="s">
        <v>7482</v>
      </c>
      <c r="B2437" s="39" t="s">
        <v>7483</v>
      </c>
      <c r="C2437" s="39">
        <v>4</v>
      </c>
      <c r="D2437" s="39" t="s">
        <v>2122</v>
      </c>
    </row>
    <row r="2438" spans="1:4" x14ac:dyDescent="0.25">
      <c r="A2438" s="39" t="s">
        <v>7484</v>
      </c>
      <c r="B2438" s="39" t="s">
        <v>7485</v>
      </c>
      <c r="C2438" s="39">
        <v>4</v>
      </c>
      <c r="D2438" s="39" t="s">
        <v>2122</v>
      </c>
    </row>
    <row r="2439" spans="1:4" x14ac:dyDescent="0.25">
      <c r="A2439" s="39" t="s">
        <v>11168</v>
      </c>
      <c r="B2439" s="39" t="s">
        <v>4770</v>
      </c>
      <c r="C2439" s="39">
        <v>4</v>
      </c>
      <c r="D2439" s="39" t="s">
        <v>2122</v>
      </c>
    </row>
    <row r="2440" spans="1:4" x14ac:dyDescent="0.25">
      <c r="A2440" s="39" t="s">
        <v>7486</v>
      </c>
      <c r="B2440" s="39" t="s">
        <v>2934</v>
      </c>
      <c r="C2440" s="39">
        <v>4</v>
      </c>
      <c r="D2440" s="39" t="s">
        <v>2122</v>
      </c>
    </row>
    <row r="2441" spans="1:4" x14ac:dyDescent="0.25">
      <c r="A2441" s="39" t="s">
        <v>3581</v>
      </c>
      <c r="B2441" s="39" t="s">
        <v>3816</v>
      </c>
      <c r="C2441" s="39">
        <v>4</v>
      </c>
      <c r="D2441" s="39" t="s">
        <v>2122</v>
      </c>
    </row>
    <row r="2442" spans="1:4" x14ac:dyDescent="0.25">
      <c r="A2442" s="39" t="s">
        <v>11169</v>
      </c>
      <c r="B2442" s="39" t="s">
        <v>11170</v>
      </c>
      <c r="C2442" s="39">
        <v>4</v>
      </c>
      <c r="D2442" s="39" t="s">
        <v>2122</v>
      </c>
    </row>
    <row r="2443" spans="1:4" x14ac:dyDescent="0.25">
      <c r="A2443" s="39" t="s">
        <v>229</v>
      </c>
      <c r="B2443" s="39" t="s">
        <v>1362</v>
      </c>
      <c r="C2443" s="39">
        <v>4</v>
      </c>
      <c r="D2443" s="39" t="s">
        <v>2122</v>
      </c>
    </row>
    <row r="2444" spans="1:4" x14ac:dyDescent="0.25">
      <c r="A2444" s="39" t="s">
        <v>5409</v>
      </c>
      <c r="B2444" s="39" t="s">
        <v>3088</v>
      </c>
      <c r="C2444" s="39">
        <v>4</v>
      </c>
      <c r="D2444" s="39" t="s">
        <v>2122</v>
      </c>
    </row>
    <row r="2445" spans="1:4" x14ac:dyDescent="0.25">
      <c r="A2445" s="39" t="s">
        <v>7487</v>
      </c>
      <c r="B2445" s="39" t="s">
        <v>4434</v>
      </c>
      <c r="C2445" s="39">
        <v>4</v>
      </c>
      <c r="D2445" s="39" t="s">
        <v>2122</v>
      </c>
    </row>
    <row r="2446" spans="1:4" x14ac:dyDescent="0.25">
      <c r="A2446" s="39" t="s">
        <v>11171</v>
      </c>
      <c r="B2446" s="39" t="s">
        <v>4182</v>
      </c>
      <c r="C2446" s="39">
        <v>4</v>
      </c>
      <c r="D2446" s="39" t="s">
        <v>2122</v>
      </c>
    </row>
    <row r="2447" spans="1:4" x14ac:dyDescent="0.25">
      <c r="A2447" s="39" t="s">
        <v>7488</v>
      </c>
      <c r="B2447" s="39" t="s">
        <v>7489</v>
      </c>
      <c r="C2447" s="39">
        <v>4</v>
      </c>
      <c r="D2447" s="39" t="s">
        <v>2122</v>
      </c>
    </row>
    <row r="2448" spans="1:4" x14ac:dyDescent="0.25">
      <c r="A2448" s="39" t="s">
        <v>5410</v>
      </c>
      <c r="B2448" s="39" t="s">
        <v>2975</v>
      </c>
      <c r="C2448" s="39">
        <v>4</v>
      </c>
      <c r="D2448" s="39" t="s">
        <v>2122</v>
      </c>
    </row>
    <row r="2449" spans="1:4" x14ac:dyDescent="0.25">
      <c r="A2449" s="39" t="s">
        <v>11172</v>
      </c>
      <c r="B2449" s="39" t="s">
        <v>4246</v>
      </c>
      <c r="C2449" s="39">
        <v>4</v>
      </c>
      <c r="D2449" s="39" t="s">
        <v>2122</v>
      </c>
    </row>
    <row r="2450" spans="1:4" x14ac:dyDescent="0.25">
      <c r="A2450" s="39" t="s">
        <v>7490</v>
      </c>
      <c r="B2450" s="39" t="s">
        <v>2904</v>
      </c>
      <c r="C2450" s="39">
        <v>4</v>
      </c>
      <c r="D2450" s="39" t="s">
        <v>2122</v>
      </c>
    </row>
    <row r="2451" spans="1:4" x14ac:dyDescent="0.25">
      <c r="A2451" s="39" t="s">
        <v>3582</v>
      </c>
      <c r="B2451" s="39" t="s">
        <v>959</v>
      </c>
      <c r="C2451" s="39">
        <v>4</v>
      </c>
      <c r="D2451" s="39" t="s">
        <v>2122</v>
      </c>
    </row>
    <row r="2452" spans="1:4" x14ac:dyDescent="0.25">
      <c r="A2452" s="39" t="s">
        <v>5411</v>
      </c>
      <c r="B2452" s="39" t="s">
        <v>5412</v>
      </c>
      <c r="C2452" s="39">
        <v>4</v>
      </c>
      <c r="D2452" s="39" t="s">
        <v>2122</v>
      </c>
    </row>
    <row r="2453" spans="1:4" x14ac:dyDescent="0.25">
      <c r="A2453" s="39" t="s">
        <v>5413</v>
      </c>
      <c r="B2453" s="39" t="s">
        <v>967</v>
      </c>
      <c r="C2453" s="39">
        <v>4</v>
      </c>
      <c r="D2453" s="39" t="s">
        <v>2122</v>
      </c>
    </row>
    <row r="2454" spans="1:4" x14ac:dyDescent="0.25">
      <c r="A2454" s="39" t="s">
        <v>11173</v>
      </c>
      <c r="B2454" s="39" t="s">
        <v>3898</v>
      </c>
      <c r="C2454" s="39">
        <v>4</v>
      </c>
      <c r="D2454" s="39" t="s">
        <v>2122</v>
      </c>
    </row>
    <row r="2455" spans="1:4" x14ac:dyDescent="0.25">
      <c r="A2455" s="39" t="s">
        <v>11174</v>
      </c>
      <c r="B2455" s="39" t="s">
        <v>6149</v>
      </c>
      <c r="C2455" s="39">
        <v>4</v>
      </c>
      <c r="D2455" s="39" t="s">
        <v>2122</v>
      </c>
    </row>
    <row r="2456" spans="1:4" x14ac:dyDescent="0.25">
      <c r="A2456" s="39" t="s">
        <v>3583</v>
      </c>
      <c r="B2456" s="39" t="s">
        <v>3001</v>
      </c>
      <c r="C2456" s="39">
        <v>4</v>
      </c>
      <c r="D2456" s="39" t="s">
        <v>2122</v>
      </c>
    </row>
    <row r="2457" spans="1:4" x14ac:dyDescent="0.25">
      <c r="A2457" s="39" t="s">
        <v>7491</v>
      </c>
      <c r="B2457" s="39" t="s">
        <v>7492</v>
      </c>
      <c r="C2457" s="39">
        <v>4</v>
      </c>
      <c r="D2457" s="39" t="s">
        <v>2122</v>
      </c>
    </row>
    <row r="2458" spans="1:4" x14ac:dyDescent="0.25">
      <c r="A2458" s="39" t="s">
        <v>7493</v>
      </c>
      <c r="B2458" s="39" t="s">
        <v>7494</v>
      </c>
      <c r="C2458" s="39">
        <v>4</v>
      </c>
      <c r="D2458" s="39" t="s">
        <v>2122</v>
      </c>
    </row>
    <row r="2459" spans="1:4" x14ac:dyDescent="0.25">
      <c r="A2459" s="39" t="s">
        <v>840</v>
      </c>
      <c r="B2459" s="39" t="s">
        <v>1517</v>
      </c>
      <c r="C2459" s="39">
        <v>4</v>
      </c>
      <c r="D2459" s="39" t="s">
        <v>2122</v>
      </c>
    </row>
    <row r="2460" spans="1:4" x14ac:dyDescent="0.25">
      <c r="A2460" s="39" t="s">
        <v>5414</v>
      </c>
      <c r="B2460" s="39" t="s">
        <v>2947</v>
      </c>
      <c r="C2460" s="39">
        <v>4</v>
      </c>
      <c r="D2460" s="39" t="s">
        <v>2122</v>
      </c>
    </row>
    <row r="2461" spans="1:4" x14ac:dyDescent="0.25">
      <c r="A2461" s="39" t="s">
        <v>1204</v>
      </c>
      <c r="B2461" s="39" t="s">
        <v>3282</v>
      </c>
      <c r="C2461" s="39">
        <v>4</v>
      </c>
      <c r="D2461" s="39" t="s">
        <v>2122</v>
      </c>
    </row>
    <row r="2462" spans="1:4" x14ac:dyDescent="0.25">
      <c r="A2462" s="39" t="s">
        <v>7495</v>
      </c>
      <c r="B2462" s="39" t="s">
        <v>7496</v>
      </c>
      <c r="C2462" s="39">
        <v>4</v>
      </c>
      <c r="D2462" s="39" t="s">
        <v>2122</v>
      </c>
    </row>
    <row r="2463" spans="1:4" x14ac:dyDescent="0.25">
      <c r="A2463" s="39" t="s">
        <v>11175</v>
      </c>
      <c r="B2463" s="39" t="s">
        <v>11176</v>
      </c>
      <c r="C2463" s="39">
        <v>4</v>
      </c>
      <c r="D2463" s="39" t="s">
        <v>2122</v>
      </c>
    </row>
    <row r="2464" spans="1:4" x14ac:dyDescent="0.25">
      <c r="A2464" s="39" t="s">
        <v>3283</v>
      </c>
      <c r="B2464" s="39" t="s">
        <v>2529</v>
      </c>
      <c r="C2464" s="39">
        <v>4</v>
      </c>
      <c r="D2464" s="39" t="s">
        <v>2122</v>
      </c>
    </row>
    <row r="2465" spans="1:4" x14ac:dyDescent="0.25">
      <c r="A2465" s="39" t="s">
        <v>5415</v>
      </c>
      <c r="B2465" s="39" t="s">
        <v>5416</v>
      </c>
      <c r="C2465" s="39">
        <v>4</v>
      </c>
      <c r="D2465" s="39" t="s">
        <v>2122</v>
      </c>
    </row>
    <row r="2466" spans="1:4" x14ac:dyDescent="0.25">
      <c r="A2466" s="39" t="s">
        <v>11177</v>
      </c>
      <c r="B2466" s="39" t="s">
        <v>4088</v>
      </c>
      <c r="C2466" s="39">
        <v>4</v>
      </c>
      <c r="D2466" s="39" t="s">
        <v>2122</v>
      </c>
    </row>
    <row r="2467" spans="1:4" x14ac:dyDescent="0.25">
      <c r="A2467" s="39" t="s">
        <v>7497</v>
      </c>
      <c r="B2467" s="39" t="s">
        <v>7498</v>
      </c>
      <c r="C2467" s="39">
        <v>4</v>
      </c>
      <c r="D2467" s="39" t="s">
        <v>2122</v>
      </c>
    </row>
    <row r="2468" spans="1:4" x14ac:dyDescent="0.25">
      <c r="A2468" s="39" t="s">
        <v>1954</v>
      </c>
      <c r="B2468" s="39" t="s">
        <v>237</v>
      </c>
      <c r="C2468" s="39">
        <v>4</v>
      </c>
      <c r="D2468" s="39" t="s">
        <v>2122</v>
      </c>
    </row>
    <row r="2469" spans="1:4" x14ac:dyDescent="0.25">
      <c r="A2469" s="39" t="s">
        <v>7499</v>
      </c>
      <c r="B2469" s="39" t="s">
        <v>7500</v>
      </c>
      <c r="C2469" s="39">
        <v>4</v>
      </c>
      <c r="D2469" s="39" t="s">
        <v>2122</v>
      </c>
    </row>
    <row r="2470" spans="1:4" x14ac:dyDescent="0.25">
      <c r="A2470" s="39" t="s">
        <v>11178</v>
      </c>
      <c r="B2470" s="39" t="s">
        <v>4104</v>
      </c>
      <c r="C2470" s="39">
        <v>4</v>
      </c>
      <c r="D2470" s="39" t="s">
        <v>2122</v>
      </c>
    </row>
    <row r="2471" spans="1:4" x14ac:dyDescent="0.25">
      <c r="A2471" s="39" t="s">
        <v>5417</v>
      </c>
      <c r="B2471" s="39" t="s">
        <v>5418</v>
      </c>
      <c r="C2471" s="39">
        <v>4</v>
      </c>
      <c r="D2471" s="39" t="s">
        <v>2122</v>
      </c>
    </row>
    <row r="2472" spans="1:4" x14ac:dyDescent="0.25">
      <c r="A2472" s="39" t="s">
        <v>3286</v>
      </c>
      <c r="B2472" s="39" t="s">
        <v>2895</v>
      </c>
      <c r="C2472" s="39">
        <v>4</v>
      </c>
      <c r="D2472" s="39" t="s">
        <v>2122</v>
      </c>
    </row>
    <row r="2473" spans="1:4" x14ac:dyDescent="0.25">
      <c r="A2473" s="39" t="s">
        <v>7501</v>
      </c>
      <c r="B2473" s="39" t="s">
        <v>4195</v>
      </c>
      <c r="C2473" s="39">
        <v>4</v>
      </c>
      <c r="D2473" s="39" t="s">
        <v>2122</v>
      </c>
    </row>
    <row r="2474" spans="1:4" x14ac:dyDescent="0.25">
      <c r="A2474" s="39" t="s">
        <v>3584</v>
      </c>
      <c r="B2474" s="39" t="s">
        <v>2548</v>
      </c>
      <c r="C2474" s="39">
        <v>4</v>
      </c>
      <c r="D2474" s="39" t="s">
        <v>2122</v>
      </c>
    </row>
    <row r="2475" spans="1:4" x14ac:dyDescent="0.25">
      <c r="A2475" s="39" t="s">
        <v>1955</v>
      </c>
      <c r="B2475" s="39" t="s">
        <v>1219</v>
      </c>
      <c r="C2475" s="39">
        <v>4</v>
      </c>
      <c r="D2475" s="39" t="s">
        <v>2122</v>
      </c>
    </row>
    <row r="2476" spans="1:4" x14ac:dyDescent="0.25">
      <c r="A2476" s="39" t="s">
        <v>7502</v>
      </c>
      <c r="B2476" s="39" t="s">
        <v>7503</v>
      </c>
      <c r="C2476" s="39">
        <v>4</v>
      </c>
      <c r="D2476" s="39" t="s">
        <v>2122</v>
      </c>
    </row>
    <row r="2477" spans="1:4" x14ac:dyDescent="0.25">
      <c r="A2477" s="39" t="s">
        <v>11179</v>
      </c>
      <c r="B2477" s="39" t="s">
        <v>11180</v>
      </c>
      <c r="C2477" s="39">
        <v>4</v>
      </c>
      <c r="D2477" s="39" t="s">
        <v>2122</v>
      </c>
    </row>
    <row r="2478" spans="1:4" x14ac:dyDescent="0.25">
      <c r="A2478" s="39" t="s">
        <v>2429</v>
      </c>
      <c r="B2478" s="39" t="s">
        <v>2430</v>
      </c>
      <c r="C2478" s="39">
        <v>4</v>
      </c>
      <c r="D2478" s="39" t="s">
        <v>2122</v>
      </c>
    </row>
    <row r="2479" spans="1:4" x14ac:dyDescent="0.25">
      <c r="A2479" s="39" t="s">
        <v>5419</v>
      </c>
      <c r="B2479" s="39" t="s">
        <v>5420</v>
      </c>
      <c r="C2479" s="39">
        <v>4</v>
      </c>
      <c r="D2479" s="39" t="s">
        <v>2122</v>
      </c>
    </row>
    <row r="2480" spans="1:4" x14ac:dyDescent="0.25">
      <c r="A2480" s="39" t="s">
        <v>5421</v>
      </c>
      <c r="B2480" s="39" t="s">
        <v>2842</v>
      </c>
      <c r="C2480" s="39">
        <v>4</v>
      </c>
      <c r="D2480" s="39" t="s">
        <v>2122</v>
      </c>
    </row>
    <row r="2481" spans="1:4" x14ac:dyDescent="0.25">
      <c r="A2481" s="39" t="s">
        <v>7504</v>
      </c>
      <c r="B2481" s="39" t="s">
        <v>7505</v>
      </c>
      <c r="C2481" s="39">
        <v>4</v>
      </c>
      <c r="D2481" s="39" t="s">
        <v>2122</v>
      </c>
    </row>
    <row r="2482" spans="1:4" x14ac:dyDescent="0.25">
      <c r="A2482" s="39" t="s">
        <v>11181</v>
      </c>
      <c r="B2482" s="39" t="s">
        <v>11182</v>
      </c>
      <c r="C2482" s="39">
        <v>4</v>
      </c>
      <c r="D2482" s="39" t="s">
        <v>2122</v>
      </c>
    </row>
    <row r="2483" spans="1:4" x14ac:dyDescent="0.25">
      <c r="A2483" s="39" t="s">
        <v>11183</v>
      </c>
      <c r="B2483" s="39" t="s">
        <v>4543</v>
      </c>
      <c r="C2483" s="39">
        <v>4</v>
      </c>
      <c r="D2483" s="39" t="s">
        <v>2122</v>
      </c>
    </row>
    <row r="2484" spans="1:4" x14ac:dyDescent="0.25">
      <c r="A2484" s="39" t="s">
        <v>5422</v>
      </c>
      <c r="B2484" s="39" t="s">
        <v>2917</v>
      </c>
      <c r="C2484" s="39">
        <v>4</v>
      </c>
      <c r="D2484" s="39" t="s">
        <v>2122</v>
      </c>
    </row>
    <row r="2485" spans="1:4" x14ac:dyDescent="0.25">
      <c r="A2485" s="39" t="s">
        <v>1956</v>
      </c>
      <c r="B2485" s="39" t="s">
        <v>1079</v>
      </c>
      <c r="C2485" s="39">
        <v>4</v>
      </c>
      <c r="D2485" s="39" t="s">
        <v>2122</v>
      </c>
    </row>
    <row r="2486" spans="1:4" x14ac:dyDescent="0.25">
      <c r="A2486" s="39" t="s">
        <v>11184</v>
      </c>
      <c r="B2486" s="39" t="s">
        <v>11185</v>
      </c>
      <c r="C2486" s="39">
        <v>4</v>
      </c>
      <c r="D2486" s="39" t="s">
        <v>2122</v>
      </c>
    </row>
    <row r="2487" spans="1:4" x14ac:dyDescent="0.25">
      <c r="A2487" s="39" t="s">
        <v>11186</v>
      </c>
      <c r="B2487" s="39" t="s">
        <v>11187</v>
      </c>
      <c r="C2487" s="39">
        <v>4</v>
      </c>
      <c r="D2487" s="39" t="s">
        <v>2122</v>
      </c>
    </row>
    <row r="2488" spans="1:4" x14ac:dyDescent="0.25">
      <c r="A2488" s="39" t="s">
        <v>11188</v>
      </c>
      <c r="B2488" s="39" t="s">
        <v>4480</v>
      </c>
      <c r="C2488" s="39">
        <v>4</v>
      </c>
      <c r="D2488" s="39" t="s">
        <v>2122</v>
      </c>
    </row>
    <row r="2489" spans="1:4" x14ac:dyDescent="0.25">
      <c r="A2489" s="39" t="s">
        <v>7506</v>
      </c>
      <c r="B2489" s="39" t="s">
        <v>4199</v>
      </c>
      <c r="C2489" s="39">
        <v>4</v>
      </c>
      <c r="D2489" s="39" t="s">
        <v>2122</v>
      </c>
    </row>
    <row r="2490" spans="1:4" x14ac:dyDescent="0.25">
      <c r="A2490" s="39" t="s">
        <v>3585</v>
      </c>
      <c r="B2490" s="39" t="s">
        <v>3817</v>
      </c>
      <c r="C2490" s="39">
        <v>4</v>
      </c>
      <c r="D2490" s="39" t="s">
        <v>2122</v>
      </c>
    </row>
    <row r="2491" spans="1:4" x14ac:dyDescent="0.25">
      <c r="A2491" s="39" t="s">
        <v>11189</v>
      </c>
      <c r="B2491" s="39" t="s">
        <v>11190</v>
      </c>
      <c r="C2491" s="39">
        <v>4</v>
      </c>
      <c r="D2491" s="39" t="s">
        <v>2122</v>
      </c>
    </row>
    <row r="2492" spans="1:4" x14ac:dyDescent="0.25">
      <c r="A2492" s="39" t="s">
        <v>5423</v>
      </c>
      <c r="B2492" s="39" t="s">
        <v>5424</v>
      </c>
      <c r="C2492" s="39">
        <v>4</v>
      </c>
      <c r="D2492" s="39" t="s">
        <v>2122</v>
      </c>
    </row>
    <row r="2493" spans="1:4" x14ac:dyDescent="0.25">
      <c r="A2493" s="39" t="s">
        <v>7507</v>
      </c>
      <c r="B2493" s="39" t="s">
        <v>479</v>
      </c>
      <c r="C2493" s="39">
        <v>4</v>
      </c>
      <c r="D2493" s="39" t="s">
        <v>2122</v>
      </c>
    </row>
    <row r="2494" spans="1:4" x14ac:dyDescent="0.25">
      <c r="A2494" s="39" t="s">
        <v>2771</v>
      </c>
      <c r="B2494" s="39" t="s">
        <v>2773</v>
      </c>
      <c r="C2494" s="39">
        <v>4</v>
      </c>
      <c r="D2494" s="39" t="s">
        <v>2122</v>
      </c>
    </row>
    <row r="2495" spans="1:4" x14ac:dyDescent="0.25">
      <c r="A2495" s="39" t="s">
        <v>3586</v>
      </c>
      <c r="B2495" s="39" t="s">
        <v>3818</v>
      </c>
      <c r="C2495" s="39">
        <v>4</v>
      </c>
      <c r="D2495" s="39" t="s">
        <v>2122</v>
      </c>
    </row>
    <row r="2496" spans="1:4" x14ac:dyDescent="0.25">
      <c r="A2496" s="39" t="s">
        <v>7508</v>
      </c>
      <c r="B2496" s="39" t="s">
        <v>7509</v>
      </c>
      <c r="C2496" s="39">
        <v>4</v>
      </c>
      <c r="D2496" s="39" t="s">
        <v>2122</v>
      </c>
    </row>
    <row r="2497" spans="1:4" x14ac:dyDescent="0.25">
      <c r="A2497" s="39" t="s">
        <v>11191</v>
      </c>
      <c r="B2497" s="39" t="s">
        <v>11192</v>
      </c>
      <c r="C2497" s="39">
        <v>4</v>
      </c>
      <c r="D2497" s="39" t="s">
        <v>2122</v>
      </c>
    </row>
    <row r="2498" spans="1:4" x14ac:dyDescent="0.25">
      <c r="A2498" s="39" t="s">
        <v>743</v>
      </c>
      <c r="B2498" s="39" t="s">
        <v>934</v>
      </c>
      <c r="C2498" s="39">
        <v>4</v>
      </c>
      <c r="D2498" s="39" t="s">
        <v>2122</v>
      </c>
    </row>
    <row r="2499" spans="1:4" x14ac:dyDescent="0.25">
      <c r="A2499" s="39" t="s">
        <v>3587</v>
      </c>
      <c r="B2499" s="39" t="s">
        <v>3819</v>
      </c>
      <c r="C2499" s="39">
        <v>4</v>
      </c>
      <c r="D2499" s="39" t="s">
        <v>2122</v>
      </c>
    </row>
    <row r="2500" spans="1:4" x14ac:dyDescent="0.25">
      <c r="A2500" s="39" t="s">
        <v>11193</v>
      </c>
      <c r="B2500" s="39" t="s">
        <v>4196</v>
      </c>
      <c r="C2500" s="39">
        <v>4</v>
      </c>
      <c r="D2500" s="39" t="s">
        <v>2122</v>
      </c>
    </row>
    <row r="2501" spans="1:4" x14ac:dyDescent="0.25">
      <c r="A2501" s="39" t="s">
        <v>5425</v>
      </c>
      <c r="B2501" s="39" t="s">
        <v>2913</v>
      </c>
      <c r="C2501" s="39">
        <v>4</v>
      </c>
      <c r="D2501" s="39" t="s">
        <v>2122</v>
      </c>
    </row>
    <row r="2502" spans="1:4" x14ac:dyDescent="0.25">
      <c r="A2502" s="39" t="s">
        <v>7510</v>
      </c>
      <c r="B2502" s="39" t="s">
        <v>4049</v>
      </c>
      <c r="C2502" s="39">
        <v>4</v>
      </c>
      <c r="D2502" s="39" t="s">
        <v>2122</v>
      </c>
    </row>
    <row r="2503" spans="1:4" x14ac:dyDescent="0.25">
      <c r="A2503" s="39" t="s">
        <v>361</v>
      </c>
      <c r="B2503" s="39" t="s">
        <v>2263</v>
      </c>
      <c r="C2503" s="39">
        <v>4</v>
      </c>
      <c r="D2503" s="39" t="s">
        <v>2122</v>
      </c>
    </row>
    <row r="2504" spans="1:4" x14ac:dyDescent="0.25">
      <c r="A2504" s="39" t="s">
        <v>7511</v>
      </c>
      <c r="B2504" s="39" t="s">
        <v>7512</v>
      </c>
      <c r="C2504" s="39">
        <v>4</v>
      </c>
      <c r="D2504" s="39" t="s">
        <v>2122</v>
      </c>
    </row>
    <row r="2505" spans="1:4" x14ac:dyDescent="0.25">
      <c r="A2505" s="39" t="s">
        <v>5426</v>
      </c>
      <c r="B2505" s="39" t="s">
        <v>5427</v>
      </c>
      <c r="C2505" s="39">
        <v>4</v>
      </c>
      <c r="D2505" s="39" t="s">
        <v>2122</v>
      </c>
    </row>
    <row r="2506" spans="1:4" x14ac:dyDescent="0.25">
      <c r="A2506" s="39" t="s">
        <v>3588</v>
      </c>
      <c r="B2506" s="39" t="s">
        <v>3820</v>
      </c>
      <c r="C2506" s="39">
        <v>4</v>
      </c>
      <c r="D2506" s="39" t="s">
        <v>2122</v>
      </c>
    </row>
    <row r="2507" spans="1:4" x14ac:dyDescent="0.25">
      <c r="A2507" s="39" t="s">
        <v>11194</v>
      </c>
      <c r="B2507" s="39" t="s">
        <v>11195</v>
      </c>
      <c r="C2507" s="39">
        <v>4</v>
      </c>
      <c r="D2507" s="39" t="s">
        <v>2122</v>
      </c>
    </row>
    <row r="2508" spans="1:4" x14ac:dyDescent="0.25">
      <c r="A2508" s="39" t="s">
        <v>3589</v>
      </c>
      <c r="B2508" s="39" t="s">
        <v>3821</v>
      </c>
      <c r="C2508" s="39">
        <v>4</v>
      </c>
      <c r="D2508" s="39" t="s">
        <v>2122</v>
      </c>
    </row>
    <row r="2509" spans="1:4" x14ac:dyDescent="0.25">
      <c r="A2509" s="39" t="s">
        <v>11196</v>
      </c>
      <c r="B2509" s="39" t="s">
        <v>11197</v>
      </c>
      <c r="C2509" s="39">
        <v>4</v>
      </c>
      <c r="D2509" s="39" t="s">
        <v>2122</v>
      </c>
    </row>
    <row r="2510" spans="1:4" x14ac:dyDescent="0.25">
      <c r="A2510" s="39" t="s">
        <v>7513</v>
      </c>
      <c r="B2510" s="39" t="s">
        <v>7514</v>
      </c>
      <c r="C2510" s="39">
        <v>4</v>
      </c>
      <c r="D2510" s="39" t="s">
        <v>2122</v>
      </c>
    </row>
    <row r="2511" spans="1:4" x14ac:dyDescent="0.25">
      <c r="A2511" s="39" t="s">
        <v>3287</v>
      </c>
      <c r="B2511" s="39" t="s">
        <v>1958</v>
      </c>
      <c r="C2511" s="39">
        <v>4</v>
      </c>
      <c r="D2511" s="39" t="s">
        <v>2122</v>
      </c>
    </row>
    <row r="2512" spans="1:4" x14ac:dyDescent="0.25">
      <c r="A2512" s="39" t="s">
        <v>277</v>
      </c>
      <c r="B2512" s="39" t="s">
        <v>401</v>
      </c>
      <c r="C2512" s="39">
        <v>4</v>
      </c>
      <c r="D2512" s="39" t="s">
        <v>2122</v>
      </c>
    </row>
    <row r="2513" spans="1:4" x14ac:dyDescent="0.25">
      <c r="A2513" s="39" t="s">
        <v>3590</v>
      </c>
      <c r="B2513" s="39" t="s">
        <v>3822</v>
      </c>
      <c r="C2513" s="39">
        <v>4</v>
      </c>
      <c r="D2513" s="39" t="s">
        <v>2122</v>
      </c>
    </row>
    <row r="2514" spans="1:4" x14ac:dyDescent="0.25">
      <c r="A2514" s="39" t="s">
        <v>7515</v>
      </c>
      <c r="B2514" s="39" t="s">
        <v>7516</v>
      </c>
      <c r="C2514" s="39">
        <v>4</v>
      </c>
      <c r="D2514" s="39" t="s">
        <v>2122</v>
      </c>
    </row>
    <row r="2515" spans="1:4" x14ac:dyDescent="0.25">
      <c r="A2515" s="39" t="s">
        <v>7517</v>
      </c>
      <c r="B2515" s="39" t="s">
        <v>7518</v>
      </c>
      <c r="C2515" s="39">
        <v>4</v>
      </c>
      <c r="D2515" s="39" t="s">
        <v>2122</v>
      </c>
    </row>
    <row r="2516" spans="1:4" x14ac:dyDescent="0.25">
      <c r="A2516" s="39" t="s">
        <v>5428</v>
      </c>
      <c r="B2516" s="39" t="s">
        <v>3010</v>
      </c>
      <c r="C2516" s="39">
        <v>4</v>
      </c>
      <c r="D2516" s="39" t="s">
        <v>2122</v>
      </c>
    </row>
    <row r="2517" spans="1:4" x14ac:dyDescent="0.25">
      <c r="A2517" s="39" t="s">
        <v>192</v>
      </c>
      <c r="B2517" s="39" t="s">
        <v>1524</v>
      </c>
      <c r="C2517" s="39">
        <v>4</v>
      </c>
      <c r="D2517" s="39" t="s">
        <v>2122</v>
      </c>
    </row>
    <row r="2518" spans="1:4" x14ac:dyDescent="0.25">
      <c r="A2518" s="39" t="s">
        <v>11198</v>
      </c>
      <c r="B2518" s="39" t="s">
        <v>4333</v>
      </c>
      <c r="C2518" s="39">
        <v>4</v>
      </c>
      <c r="D2518" s="39" t="s">
        <v>2122</v>
      </c>
    </row>
    <row r="2519" spans="1:4" x14ac:dyDescent="0.25">
      <c r="A2519" s="39" t="s">
        <v>11199</v>
      </c>
      <c r="B2519" s="39" t="s">
        <v>11200</v>
      </c>
      <c r="C2519" s="39">
        <v>4</v>
      </c>
      <c r="D2519" s="39" t="s">
        <v>2122</v>
      </c>
    </row>
    <row r="2520" spans="1:4" x14ac:dyDescent="0.25">
      <c r="A2520" s="39" t="s">
        <v>2775</v>
      </c>
      <c r="B2520" s="39" t="s">
        <v>2344</v>
      </c>
      <c r="C2520" s="39">
        <v>4</v>
      </c>
      <c r="D2520" s="39" t="s">
        <v>2122</v>
      </c>
    </row>
    <row r="2521" spans="1:4" x14ac:dyDescent="0.25">
      <c r="A2521" s="39" t="s">
        <v>3591</v>
      </c>
      <c r="B2521" s="39" t="s">
        <v>3823</v>
      </c>
      <c r="C2521" s="39">
        <v>4</v>
      </c>
      <c r="D2521" s="39" t="s">
        <v>2122</v>
      </c>
    </row>
    <row r="2522" spans="1:4" x14ac:dyDescent="0.25">
      <c r="A2522" s="39" t="s">
        <v>7519</v>
      </c>
      <c r="B2522" s="39" t="s">
        <v>7520</v>
      </c>
      <c r="C2522" s="39">
        <v>4</v>
      </c>
      <c r="D2522" s="39" t="s">
        <v>2122</v>
      </c>
    </row>
    <row r="2523" spans="1:4" x14ac:dyDescent="0.25">
      <c r="A2523" s="39" t="s">
        <v>3592</v>
      </c>
      <c r="B2523" s="39" t="s">
        <v>3824</v>
      </c>
      <c r="C2523" s="39">
        <v>4</v>
      </c>
      <c r="D2523" s="39" t="s">
        <v>2122</v>
      </c>
    </row>
    <row r="2524" spans="1:4" x14ac:dyDescent="0.25">
      <c r="A2524" s="39" t="s">
        <v>7521</v>
      </c>
      <c r="B2524" s="39" t="s">
        <v>7522</v>
      </c>
      <c r="C2524" s="39">
        <v>4</v>
      </c>
      <c r="D2524" s="39" t="s">
        <v>2122</v>
      </c>
    </row>
    <row r="2525" spans="1:4" x14ac:dyDescent="0.25">
      <c r="A2525" s="39" t="s">
        <v>11201</v>
      </c>
      <c r="B2525" s="39" t="s">
        <v>11202</v>
      </c>
      <c r="C2525" s="39">
        <v>4</v>
      </c>
      <c r="D2525" s="39" t="s">
        <v>2122</v>
      </c>
    </row>
    <row r="2526" spans="1:4" x14ac:dyDescent="0.25">
      <c r="A2526" s="39" t="s">
        <v>11203</v>
      </c>
      <c r="B2526" s="39" t="s">
        <v>4039</v>
      </c>
      <c r="C2526" s="39">
        <v>4</v>
      </c>
      <c r="D2526" s="39" t="s">
        <v>2122</v>
      </c>
    </row>
    <row r="2527" spans="1:4" x14ac:dyDescent="0.25">
      <c r="A2527" s="39" t="s">
        <v>3042</v>
      </c>
      <c r="B2527" s="39" t="s">
        <v>3288</v>
      </c>
      <c r="C2527" s="39">
        <v>4</v>
      </c>
      <c r="D2527" s="39" t="s">
        <v>2122</v>
      </c>
    </row>
    <row r="2528" spans="1:4" x14ac:dyDescent="0.25">
      <c r="A2528" s="39" t="s">
        <v>11204</v>
      </c>
      <c r="B2528" s="39" t="s">
        <v>5636</v>
      </c>
      <c r="C2528" s="39">
        <v>4</v>
      </c>
      <c r="D2528" s="39" t="s">
        <v>2122</v>
      </c>
    </row>
    <row r="2529" spans="1:4" x14ac:dyDescent="0.25">
      <c r="A2529" s="39" t="s">
        <v>11205</v>
      </c>
      <c r="B2529" s="39" t="s">
        <v>5635</v>
      </c>
      <c r="C2529" s="39">
        <v>4</v>
      </c>
      <c r="D2529" s="39" t="s">
        <v>2122</v>
      </c>
    </row>
    <row r="2530" spans="1:4" x14ac:dyDescent="0.25">
      <c r="A2530" s="39" t="s">
        <v>11206</v>
      </c>
      <c r="B2530" s="39" t="s">
        <v>11207</v>
      </c>
      <c r="C2530" s="39">
        <v>4</v>
      </c>
      <c r="D2530" s="39" t="s">
        <v>2122</v>
      </c>
    </row>
    <row r="2531" spans="1:4" x14ac:dyDescent="0.25">
      <c r="A2531" s="39" t="s">
        <v>5429</v>
      </c>
      <c r="B2531" s="39" t="s">
        <v>2957</v>
      </c>
      <c r="C2531" s="39">
        <v>4</v>
      </c>
      <c r="D2531" s="39" t="s">
        <v>2122</v>
      </c>
    </row>
    <row r="2532" spans="1:4" x14ac:dyDescent="0.25">
      <c r="A2532" s="39" t="s">
        <v>7523</v>
      </c>
      <c r="B2532" s="39" t="s">
        <v>4045</v>
      </c>
      <c r="C2532" s="39">
        <v>4</v>
      </c>
      <c r="D2532" s="39" t="s">
        <v>2122</v>
      </c>
    </row>
    <row r="2533" spans="1:4" x14ac:dyDescent="0.25">
      <c r="A2533" s="39" t="s">
        <v>7524</v>
      </c>
      <c r="B2533" s="39" t="s">
        <v>7525</v>
      </c>
      <c r="C2533" s="39">
        <v>4</v>
      </c>
      <c r="D2533" s="39" t="s">
        <v>2122</v>
      </c>
    </row>
    <row r="2534" spans="1:4" x14ac:dyDescent="0.25">
      <c r="A2534" s="39" t="s">
        <v>11208</v>
      </c>
      <c r="B2534" s="39" t="s">
        <v>3926</v>
      </c>
      <c r="C2534" s="39">
        <v>4</v>
      </c>
      <c r="D2534" s="39" t="s">
        <v>2122</v>
      </c>
    </row>
    <row r="2535" spans="1:4" x14ac:dyDescent="0.25">
      <c r="A2535" s="39" t="s">
        <v>11209</v>
      </c>
      <c r="B2535" s="39" t="s">
        <v>11210</v>
      </c>
      <c r="C2535" s="39">
        <v>4</v>
      </c>
      <c r="D2535" s="39" t="s">
        <v>2122</v>
      </c>
    </row>
    <row r="2536" spans="1:4" x14ac:dyDescent="0.25">
      <c r="A2536" s="39" t="s">
        <v>11211</v>
      </c>
      <c r="B2536" s="39" t="s">
        <v>4767</v>
      </c>
      <c r="C2536" s="39">
        <v>4</v>
      </c>
      <c r="D2536" s="39" t="s">
        <v>2122</v>
      </c>
    </row>
    <row r="2537" spans="1:4" x14ac:dyDescent="0.25">
      <c r="A2537" s="39" t="s">
        <v>2760</v>
      </c>
      <c r="B2537" s="39" t="s">
        <v>830</v>
      </c>
      <c r="C2537" s="39">
        <v>4</v>
      </c>
      <c r="D2537" s="39" t="s">
        <v>2122</v>
      </c>
    </row>
    <row r="2538" spans="1:4" x14ac:dyDescent="0.25">
      <c r="A2538" s="39" t="s">
        <v>7526</v>
      </c>
      <c r="B2538" s="39" t="s">
        <v>2625</v>
      </c>
      <c r="C2538" s="39">
        <v>4</v>
      </c>
      <c r="D2538" s="39" t="s">
        <v>2122</v>
      </c>
    </row>
    <row r="2539" spans="1:4" x14ac:dyDescent="0.25">
      <c r="A2539" s="39" t="s">
        <v>11212</v>
      </c>
      <c r="B2539" s="39" t="s">
        <v>6219</v>
      </c>
      <c r="C2539" s="39">
        <v>4</v>
      </c>
      <c r="D2539" s="39" t="s">
        <v>2122</v>
      </c>
    </row>
    <row r="2540" spans="1:4" x14ac:dyDescent="0.25">
      <c r="A2540" s="39" t="s">
        <v>2264</v>
      </c>
      <c r="B2540" s="39" t="s">
        <v>2267</v>
      </c>
      <c r="C2540" s="39">
        <v>4</v>
      </c>
      <c r="D2540" s="39" t="s">
        <v>2122</v>
      </c>
    </row>
    <row r="2541" spans="1:4" x14ac:dyDescent="0.25">
      <c r="A2541" s="39" t="s">
        <v>3291</v>
      </c>
      <c r="B2541" s="39" t="s">
        <v>3292</v>
      </c>
      <c r="C2541" s="39">
        <v>4</v>
      </c>
      <c r="D2541" s="39" t="s">
        <v>2122</v>
      </c>
    </row>
    <row r="2542" spans="1:4" x14ac:dyDescent="0.25">
      <c r="A2542" s="39" t="s">
        <v>1959</v>
      </c>
      <c r="B2542" s="39" t="s">
        <v>1960</v>
      </c>
      <c r="C2542" s="39">
        <v>4</v>
      </c>
      <c r="D2542" s="39" t="s">
        <v>2122</v>
      </c>
    </row>
    <row r="2543" spans="1:4" x14ac:dyDescent="0.25">
      <c r="A2543" s="39" t="s">
        <v>7527</v>
      </c>
      <c r="B2543" s="39" t="s">
        <v>3988</v>
      </c>
      <c r="C2543" s="39">
        <v>4</v>
      </c>
      <c r="D2543" s="39" t="s">
        <v>2122</v>
      </c>
    </row>
    <row r="2544" spans="1:4" x14ac:dyDescent="0.25">
      <c r="A2544" s="39" t="s">
        <v>1426</v>
      </c>
      <c r="B2544" s="39" t="s">
        <v>1269</v>
      </c>
      <c r="C2544" s="39">
        <v>4</v>
      </c>
      <c r="D2544" s="39" t="s">
        <v>2122</v>
      </c>
    </row>
    <row r="2545" spans="1:4" x14ac:dyDescent="0.25">
      <c r="A2545" s="39" t="s">
        <v>5430</v>
      </c>
      <c r="B2545" s="39" t="s">
        <v>2383</v>
      </c>
      <c r="C2545" s="39">
        <v>4</v>
      </c>
      <c r="D2545" s="39" t="s">
        <v>2122</v>
      </c>
    </row>
    <row r="2546" spans="1:4" x14ac:dyDescent="0.25">
      <c r="A2546" s="39" t="s">
        <v>5431</v>
      </c>
      <c r="B2546" s="39" t="s">
        <v>5432</v>
      </c>
      <c r="C2546" s="39">
        <v>4</v>
      </c>
      <c r="D2546" s="39" t="s">
        <v>2122</v>
      </c>
    </row>
    <row r="2547" spans="1:4" x14ac:dyDescent="0.25">
      <c r="A2547" s="39" t="s">
        <v>7528</v>
      </c>
      <c r="B2547" s="39" t="s">
        <v>7529</v>
      </c>
      <c r="C2547" s="39">
        <v>4</v>
      </c>
      <c r="D2547" s="39" t="s">
        <v>2122</v>
      </c>
    </row>
    <row r="2548" spans="1:4" x14ac:dyDescent="0.25">
      <c r="A2548" s="39" t="s">
        <v>11213</v>
      </c>
      <c r="B2548" s="39" t="s">
        <v>11214</v>
      </c>
      <c r="C2548" s="39">
        <v>4</v>
      </c>
      <c r="D2548" s="39" t="s">
        <v>2122</v>
      </c>
    </row>
    <row r="2549" spans="1:4" x14ac:dyDescent="0.25">
      <c r="A2549" s="39" t="s">
        <v>1992</v>
      </c>
      <c r="B2549" s="39" t="s">
        <v>3293</v>
      </c>
      <c r="C2549" s="39">
        <v>4</v>
      </c>
      <c r="D2549" s="39" t="s">
        <v>2122</v>
      </c>
    </row>
    <row r="2550" spans="1:4" x14ac:dyDescent="0.25">
      <c r="A2550" s="39" t="s">
        <v>7530</v>
      </c>
      <c r="B2550" s="39" t="s">
        <v>2673</v>
      </c>
      <c r="C2550" s="39">
        <v>4</v>
      </c>
      <c r="D2550" s="39" t="s">
        <v>2122</v>
      </c>
    </row>
    <row r="2551" spans="1:4" x14ac:dyDescent="0.25">
      <c r="A2551" s="39" t="s">
        <v>3596</v>
      </c>
      <c r="B2551" s="39" t="s">
        <v>3828</v>
      </c>
      <c r="C2551" s="39">
        <v>4</v>
      </c>
      <c r="D2551" s="39" t="s">
        <v>2122</v>
      </c>
    </row>
    <row r="2552" spans="1:4" x14ac:dyDescent="0.25">
      <c r="A2552" s="39" t="s">
        <v>11215</v>
      </c>
      <c r="B2552" s="39" t="s">
        <v>4419</v>
      </c>
      <c r="C2552" s="39">
        <v>4</v>
      </c>
      <c r="D2552" s="39" t="s">
        <v>2122</v>
      </c>
    </row>
    <row r="2553" spans="1:4" x14ac:dyDescent="0.25">
      <c r="A2553" s="39" t="s">
        <v>11216</v>
      </c>
      <c r="B2553" s="39" t="s">
        <v>4426</v>
      </c>
      <c r="C2553" s="39">
        <v>4</v>
      </c>
      <c r="D2553" s="39" t="s">
        <v>2122</v>
      </c>
    </row>
    <row r="2554" spans="1:4" x14ac:dyDescent="0.25">
      <c r="A2554" s="39" t="s">
        <v>3597</v>
      </c>
      <c r="B2554" s="39" t="s">
        <v>2069</v>
      </c>
      <c r="C2554" s="39">
        <v>4</v>
      </c>
      <c r="D2554" s="39" t="s">
        <v>2122</v>
      </c>
    </row>
    <row r="2555" spans="1:4" x14ac:dyDescent="0.25">
      <c r="A2555" s="39" t="s">
        <v>694</v>
      </c>
      <c r="B2555" s="39" t="s">
        <v>2014</v>
      </c>
      <c r="C2555" s="39">
        <v>4</v>
      </c>
      <c r="D2555" s="39" t="s">
        <v>2122</v>
      </c>
    </row>
    <row r="2556" spans="1:4" x14ac:dyDescent="0.25">
      <c r="A2556" s="39" t="s">
        <v>11217</v>
      </c>
      <c r="B2556" s="39" t="s">
        <v>4825</v>
      </c>
      <c r="C2556" s="39">
        <v>4</v>
      </c>
      <c r="D2556" s="39" t="s">
        <v>2122</v>
      </c>
    </row>
    <row r="2557" spans="1:4" x14ac:dyDescent="0.25">
      <c r="A2557" s="39" t="s">
        <v>7531</v>
      </c>
      <c r="B2557" s="39" t="s">
        <v>175</v>
      </c>
      <c r="C2557" s="39">
        <v>4</v>
      </c>
      <c r="D2557" s="39" t="s">
        <v>2122</v>
      </c>
    </row>
    <row r="2558" spans="1:4" x14ac:dyDescent="0.25">
      <c r="A2558" s="39" t="s">
        <v>11218</v>
      </c>
      <c r="B2558" s="39" t="s">
        <v>11219</v>
      </c>
      <c r="C2558" s="39">
        <v>4</v>
      </c>
      <c r="D2558" s="39" t="s">
        <v>2122</v>
      </c>
    </row>
    <row r="2559" spans="1:4" x14ac:dyDescent="0.25">
      <c r="A2559" s="39" t="s">
        <v>5433</v>
      </c>
      <c r="B2559" s="39" t="s">
        <v>5434</v>
      </c>
      <c r="C2559" s="39">
        <v>4</v>
      </c>
      <c r="D2559" s="39" t="s">
        <v>2122</v>
      </c>
    </row>
    <row r="2560" spans="1:4" x14ac:dyDescent="0.25">
      <c r="A2560" s="39" t="s">
        <v>7532</v>
      </c>
      <c r="B2560" s="39" t="s">
        <v>7533</v>
      </c>
      <c r="C2560" s="39">
        <v>4</v>
      </c>
      <c r="D2560" s="39" t="s">
        <v>2122</v>
      </c>
    </row>
    <row r="2561" spans="1:4" x14ac:dyDescent="0.25">
      <c r="A2561" s="39" t="s">
        <v>5435</v>
      </c>
      <c r="B2561" s="39" t="s">
        <v>3056</v>
      </c>
      <c r="C2561" s="39">
        <v>4</v>
      </c>
      <c r="D2561" s="39" t="s">
        <v>2122</v>
      </c>
    </row>
    <row r="2562" spans="1:4" x14ac:dyDescent="0.25">
      <c r="A2562" s="39" t="s">
        <v>3294</v>
      </c>
      <c r="B2562" s="39" t="s">
        <v>2605</v>
      </c>
      <c r="C2562" s="39">
        <v>4</v>
      </c>
      <c r="D2562" s="39" t="s">
        <v>2122</v>
      </c>
    </row>
    <row r="2563" spans="1:4" x14ac:dyDescent="0.25">
      <c r="A2563" s="39" t="s">
        <v>7534</v>
      </c>
      <c r="B2563" s="39" t="s">
        <v>4724</v>
      </c>
      <c r="C2563" s="39">
        <v>4</v>
      </c>
      <c r="D2563" s="39" t="s">
        <v>2122</v>
      </c>
    </row>
    <row r="2564" spans="1:4" x14ac:dyDescent="0.25">
      <c r="A2564" s="39" t="s">
        <v>11220</v>
      </c>
      <c r="B2564" s="39" t="s">
        <v>4845</v>
      </c>
      <c r="C2564" s="39">
        <v>4</v>
      </c>
      <c r="D2564" s="39" t="s">
        <v>2122</v>
      </c>
    </row>
    <row r="2565" spans="1:4" x14ac:dyDescent="0.25">
      <c r="A2565" s="39" t="s">
        <v>3598</v>
      </c>
      <c r="B2565" s="39" t="s">
        <v>3005</v>
      </c>
      <c r="C2565" s="39">
        <v>4</v>
      </c>
      <c r="D2565" s="39" t="s">
        <v>2122</v>
      </c>
    </row>
    <row r="2566" spans="1:4" x14ac:dyDescent="0.25">
      <c r="A2566" s="39" t="s">
        <v>3599</v>
      </c>
      <c r="B2566" s="39" t="s">
        <v>3829</v>
      </c>
      <c r="C2566" s="39">
        <v>4</v>
      </c>
      <c r="D2566" s="39" t="s">
        <v>2122</v>
      </c>
    </row>
    <row r="2567" spans="1:4" x14ac:dyDescent="0.25">
      <c r="A2567" s="39" t="s">
        <v>7535</v>
      </c>
      <c r="B2567" s="39" t="s">
        <v>3997</v>
      </c>
      <c r="C2567" s="39">
        <v>4</v>
      </c>
      <c r="D2567" s="39" t="s">
        <v>2122</v>
      </c>
    </row>
    <row r="2568" spans="1:4" x14ac:dyDescent="0.25">
      <c r="A2568" s="39" t="s">
        <v>11221</v>
      </c>
      <c r="B2568" s="39" t="s">
        <v>11222</v>
      </c>
      <c r="C2568" s="39">
        <v>4</v>
      </c>
      <c r="D2568" s="39" t="s">
        <v>2122</v>
      </c>
    </row>
    <row r="2569" spans="1:4" x14ac:dyDescent="0.25">
      <c r="A2569" s="39" t="s">
        <v>7536</v>
      </c>
      <c r="B2569" s="39" t="s">
        <v>7537</v>
      </c>
      <c r="C2569" s="39">
        <v>4</v>
      </c>
      <c r="D2569" s="39" t="s">
        <v>2122</v>
      </c>
    </row>
    <row r="2570" spans="1:4" x14ac:dyDescent="0.25">
      <c r="A2570" s="39" t="s">
        <v>166</v>
      </c>
      <c r="B2570" s="39" t="s">
        <v>1387</v>
      </c>
      <c r="C2570" s="39">
        <v>4</v>
      </c>
      <c r="D2570" s="39" t="s">
        <v>2122</v>
      </c>
    </row>
    <row r="2571" spans="1:4" x14ac:dyDescent="0.25">
      <c r="A2571" s="39" t="s">
        <v>7538</v>
      </c>
      <c r="B2571" s="39" t="s">
        <v>7539</v>
      </c>
      <c r="C2571" s="39">
        <v>4</v>
      </c>
      <c r="D2571" s="39" t="s">
        <v>2122</v>
      </c>
    </row>
    <row r="2572" spans="1:4" x14ac:dyDescent="0.25">
      <c r="A2572" s="39" t="s">
        <v>2622</v>
      </c>
      <c r="B2572" s="39" t="s">
        <v>2779</v>
      </c>
      <c r="C2572" s="39">
        <v>4</v>
      </c>
      <c r="D2572" s="39" t="s">
        <v>2122</v>
      </c>
    </row>
    <row r="2573" spans="1:4" x14ac:dyDescent="0.25">
      <c r="A2573" s="39" t="s">
        <v>1709</v>
      </c>
      <c r="B2573" s="39" t="s">
        <v>70</v>
      </c>
      <c r="C2573" s="39">
        <v>4</v>
      </c>
      <c r="D2573" s="39" t="s">
        <v>2122</v>
      </c>
    </row>
    <row r="2574" spans="1:4" x14ac:dyDescent="0.25">
      <c r="A2574" s="39" t="s">
        <v>2431</v>
      </c>
      <c r="B2574" s="39" t="s">
        <v>973</v>
      </c>
      <c r="C2574" s="39">
        <v>4</v>
      </c>
      <c r="D2574" s="39" t="s">
        <v>2122</v>
      </c>
    </row>
    <row r="2575" spans="1:4" x14ac:dyDescent="0.25">
      <c r="A2575" s="39" t="s">
        <v>1102</v>
      </c>
      <c r="B2575" s="39" t="s">
        <v>1187</v>
      </c>
      <c r="C2575" s="39">
        <v>4</v>
      </c>
      <c r="D2575" s="39" t="s">
        <v>2122</v>
      </c>
    </row>
    <row r="2576" spans="1:4" x14ac:dyDescent="0.25">
      <c r="A2576" s="39" t="s">
        <v>1775</v>
      </c>
      <c r="B2576" s="39" t="s">
        <v>1421</v>
      </c>
      <c r="C2576" s="39">
        <v>4</v>
      </c>
      <c r="D2576" s="39" t="s">
        <v>2122</v>
      </c>
    </row>
    <row r="2577" spans="1:4" x14ac:dyDescent="0.25">
      <c r="A2577" s="39" t="s">
        <v>7540</v>
      </c>
      <c r="B2577" s="39" t="s">
        <v>7541</v>
      </c>
      <c r="C2577" s="39">
        <v>4</v>
      </c>
      <c r="D2577" s="39" t="s">
        <v>2122</v>
      </c>
    </row>
    <row r="2578" spans="1:4" x14ac:dyDescent="0.25">
      <c r="A2578" s="39" t="s">
        <v>11223</v>
      </c>
      <c r="B2578" s="39" t="s">
        <v>3929</v>
      </c>
      <c r="C2578" s="39">
        <v>4</v>
      </c>
      <c r="D2578" s="39" t="s">
        <v>2122</v>
      </c>
    </row>
    <row r="2579" spans="1:4" x14ac:dyDescent="0.25">
      <c r="A2579" s="39" t="s">
        <v>11224</v>
      </c>
      <c r="B2579" s="39" t="s">
        <v>11225</v>
      </c>
      <c r="C2579" s="39">
        <v>4</v>
      </c>
      <c r="D2579" s="39" t="s">
        <v>2122</v>
      </c>
    </row>
    <row r="2580" spans="1:4" x14ac:dyDescent="0.25">
      <c r="A2580" s="39" t="s">
        <v>1597</v>
      </c>
      <c r="B2580" s="39" t="s">
        <v>3295</v>
      </c>
      <c r="C2580" s="39">
        <v>4</v>
      </c>
      <c r="D2580" s="39" t="s">
        <v>2122</v>
      </c>
    </row>
    <row r="2581" spans="1:4" x14ac:dyDescent="0.25">
      <c r="A2581" s="39" t="s">
        <v>7542</v>
      </c>
      <c r="B2581" s="39" t="s">
        <v>3945</v>
      </c>
      <c r="C2581" s="39">
        <v>4</v>
      </c>
      <c r="D2581" s="39" t="s">
        <v>2122</v>
      </c>
    </row>
    <row r="2582" spans="1:4" x14ac:dyDescent="0.25">
      <c r="A2582" s="39" t="s">
        <v>3296</v>
      </c>
      <c r="B2582" s="39" t="s">
        <v>3297</v>
      </c>
      <c r="C2582" s="39">
        <v>4</v>
      </c>
      <c r="D2582" s="39" t="s">
        <v>2122</v>
      </c>
    </row>
    <row r="2583" spans="1:4" x14ac:dyDescent="0.25">
      <c r="A2583" s="39" t="s">
        <v>11226</v>
      </c>
      <c r="B2583" s="39" t="s">
        <v>4361</v>
      </c>
      <c r="C2583" s="39">
        <v>4</v>
      </c>
      <c r="D2583" s="39" t="s">
        <v>2122</v>
      </c>
    </row>
    <row r="2584" spans="1:4" x14ac:dyDescent="0.25">
      <c r="A2584" s="39" t="s">
        <v>5436</v>
      </c>
      <c r="B2584" s="39" t="s">
        <v>1765</v>
      </c>
      <c r="C2584" s="39">
        <v>4</v>
      </c>
      <c r="D2584" s="39" t="s">
        <v>2122</v>
      </c>
    </row>
    <row r="2585" spans="1:4" x14ac:dyDescent="0.25">
      <c r="A2585" s="39" t="s">
        <v>3600</v>
      </c>
      <c r="B2585" s="39" t="s">
        <v>3830</v>
      </c>
      <c r="C2585" s="39">
        <v>4</v>
      </c>
      <c r="D2585" s="39" t="s">
        <v>2122</v>
      </c>
    </row>
    <row r="2586" spans="1:4" x14ac:dyDescent="0.25">
      <c r="A2586" s="39" t="s">
        <v>5437</v>
      </c>
      <c r="B2586" s="39" t="s">
        <v>3008</v>
      </c>
      <c r="C2586" s="39">
        <v>4</v>
      </c>
      <c r="D2586" s="39" t="s">
        <v>2122</v>
      </c>
    </row>
    <row r="2587" spans="1:4" x14ac:dyDescent="0.25">
      <c r="A2587" s="39" t="s">
        <v>3601</v>
      </c>
      <c r="B2587" s="39" t="s">
        <v>3067</v>
      </c>
      <c r="C2587" s="39">
        <v>4</v>
      </c>
      <c r="D2587" s="39" t="s">
        <v>2122</v>
      </c>
    </row>
    <row r="2588" spans="1:4" x14ac:dyDescent="0.25">
      <c r="A2588" s="39" t="s">
        <v>3298</v>
      </c>
      <c r="B2588" s="39" t="s">
        <v>725</v>
      </c>
      <c r="C2588" s="39">
        <v>4</v>
      </c>
      <c r="D2588" s="39" t="s">
        <v>2122</v>
      </c>
    </row>
    <row r="2589" spans="1:4" x14ac:dyDescent="0.25">
      <c r="A2589" s="39" t="s">
        <v>11227</v>
      </c>
      <c r="B2589" s="39" t="s">
        <v>4144</v>
      </c>
      <c r="C2589" s="39">
        <v>4</v>
      </c>
      <c r="D2589" s="39" t="s">
        <v>2122</v>
      </c>
    </row>
    <row r="2590" spans="1:4" x14ac:dyDescent="0.25">
      <c r="A2590" s="39" t="s">
        <v>7543</v>
      </c>
      <c r="B2590" s="39" t="s">
        <v>4010</v>
      </c>
      <c r="C2590" s="39">
        <v>4</v>
      </c>
      <c r="D2590" s="39" t="s">
        <v>2122</v>
      </c>
    </row>
    <row r="2591" spans="1:4" x14ac:dyDescent="0.25">
      <c r="A2591" s="39" t="s">
        <v>7544</v>
      </c>
      <c r="B2591" s="39" t="s">
        <v>4009</v>
      </c>
      <c r="C2591" s="39">
        <v>4</v>
      </c>
      <c r="D2591" s="39" t="s">
        <v>2122</v>
      </c>
    </row>
    <row r="2592" spans="1:4" x14ac:dyDescent="0.25">
      <c r="A2592" s="39" t="s">
        <v>11228</v>
      </c>
      <c r="B2592" s="39" t="s">
        <v>11229</v>
      </c>
      <c r="C2592" s="39">
        <v>4</v>
      </c>
      <c r="D2592" s="39" t="s">
        <v>2122</v>
      </c>
    </row>
    <row r="2593" spans="1:4" x14ac:dyDescent="0.25">
      <c r="A2593" s="39" t="s">
        <v>1944</v>
      </c>
      <c r="B2593" s="39" t="s">
        <v>1431</v>
      </c>
      <c r="C2593" s="39">
        <v>4</v>
      </c>
      <c r="D2593" s="39" t="s">
        <v>2122</v>
      </c>
    </row>
    <row r="2594" spans="1:4" x14ac:dyDescent="0.25">
      <c r="A2594" s="39" t="s">
        <v>5438</v>
      </c>
      <c r="B2594" s="39" t="s">
        <v>92</v>
      </c>
      <c r="C2594" s="39">
        <v>4</v>
      </c>
      <c r="D2594" s="39" t="s">
        <v>2122</v>
      </c>
    </row>
    <row r="2595" spans="1:4" x14ac:dyDescent="0.25">
      <c r="A2595" s="39" t="s">
        <v>3602</v>
      </c>
      <c r="B2595" s="39" t="s">
        <v>440</v>
      </c>
      <c r="C2595" s="39">
        <v>4</v>
      </c>
      <c r="D2595" s="39" t="s">
        <v>2122</v>
      </c>
    </row>
    <row r="2596" spans="1:4" x14ac:dyDescent="0.25">
      <c r="A2596" s="39" t="s">
        <v>7545</v>
      </c>
      <c r="B2596" s="39" t="s">
        <v>7546</v>
      </c>
      <c r="C2596" s="39">
        <v>4</v>
      </c>
      <c r="D2596" s="39" t="s">
        <v>2122</v>
      </c>
    </row>
    <row r="2597" spans="1:4" x14ac:dyDescent="0.25">
      <c r="A2597" s="39" t="s">
        <v>11230</v>
      </c>
      <c r="B2597" s="39" t="s">
        <v>11231</v>
      </c>
      <c r="C2597" s="39">
        <v>4</v>
      </c>
      <c r="D2597" s="39" t="s">
        <v>2122</v>
      </c>
    </row>
    <row r="2598" spans="1:4" x14ac:dyDescent="0.25">
      <c r="A2598" s="39" t="s">
        <v>5439</v>
      </c>
      <c r="B2598" s="39" t="s">
        <v>5440</v>
      </c>
      <c r="C2598" s="39">
        <v>4</v>
      </c>
      <c r="D2598" s="39" t="s">
        <v>2122</v>
      </c>
    </row>
    <row r="2599" spans="1:4" x14ac:dyDescent="0.25">
      <c r="A2599" s="39" t="s">
        <v>3603</v>
      </c>
      <c r="B2599" s="39" t="s">
        <v>3831</v>
      </c>
      <c r="C2599" s="39">
        <v>4</v>
      </c>
      <c r="D2599" s="39" t="s">
        <v>2122</v>
      </c>
    </row>
    <row r="2600" spans="1:4" x14ac:dyDescent="0.25">
      <c r="A2600" s="39" t="s">
        <v>11232</v>
      </c>
      <c r="B2600" s="39" t="s">
        <v>5944</v>
      </c>
      <c r="C2600" s="39">
        <v>4</v>
      </c>
      <c r="D2600" s="39" t="s">
        <v>2122</v>
      </c>
    </row>
    <row r="2601" spans="1:4" x14ac:dyDescent="0.25">
      <c r="A2601" s="39" t="s">
        <v>11233</v>
      </c>
      <c r="B2601" s="39" t="s">
        <v>4682</v>
      </c>
      <c r="C2601" s="39">
        <v>4</v>
      </c>
      <c r="D2601" s="39" t="s">
        <v>2122</v>
      </c>
    </row>
    <row r="2602" spans="1:4" x14ac:dyDescent="0.25">
      <c r="A2602" s="39" t="s">
        <v>11234</v>
      </c>
      <c r="B2602" s="39" t="s">
        <v>4584</v>
      </c>
      <c r="C2602" s="39">
        <v>4</v>
      </c>
      <c r="D2602" s="39" t="s">
        <v>2122</v>
      </c>
    </row>
    <row r="2603" spans="1:4" x14ac:dyDescent="0.25">
      <c r="A2603" s="39" t="s">
        <v>5441</v>
      </c>
      <c r="B2603" s="39" t="s">
        <v>5442</v>
      </c>
      <c r="C2603" s="39">
        <v>4</v>
      </c>
      <c r="D2603" s="39" t="s">
        <v>2122</v>
      </c>
    </row>
    <row r="2604" spans="1:4" x14ac:dyDescent="0.25">
      <c r="A2604" s="39" t="s">
        <v>7549</v>
      </c>
      <c r="B2604" s="39" t="s">
        <v>7550</v>
      </c>
      <c r="C2604" s="39">
        <v>4</v>
      </c>
      <c r="D2604" s="39" t="s">
        <v>2122</v>
      </c>
    </row>
    <row r="2605" spans="1:4" x14ac:dyDescent="0.25">
      <c r="A2605" s="39" t="s">
        <v>5443</v>
      </c>
      <c r="B2605" s="39" t="s">
        <v>3073</v>
      </c>
      <c r="C2605" s="39">
        <v>4</v>
      </c>
      <c r="D2605" s="39" t="s">
        <v>2122</v>
      </c>
    </row>
    <row r="2606" spans="1:4" x14ac:dyDescent="0.25">
      <c r="A2606" s="39" t="s">
        <v>7551</v>
      </c>
      <c r="B2606" s="39" t="s">
        <v>2926</v>
      </c>
      <c r="C2606" s="39">
        <v>4</v>
      </c>
      <c r="D2606" s="39" t="s">
        <v>2122</v>
      </c>
    </row>
    <row r="2607" spans="1:4" x14ac:dyDescent="0.25">
      <c r="A2607" s="39" t="s">
        <v>485</v>
      </c>
      <c r="B2607" s="39" t="s">
        <v>2108</v>
      </c>
      <c r="C2607" s="39">
        <v>4</v>
      </c>
      <c r="D2607" s="39" t="s">
        <v>2122</v>
      </c>
    </row>
    <row r="2608" spans="1:4" x14ac:dyDescent="0.25">
      <c r="A2608" s="39" t="s">
        <v>11235</v>
      </c>
      <c r="B2608" s="39" t="s">
        <v>4571</v>
      </c>
      <c r="C2608" s="39">
        <v>4</v>
      </c>
      <c r="D2608" s="39" t="s">
        <v>2122</v>
      </c>
    </row>
    <row r="2609" spans="1:4" x14ac:dyDescent="0.25">
      <c r="A2609" s="39" t="s">
        <v>11236</v>
      </c>
      <c r="B2609" s="39" t="s">
        <v>11237</v>
      </c>
      <c r="C2609" s="39">
        <v>4</v>
      </c>
      <c r="D2609" s="39" t="s">
        <v>2122</v>
      </c>
    </row>
    <row r="2610" spans="1:4" x14ac:dyDescent="0.25">
      <c r="A2610" s="39" t="s">
        <v>11238</v>
      </c>
      <c r="B2610" s="39" t="s">
        <v>11239</v>
      </c>
      <c r="C2610" s="39">
        <v>4</v>
      </c>
      <c r="D2610" s="39" t="s">
        <v>2122</v>
      </c>
    </row>
    <row r="2611" spans="1:4" x14ac:dyDescent="0.25">
      <c r="A2611" s="39" t="s">
        <v>3604</v>
      </c>
      <c r="B2611" s="39" t="s">
        <v>160</v>
      </c>
      <c r="C2611" s="39">
        <v>4</v>
      </c>
      <c r="D2611" s="39" t="s">
        <v>2122</v>
      </c>
    </row>
    <row r="2612" spans="1:4" x14ac:dyDescent="0.25">
      <c r="A2612" s="39" t="s">
        <v>3605</v>
      </c>
      <c r="B2612" s="39" t="s">
        <v>96</v>
      </c>
      <c r="C2612" s="39">
        <v>4</v>
      </c>
      <c r="D2612" s="39" t="s">
        <v>2122</v>
      </c>
    </row>
    <row r="2613" spans="1:4" x14ac:dyDescent="0.25">
      <c r="A2613" s="39" t="s">
        <v>1116</v>
      </c>
      <c r="B2613" s="39" t="s">
        <v>800</v>
      </c>
      <c r="C2613" s="39">
        <v>4</v>
      </c>
      <c r="D2613" s="39" t="s">
        <v>2122</v>
      </c>
    </row>
    <row r="2614" spans="1:4" x14ac:dyDescent="0.25">
      <c r="A2614" s="39" t="s">
        <v>11240</v>
      </c>
      <c r="B2614" s="39" t="s">
        <v>11241</v>
      </c>
      <c r="C2614" s="39">
        <v>4</v>
      </c>
      <c r="D2614" s="39" t="s">
        <v>2122</v>
      </c>
    </row>
    <row r="2615" spans="1:4" x14ac:dyDescent="0.25">
      <c r="A2615" s="39" t="s">
        <v>5444</v>
      </c>
      <c r="B2615" s="39" t="s">
        <v>4012</v>
      </c>
      <c r="C2615" s="39">
        <v>4</v>
      </c>
      <c r="D2615" s="39" t="s">
        <v>2122</v>
      </c>
    </row>
    <row r="2616" spans="1:4" x14ac:dyDescent="0.25">
      <c r="A2616" s="39" t="s">
        <v>7552</v>
      </c>
      <c r="B2616" s="39" t="s">
        <v>7553</v>
      </c>
      <c r="C2616" s="39">
        <v>4</v>
      </c>
      <c r="D2616" s="39" t="s">
        <v>2122</v>
      </c>
    </row>
    <row r="2617" spans="1:4" x14ac:dyDescent="0.25">
      <c r="A2617" s="39" t="s">
        <v>7554</v>
      </c>
      <c r="B2617" s="39" t="s">
        <v>4180</v>
      </c>
      <c r="C2617" s="39">
        <v>4</v>
      </c>
      <c r="D2617" s="39" t="s">
        <v>2122</v>
      </c>
    </row>
    <row r="2618" spans="1:4" x14ac:dyDescent="0.25">
      <c r="A2618" s="39" t="s">
        <v>11242</v>
      </c>
      <c r="B2618" s="39" t="s">
        <v>11243</v>
      </c>
      <c r="C2618" s="39">
        <v>4</v>
      </c>
      <c r="D2618" s="39" t="s">
        <v>2122</v>
      </c>
    </row>
    <row r="2619" spans="1:4" x14ac:dyDescent="0.25">
      <c r="A2619" s="39" t="s">
        <v>11244</v>
      </c>
      <c r="B2619" s="39" t="s">
        <v>11245</v>
      </c>
      <c r="C2619" s="39">
        <v>4</v>
      </c>
      <c r="D2619" s="39" t="s">
        <v>2122</v>
      </c>
    </row>
    <row r="2620" spans="1:4" x14ac:dyDescent="0.25">
      <c r="A2620" s="39" t="s">
        <v>5445</v>
      </c>
      <c r="B2620" s="39" t="s">
        <v>1427</v>
      </c>
      <c r="C2620" s="39">
        <v>4</v>
      </c>
      <c r="D2620" s="39" t="s">
        <v>2122</v>
      </c>
    </row>
    <row r="2621" spans="1:4" x14ac:dyDescent="0.25">
      <c r="A2621" s="39" t="s">
        <v>7555</v>
      </c>
      <c r="B2621" s="39" t="s">
        <v>7556</v>
      </c>
      <c r="C2621" s="39">
        <v>4</v>
      </c>
      <c r="D2621" s="39" t="s">
        <v>2122</v>
      </c>
    </row>
    <row r="2622" spans="1:4" x14ac:dyDescent="0.25">
      <c r="A2622" s="39" t="s">
        <v>5446</v>
      </c>
      <c r="B2622" s="39" t="s">
        <v>5447</v>
      </c>
      <c r="C2622" s="39">
        <v>4</v>
      </c>
      <c r="D2622" s="39" t="s">
        <v>2122</v>
      </c>
    </row>
    <row r="2623" spans="1:4" x14ac:dyDescent="0.25">
      <c r="A2623" s="39" t="s">
        <v>5448</v>
      </c>
      <c r="B2623" s="39" t="s">
        <v>5449</v>
      </c>
      <c r="C2623" s="39">
        <v>4</v>
      </c>
      <c r="D2623" s="39" t="s">
        <v>2122</v>
      </c>
    </row>
    <row r="2624" spans="1:4" x14ac:dyDescent="0.25">
      <c r="A2624" s="39" t="s">
        <v>2271</v>
      </c>
      <c r="B2624" s="39" t="s">
        <v>2272</v>
      </c>
      <c r="C2624" s="39">
        <v>4</v>
      </c>
      <c r="D2624" s="39" t="s">
        <v>2122</v>
      </c>
    </row>
    <row r="2625" spans="1:4" x14ac:dyDescent="0.25">
      <c r="A2625" s="39" t="s">
        <v>11246</v>
      </c>
      <c r="B2625" s="39" t="s">
        <v>4711</v>
      </c>
      <c r="C2625" s="39">
        <v>4</v>
      </c>
      <c r="D2625" s="39" t="s">
        <v>2122</v>
      </c>
    </row>
    <row r="2626" spans="1:4" x14ac:dyDescent="0.25">
      <c r="A2626" s="39" t="s">
        <v>2195</v>
      </c>
      <c r="B2626" s="39" t="s">
        <v>1488</v>
      </c>
      <c r="C2626" s="39">
        <v>4</v>
      </c>
      <c r="D2626" s="39" t="s">
        <v>2122</v>
      </c>
    </row>
    <row r="2627" spans="1:4" x14ac:dyDescent="0.25">
      <c r="A2627" s="39" t="s">
        <v>1970</v>
      </c>
      <c r="B2627" s="39" t="s">
        <v>1449</v>
      </c>
      <c r="C2627" s="39">
        <v>4</v>
      </c>
      <c r="D2627" s="39" t="s">
        <v>2122</v>
      </c>
    </row>
    <row r="2628" spans="1:4" x14ac:dyDescent="0.25">
      <c r="A2628" s="39" t="s">
        <v>2432</v>
      </c>
      <c r="B2628" s="39" t="s">
        <v>2433</v>
      </c>
      <c r="C2628" s="39">
        <v>4</v>
      </c>
      <c r="D2628" s="39" t="s">
        <v>2122</v>
      </c>
    </row>
    <row r="2629" spans="1:4" x14ac:dyDescent="0.25">
      <c r="A2629" s="39" t="s">
        <v>7559</v>
      </c>
      <c r="B2629" s="39" t="s">
        <v>2559</v>
      </c>
      <c r="C2629" s="39">
        <v>4</v>
      </c>
      <c r="D2629" s="39" t="s">
        <v>2122</v>
      </c>
    </row>
    <row r="2630" spans="1:4" x14ac:dyDescent="0.25">
      <c r="A2630" s="39" t="s">
        <v>7560</v>
      </c>
      <c r="B2630" s="39" t="s">
        <v>7561</v>
      </c>
      <c r="C2630" s="39">
        <v>4</v>
      </c>
      <c r="D2630" s="39" t="s">
        <v>2122</v>
      </c>
    </row>
    <row r="2631" spans="1:4" x14ac:dyDescent="0.25">
      <c r="A2631" s="39" t="s">
        <v>2434</v>
      </c>
      <c r="B2631" s="39" t="s">
        <v>2339</v>
      </c>
      <c r="C2631" s="39">
        <v>4</v>
      </c>
      <c r="D2631" s="39" t="s">
        <v>2122</v>
      </c>
    </row>
    <row r="2632" spans="1:4" x14ac:dyDescent="0.25">
      <c r="A2632" s="39" t="s">
        <v>3606</v>
      </c>
      <c r="B2632" s="39" t="s">
        <v>3072</v>
      </c>
      <c r="C2632" s="39">
        <v>4</v>
      </c>
      <c r="D2632" s="39" t="s">
        <v>2122</v>
      </c>
    </row>
    <row r="2633" spans="1:4" x14ac:dyDescent="0.25">
      <c r="A2633" s="39" t="s">
        <v>11247</v>
      </c>
      <c r="B2633" s="39" t="s">
        <v>11248</v>
      </c>
      <c r="C2633" s="39">
        <v>4</v>
      </c>
      <c r="D2633" s="39" t="s">
        <v>2122</v>
      </c>
    </row>
    <row r="2634" spans="1:4" x14ac:dyDescent="0.25">
      <c r="A2634" s="39" t="s">
        <v>3607</v>
      </c>
      <c r="B2634" s="39" t="s">
        <v>3832</v>
      </c>
      <c r="C2634" s="39">
        <v>4</v>
      </c>
      <c r="D2634" s="39" t="s">
        <v>2122</v>
      </c>
    </row>
    <row r="2635" spans="1:4" x14ac:dyDescent="0.25">
      <c r="A2635" s="39" t="s">
        <v>2783</v>
      </c>
      <c r="B2635" s="39" t="s">
        <v>187</v>
      </c>
      <c r="C2635" s="39">
        <v>4</v>
      </c>
      <c r="D2635" s="39" t="s">
        <v>2122</v>
      </c>
    </row>
    <row r="2636" spans="1:4" x14ac:dyDescent="0.25">
      <c r="A2636" s="39" t="s">
        <v>3608</v>
      </c>
      <c r="B2636" s="39" t="s">
        <v>3833</v>
      </c>
      <c r="C2636" s="39">
        <v>4</v>
      </c>
      <c r="D2636" s="39" t="s">
        <v>2122</v>
      </c>
    </row>
    <row r="2637" spans="1:4" x14ac:dyDescent="0.25">
      <c r="A2637" s="39" t="s">
        <v>11249</v>
      </c>
      <c r="B2637" s="39" t="s">
        <v>11250</v>
      </c>
      <c r="C2637" s="39">
        <v>4</v>
      </c>
      <c r="D2637" s="39" t="s">
        <v>2122</v>
      </c>
    </row>
    <row r="2638" spans="1:4" x14ac:dyDescent="0.25">
      <c r="A2638" s="39" t="s">
        <v>2206</v>
      </c>
      <c r="B2638" s="39" t="s">
        <v>1711</v>
      </c>
      <c r="C2638" s="39">
        <v>4</v>
      </c>
      <c r="D2638" s="39" t="s">
        <v>2122</v>
      </c>
    </row>
    <row r="2639" spans="1:4" x14ac:dyDescent="0.25">
      <c r="A2639" s="39" t="s">
        <v>7562</v>
      </c>
      <c r="B2639" s="39" t="s">
        <v>7563</v>
      </c>
      <c r="C2639" s="39">
        <v>4</v>
      </c>
      <c r="D2639" s="39" t="s">
        <v>2122</v>
      </c>
    </row>
    <row r="2640" spans="1:4" x14ac:dyDescent="0.25">
      <c r="A2640" s="39" t="s">
        <v>2784</v>
      </c>
      <c r="B2640" s="39" t="s">
        <v>1855</v>
      </c>
      <c r="C2640" s="39">
        <v>4</v>
      </c>
      <c r="D2640" s="39" t="s">
        <v>2122</v>
      </c>
    </row>
    <row r="2641" spans="1:4" x14ac:dyDescent="0.25">
      <c r="A2641" s="39" t="s">
        <v>5450</v>
      </c>
      <c r="B2641" s="39" t="s">
        <v>2752</v>
      </c>
      <c r="C2641" s="39">
        <v>4</v>
      </c>
      <c r="D2641" s="39" t="s">
        <v>2122</v>
      </c>
    </row>
    <row r="2642" spans="1:4" x14ac:dyDescent="0.25">
      <c r="A2642" s="39" t="s">
        <v>2506</v>
      </c>
      <c r="B2642" s="39" t="s">
        <v>2785</v>
      </c>
      <c r="C2642" s="39">
        <v>4</v>
      </c>
      <c r="D2642" s="39" t="s">
        <v>2122</v>
      </c>
    </row>
    <row r="2643" spans="1:4" x14ac:dyDescent="0.25">
      <c r="A2643" s="39" t="s">
        <v>1846</v>
      </c>
      <c r="B2643" s="39" t="s">
        <v>1380</v>
      </c>
      <c r="C2643" s="39">
        <v>4</v>
      </c>
      <c r="D2643" s="39" t="s">
        <v>2122</v>
      </c>
    </row>
    <row r="2644" spans="1:4" x14ac:dyDescent="0.25">
      <c r="A2644" s="39" t="s">
        <v>2786</v>
      </c>
      <c r="B2644" s="39" t="s">
        <v>1233</v>
      </c>
      <c r="C2644" s="39">
        <v>4</v>
      </c>
      <c r="D2644" s="39" t="s">
        <v>2122</v>
      </c>
    </row>
    <row r="2645" spans="1:4" x14ac:dyDescent="0.25">
      <c r="A2645" s="39" t="s">
        <v>1971</v>
      </c>
      <c r="B2645" s="39" t="s">
        <v>89</v>
      </c>
      <c r="C2645" s="39">
        <v>4</v>
      </c>
      <c r="D2645" s="39" t="s">
        <v>2122</v>
      </c>
    </row>
    <row r="2646" spans="1:4" x14ac:dyDescent="0.25">
      <c r="A2646" s="39" t="s">
        <v>11251</v>
      </c>
      <c r="B2646" s="39" t="s">
        <v>4363</v>
      </c>
      <c r="C2646" s="39">
        <v>4</v>
      </c>
      <c r="D2646" s="39" t="s">
        <v>2122</v>
      </c>
    </row>
    <row r="2647" spans="1:4" x14ac:dyDescent="0.25">
      <c r="A2647" s="39" t="s">
        <v>5451</v>
      </c>
      <c r="B2647" s="39" t="s">
        <v>3083</v>
      </c>
      <c r="C2647" s="39">
        <v>4</v>
      </c>
      <c r="D2647" s="39" t="s">
        <v>2122</v>
      </c>
    </row>
    <row r="2648" spans="1:4" x14ac:dyDescent="0.25">
      <c r="A2648" s="39" t="s">
        <v>922</v>
      </c>
      <c r="B2648" s="39" t="s">
        <v>2273</v>
      </c>
      <c r="C2648" s="39">
        <v>4</v>
      </c>
      <c r="D2648" s="39" t="s">
        <v>2122</v>
      </c>
    </row>
    <row r="2649" spans="1:4" x14ac:dyDescent="0.25">
      <c r="A2649" s="39" t="s">
        <v>3609</v>
      </c>
      <c r="B2649" s="39" t="s">
        <v>3834</v>
      </c>
      <c r="C2649" s="39">
        <v>4</v>
      </c>
      <c r="D2649" s="39" t="s">
        <v>2122</v>
      </c>
    </row>
    <row r="2650" spans="1:4" x14ac:dyDescent="0.25">
      <c r="A2650" s="39" t="s">
        <v>3610</v>
      </c>
      <c r="B2650" s="39" t="s">
        <v>2981</v>
      </c>
      <c r="C2650" s="39">
        <v>4</v>
      </c>
      <c r="D2650" s="39" t="s">
        <v>2122</v>
      </c>
    </row>
    <row r="2651" spans="1:4" x14ac:dyDescent="0.25">
      <c r="A2651" s="39" t="s">
        <v>7564</v>
      </c>
      <c r="B2651" s="39" t="s">
        <v>263</v>
      </c>
      <c r="C2651" s="39">
        <v>4</v>
      </c>
      <c r="D2651" s="39" t="s">
        <v>2122</v>
      </c>
    </row>
    <row r="2652" spans="1:4" x14ac:dyDescent="0.25">
      <c r="A2652" s="39" t="s">
        <v>7565</v>
      </c>
      <c r="B2652" s="39" t="s">
        <v>2995</v>
      </c>
      <c r="C2652" s="39">
        <v>4</v>
      </c>
      <c r="D2652" s="39" t="s">
        <v>2122</v>
      </c>
    </row>
    <row r="2653" spans="1:4" x14ac:dyDescent="0.25">
      <c r="A2653" s="39" t="s">
        <v>11252</v>
      </c>
      <c r="B2653" s="39" t="s">
        <v>3889</v>
      </c>
      <c r="C2653" s="39">
        <v>4</v>
      </c>
      <c r="D2653" s="39" t="s">
        <v>2122</v>
      </c>
    </row>
    <row r="2654" spans="1:4" x14ac:dyDescent="0.25">
      <c r="A2654" s="39" t="s">
        <v>2788</v>
      </c>
      <c r="B2654" s="39" t="s">
        <v>1894</v>
      </c>
      <c r="C2654" s="39">
        <v>4</v>
      </c>
      <c r="D2654" s="39" t="s">
        <v>2122</v>
      </c>
    </row>
    <row r="2655" spans="1:4" x14ac:dyDescent="0.25">
      <c r="A2655" s="39" t="s">
        <v>2009</v>
      </c>
      <c r="B2655" s="39" t="s">
        <v>1737</v>
      </c>
      <c r="C2655" s="39">
        <v>4</v>
      </c>
      <c r="D2655" s="39" t="s">
        <v>2122</v>
      </c>
    </row>
    <row r="2656" spans="1:4" x14ac:dyDescent="0.25">
      <c r="A2656" s="39" t="s">
        <v>3611</v>
      </c>
      <c r="B2656" s="39" t="s">
        <v>2568</v>
      </c>
      <c r="C2656" s="39">
        <v>4</v>
      </c>
      <c r="D2656" s="39" t="s">
        <v>2122</v>
      </c>
    </row>
    <row r="2657" spans="1:4" x14ac:dyDescent="0.25">
      <c r="A2657" s="39" t="s">
        <v>627</v>
      </c>
      <c r="B2657" s="39" t="s">
        <v>1327</v>
      </c>
      <c r="C2657" s="39">
        <v>4</v>
      </c>
      <c r="D2657" s="39" t="s">
        <v>2122</v>
      </c>
    </row>
    <row r="2658" spans="1:4" x14ac:dyDescent="0.25">
      <c r="A2658" s="39" t="s">
        <v>5454</v>
      </c>
      <c r="B2658" s="39" t="s">
        <v>1650</v>
      </c>
      <c r="C2658" s="39">
        <v>4</v>
      </c>
      <c r="D2658" s="39" t="s">
        <v>2122</v>
      </c>
    </row>
    <row r="2659" spans="1:4" x14ac:dyDescent="0.25">
      <c r="A2659" s="39" t="s">
        <v>7566</v>
      </c>
      <c r="B2659" s="39" t="s">
        <v>2936</v>
      </c>
      <c r="C2659" s="39">
        <v>4</v>
      </c>
      <c r="D2659" s="39" t="s">
        <v>2122</v>
      </c>
    </row>
    <row r="2660" spans="1:4" x14ac:dyDescent="0.25">
      <c r="A2660" s="39" t="s">
        <v>7567</v>
      </c>
      <c r="B2660" s="39" t="s">
        <v>4435</v>
      </c>
      <c r="C2660" s="39">
        <v>4</v>
      </c>
      <c r="D2660" s="39" t="s">
        <v>2122</v>
      </c>
    </row>
    <row r="2661" spans="1:4" x14ac:dyDescent="0.25">
      <c r="A2661" s="39" t="s">
        <v>11253</v>
      </c>
      <c r="B2661" s="39" t="s">
        <v>6107</v>
      </c>
      <c r="C2661" s="39">
        <v>4</v>
      </c>
      <c r="D2661" s="39" t="s">
        <v>2122</v>
      </c>
    </row>
    <row r="2662" spans="1:4" x14ac:dyDescent="0.25">
      <c r="A2662" s="39" t="s">
        <v>7568</v>
      </c>
      <c r="B2662" s="39" t="s">
        <v>7569</v>
      </c>
      <c r="C2662" s="39">
        <v>4</v>
      </c>
      <c r="D2662" s="39" t="s">
        <v>2122</v>
      </c>
    </row>
    <row r="2663" spans="1:4" x14ac:dyDescent="0.25">
      <c r="A2663" s="39" t="s">
        <v>7570</v>
      </c>
      <c r="B2663" s="39" t="s">
        <v>11254</v>
      </c>
      <c r="C2663" s="39">
        <v>4</v>
      </c>
      <c r="D2663" s="39" t="s">
        <v>2122</v>
      </c>
    </row>
    <row r="2664" spans="1:4" x14ac:dyDescent="0.25">
      <c r="A2664" s="39" t="s">
        <v>2991</v>
      </c>
      <c r="B2664" s="39" t="s">
        <v>3303</v>
      </c>
      <c r="C2664" s="39">
        <v>4</v>
      </c>
      <c r="D2664" s="39" t="s">
        <v>2122</v>
      </c>
    </row>
    <row r="2665" spans="1:4" x14ac:dyDescent="0.25">
      <c r="A2665" s="39" t="s">
        <v>7571</v>
      </c>
      <c r="B2665" s="39" t="s">
        <v>4820</v>
      </c>
      <c r="C2665" s="39">
        <v>4</v>
      </c>
      <c r="D2665" s="39" t="s">
        <v>2122</v>
      </c>
    </row>
    <row r="2666" spans="1:4" x14ac:dyDescent="0.25">
      <c r="A2666" s="39" t="s">
        <v>7572</v>
      </c>
      <c r="B2666" s="39" t="s">
        <v>7573</v>
      </c>
      <c r="C2666" s="39">
        <v>4</v>
      </c>
      <c r="D2666" s="39" t="s">
        <v>2122</v>
      </c>
    </row>
    <row r="2667" spans="1:4" x14ac:dyDescent="0.25">
      <c r="A2667" s="39" t="s">
        <v>11255</v>
      </c>
      <c r="B2667" s="39" t="s">
        <v>4570</v>
      </c>
      <c r="C2667" s="39">
        <v>4</v>
      </c>
      <c r="D2667" s="39" t="s">
        <v>2122</v>
      </c>
    </row>
    <row r="2668" spans="1:4" x14ac:dyDescent="0.25">
      <c r="A2668" s="39" t="s">
        <v>3612</v>
      </c>
      <c r="B2668" s="39" t="s">
        <v>3835</v>
      </c>
      <c r="C2668" s="39">
        <v>4</v>
      </c>
      <c r="D2668" s="39" t="s">
        <v>2122</v>
      </c>
    </row>
    <row r="2669" spans="1:4" x14ac:dyDescent="0.25">
      <c r="A2669" s="39" t="s">
        <v>3304</v>
      </c>
      <c r="B2669" s="39" t="s">
        <v>3305</v>
      </c>
      <c r="C2669" s="39">
        <v>4</v>
      </c>
      <c r="D2669" s="39" t="s">
        <v>2122</v>
      </c>
    </row>
    <row r="2670" spans="1:4" x14ac:dyDescent="0.25">
      <c r="A2670" s="39" t="s">
        <v>5455</v>
      </c>
      <c r="B2670" s="39" t="s">
        <v>2968</v>
      </c>
      <c r="C2670" s="39">
        <v>4</v>
      </c>
      <c r="D2670" s="39" t="s">
        <v>2122</v>
      </c>
    </row>
    <row r="2671" spans="1:4" x14ac:dyDescent="0.25">
      <c r="A2671" s="39" t="s">
        <v>7574</v>
      </c>
      <c r="B2671" s="39" t="s">
        <v>7575</v>
      </c>
      <c r="C2671" s="39">
        <v>4</v>
      </c>
      <c r="D2671" s="39" t="s">
        <v>2122</v>
      </c>
    </row>
    <row r="2672" spans="1:4" x14ac:dyDescent="0.25">
      <c r="A2672" s="39" t="s">
        <v>2581</v>
      </c>
      <c r="B2672" s="39" t="s">
        <v>509</v>
      </c>
      <c r="C2672" s="39">
        <v>4</v>
      </c>
      <c r="D2672" s="39" t="s">
        <v>2122</v>
      </c>
    </row>
    <row r="2673" spans="1:4" x14ac:dyDescent="0.25">
      <c r="A2673" s="39" t="s">
        <v>7576</v>
      </c>
      <c r="B2673" s="39" t="s">
        <v>2937</v>
      </c>
      <c r="C2673" s="39">
        <v>4</v>
      </c>
      <c r="D2673" s="39" t="s">
        <v>2122</v>
      </c>
    </row>
    <row r="2674" spans="1:4" x14ac:dyDescent="0.25">
      <c r="A2674" s="39" t="s">
        <v>7577</v>
      </c>
      <c r="B2674" s="39" t="s">
        <v>3011</v>
      </c>
      <c r="C2674" s="39">
        <v>4</v>
      </c>
      <c r="D2674" s="39" t="s">
        <v>2122</v>
      </c>
    </row>
    <row r="2675" spans="1:4" x14ac:dyDescent="0.25">
      <c r="A2675" s="39" t="s">
        <v>3455</v>
      </c>
      <c r="B2675" s="39" t="s">
        <v>11256</v>
      </c>
      <c r="C2675" s="39">
        <v>4</v>
      </c>
      <c r="D2675" s="39" t="s">
        <v>2122</v>
      </c>
    </row>
    <row r="2676" spans="1:4" x14ac:dyDescent="0.25">
      <c r="A2676" s="39" t="s">
        <v>11257</v>
      </c>
      <c r="B2676" s="39" t="s">
        <v>11258</v>
      </c>
      <c r="C2676" s="39">
        <v>4</v>
      </c>
      <c r="D2676" s="39" t="s">
        <v>2122</v>
      </c>
    </row>
    <row r="2677" spans="1:4" x14ac:dyDescent="0.25">
      <c r="A2677" s="39" t="s">
        <v>5456</v>
      </c>
      <c r="B2677" s="39" t="s">
        <v>4139</v>
      </c>
      <c r="C2677" s="39">
        <v>4</v>
      </c>
      <c r="D2677" s="39" t="s">
        <v>2122</v>
      </c>
    </row>
    <row r="2678" spans="1:4" x14ac:dyDescent="0.25">
      <c r="A2678" s="39" t="s">
        <v>324</v>
      </c>
      <c r="B2678" s="39" t="s">
        <v>305</v>
      </c>
      <c r="C2678" s="39">
        <v>4</v>
      </c>
      <c r="D2678" s="39" t="s">
        <v>2122</v>
      </c>
    </row>
    <row r="2679" spans="1:4" x14ac:dyDescent="0.25">
      <c r="A2679" s="39" t="s">
        <v>11259</v>
      </c>
      <c r="B2679" s="39" t="s">
        <v>11260</v>
      </c>
      <c r="C2679" s="39">
        <v>4</v>
      </c>
      <c r="D2679" s="39" t="s">
        <v>2122</v>
      </c>
    </row>
    <row r="2680" spans="1:4" x14ac:dyDescent="0.25">
      <c r="A2680" s="39" t="s">
        <v>3613</v>
      </c>
      <c r="B2680" s="39" t="s">
        <v>3836</v>
      </c>
      <c r="C2680" s="39">
        <v>4</v>
      </c>
      <c r="D2680" s="39" t="s">
        <v>2122</v>
      </c>
    </row>
    <row r="2681" spans="1:4" x14ac:dyDescent="0.25">
      <c r="A2681" s="39" t="s">
        <v>1010</v>
      </c>
      <c r="B2681" s="39" t="s">
        <v>1311</v>
      </c>
      <c r="C2681" s="39">
        <v>4</v>
      </c>
      <c r="D2681" s="39" t="s">
        <v>2122</v>
      </c>
    </row>
    <row r="2682" spans="1:4" x14ac:dyDescent="0.25">
      <c r="A2682" s="39" t="s">
        <v>11261</v>
      </c>
      <c r="B2682" s="39" t="s">
        <v>4518</v>
      </c>
      <c r="C2682" s="39">
        <v>4</v>
      </c>
      <c r="D2682" s="39" t="s">
        <v>2122</v>
      </c>
    </row>
    <row r="2683" spans="1:4" x14ac:dyDescent="0.25">
      <c r="A2683" s="39" t="s">
        <v>7578</v>
      </c>
      <c r="B2683" s="39" t="s">
        <v>2987</v>
      </c>
      <c r="C2683" s="39">
        <v>4</v>
      </c>
      <c r="D2683" s="39" t="s">
        <v>2122</v>
      </c>
    </row>
    <row r="2684" spans="1:4" x14ac:dyDescent="0.25">
      <c r="A2684" s="39" t="s">
        <v>5457</v>
      </c>
      <c r="B2684" s="39" t="s">
        <v>4134</v>
      </c>
      <c r="C2684" s="39">
        <v>4</v>
      </c>
      <c r="D2684" s="39" t="s">
        <v>2122</v>
      </c>
    </row>
    <row r="2685" spans="1:4" x14ac:dyDescent="0.25">
      <c r="A2685" s="39" t="s">
        <v>3614</v>
      </c>
      <c r="B2685" s="39" t="s">
        <v>3837</v>
      </c>
      <c r="C2685" s="39">
        <v>4</v>
      </c>
      <c r="D2685" s="39" t="s">
        <v>2122</v>
      </c>
    </row>
    <row r="2686" spans="1:4" x14ac:dyDescent="0.25">
      <c r="A2686" s="39" t="s">
        <v>3615</v>
      </c>
      <c r="B2686" s="39" t="s">
        <v>2884</v>
      </c>
      <c r="C2686" s="39">
        <v>4</v>
      </c>
      <c r="D2686" s="39" t="s">
        <v>2122</v>
      </c>
    </row>
    <row r="2687" spans="1:4" x14ac:dyDescent="0.25">
      <c r="A2687" s="39" t="s">
        <v>7579</v>
      </c>
      <c r="B2687" s="39" t="s">
        <v>7580</v>
      </c>
      <c r="C2687" s="39">
        <v>4</v>
      </c>
      <c r="D2687" s="39" t="s">
        <v>2122</v>
      </c>
    </row>
    <row r="2688" spans="1:4" x14ac:dyDescent="0.25">
      <c r="A2688" s="39" t="s">
        <v>3616</v>
      </c>
      <c r="B2688" s="39" t="s">
        <v>3838</v>
      </c>
      <c r="C2688" s="39">
        <v>4</v>
      </c>
      <c r="D2688" s="39" t="s">
        <v>2122</v>
      </c>
    </row>
    <row r="2689" spans="1:4" x14ac:dyDescent="0.25">
      <c r="A2689" s="39" t="s">
        <v>7581</v>
      </c>
      <c r="B2689" s="39" t="s">
        <v>7582</v>
      </c>
      <c r="C2689" s="39">
        <v>4</v>
      </c>
      <c r="D2689" s="39" t="s">
        <v>2122</v>
      </c>
    </row>
    <row r="2690" spans="1:4" x14ac:dyDescent="0.25">
      <c r="A2690" s="39" t="s">
        <v>5458</v>
      </c>
      <c r="B2690" s="39" t="s">
        <v>5459</v>
      </c>
      <c r="C2690" s="39">
        <v>4</v>
      </c>
      <c r="D2690" s="39" t="s">
        <v>2122</v>
      </c>
    </row>
    <row r="2691" spans="1:4" x14ac:dyDescent="0.25">
      <c r="A2691" s="39" t="s">
        <v>3617</v>
      </c>
      <c r="B2691" s="39" t="s">
        <v>3839</v>
      </c>
      <c r="C2691" s="39">
        <v>4</v>
      </c>
      <c r="D2691" s="39" t="s">
        <v>2122</v>
      </c>
    </row>
    <row r="2692" spans="1:4" x14ac:dyDescent="0.25">
      <c r="A2692" s="39" t="s">
        <v>11262</v>
      </c>
      <c r="B2692" s="39" t="s">
        <v>4031</v>
      </c>
      <c r="C2692" s="39">
        <v>4</v>
      </c>
      <c r="D2692" s="39" t="s">
        <v>2122</v>
      </c>
    </row>
    <row r="2693" spans="1:4" x14ac:dyDescent="0.25">
      <c r="A2693" s="39" t="s">
        <v>3618</v>
      </c>
      <c r="B2693" s="39" t="s">
        <v>2545</v>
      </c>
      <c r="C2693" s="39">
        <v>4</v>
      </c>
      <c r="D2693" s="39" t="s">
        <v>2122</v>
      </c>
    </row>
    <row r="2694" spans="1:4" x14ac:dyDescent="0.25">
      <c r="A2694" s="39" t="s">
        <v>11263</v>
      </c>
      <c r="B2694" s="39" t="s">
        <v>4017</v>
      </c>
      <c r="C2694" s="39">
        <v>4</v>
      </c>
      <c r="D2694" s="39" t="s">
        <v>2122</v>
      </c>
    </row>
    <row r="2695" spans="1:4" x14ac:dyDescent="0.25">
      <c r="A2695" s="39" t="s">
        <v>7583</v>
      </c>
      <c r="B2695" s="39" t="s">
        <v>2820</v>
      </c>
      <c r="C2695" s="39">
        <v>4</v>
      </c>
      <c r="D2695" s="39" t="s">
        <v>2122</v>
      </c>
    </row>
    <row r="2696" spans="1:4" x14ac:dyDescent="0.25">
      <c r="A2696" s="39" t="s">
        <v>11264</v>
      </c>
      <c r="B2696" s="39" t="s">
        <v>3944</v>
      </c>
      <c r="C2696" s="39">
        <v>4</v>
      </c>
      <c r="D2696" s="39" t="s">
        <v>2122</v>
      </c>
    </row>
    <row r="2697" spans="1:4" x14ac:dyDescent="0.25">
      <c r="A2697" s="39" t="s">
        <v>7584</v>
      </c>
      <c r="B2697" s="39" t="s">
        <v>7585</v>
      </c>
      <c r="C2697" s="39">
        <v>4</v>
      </c>
      <c r="D2697" s="39" t="s">
        <v>2122</v>
      </c>
    </row>
    <row r="2698" spans="1:4" x14ac:dyDescent="0.25">
      <c r="A2698" s="39" t="s">
        <v>3619</v>
      </c>
      <c r="B2698" s="39" t="s">
        <v>3840</v>
      </c>
      <c r="C2698" s="39">
        <v>4</v>
      </c>
      <c r="D2698" s="39" t="s">
        <v>2122</v>
      </c>
    </row>
    <row r="2699" spans="1:4" x14ac:dyDescent="0.25">
      <c r="A2699" s="39" t="s">
        <v>3620</v>
      </c>
      <c r="B2699" s="39" t="s">
        <v>3841</v>
      </c>
      <c r="C2699" s="39">
        <v>4</v>
      </c>
      <c r="D2699" s="39" t="s">
        <v>2122</v>
      </c>
    </row>
    <row r="2700" spans="1:4" x14ac:dyDescent="0.25">
      <c r="A2700" s="39" t="s">
        <v>3307</v>
      </c>
      <c r="B2700" s="39" t="s">
        <v>2627</v>
      </c>
      <c r="C2700" s="39">
        <v>4</v>
      </c>
      <c r="D2700" s="39" t="s">
        <v>2122</v>
      </c>
    </row>
    <row r="2701" spans="1:4" x14ac:dyDescent="0.25">
      <c r="A2701" s="39" t="s">
        <v>5460</v>
      </c>
      <c r="B2701" s="39" t="s">
        <v>1489</v>
      </c>
      <c r="C2701" s="39">
        <v>4</v>
      </c>
      <c r="D2701" s="39" t="s">
        <v>2122</v>
      </c>
    </row>
    <row r="2702" spans="1:4" x14ac:dyDescent="0.25">
      <c r="A2702" s="39" t="s">
        <v>11265</v>
      </c>
      <c r="B2702" s="39" t="s">
        <v>11266</v>
      </c>
      <c r="C2702" s="39">
        <v>4</v>
      </c>
      <c r="D2702" s="39" t="s">
        <v>2122</v>
      </c>
    </row>
    <row r="2703" spans="1:4" x14ac:dyDescent="0.25">
      <c r="A2703" s="39" t="s">
        <v>1866</v>
      </c>
      <c r="B2703" s="39" t="s">
        <v>2436</v>
      </c>
      <c r="C2703" s="39">
        <v>4</v>
      </c>
      <c r="D2703" s="39" t="s">
        <v>2122</v>
      </c>
    </row>
    <row r="2704" spans="1:4" x14ac:dyDescent="0.25">
      <c r="A2704" s="39" t="s">
        <v>7586</v>
      </c>
      <c r="B2704" s="39" t="s">
        <v>7587</v>
      </c>
      <c r="C2704" s="39">
        <v>4</v>
      </c>
      <c r="D2704" s="39" t="s">
        <v>2122</v>
      </c>
    </row>
    <row r="2705" spans="1:4" x14ac:dyDescent="0.25">
      <c r="A2705" s="39" t="s">
        <v>5461</v>
      </c>
      <c r="B2705" s="39" t="s">
        <v>3078</v>
      </c>
      <c r="C2705" s="39">
        <v>4</v>
      </c>
      <c r="D2705" s="39" t="s">
        <v>2122</v>
      </c>
    </row>
    <row r="2706" spans="1:4" x14ac:dyDescent="0.25">
      <c r="A2706" s="39" t="s">
        <v>7588</v>
      </c>
      <c r="B2706" s="39" t="s">
        <v>3978</v>
      </c>
      <c r="C2706" s="39">
        <v>4</v>
      </c>
      <c r="D2706" s="39" t="s">
        <v>2122</v>
      </c>
    </row>
    <row r="2707" spans="1:4" x14ac:dyDescent="0.25">
      <c r="A2707" s="39" t="s">
        <v>7589</v>
      </c>
      <c r="B2707" s="39" t="s">
        <v>7590</v>
      </c>
      <c r="C2707" s="39">
        <v>4</v>
      </c>
      <c r="D2707" s="39" t="s">
        <v>2122</v>
      </c>
    </row>
    <row r="2708" spans="1:4" x14ac:dyDescent="0.25">
      <c r="A2708" s="39" t="s">
        <v>3308</v>
      </c>
      <c r="B2708" s="39" t="s">
        <v>1372</v>
      </c>
      <c r="C2708" s="39">
        <v>4</v>
      </c>
      <c r="D2708" s="39" t="s">
        <v>2122</v>
      </c>
    </row>
    <row r="2709" spans="1:4" x14ac:dyDescent="0.25">
      <c r="A2709" s="39" t="s">
        <v>1129</v>
      </c>
      <c r="B2709" s="39" t="s">
        <v>1297</v>
      </c>
      <c r="C2709" s="39">
        <v>4</v>
      </c>
      <c r="D2709" s="39" t="s">
        <v>2122</v>
      </c>
    </row>
    <row r="2710" spans="1:4" x14ac:dyDescent="0.25">
      <c r="A2710" s="39" t="s">
        <v>11267</v>
      </c>
      <c r="B2710" s="39" t="s">
        <v>4851</v>
      </c>
      <c r="C2710" s="39">
        <v>4</v>
      </c>
      <c r="D2710" s="39" t="s">
        <v>2122</v>
      </c>
    </row>
    <row r="2711" spans="1:4" x14ac:dyDescent="0.25">
      <c r="A2711" s="39" t="s">
        <v>3124</v>
      </c>
      <c r="B2711" s="39" t="s">
        <v>2536</v>
      </c>
      <c r="C2711" s="39">
        <v>4</v>
      </c>
      <c r="D2711" s="39" t="s">
        <v>2122</v>
      </c>
    </row>
    <row r="2712" spans="1:4" x14ac:dyDescent="0.25">
      <c r="A2712" s="39" t="s">
        <v>11268</v>
      </c>
      <c r="B2712" s="39" t="s">
        <v>11269</v>
      </c>
      <c r="C2712" s="39">
        <v>4</v>
      </c>
      <c r="D2712" s="39" t="s">
        <v>2122</v>
      </c>
    </row>
    <row r="2713" spans="1:4" x14ac:dyDescent="0.25">
      <c r="A2713" s="39" t="s">
        <v>11270</v>
      </c>
      <c r="B2713" s="39" t="s">
        <v>11271</v>
      </c>
      <c r="C2713" s="39">
        <v>4</v>
      </c>
      <c r="D2713" s="39" t="s">
        <v>2122</v>
      </c>
    </row>
    <row r="2714" spans="1:4" x14ac:dyDescent="0.25">
      <c r="A2714" s="39" t="s">
        <v>11272</v>
      </c>
      <c r="B2714" s="39" t="s">
        <v>11273</v>
      </c>
      <c r="C2714" s="39">
        <v>4</v>
      </c>
      <c r="D2714" s="39" t="s">
        <v>2122</v>
      </c>
    </row>
    <row r="2715" spans="1:4" x14ac:dyDescent="0.25">
      <c r="A2715" s="39" t="s">
        <v>11274</v>
      </c>
      <c r="B2715" s="39" t="s">
        <v>11275</v>
      </c>
      <c r="C2715" s="39">
        <v>4</v>
      </c>
      <c r="D2715" s="39" t="s">
        <v>2122</v>
      </c>
    </row>
    <row r="2716" spans="1:4" x14ac:dyDescent="0.25">
      <c r="A2716" s="39" t="s">
        <v>11276</v>
      </c>
      <c r="B2716" s="39" t="s">
        <v>11277</v>
      </c>
      <c r="C2716" s="39">
        <v>4</v>
      </c>
      <c r="D2716" s="39" t="s">
        <v>2122</v>
      </c>
    </row>
    <row r="2717" spans="1:4" x14ac:dyDescent="0.25">
      <c r="A2717" s="39" t="s">
        <v>5462</v>
      </c>
      <c r="B2717" s="39" t="s">
        <v>5463</v>
      </c>
      <c r="C2717" s="39">
        <v>4</v>
      </c>
      <c r="D2717" s="39" t="s">
        <v>2122</v>
      </c>
    </row>
    <row r="2718" spans="1:4" x14ac:dyDescent="0.25">
      <c r="A2718" s="39" t="s">
        <v>7591</v>
      </c>
      <c r="B2718" s="39" t="s">
        <v>4021</v>
      </c>
      <c r="C2718" s="39">
        <v>4</v>
      </c>
      <c r="D2718" s="39" t="s">
        <v>2122</v>
      </c>
    </row>
    <row r="2719" spans="1:4" x14ac:dyDescent="0.25">
      <c r="A2719" s="39" t="s">
        <v>11278</v>
      </c>
      <c r="B2719" s="39" t="s">
        <v>3927</v>
      </c>
      <c r="C2719" s="39">
        <v>4</v>
      </c>
      <c r="D2719" s="39" t="s">
        <v>2122</v>
      </c>
    </row>
    <row r="2720" spans="1:4" x14ac:dyDescent="0.25">
      <c r="A2720" s="39" t="s">
        <v>7592</v>
      </c>
      <c r="B2720" s="39" t="s">
        <v>7593</v>
      </c>
      <c r="C2720" s="39">
        <v>4</v>
      </c>
      <c r="D2720" s="39" t="s">
        <v>2122</v>
      </c>
    </row>
    <row r="2721" spans="1:4" x14ac:dyDescent="0.25">
      <c r="A2721" s="39" t="s">
        <v>7594</v>
      </c>
      <c r="B2721" s="39" t="s">
        <v>7595</v>
      </c>
      <c r="C2721" s="39">
        <v>4</v>
      </c>
      <c r="D2721" s="39" t="s">
        <v>2122</v>
      </c>
    </row>
    <row r="2722" spans="1:4" x14ac:dyDescent="0.25">
      <c r="A2722" s="39" t="s">
        <v>11279</v>
      </c>
      <c r="B2722" s="39" t="s">
        <v>11280</v>
      </c>
      <c r="C2722" s="39">
        <v>4</v>
      </c>
      <c r="D2722" s="39" t="s">
        <v>2122</v>
      </c>
    </row>
    <row r="2723" spans="1:4" x14ac:dyDescent="0.25">
      <c r="A2723" s="39" t="s">
        <v>2961</v>
      </c>
      <c r="B2723" s="39" t="s">
        <v>2551</v>
      </c>
      <c r="C2723" s="39">
        <v>4</v>
      </c>
      <c r="D2723" s="39" t="s">
        <v>2122</v>
      </c>
    </row>
    <row r="2724" spans="1:4" x14ac:dyDescent="0.25">
      <c r="A2724" s="39" t="s">
        <v>7596</v>
      </c>
      <c r="B2724" s="39" t="s">
        <v>4047</v>
      </c>
      <c r="C2724" s="39">
        <v>4</v>
      </c>
      <c r="D2724" s="39" t="s">
        <v>2122</v>
      </c>
    </row>
    <row r="2725" spans="1:4" x14ac:dyDescent="0.25">
      <c r="A2725" s="39" t="s">
        <v>11281</v>
      </c>
      <c r="B2725" s="39" t="s">
        <v>4034</v>
      </c>
      <c r="C2725" s="39">
        <v>4</v>
      </c>
      <c r="D2725" s="39" t="s">
        <v>2122</v>
      </c>
    </row>
    <row r="2726" spans="1:4" x14ac:dyDescent="0.25">
      <c r="A2726" s="39" t="s">
        <v>7597</v>
      </c>
      <c r="B2726" s="39" t="s">
        <v>7598</v>
      </c>
      <c r="C2726" s="39">
        <v>4</v>
      </c>
      <c r="D2726" s="39" t="s">
        <v>2122</v>
      </c>
    </row>
    <row r="2727" spans="1:4" x14ac:dyDescent="0.25">
      <c r="A2727" s="39" t="s">
        <v>11282</v>
      </c>
      <c r="B2727" s="39" t="s">
        <v>11283</v>
      </c>
      <c r="C2727" s="39">
        <v>4</v>
      </c>
      <c r="D2727" s="39" t="s">
        <v>2122</v>
      </c>
    </row>
    <row r="2728" spans="1:4" x14ac:dyDescent="0.25">
      <c r="A2728" s="39" t="s">
        <v>11284</v>
      </c>
      <c r="B2728" s="39" t="s">
        <v>4852</v>
      </c>
      <c r="C2728" s="39">
        <v>4</v>
      </c>
      <c r="D2728" s="39" t="s">
        <v>2122</v>
      </c>
    </row>
    <row r="2729" spans="1:4" x14ac:dyDescent="0.25">
      <c r="A2729" s="39" t="s">
        <v>5464</v>
      </c>
      <c r="B2729" s="39" t="s">
        <v>3984</v>
      </c>
      <c r="C2729" s="39">
        <v>4</v>
      </c>
      <c r="D2729" s="39" t="s">
        <v>2122</v>
      </c>
    </row>
    <row r="2730" spans="1:4" x14ac:dyDescent="0.25">
      <c r="A2730" s="39" t="s">
        <v>5465</v>
      </c>
      <c r="B2730" s="39" t="s">
        <v>3053</v>
      </c>
      <c r="C2730" s="39">
        <v>4</v>
      </c>
      <c r="D2730" s="39" t="s">
        <v>2122</v>
      </c>
    </row>
    <row r="2731" spans="1:4" x14ac:dyDescent="0.25">
      <c r="A2731" s="39" t="s">
        <v>3622</v>
      </c>
      <c r="B2731" s="39" t="s">
        <v>337</v>
      </c>
      <c r="C2731" s="39">
        <v>4</v>
      </c>
      <c r="D2731" s="39" t="s">
        <v>2122</v>
      </c>
    </row>
    <row r="2732" spans="1:4" x14ac:dyDescent="0.25">
      <c r="A2732" s="39" t="s">
        <v>5468</v>
      </c>
      <c r="B2732" s="39" t="s">
        <v>5469</v>
      </c>
      <c r="C2732" s="39">
        <v>4</v>
      </c>
      <c r="D2732" s="39" t="s">
        <v>2122</v>
      </c>
    </row>
    <row r="2733" spans="1:4" x14ac:dyDescent="0.25">
      <c r="A2733" s="39" t="s">
        <v>7600</v>
      </c>
      <c r="B2733" s="39" t="s">
        <v>7599</v>
      </c>
      <c r="C2733" s="39">
        <v>4</v>
      </c>
      <c r="D2733" s="39" t="s">
        <v>2122</v>
      </c>
    </row>
    <row r="2734" spans="1:4" x14ac:dyDescent="0.25">
      <c r="A2734" s="39" t="s">
        <v>1209</v>
      </c>
      <c r="B2734" s="39" t="s">
        <v>2437</v>
      </c>
      <c r="C2734" s="39">
        <v>4</v>
      </c>
      <c r="D2734" s="39" t="s">
        <v>2122</v>
      </c>
    </row>
    <row r="2735" spans="1:4" x14ac:dyDescent="0.25">
      <c r="A2735" s="39" t="s">
        <v>7601</v>
      </c>
      <c r="B2735" s="39" t="s">
        <v>7602</v>
      </c>
      <c r="C2735" s="39">
        <v>4</v>
      </c>
      <c r="D2735" s="39" t="s">
        <v>2122</v>
      </c>
    </row>
    <row r="2736" spans="1:4" x14ac:dyDescent="0.25">
      <c r="A2736" s="39" t="s">
        <v>3623</v>
      </c>
      <c r="B2736" s="39" t="s">
        <v>3843</v>
      </c>
      <c r="C2736" s="39">
        <v>4</v>
      </c>
      <c r="D2736" s="39" t="s">
        <v>2122</v>
      </c>
    </row>
    <row r="2737" spans="1:4" x14ac:dyDescent="0.25">
      <c r="A2737" s="39" t="s">
        <v>5470</v>
      </c>
      <c r="B2737" s="39" t="s">
        <v>5471</v>
      </c>
      <c r="C2737" s="39">
        <v>4</v>
      </c>
      <c r="D2737" s="39" t="s">
        <v>2122</v>
      </c>
    </row>
    <row r="2738" spans="1:4" x14ac:dyDescent="0.25">
      <c r="A2738" s="39" t="s">
        <v>5472</v>
      </c>
      <c r="B2738" s="39" t="s">
        <v>4659</v>
      </c>
      <c r="C2738" s="39">
        <v>4</v>
      </c>
      <c r="D2738" s="39" t="s">
        <v>2122</v>
      </c>
    </row>
    <row r="2739" spans="1:4" x14ac:dyDescent="0.25">
      <c r="A2739" s="39" t="s">
        <v>1975</v>
      </c>
      <c r="B2739" s="39" t="s">
        <v>1332</v>
      </c>
      <c r="C2739" s="39">
        <v>4</v>
      </c>
      <c r="D2739" s="39" t="s">
        <v>2122</v>
      </c>
    </row>
    <row r="2740" spans="1:4" x14ac:dyDescent="0.25">
      <c r="A2740" s="39" t="s">
        <v>1296</v>
      </c>
      <c r="B2740" s="39" t="s">
        <v>857</v>
      </c>
      <c r="C2740" s="39">
        <v>4</v>
      </c>
      <c r="D2740" s="39" t="s">
        <v>2122</v>
      </c>
    </row>
    <row r="2741" spans="1:4" x14ac:dyDescent="0.25">
      <c r="A2741" s="39" t="s">
        <v>7603</v>
      </c>
      <c r="B2741" s="39" t="s">
        <v>2914</v>
      </c>
      <c r="C2741" s="39">
        <v>4</v>
      </c>
      <c r="D2741" s="39" t="s">
        <v>2122</v>
      </c>
    </row>
    <row r="2742" spans="1:4" x14ac:dyDescent="0.25">
      <c r="A2742" s="39" t="s">
        <v>2340</v>
      </c>
      <c r="B2742" s="39" t="s">
        <v>2792</v>
      </c>
      <c r="C2742" s="39">
        <v>4</v>
      </c>
      <c r="D2742" s="39" t="s">
        <v>2122</v>
      </c>
    </row>
    <row r="2743" spans="1:4" x14ac:dyDescent="0.25">
      <c r="A2743" s="39" t="s">
        <v>7604</v>
      </c>
      <c r="B2743" s="39" t="s">
        <v>4847</v>
      </c>
      <c r="C2743" s="39">
        <v>4</v>
      </c>
      <c r="D2743" s="39" t="s">
        <v>2122</v>
      </c>
    </row>
    <row r="2744" spans="1:4" x14ac:dyDescent="0.25">
      <c r="A2744" s="39" t="s">
        <v>7605</v>
      </c>
      <c r="B2744" s="39" t="s">
        <v>4706</v>
      </c>
      <c r="C2744" s="39">
        <v>4</v>
      </c>
      <c r="D2744" s="39" t="s">
        <v>2122</v>
      </c>
    </row>
    <row r="2745" spans="1:4" x14ac:dyDescent="0.25">
      <c r="A2745" s="39" t="s">
        <v>3624</v>
      </c>
      <c r="B2745" s="39" t="s">
        <v>186</v>
      </c>
      <c r="C2745" s="39">
        <v>4</v>
      </c>
      <c r="D2745" s="39" t="s">
        <v>2122</v>
      </c>
    </row>
    <row r="2746" spans="1:4" x14ac:dyDescent="0.25">
      <c r="A2746" s="39" t="s">
        <v>7606</v>
      </c>
      <c r="B2746" s="39" t="s">
        <v>3887</v>
      </c>
      <c r="C2746" s="39">
        <v>4</v>
      </c>
      <c r="D2746" s="39" t="s">
        <v>2122</v>
      </c>
    </row>
    <row r="2747" spans="1:4" x14ac:dyDescent="0.25">
      <c r="A2747" s="39" t="s">
        <v>2793</v>
      </c>
      <c r="B2747" s="39" t="s">
        <v>2794</v>
      </c>
      <c r="C2747" s="39">
        <v>4</v>
      </c>
      <c r="D2747" s="39" t="s">
        <v>2122</v>
      </c>
    </row>
    <row r="2748" spans="1:4" x14ac:dyDescent="0.25">
      <c r="A2748" s="39" t="s">
        <v>3309</v>
      </c>
      <c r="B2748" s="39" t="s">
        <v>3310</v>
      </c>
      <c r="C2748" s="39">
        <v>4</v>
      </c>
      <c r="D2748" s="39" t="s">
        <v>2122</v>
      </c>
    </row>
    <row r="2749" spans="1:4" x14ac:dyDescent="0.25">
      <c r="A2749" s="39" t="s">
        <v>11285</v>
      </c>
      <c r="B2749" s="39" t="s">
        <v>11286</v>
      </c>
      <c r="C2749" s="39">
        <v>4</v>
      </c>
      <c r="D2749" s="39" t="s">
        <v>2122</v>
      </c>
    </row>
    <row r="2750" spans="1:4" x14ac:dyDescent="0.25">
      <c r="A2750" s="39" t="s">
        <v>3625</v>
      </c>
      <c r="B2750" s="39" t="s">
        <v>3844</v>
      </c>
      <c r="C2750" s="39">
        <v>4</v>
      </c>
      <c r="D2750" s="39" t="s">
        <v>2122</v>
      </c>
    </row>
    <row r="2751" spans="1:4" x14ac:dyDescent="0.25">
      <c r="A2751" s="39" t="s">
        <v>7607</v>
      </c>
      <c r="B2751" s="39" t="s">
        <v>2883</v>
      </c>
      <c r="C2751" s="39">
        <v>4</v>
      </c>
      <c r="D2751" s="39" t="s">
        <v>2122</v>
      </c>
    </row>
    <row r="2752" spans="1:4" x14ac:dyDescent="0.25">
      <c r="A2752" s="39" t="s">
        <v>7608</v>
      </c>
      <c r="B2752" s="39" t="s">
        <v>4798</v>
      </c>
      <c r="C2752" s="39">
        <v>4</v>
      </c>
      <c r="D2752" s="39" t="s">
        <v>2122</v>
      </c>
    </row>
    <row r="2753" spans="1:4" x14ac:dyDescent="0.25">
      <c r="A2753" s="39" t="s">
        <v>5473</v>
      </c>
      <c r="B2753" s="39" t="s">
        <v>3077</v>
      </c>
      <c r="C2753" s="39">
        <v>4</v>
      </c>
      <c r="D2753" s="39" t="s">
        <v>2122</v>
      </c>
    </row>
    <row r="2754" spans="1:4" x14ac:dyDescent="0.25">
      <c r="A2754" s="39" t="s">
        <v>7609</v>
      </c>
      <c r="B2754" s="39" t="s">
        <v>4158</v>
      </c>
      <c r="C2754" s="39">
        <v>4</v>
      </c>
      <c r="D2754" s="39" t="s">
        <v>2122</v>
      </c>
    </row>
    <row r="2755" spans="1:4" x14ac:dyDescent="0.25">
      <c r="A2755" s="39" t="s">
        <v>5474</v>
      </c>
      <c r="B2755" s="39" t="s">
        <v>5475</v>
      </c>
      <c r="C2755" s="39">
        <v>4</v>
      </c>
      <c r="D2755" s="39" t="s">
        <v>2122</v>
      </c>
    </row>
    <row r="2756" spans="1:4" x14ac:dyDescent="0.25">
      <c r="A2756" s="39" t="s">
        <v>3626</v>
      </c>
      <c r="B2756" s="39" t="s">
        <v>3845</v>
      </c>
      <c r="C2756" s="39">
        <v>4</v>
      </c>
      <c r="D2756" s="39" t="s">
        <v>2122</v>
      </c>
    </row>
    <row r="2757" spans="1:4" x14ac:dyDescent="0.25">
      <c r="A2757" s="39" t="s">
        <v>11287</v>
      </c>
      <c r="B2757" s="39" t="s">
        <v>4237</v>
      </c>
      <c r="C2757" s="39">
        <v>4</v>
      </c>
      <c r="D2757" s="39" t="s">
        <v>2122</v>
      </c>
    </row>
    <row r="2758" spans="1:4" x14ac:dyDescent="0.25">
      <c r="A2758" s="39" t="s">
        <v>11288</v>
      </c>
      <c r="B2758" s="39" t="s">
        <v>11289</v>
      </c>
      <c r="C2758" s="39">
        <v>4</v>
      </c>
      <c r="D2758" s="39" t="s">
        <v>2122</v>
      </c>
    </row>
    <row r="2759" spans="1:4" x14ac:dyDescent="0.25">
      <c r="A2759" s="39" t="s">
        <v>7610</v>
      </c>
      <c r="B2759" s="39" t="s">
        <v>104</v>
      </c>
      <c r="C2759" s="39">
        <v>4</v>
      </c>
      <c r="D2759" s="39" t="s">
        <v>2122</v>
      </c>
    </row>
    <row r="2760" spans="1:4" x14ac:dyDescent="0.25">
      <c r="A2760" s="39" t="s">
        <v>11290</v>
      </c>
      <c r="B2760" s="39" t="s">
        <v>4692</v>
      </c>
      <c r="C2760" s="39">
        <v>4</v>
      </c>
      <c r="D2760" s="39" t="s">
        <v>2122</v>
      </c>
    </row>
    <row r="2761" spans="1:4" x14ac:dyDescent="0.25">
      <c r="A2761" s="39" t="s">
        <v>7611</v>
      </c>
      <c r="B2761" s="39" t="s">
        <v>7612</v>
      </c>
      <c r="C2761" s="39">
        <v>4</v>
      </c>
      <c r="D2761" s="39" t="s">
        <v>2122</v>
      </c>
    </row>
    <row r="2762" spans="1:4" x14ac:dyDescent="0.25">
      <c r="A2762" s="39" t="s">
        <v>1976</v>
      </c>
      <c r="B2762" s="39" t="s">
        <v>1400</v>
      </c>
      <c r="C2762" s="39">
        <v>4</v>
      </c>
      <c r="D2762" s="39" t="s">
        <v>2122</v>
      </c>
    </row>
    <row r="2763" spans="1:4" x14ac:dyDescent="0.25">
      <c r="A2763" s="39" t="s">
        <v>3627</v>
      </c>
      <c r="B2763" s="39" t="s">
        <v>900</v>
      </c>
      <c r="C2763" s="39">
        <v>4</v>
      </c>
      <c r="D2763" s="39" t="s">
        <v>2122</v>
      </c>
    </row>
    <row r="2764" spans="1:4" x14ac:dyDescent="0.25">
      <c r="A2764" s="39" t="s">
        <v>11291</v>
      </c>
      <c r="B2764" s="39" t="s">
        <v>11292</v>
      </c>
      <c r="C2764" s="39">
        <v>4</v>
      </c>
      <c r="D2764" s="39" t="s">
        <v>2122</v>
      </c>
    </row>
    <row r="2765" spans="1:4" x14ac:dyDescent="0.25">
      <c r="A2765" s="39" t="s">
        <v>3311</v>
      </c>
      <c r="B2765" s="39" t="s">
        <v>2387</v>
      </c>
      <c r="C2765" s="39">
        <v>4</v>
      </c>
      <c r="D2765" s="39" t="s">
        <v>2122</v>
      </c>
    </row>
    <row r="2766" spans="1:4" x14ac:dyDescent="0.25">
      <c r="A2766" s="39" t="s">
        <v>11293</v>
      </c>
      <c r="B2766" s="39" t="s">
        <v>11294</v>
      </c>
      <c r="C2766" s="39">
        <v>4</v>
      </c>
      <c r="D2766" s="39" t="s">
        <v>2122</v>
      </c>
    </row>
    <row r="2767" spans="1:4" x14ac:dyDescent="0.25">
      <c r="A2767" s="39" t="s">
        <v>7613</v>
      </c>
      <c r="B2767" s="39" t="s">
        <v>4707</v>
      </c>
      <c r="C2767" s="39">
        <v>4</v>
      </c>
      <c r="D2767" s="39" t="s">
        <v>2122</v>
      </c>
    </row>
    <row r="2768" spans="1:4" x14ac:dyDescent="0.25">
      <c r="A2768" s="39" t="s">
        <v>7347</v>
      </c>
      <c r="B2768" s="39" t="s">
        <v>11295</v>
      </c>
      <c r="C2768" s="39">
        <v>4</v>
      </c>
      <c r="D2768" s="39" t="s">
        <v>2122</v>
      </c>
    </row>
    <row r="2769" spans="1:4" x14ac:dyDescent="0.25">
      <c r="A2769" s="39" t="s">
        <v>11296</v>
      </c>
      <c r="B2769" s="39" t="s">
        <v>11297</v>
      </c>
      <c r="C2769" s="39">
        <v>4</v>
      </c>
      <c r="D2769" s="39" t="s">
        <v>2122</v>
      </c>
    </row>
    <row r="2770" spans="1:4" x14ac:dyDescent="0.25">
      <c r="A2770" s="39" t="s">
        <v>11298</v>
      </c>
      <c r="B2770" s="39" t="s">
        <v>11299</v>
      </c>
      <c r="C2770" s="39">
        <v>4</v>
      </c>
      <c r="D2770" s="39" t="s">
        <v>2122</v>
      </c>
    </row>
    <row r="2771" spans="1:4" x14ac:dyDescent="0.25">
      <c r="A2771" s="39" t="s">
        <v>3628</v>
      </c>
      <c r="B2771" s="39" t="s">
        <v>3846</v>
      </c>
      <c r="C2771" s="39">
        <v>4</v>
      </c>
      <c r="D2771" s="39" t="s">
        <v>2122</v>
      </c>
    </row>
    <row r="2772" spans="1:4" x14ac:dyDescent="0.25">
      <c r="A2772" s="39" t="s">
        <v>7614</v>
      </c>
      <c r="B2772" s="39" t="s">
        <v>7615</v>
      </c>
      <c r="C2772" s="39">
        <v>4</v>
      </c>
      <c r="D2772" s="39" t="s">
        <v>2122</v>
      </c>
    </row>
    <row r="2773" spans="1:4" x14ac:dyDescent="0.25">
      <c r="A2773" s="39" t="s">
        <v>3629</v>
      </c>
      <c r="B2773" s="39" t="s">
        <v>3847</v>
      </c>
      <c r="C2773" s="39">
        <v>4</v>
      </c>
      <c r="D2773" s="39" t="s">
        <v>2122</v>
      </c>
    </row>
    <row r="2774" spans="1:4" x14ac:dyDescent="0.25">
      <c r="A2774" s="39" t="s">
        <v>11300</v>
      </c>
      <c r="B2774" s="39" t="s">
        <v>11301</v>
      </c>
      <c r="C2774" s="39">
        <v>4</v>
      </c>
      <c r="D2774" s="39" t="s">
        <v>2122</v>
      </c>
    </row>
    <row r="2775" spans="1:4" x14ac:dyDescent="0.25">
      <c r="A2775" s="39" t="s">
        <v>3630</v>
      </c>
      <c r="B2775" s="39" t="s">
        <v>3039</v>
      </c>
      <c r="C2775" s="39">
        <v>4</v>
      </c>
      <c r="D2775" s="39" t="s">
        <v>2122</v>
      </c>
    </row>
    <row r="2776" spans="1:4" x14ac:dyDescent="0.25">
      <c r="A2776" s="39" t="s">
        <v>1961</v>
      </c>
      <c r="B2776" s="39" t="s">
        <v>512</v>
      </c>
      <c r="C2776" s="39">
        <v>4</v>
      </c>
      <c r="D2776" s="39" t="s">
        <v>2122</v>
      </c>
    </row>
    <row r="2777" spans="1:4" x14ac:dyDescent="0.25">
      <c r="A2777" s="39" t="s">
        <v>1978</v>
      </c>
      <c r="B2777" s="39" t="s">
        <v>1019</v>
      </c>
      <c r="C2777" s="39">
        <v>4</v>
      </c>
      <c r="D2777" s="39" t="s">
        <v>2122</v>
      </c>
    </row>
    <row r="2778" spans="1:4" x14ac:dyDescent="0.25">
      <c r="A2778" s="39" t="s">
        <v>7616</v>
      </c>
      <c r="B2778" s="39" t="s">
        <v>4839</v>
      </c>
      <c r="C2778" s="39">
        <v>4</v>
      </c>
      <c r="D2778" s="39" t="s">
        <v>2122</v>
      </c>
    </row>
    <row r="2779" spans="1:4" x14ac:dyDescent="0.25">
      <c r="A2779" s="39" t="s">
        <v>11302</v>
      </c>
      <c r="B2779" s="39" t="s">
        <v>11303</v>
      </c>
      <c r="C2779" s="39">
        <v>4</v>
      </c>
      <c r="D2779" s="39" t="s">
        <v>2122</v>
      </c>
    </row>
    <row r="2780" spans="1:4" x14ac:dyDescent="0.25">
      <c r="A2780" s="39" t="s">
        <v>1156</v>
      </c>
      <c r="B2780" s="39" t="s">
        <v>2796</v>
      </c>
      <c r="C2780" s="39">
        <v>4</v>
      </c>
      <c r="D2780" s="39" t="s">
        <v>2122</v>
      </c>
    </row>
    <row r="2781" spans="1:4" x14ac:dyDescent="0.25">
      <c r="A2781" s="39" t="s">
        <v>3631</v>
      </c>
      <c r="B2781" s="39" t="s">
        <v>2633</v>
      </c>
      <c r="C2781" s="39">
        <v>4</v>
      </c>
      <c r="D2781" s="39" t="s">
        <v>2122</v>
      </c>
    </row>
    <row r="2782" spans="1:4" x14ac:dyDescent="0.25">
      <c r="A2782" s="39" t="s">
        <v>11304</v>
      </c>
      <c r="B2782" s="39" t="s">
        <v>11305</v>
      </c>
      <c r="C2782" s="39">
        <v>4</v>
      </c>
      <c r="D2782" s="39" t="s">
        <v>2122</v>
      </c>
    </row>
    <row r="2783" spans="1:4" x14ac:dyDescent="0.25">
      <c r="A2783" s="39" t="s">
        <v>7617</v>
      </c>
      <c r="B2783" s="39" t="s">
        <v>7618</v>
      </c>
      <c r="C2783" s="39">
        <v>4</v>
      </c>
      <c r="D2783" s="39" t="s">
        <v>2122</v>
      </c>
    </row>
    <row r="2784" spans="1:4" x14ac:dyDescent="0.25">
      <c r="A2784" s="39" t="s">
        <v>11306</v>
      </c>
      <c r="B2784" s="39" t="s">
        <v>11307</v>
      </c>
      <c r="C2784" s="39">
        <v>4</v>
      </c>
      <c r="D2784" s="39" t="s">
        <v>2122</v>
      </c>
    </row>
    <row r="2785" spans="1:4" x14ac:dyDescent="0.25">
      <c r="A2785" s="39" t="s">
        <v>11308</v>
      </c>
      <c r="B2785" s="39" t="s">
        <v>11309</v>
      </c>
      <c r="C2785" s="39">
        <v>4</v>
      </c>
      <c r="D2785" s="39" t="s">
        <v>2122</v>
      </c>
    </row>
    <row r="2786" spans="1:4" x14ac:dyDescent="0.25">
      <c r="A2786" s="39" t="s">
        <v>11310</v>
      </c>
      <c r="B2786" s="39" t="s">
        <v>11311</v>
      </c>
      <c r="C2786" s="39">
        <v>4</v>
      </c>
      <c r="D2786" s="39" t="s">
        <v>2122</v>
      </c>
    </row>
    <row r="2787" spans="1:4" x14ac:dyDescent="0.25">
      <c r="A2787" s="39" t="s">
        <v>2111</v>
      </c>
      <c r="B2787" s="39" t="s">
        <v>1315</v>
      </c>
      <c r="C2787" s="39">
        <v>4</v>
      </c>
      <c r="D2787" s="39" t="s">
        <v>2122</v>
      </c>
    </row>
    <row r="2788" spans="1:4" x14ac:dyDescent="0.25">
      <c r="A2788" s="39" t="s">
        <v>1491</v>
      </c>
      <c r="B2788" s="39" t="s">
        <v>949</v>
      </c>
      <c r="C2788" s="39">
        <v>4</v>
      </c>
      <c r="D2788" s="39" t="s">
        <v>2122</v>
      </c>
    </row>
    <row r="2789" spans="1:4" x14ac:dyDescent="0.25">
      <c r="A2789" s="39" t="s">
        <v>5480</v>
      </c>
      <c r="B2789" s="39" t="s">
        <v>5481</v>
      </c>
      <c r="C2789" s="39">
        <v>4</v>
      </c>
      <c r="D2789" s="39" t="s">
        <v>2122</v>
      </c>
    </row>
    <row r="2790" spans="1:4" x14ac:dyDescent="0.25">
      <c r="A2790" s="39" t="s">
        <v>3632</v>
      </c>
      <c r="B2790" s="39" t="s">
        <v>1939</v>
      </c>
      <c r="C2790" s="39">
        <v>4</v>
      </c>
      <c r="D2790" s="39" t="s">
        <v>2122</v>
      </c>
    </row>
    <row r="2791" spans="1:4" x14ac:dyDescent="0.25">
      <c r="A2791" s="39" t="s">
        <v>3312</v>
      </c>
      <c r="B2791" s="39" t="s">
        <v>2519</v>
      </c>
      <c r="C2791" s="39">
        <v>4</v>
      </c>
      <c r="D2791" s="39" t="s">
        <v>2122</v>
      </c>
    </row>
    <row r="2792" spans="1:4" x14ac:dyDescent="0.25">
      <c r="A2792" s="39" t="s">
        <v>3313</v>
      </c>
      <c r="B2792" s="39" t="s">
        <v>3314</v>
      </c>
      <c r="C2792" s="39">
        <v>4</v>
      </c>
      <c r="D2792" s="39" t="s">
        <v>2122</v>
      </c>
    </row>
    <row r="2793" spans="1:4" x14ac:dyDescent="0.25">
      <c r="A2793" s="39" t="s">
        <v>7619</v>
      </c>
      <c r="B2793" s="39" t="s">
        <v>4120</v>
      </c>
      <c r="C2793" s="39">
        <v>4</v>
      </c>
      <c r="D2793" s="39" t="s">
        <v>2122</v>
      </c>
    </row>
    <row r="2794" spans="1:4" x14ac:dyDescent="0.25">
      <c r="A2794" s="39" t="s">
        <v>7620</v>
      </c>
      <c r="B2794" s="39" t="s">
        <v>7621</v>
      </c>
      <c r="C2794" s="39">
        <v>4</v>
      </c>
      <c r="D2794" s="39" t="s">
        <v>2122</v>
      </c>
    </row>
    <row r="2795" spans="1:4" x14ac:dyDescent="0.25">
      <c r="A2795" s="39" t="s">
        <v>11312</v>
      </c>
      <c r="B2795" s="39" t="s">
        <v>11313</v>
      </c>
      <c r="C2795" s="39">
        <v>4</v>
      </c>
      <c r="D2795" s="39" t="s">
        <v>2122</v>
      </c>
    </row>
    <row r="2796" spans="1:4" x14ac:dyDescent="0.25">
      <c r="A2796" s="39" t="s">
        <v>5482</v>
      </c>
      <c r="B2796" s="39" t="s">
        <v>5483</v>
      </c>
      <c r="C2796" s="39">
        <v>4</v>
      </c>
      <c r="D2796" s="39" t="s">
        <v>2122</v>
      </c>
    </row>
    <row r="2797" spans="1:4" x14ac:dyDescent="0.25">
      <c r="A2797" s="39" t="s">
        <v>7622</v>
      </c>
      <c r="B2797" s="39" t="s">
        <v>7623</v>
      </c>
      <c r="C2797" s="39">
        <v>4</v>
      </c>
      <c r="D2797" s="39" t="s">
        <v>2122</v>
      </c>
    </row>
    <row r="2798" spans="1:4" x14ac:dyDescent="0.25">
      <c r="A2798" s="39" t="s">
        <v>2797</v>
      </c>
      <c r="B2798" s="39" t="s">
        <v>956</v>
      </c>
      <c r="C2798" s="39">
        <v>4</v>
      </c>
      <c r="D2798" s="39" t="s">
        <v>2122</v>
      </c>
    </row>
    <row r="2799" spans="1:4" x14ac:dyDescent="0.25">
      <c r="A2799" s="39" t="s">
        <v>5484</v>
      </c>
      <c r="B2799" s="39" t="s">
        <v>2743</v>
      </c>
      <c r="C2799" s="39">
        <v>4</v>
      </c>
      <c r="D2799" s="39" t="s">
        <v>2122</v>
      </c>
    </row>
    <row r="2800" spans="1:4" x14ac:dyDescent="0.25">
      <c r="A2800" s="39" t="s">
        <v>1979</v>
      </c>
      <c r="B2800" s="39" t="s">
        <v>56</v>
      </c>
      <c r="C2800" s="39">
        <v>4</v>
      </c>
      <c r="D2800" s="39" t="s">
        <v>2122</v>
      </c>
    </row>
    <row r="2801" spans="1:4" x14ac:dyDescent="0.25">
      <c r="A2801" s="39" t="s">
        <v>11314</v>
      </c>
      <c r="B2801" s="39" t="s">
        <v>5771</v>
      </c>
      <c r="C2801" s="39">
        <v>4</v>
      </c>
      <c r="D2801" s="39" t="s">
        <v>2122</v>
      </c>
    </row>
    <row r="2802" spans="1:4" x14ac:dyDescent="0.25">
      <c r="A2802" s="39" t="s">
        <v>2798</v>
      </c>
      <c r="B2802" s="39" t="s">
        <v>2799</v>
      </c>
      <c r="C2802" s="39">
        <v>4</v>
      </c>
      <c r="D2802" s="39" t="s">
        <v>2122</v>
      </c>
    </row>
    <row r="2803" spans="1:4" x14ac:dyDescent="0.25">
      <c r="A2803" s="39" t="s">
        <v>2208</v>
      </c>
      <c r="B2803" s="39" t="s">
        <v>2210</v>
      </c>
      <c r="C2803" s="39">
        <v>4</v>
      </c>
      <c r="D2803" s="39" t="s">
        <v>2122</v>
      </c>
    </row>
    <row r="2804" spans="1:4" x14ac:dyDescent="0.25">
      <c r="A2804" s="39" t="s">
        <v>11315</v>
      </c>
      <c r="B2804" s="39" t="s">
        <v>2990</v>
      </c>
      <c r="C2804" s="39">
        <v>4</v>
      </c>
      <c r="D2804" s="39" t="s">
        <v>2122</v>
      </c>
    </row>
    <row r="2805" spans="1:4" x14ac:dyDescent="0.25">
      <c r="A2805" s="39" t="s">
        <v>7624</v>
      </c>
      <c r="B2805" s="39" t="s">
        <v>3094</v>
      </c>
      <c r="C2805" s="39">
        <v>4</v>
      </c>
      <c r="D2805" s="39" t="s">
        <v>2122</v>
      </c>
    </row>
    <row r="2806" spans="1:4" x14ac:dyDescent="0.25">
      <c r="A2806" s="39" t="s">
        <v>7625</v>
      </c>
      <c r="B2806" s="39" t="s">
        <v>4074</v>
      </c>
      <c r="C2806" s="39">
        <v>4</v>
      </c>
      <c r="D2806" s="39" t="s">
        <v>2122</v>
      </c>
    </row>
    <row r="2807" spans="1:4" x14ac:dyDescent="0.25">
      <c r="A2807" s="39" t="s">
        <v>11316</v>
      </c>
      <c r="B2807" s="39" t="s">
        <v>4768</v>
      </c>
      <c r="C2807" s="39">
        <v>4</v>
      </c>
      <c r="D2807" s="39" t="s">
        <v>2122</v>
      </c>
    </row>
    <row r="2808" spans="1:4" x14ac:dyDescent="0.25">
      <c r="A2808" s="39" t="s">
        <v>1980</v>
      </c>
      <c r="B2808" s="39" t="s">
        <v>981</v>
      </c>
      <c r="C2808" s="39">
        <v>4</v>
      </c>
      <c r="D2808" s="39" t="s">
        <v>2122</v>
      </c>
    </row>
    <row r="2809" spans="1:4" x14ac:dyDescent="0.25">
      <c r="A2809" s="39" t="s">
        <v>3633</v>
      </c>
      <c r="B2809" s="39" t="s">
        <v>1432</v>
      </c>
      <c r="C2809" s="39">
        <v>4</v>
      </c>
      <c r="D2809" s="39" t="s">
        <v>2122</v>
      </c>
    </row>
    <row r="2810" spans="1:4" x14ac:dyDescent="0.25">
      <c r="A2810" s="39" t="s">
        <v>3315</v>
      </c>
      <c r="B2810" s="39" t="s">
        <v>2569</v>
      </c>
      <c r="C2810" s="39">
        <v>4</v>
      </c>
      <c r="D2810" s="39" t="s">
        <v>2122</v>
      </c>
    </row>
    <row r="2811" spans="1:4" x14ac:dyDescent="0.25">
      <c r="A2811" s="39" t="s">
        <v>11317</v>
      </c>
      <c r="B2811" s="39" t="s">
        <v>2415</v>
      </c>
      <c r="C2811" s="39">
        <v>4</v>
      </c>
      <c r="D2811" s="39" t="s">
        <v>2122</v>
      </c>
    </row>
    <row r="2812" spans="1:4" x14ac:dyDescent="0.25">
      <c r="A2812" s="39" t="s">
        <v>7626</v>
      </c>
      <c r="B2812" s="39" t="s">
        <v>7627</v>
      </c>
      <c r="C2812" s="39">
        <v>4</v>
      </c>
      <c r="D2812" s="39" t="s">
        <v>2122</v>
      </c>
    </row>
    <row r="2813" spans="1:4" x14ac:dyDescent="0.25">
      <c r="A2813" s="39" t="s">
        <v>5485</v>
      </c>
      <c r="B2813" s="39" t="s">
        <v>5486</v>
      </c>
      <c r="C2813" s="39">
        <v>4</v>
      </c>
      <c r="D2813" s="39" t="s">
        <v>2122</v>
      </c>
    </row>
    <row r="2814" spans="1:4" x14ac:dyDescent="0.25">
      <c r="A2814" s="39" t="s">
        <v>1719</v>
      </c>
      <c r="B2814" s="39" t="s">
        <v>200</v>
      </c>
      <c r="C2814" s="39">
        <v>4</v>
      </c>
      <c r="D2814" s="39" t="s">
        <v>2122</v>
      </c>
    </row>
    <row r="2815" spans="1:4" x14ac:dyDescent="0.25">
      <c r="A2815" s="39" t="s">
        <v>5487</v>
      </c>
      <c r="B2815" s="39" t="s">
        <v>5488</v>
      </c>
      <c r="C2815" s="39">
        <v>4</v>
      </c>
      <c r="D2815" s="39" t="s">
        <v>2122</v>
      </c>
    </row>
    <row r="2816" spans="1:4" x14ac:dyDescent="0.25">
      <c r="A2816" s="39" t="s">
        <v>5489</v>
      </c>
      <c r="B2816" s="39" t="s">
        <v>5490</v>
      </c>
      <c r="C2816" s="39">
        <v>4</v>
      </c>
      <c r="D2816" s="39" t="s">
        <v>2122</v>
      </c>
    </row>
    <row r="2817" spans="1:4" x14ac:dyDescent="0.25">
      <c r="A2817" s="39" t="s">
        <v>11318</v>
      </c>
      <c r="B2817" s="39" t="s">
        <v>6215</v>
      </c>
      <c r="C2817" s="39">
        <v>4</v>
      </c>
      <c r="D2817" s="39" t="s">
        <v>2122</v>
      </c>
    </row>
    <row r="2818" spans="1:4" x14ac:dyDescent="0.25">
      <c r="A2818" s="39" t="s">
        <v>11319</v>
      </c>
      <c r="B2818" s="39" t="s">
        <v>11320</v>
      </c>
      <c r="C2818" s="39">
        <v>4</v>
      </c>
      <c r="D2818" s="39" t="s">
        <v>2122</v>
      </c>
    </row>
    <row r="2819" spans="1:4" x14ac:dyDescent="0.25">
      <c r="A2819" s="39" t="s">
        <v>1981</v>
      </c>
      <c r="B2819" s="39" t="s">
        <v>540</v>
      </c>
      <c r="C2819" s="39">
        <v>4</v>
      </c>
      <c r="D2819" s="39" t="s">
        <v>2122</v>
      </c>
    </row>
    <row r="2820" spans="1:4" x14ac:dyDescent="0.25">
      <c r="A2820" s="39" t="s">
        <v>677</v>
      </c>
      <c r="B2820" s="39" t="s">
        <v>2058</v>
      </c>
      <c r="C2820" s="39">
        <v>4</v>
      </c>
      <c r="D2820" s="39" t="s">
        <v>2122</v>
      </c>
    </row>
    <row r="2821" spans="1:4" x14ac:dyDescent="0.25">
      <c r="A2821" s="39" t="s">
        <v>7630</v>
      </c>
      <c r="B2821" s="39" t="s">
        <v>7631</v>
      </c>
      <c r="C2821" s="39">
        <v>4</v>
      </c>
      <c r="D2821" s="39" t="s">
        <v>2122</v>
      </c>
    </row>
    <row r="2822" spans="1:4" x14ac:dyDescent="0.25">
      <c r="A2822" s="39" t="s">
        <v>5491</v>
      </c>
      <c r="B2822" s="39" t="s">
        <v>5492</v>
      </c>
      <c r="C2822" s="39">
        <v>4</v>
      </c>
      <c r="D2822" s="39" t="s">
        <v>2122</v>
      </c>
    </row>
    <row r="2823" spans="1:4" x14ac:dyDescent="0.25">
      <c r="A2823" s="39" t="s">
        <v>11321</v>
      </c>
      <c r="B2823" s="39" t="s">
        <v>4429</v>
      </c>
      <c r="C2823" s="39">
        <v>4</v>
      </c>
      <c r="D2823" s="39" t="s">
        <v>2122</v>
      </c>
    </row>
    <row r="2824" spans="1:4" x14ac:dyDescent="0.25">
      <c r="A2824" s="39" t="s">
        <v>7632</v>
      </c>
      <c r="B2824" s="39" t="s">
        <v>7633</v>
      </c>
      <c r="C2824" s="39">
        <v>4</v>
      </c>
      <c r="D2824" s="39" t="s">
        <v>2122</v>
      </c>
    </row>
    <row r="2825" spans="1:4" x14ac:dyDescent="0.25">
      <c r="A2825" s="39" t="s">
        <v>3634</v>
      </c>
      <c r="B2825" s="39" t="s">
        <v>3848</v>
      </c>
      <c r="C2825" s="39">
        <v>4</v>
      </c>
      <c r="D2825" s="39" t="s">
        <v>2122</v>
      </c>
    </row>
    <row r="2826" spans="1:4" x14ac:dyDescent="0.25">
      <c r="A2826" s="39" t="s">
        <v>11322</v>
      </c>
      <c r="B2826" s="39" t="s">
        <v>2745</v>
      </c>
      <c r="C2826" s="39">
        <v>4</v>
      </c>
      <c r="D2826" s="39" t="s">
        <v>2122</v>
      </c>
    </row>
    <row r="2827" spans="1:4" x14ac:dyDescent="0.25">
      <c r="A2827" s="39" t="s">
        <v>3316</v>
      </c>
      <c r="B2827" s="39" t="s">
        <v>2458</v>
      </c>
      <c r="C2827" s="39">
        <v>4</v>
      </c>
      <c r="D2827" s="39" t="s">
        <v>2122</v>
      </c>
    </row>
    <row r="2828" spans="1:4" x14ac:dyDescent="0.25">
      <c r="A2828" s="39" t="s">
        <v>3035</v>
      </c>
      <c r="B2828" s="39" t="s">
        <v>3317</v>
      </c>
      <c r="C2828" s="39">
        <v>4</v>
      </c>
      <c r="D2828" s="39" t="s">
        <v>2122</v>
      </c>
    </row>
    <row r="2829" spans="1:4" x14ac:dyDescent="0.25">
      <c r="A2829" s="39" t="s">
        <v>3635</v>
      </c>
      <c r="B2829" s="39" t="s">
        <v>2939</v>
      </c>
      <c r="C2829" s="39">
        <v>4</v>
      </c>
      <c r="D2829" s="39" t="s">
        <v>2122</v>
      </c>
    </row>
    <row r="2830" spans="1:4" x14ac:dyDescent="0.25">
      <c r="A2830" s="39" t="s">
        <v>1251</v>
      </c>
      <c r="B2830" s="39" t="s">
        <v>1982</v>
      </c>
      <c r="C2830" s="39">
        <v>4</v>
      </c>
      <c r="D2830" s="39" t="s">
        <v>2122</v>
      </c>
    </row>
    <row r="2831" spans="1:4" x14ac:dyDescent="0.25">
      <c r="A2831" s="39" t="s">
        <v>3636</v>
      </c>
      <c r="B2831" s="39" t="s">
        <v>3849</v>
      </c>
      <c r="C2831" s="39">
        <v>4</v>
      </c>
      <c r="D2831" s="39" t="s">
        <v>2122</v>
      </c>
    </row>
    <row r="2832" spans="1:4" x14ac:dyDescent="0.25">
      <c r="A2832" s="39" t="s">
        <v>2800</v>
      </c>
      <c r="B2832" s="39" t="s">
        <v>2801</v>
      </c>
      <c r="C2832" s="39">
        <v>4</v>
      </c>
      <c r="D2832" s="39" t="s">
        <v>2122</v>
      </c>
    </row>
    <row r="2833" spans="1:4" x14ac:dyDescent="0.25">
      <c r="A2833" s="39" t="s">
        <v>11323</v>
      </c>
      <c r="B2833" s="39" t="s">
        <v>11324</v>
      </c>
      <c r="C2833" s="39">
        <v>4</v>
      </c>
      <c r="D2833" s="39" t="s">
        <v>2122</v>
      </c>
    </row>
    <row r="2834" spans="1:4" x14ac:dyDescent="0.25">
      <c r="A2834" s="39" t="s">
        <v>2980</v>
      </c>
      <c r="B2834" s="39" t="s">
        <v>3319</v>
      </c>
      <c r="C2834" s="39">
        <v>4</v>
      </c>
      <c r="D2834" s="39" t="s">
        <v>2122</v>
      </c>
    </row>
    <row r="2835" spans="1:4" x14ac:dyDescent="0.25">
      <c r="A2835" s="39" t="s">
        <v>227</v>
      </c>
      <c r="B2835" s="39" t="s">
        <v>513</v>
      </c>
      <c r="C2835" s="39">
        <v>4</v>
      </c>
      <c r="D2835" s="39" t="s">
        <v>2122</v>
      </c>
    </row>
    <row r="2836" spans="1:4" x14ac:dyDescent="0.25">
      <c r="A2836" s="39" t="s">
        <v>7636</v>
      </c>
      <c r="B2836" s="39" t="s">
        <v>7637</v>
      </c>
      <c r="C2836" s="39">
        <v>4</v>
      </c>
      <c r="D2836" s="39" t="s">
        <v>2122</v>
      </c>
    </row>
    <row r="2837" spans="1:4" x14ac:dyDescent="0.25">
      <c r="A2837" s="39" t="s">
        <v>2440</v>
      </c>
      <c r="B2837" s="39" t="s">
        <v>2441</v>
      </c>
      <c r="C2837" s="39">
        <v>4</v>
      </c>
      <c r="D2837" s="39" t="s">
        <v>2122</v>
      </c>
    </row>
    <row r="2838" spans="1:4" x14ac:dyDescent="0.25">
      <c r="A2838" s="39" t="s">
        <v>5494</v>
      </c>
      <c r="B2838" s="39" t="s">
        <v>5495</v>
      </c>
      <c r="C2838" s="39">
        <v>4</v>
      </c>
      <c r="D2838" s="39" t="s">
        <v>2122</v>
      </c>
    </row>
    <row r="2839" spans="1:4" x14ac:dyDescent="0.25">
      <c r="A2839" s="39" t="s">
        <v>7638</v>
      </c>
      <c r="B2839" s="39" t="s">
        <v>3907</v>
      </c>
      <c r="C2839" s="39">
        <v>4</v>
      </c>
      <c r="D2839" s="39" t="s">
        <v>2122</v>
      </c>
    </row>
    <row r="2840" spans="1:4" x14ac:dyDescent="0.25">
      <c r="A2840" s="39" t="s">
        <v>7639</v>
      </c>
      <c r="B2840" s="39" t="s">
        <v>3850</v>
      </c>
      <c r="C2840" s="39">
        <v>4</v>
      </c>
      <c r="D2840" s="39" t="s">
        <v>2122</v>
      </c>
    </row>
    <row r="2841" spans="1:4" x14ac:dyDescent="0.25">
      <c r="A2841" s="39" t="s">
        <v>11325</v>
      </c>
      <c r="B2841" s="39" t="s">
        <v>11326</v>
      </c>
      <c r="C2841" s="39">
        <v>4</v>
      </c>
      <c r="D2841" s="39" t="s">
        <v>2122</v>
      </c>
    </row>
    <row r="2842" spans="1:4" x14ac:dyDescent="0.25">
      <c r="A2842" s="39" t="s">
        <v>5496</v>
      </c>
      <c r="B2842" s="39" t="s">
        <v>5497</v>
      </c>
      <c r="C2842" s="39">
        <v>4</v>
      </c>
      <c r="D2842" s="39" t="s">
        <v>2122</v>
      </c>
    </row>
    <row r="2843" spans="1:4" x14ac:dyDescent="0.25">
      <c r="A2843" s="39" t="s">
        <v>11327</v>
      </c>
      <c r="B2843" s="39" t="s">
        <v>11328</v>
      </c>
      <c r="C2843" s="39">
        <v>4</v>
      </c>
      <c r="D2843" s="39" t="s">
        <v>2122</v>
      </c>
    </row>
    <row r="2844" spans="1:4" x14ac:dyDescent="0.25">
      <c r="A2844" s="39" t="s">
        <v>11329</v>
      </c>
      <c r="B2844" s="39" t="s">
        <v>4581</v>
      </c>
      <c r="C2844" s="39">
        <v>4</v>
      </c>
      <c r="D2844" s="39" t="s">
        <v>2122</v>
      </c>
    </row>
    <row r="2845" spans="1:4" x14ac:dyDescent="0.25">
      <c r="A2845" s="39" t="s">
        <v>5498</v>
      </c>
      <c r="B2845" s="39" t="s">
        <v>5499</v>
      </c>
      <c r="C2845" s="39">
        <v>4</v>
      </c>
      <c r="D2845" s="39" t="s">
        <v>2122</v>
      </c>
    </row>
    <row r="2846" spans="1:4" x14ac:dyDescent="0.25">
      <c r="A2846" s="39" t="s">
        <v>5500</v>
      </c>
      <c r="B2846" s="39" t="s">
        <v>3004</v>
      </c>
      <c r="C2846" s="39">
        <v>4</v>
      </c>
      <c r="D2846" s="39" t="s">
        <v>2122</v>
      </c>
    </row>
    <row r="2847" spans="1:4" x14ac:dyDescent="0.25">
      <c r="A2847" s="39" t="s">
        <v>714</v>
      </c>
      <c r="B2847" s="39" t="s">
        <v>1076</v>
      </c>
      <c r="C2847" s="39">
        <v>4</v>
      </c>
      <c r="D2847" s="39" t="s">
        <v>2122</v>
      </c>
    </row>
    <row r="2848" spans="1:4" x14ac:dyDescent="0.25">
      <c r="A2848" s="39" t="s">
        <v>7640</v>
      </c>
      <c r="B2848" s="39" t="s">
        <v>7641</v>
      </c>
      <c r="C2848" s="39">
        <v>4</v>
      </c>
      <c r="D2848" s="39" t="s">
        <v>2122</v>
      </c>
    </row>
    <row r="2849" spans="1:4" x14ac:dyDescent="0.25">
      <c r="A2849" s="39" t="s">
        <v>11330</v>
      </c>
      <c r="B2849" s="39" t="s">
        <v>5860</v>
      </c>
      <c r="C2849" s="39">
        <v>4</v>
      </c>
      <c r="D2849" s="39" t="s">
        <v>2122</v>
      </c>
    </row>
    <row r="2850" spans="1:4" x14ac:dyDescent="0.25">
      <c r="A2850" s="39" t="s">
        <v>7642</v>
      </c>
      <c r="B2850" s="39" t="s">
        <v>7643</v>
      </c>
      <c r="C2850" s="39">
        <v>4</v>
      </c>
      <c r="D2850" s="39" t="s">
        <v>2122</v>
      </c>
    </row>
    <row r="2851" spans="1:4" x14ac:dyDescent="0.25">
      <c r="A2851" s="39" t="s">
        <v>11331</v>
      </c>
      <c r="B2851" s="39" t="s">
        <v>4018</v>
      </c>
      <c r="C2851" s="39">
        <v>4</v>
      </c>
      <c r="D2851" s="39" t="s">
        <v>2122</v>
      </c>
    </row>
    <row r="2852" spans="1:4" x14ac:dyDescent="0.25">
      <c r="A2852" s="39" t="s">
        <v>3637</v>
      </c>
      <c r="B2852" s="39" t="s">
        <v>3851</v>
      </c>
      <c r="C2852" s="39">
        <v>4</v>
      </c>
      <c r="D2852" s="39" t="s">
        <v>2122</v>
      </c>
    </row>
    <row r="2853" spans="1:4" x14ac:dyDescent="0.25">
      <c r="A2853" s="39" t="s">
        <v>5501</v>
      </c>
      <c r="B2853" s="39" t="s">
        <v>3028</v>
      </c>
      <c r="C2853" s="39">
        <v>4</v>
      </c>
      <c r="D2853" s="39" t="s">
        <v>2122</v>
      </c>
    </row>
    <row r="2854" spans="1:4" x14ac:dyDescent="0.25">
      <c r="A2854" s="39" t="s">
        <v>889</v>
      </c>
      <c r="B2854" s="39" t="s">
        <v>574</v>
      </c>
      <c r="C2854" s="39">
        <v>4</v>
      </c>
      <c r="D2854" s="39" t="s">
        <v>2122</v>
      </c>
    </row>
    <row r="2855" spans="1:4" x14ac:dyDescent="0.25">
      <c r="A2855" s="39" t="s">
        <v>7644</v>
      </c>
      <c r="B2855" s="39" t="s">
        <v>4140</v>
      </c>
      <c r="C2855" s="39">
        <v>4</v>
      </c>
      <c r="D2855" s="39" t="s">
        <v>2122</v>
      </c>
    </row>
    <row r="2856" spans="1:4" x14ac:dyDescent="0.25">
      <c r="A2856" s="39" t="s">
        <v>5502</v>
      </c>
      <c r="B2856" s="39" t="s">
        <v>1537</v>
      </c>
      <c r="C2856" s="39">
        <v>4</v>
      </c>
      <c r="D2856" s="39" t="s">
        <v>2122</v>
      </c>
    </row>
    <row r="2857" spans="1:4" x14ac:dyDescent="0.25">
      <c r="A2857" s="39" t="s">
        <v>11332</v>
      </c>
      <c r="B2857" s="39" t="s">
        <v>11333</v>
      </c>
      <c r="C2857" s="39">
        <v>4</v>
      </c>
      <c r="D2857" s="39" t="s">
        <v>2122</v>
      </c>
    </row>
    <row r="2858" spans="1:4" x14ac:dyDescent="0.25">
      <c r="A2858" s="39" t="s">
        <v>11334</v>
      </c>
      <c r="B2858" s="39" t="s">
        <v>11335</v>
      </c>
      <c r="C2858" s="39">
        <v>4</v>
      </c>
      <c r="D2858" s="39" t="s">
        <v>2122</v>
      </c>
    </row>
    <row r="2859" spans="1:4" x14ac:dyDescent="0.25">
      <c r="A2859" s="39" t="s">
        <v>11336</v>
      </c>
      <c r="B2859" s="39" t="s">
        <v>11337</v>
      </c>
      <c r="C2859" s="39">
        <v>4</v>
      </c>
      <c r="D2859" s="39" t="s">
        <v>2122</v>
      </c>
    </row>
    <row r="2860" spans="1:4" x14ac:dyDescent="0.25">
      <c r="A2860" s="39" t="s">
        <v>11338</v>
      </c>
      <c r="B2860" s="39" t="s">
        <v>6120</v>
      </c>
      <c r="C2860" s="39">
        <v>4</v>
      </c>
      <c r="D2860" s="39" t="s">
        <v>2122</v>
      </c>
    </row>
    <row r="2861" spans="1:4" x14ac:dyDescent="0.25">
      <c r="A2861" s="39" t="s">
        <v>7645</v>
      </c>
      <c r="B2861" s="39" t="s">
        <v>7646</v>
      </c>
      <c r="C2861" s="39">
        <v>4</v>
      </c>
      <c r="D2861" s="39" t="s">
        <v>2122</v>
      </c>
    </row>
    <row r="2862" spans="1:4" x14ac:dyDescent="0.25">
      <c r="A2862" s="39" t="s">
        <v>11339</v>
      </c>
      <c r="B2862" s="39" t="s">
        <v>11340</v>
      </c>
      <c r="C2862" s="39">
        <v>4</v>
      </c>
      <c r="D2862" s="39" t="s">
        <v>2122</v>
      </c>
    </row>
    <row r="2863" spans="1:4" x14ac:dyDescent="0.25">
      <c r="A2863" s="39" t="s">
        <v>2803</v>
      </c>
      <c r="B2863" s="39" t="s">
        <v>2804</v>
      </c>
      <c r="C2863" s="39">
        <v>4</v>
      </c>
      <c r="D2863" s="39" t="s">
        <v>2122</v>
      </c>
    </row>
    <row r="2864" spans="1:4" x14ac:dyDescent="0.25">
      <c r="A2864" s="39" t="s">
        <v>5503</v>
      </c>
      <c r="B2864" s="39" t="s">
        <v>2113</v>
      </c>
      <c r="C2864" s="39">
        <v>4</v>
      </c>
      <c r="D2864" s="39" t="s">
        <v>2122</v>
      </c>
    </row>
    <row r="2865" spans="1:4" x14ac:dyDescent="0.25">
      <c r="A2865" s="39" t="s">
        <v>7647</v>
      </c>
      <c r="B2865" s="39" t="s">
        <v>874</v>
      </c>
      <c r="C2865" s="39">
        <v>4</v>
      </c>
      <c r="D2865" s="39" t="s">
        <v>2122</v>
      </c>
    </row>
    <row r="2866" spans="1:4" x14ac:dyDescent="0.25">
      <c r="A2866" s="39" t="s">
        <v>7648</v>
      </c>
      <c r="B2866" s="39" t="s">
        <v>7649</v>
      </c>
      <c r="C2866" s="39">
        <v>4</v>
      </c>
      <c r="D2866" s="39" t="s">
        <v>2122</v>
      </c>
    </row>
    <row r="2867" spans="1:4" x14ac:dyDescent="0.25">
      <c r="A2867" s="39" t="s">
        <v>5504</v>
      </c>
      <c r="B2867" s="39" t="s">
        <v>5505</v>
      </c>
      <c r="C2867" s="39">
        <v>4</v>
      </c>
      <c r="D2867" s="39" t="s">
        <v>2122</v>
      </c>
    </row>
    <row r="2868" spans="1:4" x14ac:dyDescent="0.25">
      <c r="A2868" s="39" t="s">
        <v>7650</v>
      </c>
      <c r="B2868" s="39" t="s">
        <v>7651</v>
      </c>
      <c r="C2868" s="39">
        <v>4</v>
      </c>
      <c r="D2868" s="39" t="s">
        <v>2122</v>
      </c>
    </row>
    <row r="2869" spans="1:4" x14ac:dyDescent="0.25">
      <c r="A2869" s="39" t="s">
        <v>3322</v>
      </c>
      <c r="B2869" s="39" t="s">
        <v>2538</v>
      </c>
      <c r="C2869" s="39">
        <v>4</v>
      </c>
      <c r="D2869" s="39" t="s">
        <v>2122</v>
      </c>
    </row>
    <row r="2870" spans="1:4" x14ac:dyDescent="0.25">
      <c r="A2870" s="39" t="s">
        <v>3638</v>
      </c>
      <c r="B2870" s="39" t="s">
        <v>809</v>
      </c>
      <c r="C2870" s="39">
        <v>4</v>
      </c>
      <c r="D2870" s="39" t="s">
        <v>2122</v>
      </c>
    </row>
    <row r="2871" spans="1:4" x14ac:dyDescent="0.25">
      <c r="A2871" s="39" t="s">
        <v>11341</v>
      </c>
      <c r="B2871" s="39" t="s">
        <v>11342</v>
      </c>
      <c r="C2871" s="39">
        <v>4</v>
      </c>
      <c r="D2871" s="39" t="s">
        <v>2122</v>
      </c>
    </row>
    <row r="2872" spans="1:4" x14ac:dyDescent="0.25">
      <c r="A2872" s="39" t="s">
        <v>7652</v>
      </c>
      <c r="B2872" s="39" t="s">
        <v>3033</v>
      </c>
      <c r="C2872" s="39">
        <v>4</v>
      </c>
      <c r="D2872" s="39" t="s">
        <v>2122</v>
      </c>
    </row>
    <row r="2873" spans="1:4" x14ac:dyDescent="0.25">
      <c r="A2873" s="39" t="s">
        <v>7653</v>
      </c>
      <c r="B2873" s="39" t="s">
        <v>2723</v>
      </c>
      <c r="C2873" s="39">
        <v>4</v>
      </c>
      <c r="D2873" s="39" t="s">
        <v>2122</v>
      </c>
    </row>
    <row r="2874" spans="1:4" x14ac:dyDescent="0.25">
      <c r="A2874" s="39" t="s">
        <v>7654</v>
      </c>
      <c r="B2874" s="39" t="s">
        <v>630</v>
      </c>
      <c r="C2874" s="39">
        <v>4</v>
      </c>
      <c r="D2874" s="39" t="s">
        <v>2122</v>
      </c>
    </row>
    <row r="2875" spans="1:4" x14ac:dyDescent="0.25">
      <c r="A2875" s="39" t="s">
        <v>11343</v>
      </c>
      <c r="B2875" s="39" t="s">
        <v>11344</v>
      </c>
      <c r="C2875" s="39">
        <v>4</v>
      </c>
      <c r="D2875" s="39" t="s">
        <v>2122</v>
      </c>
    </row>
    <row r="2876" spans="1:4" x14ac:dyDescent="0.25">
      <c r="A2876" s="39" t="s">
        <v>3639</v>
      </c>
      <c r="B2876" s="39" t="s">
        <v>2744</v>
      </c>
      <c r="C2876" s="39">
        <v>4</v>
      </c>
      <c r="D2876" s="39" t="s">
        <v>2122</v>
      </c>
    </row>
    <row r="2877" spans="1:4" x14ac:dyDescent="0.25">
      <c r="A2877" s="39" t="s">
        <v>7655</v>
      </c>
      <c r="B2877" s="39" t="s">
        <v>4155</v>
      </c>
      <c r="C2877" s="39">
        <v>4</v>
      </c>
      <c r="D2877" s="39" t="s">
        <v>2122</v>
      </c>
    </row>
    <row r="2878" spans="1:4" x14ac:dyDescent="0.25">
      <c r="A2878" s="39" t="s">
        <v>7656</v>
      </c>
      <c r="B2878" s="39" t="s">
        <v>7657</v>
      </c>
      <c r="C2878" s="39">
        <v>4</v>
      </c>
      <c r="D2878" s="39" t="s">
        <v>2122</v>
      </c>
    </row>
    <row r="2879" spans="1:4" x14ac:dyDescent="0.25">
      <c r="A2879" s="39" t="s">
        <v>7658</v>
      </c>
      <c r="B2879" s="39" t="s">
        <v>7659</v>
      </c>
      <c r="C2879" s="39">
        <v>4</v>
      </c>
      <c r="D2879" s="39" t="s">
        <v>2122</v>
      </c>
    </row>
    <row r="2880" spans="1:4" x14ac:dyDescent="0.25">
      <c r="A2880" s="39" t="s">
        <v>1533</v>
      </c>
      <c r="B2880" s="39" t="s">
        <v>1118</v>
      </c>
      <c r="C2880" s="39">
        <v>4</v>
      </c>
      <c r="D2880" s="39" t="s">
        <v>2122</v>
      </c>
    </row>
    <row r="2881" spans="1:4" x14ac:dyDescent="0.25">
      <c r="A2881" s="39" t="s">
        <v>11345</v>
      </c>
      <c r="B2881" s="39" t="s">
        <v>11346</v>
      </c>
      <c r="C2881" s="39">
        <v>4</v>
      </c>
      <c r="D2881" s="39" t="s">
        <v>2122</v>
      </c>
    </row>
    <row r="2882" spans="1:4" x14ac:dyDescent="0.25">
      <c r="A2882" s="39" t="s">
        <v>7660</v>
      </c>
      <c r="B2882" s="39" t="s">
        <v>4824</v>
      </c>
      <c r="C2882" s="39">
        <v>4</v>
      </c>
      <c r="D2882" s="39" t="s">
        <v>2122</v>
      </c>
    </row>
    <row r="2883" spans="1:4" x14ac:dyDescent="0.25">
      <c r="A2883" s="39" t="s">
        <v>11347</v>
      </c>
      <c r="B2883" s="39" t="s">
        <v>4582</v>
      </c>
      <c r="C2883" s="39">
        <v>4</v>
      </c>
      <c r="D2883" s="39" t="s">
        <v>2122</v>
      </c>
    </row>
    <row r="2884" spans="1:4" x14ac:dyDescent="0.25">
      <c r="A2884" s="39" t="s">
        <v>2082</v>
      </c>
      <c r="B2884" s="39" t="s">
        <v>2276</v>
      </c>
      <c r="C2884" s="39">
        <v>4</v>
      </c>
      <c r="D2884" s="39" t="s">
        <v>2122</v>
      </c>
    </row>
    <row r="2885" spans="1:4" x14ac:dyDescent="0.25">
      <c r="A2885" s="39" t="s">
        <v>2443</v>
      </c>
      <c r="B2885" s="39" t="s">
        <v>2444</v>
      </c>
      <c r="C2885" s="39">
        <v>4</v>
      </c>
      <c r="D2885" s="39" t="s">
        <v>2122</v>
      </c>
    </row>
    <row r="2886" spans="1:4" x14ac:dyDescent="0.25">
      <c r="A2886" s="39" t="s">
        <v>2445</v>
      </c>
      <c r="B2886" s="39" t="s">
        <v>2447</v>
      </c>
      <c r="C2886" s="39">
        <v>4</v>
      </c>
      <c r="D2886" s="39" t="s">
        <v>2122</v>
      </c>
    </row>
    <row r="2887" spans="1:4" x14ac:dyDescent="0.25">
      <c r="A2887" s="39" t="s">
        <v>11348</v>
      </c>
      <c r="B2887" s="39" t="s">
        <v>6024</v>
      </c>
      <c r="C2887" s="39">
        <v>4</v>
      </c>
      <c r="D2887" s="39" t="s">
        <v>2122</v>
      </c>
    </row>
    <row r="2888" spans="1:4" x14ac:dyDescent="0.25">
      <c r="A2888" s="39" t="s">
        <v>3640</v>
      </c>
      <c r="B2888" s="39" t="s">
        <v>2963</v>
      </c>
      <c r="C2888" s="39">
        <v>4</v>
      </c>
      <c r="D2888" s="39" t="s">
        <v>2122</v>
      </c>
    </row>
    <row r="2889" spans="1:4" x14ac:dyDescent="0.25">
      <c r="A2889" s="39" t="s">
        <v>7661</v>
      </c>
      <c r="B2889" s="39" t="s">
        <v>2288</v>
      </c>
      <c r="C2889" s="39">
        <v>4</v>
      </c>
      <c r="D2889" s="39" t="s">
        <v>2122</v>
      </c>
    </row>
    <row r="2890" spans="1:4" x14ac:dyDescent="0.25">
      <c r="A2890" s="39" t="s">
        <v>7662</v>
      </c>
      <c r="B2890" s="39" t="s">
        <v>7663</v>
      </c>
      <c r="C2890" s="39">
        <v>4</v>
      </c>
      <c r="D2890" s="39" t="s">
        <v>2122</v>
      </c>
    </row>
    <row r="2891" spans="1:4" x14ac:dyDescent="0.25">
      <c r="A2891" s="39" t="s">
        <v>7664</v>
      </c>
      <c r="B2891" s="39" t="s">
        <v>7665</v>
      </c>
      <c r="C2891" s="39">
        <v>4</v>
      </c>
      <c r="D2891" s="39" t="s">
        <v>2122</v>
      </c>
    </row>
    <row r="2892" spans="1:4" x14ac:dyDescent="0.25">
      <c r="A2892" s="39" t="s">
        <v>20</v>
      </c>
      <c r="B2892" s="39" t="s">
        <v>881</v>
      </c>
      <c r="C2892" s="39">
        <v>4</v>
      </c>
      <c r="D2892" s="39" t="s">
        <v>2122</v>
      </c>
    </row>
    <row r="2893" spans="1:4" x14ac:dyDescent="0.25">
      <c r="A2893" s="39" t="s">
        <v>5508</v>
      </c>
      <c r="B2893" s="39" t="s">
        <v>1471</v>
      </c>
      <c r="C2893" s="39">
        <v>4</v>
      </c>
      <c r="D2893" s="39" t="s">
        <v>2122</v>
      </c>
    </row>
    <row r="2894" spans="1:4" x14ac:dyDescent="0.25">
      <c r="A2894" s="39" t="s">
        <v>3323</v>
      </c>
      <c r="B2894" s="39" t="s">
        <v>1151</v>
      </c>
      <c r="C2894" s="39">
        <v>4</v>
      </c>
      <c r="D2894" s="39" t="s">
        <v>2122</v>
      </c>
    </row>
    <row r="2895" spans="1:4" x14ac:dyDescent="0.25">
      <c r="A2895" s="39" t="s">
        <v>11349</v>
      </c>
      <c r="B2895" s="39" t="s">
        <v>1754</v>
      </c>
      <c r="C2895" s="39">
        <v>4</v>
      </c>
      <c r="D2895" s="39" t="s">
        <v>2122</v>
      </c>
    </row>
    <row r="2896" spans="1:4" x14ac:dyDescent="0.25">
      <c r="A2896" s="39" t="s">
        <v>7666</v>
      </c>
      <c r="B2896" s="39" t="s">
        <v>1644</v>
      </c>
      <c r="C2896" s="39">
        <v>4</v>
      </c>
      <c r="D2896" s="39" t="s">
        <v>2122</v>
      </c>
    </row>
    <row r="2897" spans="1:4" x14ac:dyDescent="0.25">
      <c r="A2897" s="39" t="s">
        <v>11350</v>
      </c>
      <c r="B2897" s="39" t="s">
        <v>4857</v>
      </c>
      <c r="C2897" s="39">
        <v>4</v>
      </c>
      <c r="D2897" s="39" t="s">
        <v>2122</v>
      </c>
    </row>
    <row r="2898" spans="1:4" x14ac:dyDescent="0.25">
      <c r="A2898" s="39" t="s">
        <v>1983</v>
      </c>
      <c r="B2898" s="39" t="s">
        <v>124</v>
      </c>
      <c r="C2898" s="39">
        <v>4</v>
      </c>
      <c r="D2898" s="39" t="s">
        <v>2122</v>
      </c>
    </row>
    <row r="2899" spans="1:4" x14ac:dyDescent="0.25">
      <c r="A2899" s="39" t="s">
        <v>2278</v>
      </c>
      <c r="B2899" s="39" t="s">
        <v>2116</v>
      </c>
      <c r="C2899" s="39">
        <v>4</v>
      </c>
      <c r="D2899" s="39" t="s">
        <v>2122</v>
      </c>
    </row>
    <row r="2900" spans="1:4" x14ac:dyDescent="0.25">
      <c r="A2900" s="39" t="s">
        <v>2741</v>
      </c>
      <c r="B2900" s="39" t="s">
        <v>3324</v>
      </c>
      <c r="C2900" s="39">
        <v>4</v>
      </c>
      <c r="D2900" s="39" t="s">
        <v>2122</v>
      </c>
    </row>
    <row r="2901" spans="1:4" x14ac:dyDescent="0.25">
      <c r="A2901" s="39" t="s">
        <v>7667</v>
      </c>
      <c r="B2901" s="39" t="s">
        <v>7668</v>
      </c>
      <c r="C2901" s="39">
        <v>4</v>
      </c>
      <c r="D2901" s="39" t="s">
        <v>2122</v>
      </c>
    </row>
    <row r="2902" spans="1:4" x14ac:dyDescent="0.25">
      <c r="A2902" s="39" t="s">
        <v>3325</v>
      </c>
      <c r="B2902" s="39" t="s">
        <v>2398</v>
      </c>
      <c r="C2902" s="39">
        <v>4</v>
      </c>
      <c r="D2902" s="39" t="s">
        <v>2122</v>
      </c>
    </row>
    <row r="2903" spans="1:4" x14ac:dyDescent="0.25">
      <c r="A2903" s="39" t="s">
        <v>7669</v>
      </c>
      <c r="B2903" s="39" t="s">
        <v>7670</v>
      </c>
      <c r="C2903" s="39">
        <v>4</v>
      </c>
      <c r="D2903" s="39" t="s">
        <v>2122</v>
      </c>
    </row>
    <row r="2904" spans="1:4" x14ac:dyDescent="0.25">
      <c r="A2904" s="39" t="s">
        <v>2448</v>
      </c>
      <c r="B2904" s="39" t="s">
        <v>2451</v>
      </c>
      <c r="C2904" s="39">
        <v>4</v>
      </c>
      <c r="D2904" s="39" t="s">
        <v>2122</v>
      </c>
    </row>
    <row r="2905" spans="1:4" x14ac:dyDescent="0.25">
      <c r="A2905" s="39" t="s">
        <v>999</v>
      </c>
      <c r="B2905" s="39" t="s">
        <v>2452</v>
      </c>
      <c r="C2905" s="39">
        <v>4</v>
      </c>
      <c r="D2905" s="39" t="s">
        <v>2122</v>
      </c>
    </row>
    <row r="2906" spans="1:4" x14ac:dyDescent="0.25">
      <c r="A2906" s="39" t="s">
        <v>7671</v>
      </c>
      <c r="B2906" s="39" t="s">
        <v>3998</v>
      </c>
      <c r="C2906" s="39">
        <v>4</v>
      </c>
      <c r="D2906" s="39" t="s">
        <v>2122</v>
      </c>
    </row>
    <row r="2907" spans="1:4" x14ac:dyDescent="0.25">
      <c r="A2907" s="39" t="s">
        <v>11351</v>
      </c>
      <c r="B2907" s="39" t="s">
        <v>11352</v>
      </c>
      <c r="C2907" s="39">
        <v>4</v>
      </c>
      <c r="D2907" s="39" t="s">
        <v>2122</v>
      </c>
    </row>
    <row r="2908" spans="1:4" x14ac:dyDescent="0.25">
      <c r="A2908" s="39" t="s">
        <v>7672</v>
      </c>
      <c r="B2908" s="39" t="s">
        <v>4848</v>
      </c>
      <c r="C2908" s="39">
        <v>4</v>
      </c>
      <c r="D2908" s="39" t="s">
        <v>2122</v>
      </c>
    </row>
    <row r="2909" spans="1:4" x14ac:dyDescent="0.25">
      <c r="A2909" s="39" t="s">
        <v>1985</v>
      </c>
      <c r="B2909" s="39" t="s">
        <v>1248</v>
      </c>
      <c r="C2909" s="39">
        <v>4</v>
      </c>
      <c r="D2909" s="39" t="s">
        <v>2122</v>
      </c>
    </row>
    <row r="2910" spans="1:4" x14ac:dyDescent="0.25">
      <c r="A2910" s="39" t="s">
        <v>11353</v>
      </c>
      <c r="B2910" s="39" t="s">
        <v>3016</v>
      </c>
      <c r="C2910" s="39">
        <v>4</v>
      </c>
      <c r="D2910" s="39" t="s">
        <v>2122</v>
      </c>
    </row>
    <row r="2911" spans="1:4" x14ac:dyDescent="0.25">
      <c r="A2911" s="39" t="s">
        <v>7673</v>
      </c>
      <c r="B2911" s="39" t="s">
        <v>4179</v>
      </c>
      <c r="C2911" s="39">
        <v>4</v>
      </c>
      <c r="D2911" s="39" t="s">
        <v>2122</v>
      </c>
    </row>
    <row r="2912" spans="1:4" x14ac:dyDescent="0.25">
      <c r="A2912" s="39" t="s">
        <v>3326</v>
      </c>
      <c r="B2912" s="39" t="s">
        <v>3327</v>
      </c>
      <c r="C2912" s="39">
        <v>4</v>
      </c>
      <c r="D2912" s="39" t="s">
        <v>2122</v>
      </c>
    </row>
    <row r="2913" spans="1:4" x14ac:dyDescent="0.25">
      <c r="A2913" s="39" t="s">
        <v>3641</v>
      </c>
      <c r="B2913" s="39" t="s">
        <v>2248</v>
      </c>
      <c r="C2913" s="39">
        <v>4</v>
      </c>
      <c r="D2913" s="39" t="s">
        <v>2122</v>
      </c>
    </row>
    <row r="2914" spans="1:4" x14ac:dyDescent="0.25">
      <c r="A2914" s="39" t="s">
        <v>3642</v>
      </c>
      <c r="B2914" s="39" t="s">
        <v>2341</v>
      </c>
      <c r="C2914" s="39">
        <v>4</v>
      </c>
      <c r="D2914" s="39" t="s">
        <v>2122</v>
      </c>
    </row>
    <row r="2915" spans="1:4" x14ac:dyDescent="0.25">
      <c r="A2915" s="39" t="s">
        <v>11354</v>
      </c>
      <c r="B2915" s="39" t="s">
        <v>6123</v>
      </c>
      <c r="C2915" s="39">
        <v>4</v>
      </c>
      <c r="D2915" s="39" t="s">
        <v>2122</v>
      </c>
    </row>
    <row r="2916" spans="1:4" x14ac:dyDescent="0.25">
      <c r="A2916" s="39" t="s">
        <v>2279</v>
      </c>
      <c r="B2916" s="39" t="s">
        <v>2280</v>
      </c>
      <c r="C2916" s="39">
        <v>4</v>
      </c>
      <c r="D2916" s="39" t="s">
        <v>2122</v>
      </c>
    </row>
    <row r="2917" spans="1:4" x14ac:dyDescent="0.25">
      <c r="A2917" s="39" t="s">
        <v>2805</v>
      </c>
      <c r="B2917" s="39" t="s">
        <v>2806</v>
      </c>
      <c r="C2917" s="39">
        <v>4</v>
      </c>
      <c r="D2917" s="39" t="s">
        <v>2122</v>
      </c>
    </row>
    <row r="2918" spans="1:4" x14ac:dyDescent="0.25">
      <c r="A2918" s="39" t="s">
        <v>3328</v>
      </c>
      <c r="B2918" s="39" t="s">
        <v>762</v>
      </c>
      <c r="C2918" s="39">
        <v>4</v>
      </c>
      <c r="D2918" s="39" t="s">
        <v>2122</v>
      </c>
    </row>
    <row r="2919" spans="1:4" x14ac:dyDescent="0.25">
      <c r="A2919" s="39" t="s">
        <v>7674</v>
      </c>
      <c r="B2919" s="39" t="s">
        <v>7675</v>
      </c>
      <c r="C2919" s="39">
        <v>4</v>
      </c>
      <c r="D2919" s="39" t="s">
        <v>2122</v>
      </c>
    </row>
    <row r="2920" spans="1:4" x14ac:dyDescent="0.25">
      <c r="A2920" s="39" t="s">
        <v>3643</v>
      </c>
      <c r="B2920" s="39" t="s">
        <v>3852</v>
      </c>
      <c r="C2920" s="39">
        <v>4</v>
      </c>
      <c r="D2920" s="39" t="s">
        <v>2122</v>
      </c>
    </row>
    <row r="2921" spans="1:4" x14ac:dyDescent="0.25">
      <c r="A2921" s="39" t="s">
        <v>11355</v>
      </c>
      <c r="B2921" s="39" t="s">
        <v>11356</v>
      </c>
      <c r="C2921" s="39">
        <v>4</v>
      </c>
      <c r="D2921" s="39" t="s">
        <v>2122</v>
      </c>
    </row>
    <row r="2922" spans="1:4" x14ac:dyDescent="0.25">
      <c r="A2922" s="39" t="s">
        <v>1444</v>
      </c>
      <c r="B2922" s="39" t="s">
        <v>2992</v>
      </c>
      <c r="C2922" s="39">
        <v>4</v>
      </c>
      <c r="D2922" s="39" t="s">
        <v>2122</v>
      </c>
    </row>
    <row r="2923" spans="1:4" x14ac:dyDescent="0.25">
      <c r="A2923" s="39" t="s">
        <v>5509</v>
      </c>
      <c r="B2923" s="39" t="s">
        <v>5510</v>
      </c>
      <c r="C2923" s="39">
        <v>4</v>
      </c>
      <c r="D2923" s="39" t="s">
        <v>2122</v>
      </c>
    </row>
    <row r="2924" spans="1:4" x14ac:dyDescent="0.25">
      <c r="A2924" s="39" t="s">
        <v>2454</v>
      </c>
      <c r="B2924" s="39" t="s">
        <v>2456</v>
      </c>
      <c r="C2924" s="39">
        <v>4</v>
      </c>
      <c r="D2924" s="39" t="s">
        <v>2122</v>
      </c>
    </row>
    <row r="2925" spans="1:4" x14ac:dyDescent="0.25">
      <c r="A2925" s="39" t="s">
        <v>7676</v>
      </c>
      <c r="B2925" s="39" t="s">
        <v>7677</v>
      </c>
      <c r="C2925" s="39">
        <v>4</v>
      </c>
      <c r="D2925" s="39" t="s">
        <v>2122</v>
      </c>
    </row>
    <row r="2926" spans="1:4" x14ac:dyDescent="0.25">
      <c r="A2926" s="39" t="s">
        <v>11357</v>
      </c>
      <c r="B2926" s="39" t="s">
        <v>6061</v>
      </c>
      <c r="C2926" s="39">
        <v>4</v>
      </c>
      <c r="D2926" s="39" t="s">
        <v>2122</v>
      </c>
    </row>
    <row r="2927" spans="1:4" x14ac:dyDescent="0.25">
      <c r="A2927" s="39" t="s">
        <v>3329</v>
      </c>
      <c r="B2927" s="39" t="s">
        <v>2643</v>
      </c>
      <c r="C2927" s="39">
        <v>4</v>
      </c>
      <c r="D2927" s="39" t="s">
        <v>2122</v>
      </c>
    </row>
    <row r="2928" spans="1:4" x14ac:dyDescent="0.25">
      <c r="A2928" s="39" t="s">
        <v>1743</v>
      </c>
      <c r="B2928" s="39" t="s">
        <v>2807</v>
      </c>
      <c r="C2928" s="39">
        <v>4</v>
      </c>
      <c r="D2928" s="39" t="s">
        <v>2122</v>
      </c>
    </row>
    <row r="2929" spans="1:4" x14ac:dyDescent="0.25">
      <c r="A2929" s="39" t="s">
        <v>5511</v>
      </c>
      <c r="B2929" s="39" t="s">
        <v>5512</v>
      </c>
      <c r="C2929" s="39">
        <v>4</v>
      </c>
      <c r="D2929" s="39" t="s">
        <v>2122</v>
      </c>
    </row>
    <row r="2930" spans="1:4" x14ac:dyDescent="0.25">
      <c r="A2930" s="39" t="s">
        <v>5513</v>
      </c>
      <c r="B2930" s="39" t="s">
        <v>472</v>
      </c>
      <c r="C2930" s="39">
        <v>4</v>
      </c>
      <c r="D2930" s="39" t="s">
        <v>2122</v>
      </c>
    </row>
    <row r="2931" spans="1:4" x14ac:dyDescent="0.25">
      <c r="A2931" s="39" t="s">
        <v>11358</v>
      </c>
      <c r="B2931" s="39" t="s">
        <v>11359</v>
      </c>
      <c r="C2931" s="39">
        <v>4</v>
      </c>
      <c r="D2931" s="39" t="s">
        <v>2122</v>
      </c>
    </row>
    <row r="2932" spans="1:4" x14ac:dyDescent="0.25">
      <c r="A2932" s="39" t="s">
        <v>5514</v>
      </c>
      <c r="B2932" s="39" t="s">
        <v>5515</v>
      </c>
      <c r="C2932" s="39">
        <v>4</v>
      </c>
      <c r="D2932" s="39" t="s">
        <v>2122</v>
      </c>
    </row>
    <row r="2933" spans="1:4" x14ac:dyDescent="0.25">
      <c r="A2933" s="39" t="s">
        <v>11360</v>
      </c>
      <c r="B2933" s="39" t="s">
        <v>6108</v>
      </c>
      <c r="C2933" s="39">
        <v>4</v>
      </c>
      <c r="D2933" s="39" t="s">
        <v>2122</v>
      </c>
    </row>
    <row r="2934" spans="1:4" x14ac:dyDescent="0.25">
      <c r="A2934" s="39" t="s">
        <v>5516</v>
      </c>
      <c r="B2934" s="39" t="s">
        <v>5517</v>
      </c>
      <c r="C2934" s="39">
        <v>4</v>
      </c>
      <c r="D2934" s="39" t="s">
        <v>2122</v>
      </c>
    </row>
    <row r="2935" spans="1:4" x14ac:dyDescent="0.25">
      <c r="A2935" s="39" t="s">
        <v>3644</v>
      </c>
      <c r="B2935" s="39" t="s">
        <v>3853</v>
      </c>
      <c r="C2935" s="39">
        <v>4</v>
      </c>
      <c r="D2935" s="39" t="s">
        <v>2122</v>
      </c>
    </row>
    <row r="2936" spans="1:4" x14ac:dyDescent="0.25">
      <c r="A2936" s="39" t="s">
        <v>5518</v>
      </c>
      <c r="B2936" s="39" t="s">
        <v>2988</v>
      </c>
      <c r="C2936" s="39">
        <v>4</v>
      </c>
      <c r="D2936" s="39" t="s">
        <v>2122</v>
      </c>
    </row>
    <row r="2937" spans="1:4" x14ac:dyDescent="0.25">
      <c r="A2937" s="39" t="s">
        <v>7678</v>
      </c>
      <c r="B2937" s="39" t="s">
        <v>2593</v>
      </c>
      <c r="C2937" s="39">
        <v>4</v>
      </c>
      <c r="D2937" s="39" t="s">
        <v>2122</v>
      </c>
    </row>
    <row r="2938" spans="1:4" x14ac:dyDescent="0.25">
      <c r="A2938" s="39" t="s">
        <v>7679</v>
      </c>
      <c r="B2938" s="39" t="s">
        <v>2920</v>
      </c>
      <c r="C2938" s="39">
        <v>4</v>
      </c>
      <c r="D2938" s="39" t="s">
        <v>2122</v>
      </c>
    </row>
    <row r="2939" spans="1:4" x14ac:dyDescent="0.25">
      <c r="A2939" s="39" t="s">
        <v>7680</v>
      </c>
      <c r="B2939" s="39" t="s">
        <v>7681</v>
      </c>
      <c r="C2939" s="39">
        <v>4</v>
      </c>
      <c r="D2939" s="39" t="s">
        <v>2122</v>
      </c>
    </row>
    <row r="2940" spans="1:4" x14ac:dyDescent="0.25">
      <c r="A2940" s="39" t="s">
        <v>11361</v>
      </c>
      <c r="B2940" s="39" t="s">
        <v>11362</v>
      </c>
      <c r="C2940" s="39">
        <v>4</v>
      </c>
      <c r="D2940" s="39" t="s">
        <v>2122</v>
      </c>
    </row>
    <row r="2941" spans="1:4" x14ac:dyDescent="0.25">
      <c r="A2941" s="39" t="s">
        <v>11363</v>
      </c>
      <c r="B2941" s="39" t="s">
        <v>11364</v>
      </c>
      <c r="C2941" s="39">
        <v>4</v>
      </c>
      <c r="D2941" s="39" t="s">
        <v>2122</v>
      </c>
    </row>
    <row r="2942" spans="1:4" x14ac:dyDescent="0.25">
      <c r="A2942" s="39" t="s">
        <v>11365</v>
      </c>
      <c r="B2942" s="39" t="s">
        <v>11366</v>
      </c>
      <c r="C2942" s="39">
        <v>4</v>
      </c>
      <c r="D2942" s="39" t="s">
        <v>2122</v>
      </c>
    </row>
    <row r="2943" spans="1:4" x14ac:dyDescent="0.25">
      <c r="A2943" s="39" t="s">
        <v>11367</v>
      </c>
      <c r="B2943" s="39" t="s">
        <v>6110</v>
      </c>
      <c r="C2943" s="39">
        <v>4</v>
      </c>
      <c r="D2943" s="39" t="s">
        <v>2122</v>
      </c>
    </row>
    <row r="2944" spans="1:4" x14ac:dyDescent="0.25">
      <c r="A2944" s="39" t="s">
        <v>11368</v>
      </c>
      <c r="B2944" s="39" t="s">
        <v>4481</v>
      </c>
      <c r="C2944" s="39">
        <v>4</v>
      </c>
      <c r="D2944" s="39" t="s">
        <v>2122</v>
      </c>
    </row>
    <row r="2945" spans="1:4" x14ac:dyDescent="0.25">
      <c r="A2945" s="39" t="s">
        <v>5519</v>
      </c>
      <c r="B2945" s="39" t="s">
        <v>2970</v>
      </c>
      <c r="C2945" s="39">
        <v>4</v>
      </c>
      <c r="D2945" s="39" t="s">
        <v>2122</v>
      </c>
    </row>
    <row r="2946" spans="1:4" x14ac:dyDescent="0.25">
      <c r="A2946" s="39" t="s">
        <v>5520</v>
      </c>
      <c r="B2946" s="39" t="s">
        <v>5521</v>
      </c>
      <c r="C2946" s="39">
        <v>4</v>
      </c>
      <c r="D2946" s="39" t="s">
        <v>2122</v>
      </c>
    </row>
    <row r="2947" spans="1:4" x14ac:dyDescent="0.25">
      <c r="A2947" s="39" t="s">
        <v>11369</v>
      </c>
      <c r="B2947" s="39" t="s">
        <v>5903</v>
      </c>
      <c r="C2947" s="39">
        <v>4</v>
      </c>
      <c r="D2947" s="39" t="s">
        <v>2122</v>
      </c>
    </row>
    <row r="2948" spans="1:4" x14ac:dyDescent="0.25">
      <c r="A2948" s="39" t="s">
        <v>3331</v>
      </c>
      <c r="B2948" s="39" t="s">
        <v>3332</v>
      </c>
      <c r="C2948" s="39">
        <v>4</v>
      </c>
      <c r="D2948" s="39" t="s">
        <v>2122</v>
      </c>
    </row>
    <row r="2949" spans="1:4" x14ac:dyDescent="0.25">
      <c r="A2949" s="39" t="s">
        <v>7682</v>
      </c>
      <c r="B2949" s="39" t="s">
        <v>4119</v>
      </c>
      <c r="C2949" s="39">
        <v>4</v>
      </c>
      <c r="D2949" s="39" t="s">
        <v>2122</v>
      </c>
    </row>
    <row r="2950" spans="1:4" x14ac:dyDescent="0.25">
      <c r="A2950" s="39" t="s">
        <v>2457</v>
      </c>
      <c r="B2950" s="39" t="s">
        <v>1171</v>
      </c>
      <c r="C2950" s="39">
        <v>4</v>
      </c>
      <c r="D2950" s="39" t="s">
        <v>2122</v>
      </c>
    </row>
    <row r="2951" spans="1:4" x14ac:dyDescent="0.25">
      <c r="A2951" s="39" t="s">
        <v>3645</v>
      </c>
      <c r="B2951" s="39" t="s">
        <v>2952</v>
      </c>
      <c r="C2951" s="39">
        <v>4</v>
      </c>
      <c r="D2951" s="39" t="s">
        <v>2122</v>
      </c>
    </row>
    <row r="2952" spans="1:4" x14ac:dyDescent="0.25">
      <c r="A2952" s="39" t="s">
        <v>11370</v>
      </c>
      <c r="B2952" s="39" t="s">
        <v>11371</v>
      </c>
      <c r="C2952" s="39">
        <v>4</v>
      </c>
      <c r="D2952" s="39" t="s">
        <v>2122</v>
      </c>
    </row>
    <row r="2953" spans="1:4" x14ac:dyDescent="0.25">
      <c r="A2953" s="39" t="s">
        <v>7683</v>
      </c>
      <c r="B2953" s="39" t="s">
        <v>7684</v>
      </c>
      <c r="C2953" s="39">
        <v>4</v>
      </c>
      <c r="D2953" s="39" t="s">
        <v>2122</v>
      </c>
    </row>
    <row r="2954" spans="1:4" x14ac:dyDescent="0.25">
      <c r="A2954" s="39" t="s">
        <v>1383</v>
      </c>
      <c r="B2954" s="39" t="s">
        <v>1453</v>
      </c>
      <c r="C2954" s="39">
        <v>4</v>
      </c>
      <c r="D2954" s="39" t="s">
        <v>2122</v>
      </c>
    </row>
    <row r="2955" spans="1:4" x14ac:dyDescent="0.25">
      <c r="A2955" s="39" t="s">
        <v>7685</v>
      </c>
      <c r="B2955" s="39" t="s">
        <v>7686</v>
      </c>
      <c r="C2955" s="39">
        <v>4</v>
      </c>
      <c r="D2955" s="39" t="s">
        <v>2122</v>
      </c>
    </row>
    <row r="2956" spans="1:4" x14ac:dyDescent="0.25">
      <c r="A2956" s="39" t="s">
        <v>2808</v>
      </c>
      <c r="B2956" s="39" t="s">
        <v>2031</v>
      </c>
      <c r="C2956" s="39">
        <v>4</v>
      </c>
      <c r="D2956" s="39" t="s">
        <v>2122</v>
      </c>
    </row>
    <row r="2957" spans="1:4" x14ac:dyDescent="0.25">
      <c r="A2957" s="39" t="s">
        <v>11372</v>
      </c>
      <c r="B2957" s="39" t="s">
        <v>11373</v>
      </c>
      <c r="C2957" s="39">
        <v>4</v>
      </c>
      <c r="D2957" s="39" t="s">
        <v>2122</v>
      </c>
    </row>
    <row r="2958" spans="1:4" x14ac:dyDescent="0.25">
      <c r="A2958" s="39" t="s">
        <v>11374</v>
      </c>
      <c r="B2958" s="39" t="s">
        <v>11375</v>
      </c>
      <c r="C2958" s="39">
        <v>4</v>
      </c>
      <c r="D2958" s="39" t="s">
        <v>2122</v>
      </c>
    </row>
    <row r="2959" spans="1:4" x14ac:dyDescent="0.25">
      <c r="A2959" s="39" t="s">
        <v>179</v>
      </c>
      <c r="B2959" s="39" t="s">
        <v>674</v>
      </c>
      <c r="C2959" s="39">
        <v>4</v>
      </c>
      <c r="D2959" s="39" t="s">
        <v>2122</v>
      </c>
    </row>
    <row r="2960" spans="1:4" x14ac:dyDescent="0.25">
      <c r="A2960" s="39" t="s">
        <v>3646</v>
      </c>
      <c r="B2960" s="39" t="s">
        <v>3854</v>
      </c>
      <c r="C2960" s="39">
        <v>4</v>
      </c>
      <c r="D2960" s="39" t="s">
        <v>2122</v>
      </c>
    </row>
    <row r="2961" spans="1:4" x14ac:dyDescent="0.25">
      <c r="A2961" s="39" t="s">
        <v>7687</v>
      </c>
      <c r="B2961" s="39" t="s">
        <v>4746</v>
      </c>
      <c r="C2961" s="39">
        <v>4</v>
      </c>
      <c r="D2961" s="39" t="s">
        <v>2122</v>
      </c>
    </row>
    <row r="2962" spans="1:4" x14ac:dyDescent="0.25">
      <c r="A2962" s="39" t="s">
        <v>7688</v>
      </c>
      <c r="B2962" s="39" t="s">
        <v>7689</v>
      </c>
      <c r="C2962" s="39">
        <v>4</v>
      </c>
      <c r="D2962" s="39" t="s">
        <v>2122</v>
      </c>
    </row>
    <row r="2963" spans="1:4" x14ac:dyDescent="0.25">
      <c r="A2963" s="39" t="s">
        <v>7690</v>
      </c>
      <c r="B2963" s="39" t="s">
        <v>7691</v>
      </c>
      <c r="C2963" s="39">
        <v>4</v>
      </c>
      <c r="D2963" s="39" t="s">
        <v>2122</v>
      </c>
    </row>
    <row r="2964" spans="1:4" x14ac:dyDescent="0.25">
      <c r="A2964" s="39" t="s">
        <v>5526</v>
      </c>
      <c r="B2964" s="39" t="s">
        <v>3066</v>
      </c>
      <c r="C2964" s="39">
        <v>4</v>
      </c>
      <c r="D2964" s="39" t="s">
        <v>2122</v>
      </c>
    </row>
    <row r="2965" spans="1:4" x14ac:dyDescent="0.25">
      <c r="A2965" s="39" t="s">
        <v>11376</v>
      </c>
      <c r="B2965" s="39" t="s">
        <v>11377</v>
      </c>
      <c r="C2965" s="39">
        <v>4</v>
      </c>
      <c r="D2965" s="39" t="s">
        <v>2122</v>
      </c>
    </row>
    <row r="2966" spans="1:4" x14ac:dyDescent="0.25">
      <c r="A2966" s="39" t="s">
        <v>3647</v>
      </c>
      <c r="B2966" s="39" t="s">
        <v>3855</v>
      </c>
      <c r="C2966" s="39">
        <v>4</v>
      </c>
      <c r="D2966" s="39" t="s">
        <v>2122</v>
      </c>
    </row>
    <row r="2967" spans="1:4" x14ac:dyDescent="0.25">
      <c r="A2967" s="39" t="s">
        <v>1611</v>
      </c>
      <c r="B2967" s="39" t="s">
        <v>3144</v>
      </c>
      <c r="C2967" s="39">
        <v>4</v>
      </c>
      <c r="D2967" s="39" t="s">
        <v>2122</v>
      </c>
    </row>
    <row r="2968" spans="1:4" x14ac:dyDescent="0.25">
      <c r="A2968" s="39" t="s">
        <v>3333</v>
      </c>
      <c r="B2968" s="39" t="s">
        <v>2735</v>
      </c>
      <c r="C2968" s="39">
        <v>4</v>
      </c>
      <c r="D2968" s="39" t="s">
        <v>2122</v>
      </c>
    </row>
    <row r="2969" spans="1:4" x14ac:dyDescent="0.25">
      <c r="A2969" s="39" t="s">
        <v>3334</v>
      </c>
      <c r="B2969" s="39" t="s">
        <v>3335</v>
      </c>
      <c r="C2969" s="39">
        <v>4</v>
      </c>
      <c r="D2969" s="39" t="s">
        <v>2122</v>
      </c>
    </row>
    <row r="2970" spans="1:4" x14ac:dyDescent="0.25">
      <c r="A2970" s="39" t="s">
        <v>3648</v>
      </c>
      <c r="B2970" s="39" t="s">
        <v>3856</v>
      </c>
      <c r="C2970" s="39">
        <v>4</v>
      </c>
      <c r="D2970" s="39" t="s">
        <v>2122</v>
      </c>
    </row>
    <row r="2971" spans="1:4" x14ac:dyDescent="0.25">
      <c r="A2971" s="39" t="s">
        <v>3336</v>
      </c>
      <c r="B2971" s="39" t="s">
        <v>1496</v>
      </c>
      <c r="C2971" s="39">
        <v>4</v>
      </c>
      <c r="D2971" s="39" t="s">
        <v>2122</v>
      </c>
    </row>
    <row r="2972" spans="1:4" x14ac:dyDescent="0.25">
      <c r="A2972" s="39" t="s">
        <v>7692</v>
      </c>
      <c r="B2972" s="39" t="s">
        <v>3976</v>
      </c>
      <c r="C2972" s="39">
        <v>4</v>
      </c>
      <c r="D2972" s="39" t="s">
        <v>2122</v>
      </c>
    </row>
    <row r="2973" spans="1:4" x14ac:dyDescent="0.25">
      <c r="A2973" s="39" t="s">
        <v>5527</v>
      </c>
      <c r="B2973" s="39" t="s">
        <v>4184</v>
      </c>
      <c r="C2973" s="39">
        <v>4</v>
      </c>
      <c r="D2973" s="39" t="s">
        <v>2122</v>
      </c>
    </row>
    <row r="2974" spans="1:4" x14ac:dyDescent="0.25">
      <c r="A2974" s="39" t="s">
        <v>11378</v>
      </c>
      <c r="B2974" s="39" t="s">
        <v>11379</v>
      </c>
      <c r="C2974" s="39">
        <v>4</v>
      </c>
      <c r="D2974" s="39" t="s">
        <v>2122</v>
      </c>
    </row>
    <row r="2975" spans="1:4" x14ac:dyDescent="0.25">
      <c r="A2975" s="39" t="s">
        <v>7693</v>
      </c>
      <c r="B2975" s="39" t="s">
        <v>1186</v>
      </c>
      <c r="C2975" s="39">
        <v>4</v>
      </c>
      <c r="D2975" s="39" t="s">
        <v>2122</v>
      </c>
    </row>
    <row r="2976" spans="1:4" x14ac:dyDescent="0.25">
      <c r="A2976" s="39" t="s">
        <v>3337</v>
      </c>
      <c r="B2976" s="39" t="s">
        <v>3338</v>
      </c>
      <c r="C2976" s="39">
        <v>4</v>
      </c>
      <c r="D2976" s="39" t="s">
        <v>2122</v>
      </c>
    </row>
    <row r="2977" spans="1:4" x14ac:dyDescent="0.25">
      <c r="A2977" s="39" t="s">
        <v>5528</v>
      </c>
      <c r="B2977" s="39" t="s">
        <v>3084</v>
      </c>
      <c r="C2977" s="39">
        <v>4</v>
      </c>
      <c r="D2977" s="39" t="s">
        <v>2122</v>
      </c>
    </row>
    <row r="2978" spans="1:4" x14ac:dyDescent="0.25">
      <c r="A2978" s="39" t="s">
        <v>5529</v>
      </c>
      <c r="B2978" s="39" t="s">
        <v>5530</v>
      </c>
      <c r="C2978" s="39">
        <v>4</v>
      </c>
      <c r="D2978" s="39" t="s">
        <v>2122</v>
      </c>
    </row>
    <row r="2979" spans="1:4" x14ac:dyDescent="0.25">
      <c r="A2979" s="39" t="s">
        <v>2289</v>
      </c>
      <c r="B2979" s="39" t="s">
        <v>1498</v>
      </c>
      <c r="C2979" s="39">
        <v>4</v>
      </c>
      <c r="D2979" s="39" t="s">
        <v>2122</v>
      </c>
    </row>
    <row r="2980" spans="1:4" x14ac:dyDescent="0.25">
      <c r="A2980" s="39" t="s">
        <v>7694</v>
      </c>
      <c r="B2980" s="39" t="s">
        <v>7695</v>
      </c>
      <c r="C2980" s="39">
        <v>4</v>
      </c>
      <c r="D2980" s="39" t="s">
        <v>2122</v>
      </c>
    </row>
    <row r="2981" spans="1:4" x14ac:dyDescent="0.25">
      <c r="A2981" s="39" t="s">
        <v>7696</v>
      </c>
      <c r="B2981" s="39" t="s">
        <v>7697</v>
      </c>
      <c r="C2981" s="39">
        <v>4</v>
      </c>
      <c r="D2981" s="39" t="s">
        <v>2122</v>
      </c>
    </row>
    <row r="2982" spans="1:4" x14ac:dyDescent="0.25">
      <c r="A2982" s="39" t="s">
        <v>1907</v>
      </c>
      <c r="B2982" s="39" t="s">
        <v>2142</v>
      </c>
      <c r="C2982" s="39">
        <v>4</v>
      </c>
      <c r="D2982" s="39" t="s">
        <v>2122</v>
      </c>
    </row>
    <row r="2983" spans="1:4" x14ac:dyDescent="0.25">
      <c r="A2983" s="39" t="s">
        <v>117</v>
      </c>
      <c r="B2983" s="39" t="s">
        <v>3339</v>
      </c>
      <c r="C2983" s="39">
        <v>4</v>
      </c>
      <c r="D2983" s="39" t="s">
        <v>2122</v>
      </c>
    </row>
    <row r="2984" spans="1:4" x14ac:dyDescent="0.25">
      <c r="A2984" s="39" t="s">
        <v>11380</v>
      </c>
      <c r="B2984" s="39" t="s">
        <v>11381</v>
      </c>
      <c r="C2984" s="39">
        <v>4</v>
      </c>
      <c r="D2984" s="39" t="s">
        <v>2122</v>
      </c>
    </row>
    <row r="2985" spans="1:4" x14ac:dyDescent="0.25">
      <c r="A2985" s="39" t="s">
        <v>2233</v>
      </c>
      <c r="B2985" s="39" t="s">
        <v>2282</v>
      </c>
      <c r="C2985" s="39">
        <v>4</v>
      </c>
      <c r="D2985" s="39" t="s">
        <v>2122</v>
      </c>
    </row>
    <row r="2986" spans="1:4" x14ac:dyDescent="0.25">
      <c r="A2986" s="39" t="s">
        <v>5531</v>
      </c>
      <c r="B2986" s="39" t="s">
        <v>2948</v>
      </c>
      <c r="C2986" s="39">
        <v>4</v>
      </c>
      <c r="D2986" s="39" t="s">
        <v>2122</v>
      </c>
    </row>
    <row r="2987" spans="1:4" x14ac:dyDescent="0.25">
      <c r="A2987" s="39" t="s">
        <v>5532</v>
      </c>
      <c r="B2987" s="39" t="s">
        <v>5533</v>
      </c>
      <c r="C2987" s="39">
        <v>4</v>
      </c>
      <c r="D2987" s="39" t="s">
        <v>2122</v>
      </c>
    </row>
    <row r="2988" spans="1:4" x14ac:dyDescent="0.25">
      <c r="A2988" s="39" t="s">
        <v>11382</v>
      </c>
      <c r="B2988" s="39" t="s">
        <v>11383</v>
      </c>
      <c r="C2988" s="39">
        <v>4</v>
      </c>
      <c r="D2988" s="39" t="s">
        <v>2122</v>
      </c>
    </row>
    <row r="2989" spans="1:4" x14ac:dyDescent="0.25">
      <c r="A2989" s="39" t="s">
        <v>3340</v>
      </c>
      <c r="B2989" s="39" t="s">
        <v>2489</v>
      </c>
      <c r="C2989" s="39">
        <v>4</v>
      </c>
      <c r="D2989" s="39" t="s">
        <v>2122</v>
      </c>
    </row>
    <row r="2990" spans="1:4" x14ac:dyDescent="0.25">
      <c r="A2990" s="39" t="s">
        <v>7698</v>
      </c>
      <c r="B2990" s="39" t="s">
        <v>7699</v>
      </c>
      <c r="C2990" s="39">
        <v>4</v>
      </c>
      <c r="D2990" s="39" t="s">
        <v>2122</v>
      </c>
    </row>
    <row r="2991" spans="1:4" x14ac:dyDescent="0.25">
      <c r="A2991" s="39" t="s">
        <v>11384</v>
      </c>
      <c r="B2991" s="39" t="s">
        <v>3956</v>
      </c>
      <c r="C2991" s="39">
        <v>4</v>
      </c>
      <c r="D2991" s="39" t="s">
        <v>2122</v>
      </c>
    </row>
    <row r="2992" spans="1:4" x14ac:dyDescent="0.25">
      <c r="A2992" s="39" t="s">
        <v>588</v>
      </c>
      <c r="B2992" s="39" t="s">
        <v>236</v>
      </c>
      <c r="C2992" s="39">
        <v>4</v>
      </c>
      <c r="D2992" s="39" t="s">
        <v>2122</v>
      </c>
    </row>
    <row r="2993" spans="1:4" x14ac:dyDescent="0.25">
      <c r="A2993" s="39" t="s">
        <v>11385</v>
      </c>
      <c r="B2993" s="39" t="s">
        <v>4596</v>
      </c>
      <c r="C2993" s="39">
        <v>4</v>
      </c>
      <c r="D2993" s="39" t="s">
        <v>2122</v>
      </c>
    </row>
    <row r="2994" spans="1:4" x14ac:dyDescent="0.25">
      <c r="A2994" s="39" t="s">
        <v>3259</v>
      </c>
      <c r="B2994" s="39" t="s">
        <v>3341</v>
      </c>
      <c r="C2994" s="39">
        <v>4</v>
      </c>
      <c r="D2994" s="39" t="s">
        <v>2122</v>
      </c>
    </row>
    <row r="2995" spans="1:4" x14ac:dyDescent="0.25">
      <c r="A2995" s="39" t="s">
        <v>5536</v>
      </c>
      <c r="B2995" s="39" t="s">
        <v>5537</v>
      </c>
      <c r="C2995" s="39">
        <v>4</v>
      </c>
      <c r="D2995" s="39" t="s">
        <v>2122</v>
      </c>
    </row>
    <row r="2996" spans="1:4" x14ac:dyDescent="0.25">
      <c r="A2996" s="39" t="s">
        <v>3147</v>
      </c>
      <c r="B2996" s="39" t="s">
        <v>2550</v>
      </c>
      <c r="C2996" s="39">
        <v>4</v>
      </c>
      <c r="D2996" s="39" t="s">
        <v>2122</v>
      </c>
    </row>
    <row r="2997" spans="1:4" x14ac:dyDescent="0.25">
      <c r="A2997" s="39" t="s">
        <v>5538</v>
      </c>
      <c r="B2997" s="39" t="s">
        <v>3935</v>
      </c>
      <c r="C2997" s="39">
        <v>4</v>
      </c>
      <c r="D2997" s="39" t="s">
        <v>2122</v>
      </c>
    </row>
    <row r="2998" spans="1:4" x14ac:dyDescent="0.25">
      <c r="A2998" s="39" t="s">
        <v>7700</v>
      </c>
      <c r="B2998" s="39" t="s">
        <v>7701</v>
      </c>
      <c r="C2998" s="39">
        <v>4</v>
      </c>
      <c r="D2998" s="39" t="s">
        <v>2122</v>
      </c>
    </row>
    <row r="2999" spans="1:4" x14ac:dyDescent="0.25">
      <c r="A2999" s="39" t="s">
        <v>7702</v>
      </c>
      <c r="B2999" s="39" t="s">
        <v>7703</v>
      </c>
      <c r="C2999" s="39">
        <v>4</v>
      </c>
      <c r="D2999" s="39" t="s">
        <v>2122</v>
      </c>
    </row>
    <row r="3000" spans="1:4" x14ac:dyDescent="0.25">
      <c r="A3000" s="39" t="s">
        <v>3342</v>
      </c>
      <c r="B3000" s="39" t="s">
        <v>3343</v>
      </c>
      <c r="C3000" s="39">
        <v>4</v>
      </c>
      <c r="D3000" s="39" t="s">
        <v>2122</v>
      </c>
    </row>
    <row r="3001" spans="1:4" x14ac:dyDescent="0.25">
      <c r="A3001" s="39" t="s">
        <v>7704</v>
      </c>
      <c r="B3001" s="39" t="s">
        <v>7705</v>
      </c>
      <c r="C3001" s="39">
        <v>4</v>
      </c>
      <c r="D3001" s="39" t="s">
        <v>2122</v>
      </c>
    </row>
    <row r="3002" spans="1:4" x14ac:dyDescent="0.25">
      <c r="A3002" s="39" t="s">
        <v>11386</v>
      </c>
      <c r="B3002" s="39" t="s">
        <v>4716</v>
      </c>
      <c r="C3002" s="39">
        <v>4</v>
      </c>
      <c r="D3002" s="39" t="s">
        <v>2122</v>
      </c>
    </row>
    <row r="3003" spans="1:4" x14ac:dyDescent="0.25">
      <c r="A3003" s="39" t="s">
        <v>11387</v>
      </c>
      <c r="B3003" s="39" t="s">
        <v>11388</v>
      </c>
      <c r="C3003" s="39">
        <v>4</v>
      </c>
      <c r="D3003" s="39" t="s">
        <v>2122</v>
      </c>
    </row>
    <row r="3004" spans="1:4" x14ac:dyDescent="0.25">
      <c r="A3004" s="39" t="s">
        <v>11389</v>
      </c>
      <c r="B3004" s="39" t="s">
        <v>11390</v>
      </c>
      <c r="C3004" s="39">
        <v>4</v>
      </c>
      <c r="D3004" s="39" t="s">
        <v>2122</v>
      </c>
    </row>
    <row r="3005" spans="1:4" x14ac:dyDescent="0.25">
      <c r="A3005" s="39" t="s">
        <v>1933</v>
      </c>
      <c r="B3005" s="39" t="s">
        <v>1991</v>
      </c>
      <c r="C3005" s="39">
        <v>4</v>
      </c>
      <c r="D3005" s="39" t="s">
        <v>2122</v>
      </c>
    </row>
    <row r="3006" spans="1:4" x14ac:dyDescent="0.25">
      <c r="A3006" s="39" t="s">
        <v>11391</v>
      </c>
      <c r="B3006" s="39" t="s">
        <v>11392</v>
      </c>
      <c r="C3006" s="39">
        <v>4</v>
      </c>
      <c r="D3006" s="39" t="s">
        <v>2122</v>
      </c>
    </row>
    <row r="3007" spans="1:4" x14ac:dyDescent="0.25">
      <c r="A3007" s="39" t="s">
        <v>5539</v>
      </c>
      <c r="B3007" s="39" t="s">
        <v>5540</v>
      </c>
      <c r="C3007" s="39">
        <v>4</v>
      </c>
      <c r="D3007" s="39" t="s">
        <v>2122</v>
      </c>
    </row>
    <row r="3008" spans="1:4" x14ac:dyDescent="0.25">
      <c r="A3008" s="39" t="s">
        <v>11393</v>
      </c>
      <c r="B3008" s="39" t="s">
        <v>11394</v>
      </c>
      <c r="C3008" s="39">
        <v>4</v>
      </c>
      <c r="D3008" s="39" t="s">
        <v>2122</v>
      </c>
    </row>
    <row r="3009" spans="1:4" x14ac:dyDescent="0.25">
      <c r="A3009" s="39" t="s">
        <v>11395</v>
      </c>
      <c r="B3009" s="39" t="s">
        <v>11396</v>
      </c>
      <c r="C3009" s="39">
        <v>4</v>
      </c>
      <c r="D3009" s="39" t="s">
        <v>2122</v>
      </c>
    </row>
    <row r="3010" spans="1:4" x14ac:dyDescent="0.25">
      <c r="A3010" s="39" t="s">
        <v>3344</v>
      </c>
      <c r="B3010" s="39" t="s">
        <v>3345</v>
      </c>
      <c r="C3010" s="39">
        <v>4</v>
      </c>
      <c r="D3010" s="39" t="s">
        <v>2122</v>
      </c>
    </row>
    <row r="3011" spans="1:4" x14ac:dyDescent="0.25">
      <c r="A3011" s="39" t="s">
        <v>11397</v>
      </c>
      <c r="B3011" s="39" t="s">
        <v>4415</v>
      </c>
      <c r="C3011" s="39">
        <v>4</v>
      </c>
      <c r="D3011" s="39" t="s">
        <v>2122</v>
      </c>
    </row>
    <row r="3012" spans="1:4" x14ac:dyDescent="0.25">
      <c r="A3012" s="39" t="s">
        <v>11398</v>
      </c>
      <c r="B3012" s="39" t="s">
        <v>5945</v>
      </c>
      <c r="C3012" s="39">
        <v>4</v>
      </c>
      <c r="D3012" s="39" t="s">
        <v>2122</v>
      </c>
    </row>
    <row r="3013" spans="1:4" x14ac:dyDescent="0.25">
      <c r="A3013" s="39" t="s">
        <v>5541</v>
      </c>
      <c r="B3013" s="39" t="s">
        <v>1275</v>
      </c>
      <c r="C3013" s="39">
        <v>4</v>
      </c>
      <c r="D3013" s="39" t="s">
        <v>2122</v>
      </c>
    </row>
    <row r="3014" spans="1:4" x14ac:dyDescent="0.25">
      <c r="A3014" s="39" t="s">
        <v>7706</v>
      </c>
      <c r="B3014" s="39" t="s">
        <v>7707</v>
      </c>
      <c r="C3014" s="39">
        <v>4</v>
      </c>
      <c r="D3014" s="39" t="s">
        <v>2122</v>
      </c>
    </row>
    <row r="3015" spans="1:4" x14ac:dyDescent="0.25">
      <c r="A3015" s="39" t="s">
        <v>5542</v>
      </c>
      <c r="B3015" s="39" t="s">
        <v>5543</v>
      </c>
      <c r="C3015" s="39">
        <v>4</v>
      </c>
      <c r="D3015" s="39" t="s">
        <v>2122</v>
      </c>
    </row>
    <row r="3016" spans="1:4" x14ac:dyDescent="0.25">
      <c r="A3016" s="39" t="s">
        <v>7708</v>
      </c>
      <c r="B3016" s="39" t="s">
        <v>7709</v>
      </c>
      <c r="C3016" s="39">
        <v>4</v>
      </c>
      <c r="D3016" s="39" t="s">
        <v>2122</v>
      </c>
    </row>
    <row r="3017" spans="1:4" x14ac:dyDescent="0.25">
      <c r="A3017" s="39" t="s">
        <v>7710</v>
      </c>
      <c r="B3017" s="39" t="s">
        <v>7711</v>
      </c>
      <c r="C3017" s="39">
        <v>4</v>
      </c>
      <c r="D3017" s="39" t="s">
        <v>2122</v>
      </c>
    </row>
    <row r="3018" spans="1:4" x14ac:dyDescent="0.25">
      <c r="A3018" s="39" t="s">
        <v>5544</v>
      </c>
      <c r="B3018" s="39" t="s">
        <v>1563</v>
      </c>
      <c r="C3018" s="39">
        <v>4</v>
      </c>
      <c r="D3018" s="39" t="s">
        <v>2122</v>
      </c>
    </row>
    <row r="3019" spans="1:4" x14ac:dyDescent="0.25">
      <c r="A3019" s="39" t="s">
        <v>11399</v>
      </c>
      <c r="B3019" s="39" t="s">
        <v>11400</v>
      </c>
      <c r="C3019" s="39">
        <v>4</v>
      </c>
      <c r="D3019" s="39" t="s">
        <v>2122</v>
      </c>
    </row>
    <row r="3020" spans="1:4" x14ac:dyDescent="0.25">
      <c r="A3020" s="39" t="s">
        <v>11401</v>
      </c>
      <c r="B3020" s="39" t="s">
        <v>11402</v>
      </c>
      <c r="C3020" s="39">
        <v>4</v>
      </c>
      <c r="D3020" s="39" t="s">
        <v>2122</v>
      </c>
    </row>
    <row r="3021" spans="1:4" x14ac:dyDescent="0.25">
      <c r="A3021" s="39" t="s">
        <v>3649</v>
      </c>
      <c r="B3021" s="39" t="s">
        <v>3006</v>
      </c>
      <c r="C3021" s="39">
        <v>4</v>
      </c>
      <c r="D3021" s="39" t="s">
        <v>2122</v>
      </c>
    </row>
    <row r="3022" spans="1:4" x14ac:dyDescent="0.25">
      <c r="A3022" s="39" t="s">
        <v>7712</v>
      </c>
      <c r="B3022" s="39" t="s">
        <v>4331</v>
      </c>
      <c r="C3022" s="39">
        <v>4</v>
      </c>
      <c r="D3022" s="39" t="s">
        <v>2122</v>
      </c>
    </row>
    <row r="3023" spans="1:4" x14ac:dyDescent="0.25">
      <c r="A3023" s="39" t="s">
        <v>5545</v>
      </c>
      <c r="B3023" s="39" t="s">
        <v>2791</v>
      </c>
      <c r="C3023" s="39">
        <v>4</v>
      </c>
      <c r="D3023" s="39" t="s">
        <v>2122</v>
      </c>
    </row>
    <row r="3024" spans="1:4" x14ac:dyDescent="0.25">
      <c r="A3024" s="39" t="s">
        <v>2291</v>
      </c>
      <c r="B3024" s="39" t="s">
        <v>2292</v>
      </c>
      <c r="C3024" s="39">
        <v>4</v>
      </c>
      <c r="D3024" s="39" t="s">
        <v>2122</v>
      </c>
    </row>
    <row r="3025" spans="1:4" x14ac:dyDescent="0.25">
      <c r="A3025" s="39" t="s">
        <v>3650</v>
      </c>
      <c r="B3025" s="39" t="s">
        <v>2681</v>
      </c>
      <c r="C3025" s="39">
        <v>4</v>
      </c>
      <c r="D3025" s="39" t="s">
        <v>2122</v>
      </c>
    </row>
    <row r="3026" spans="1:4" x14ac:dyDescent="0.25">
      <c r="A3026" s="39" t="s">
        <v>5546</v>
      </c>
      <c r="B3026" s="39" t="s">
        <v>3062</v>
      </c>
      <c r="C3026" s="39">
        <v>4</v>
      </c>
      <c r="D3026" s="39" t="s">
        <v>2122</v>
      </c>
    </row>
    <row r="3027" spans="1:4" x14ac:dyDescent="0.25">
      <c r="A3027" s="39" t="s">
        <v>1167</v>
      </c>
      <c r="B3027" s="39" t="s">
        <v>1359</v>
      </c>
      <c r="C3027" s="39">
        <v>4</v>
      </c>
      <c r="D3027" s="39" t="s">
        <v>2122</v>
      </c>
    </row>
    <row r="3028" spans="1:4" x14ac:dyDescent="0.25">
      <c r="A3028" s="39" t="s">
        <v>7713</v>
      </c>
      <c r="B3028" s="39" t="s">
        <v>7714</v>
      </c>
      <c r="C3028" s="39">
        <v>4</v>
      </c>
      <c r="D3028" s="39" t="s">
        <v>2122</v>
      </c>
    </row>
    <row r="3029" spans="1:4" x14ac:dyDescent="0.25">
      <c r="A3029" s="39" t="s">
        <v>7715</v>
      </c>
      <c r="B3029" s="39" t="s">
        <v>368</v>
      </c>
      <c r="C3029" s="39">
        <v>4</v>
      </c>
      <c r="D3029" s="39" t="s">
        <v>2122</v>
      </c>
    </row>
    <row r="3030" spans="1:4" x14ac:dyDescent="0.25">
      <c r="A3030" s="39" t="s">
        <v>7716</v>
      </c>
      <c r="B3030" s="39" t="s">
        <v>7717</v>
      </c>
      <c r="C3030" s="39">
        <v>4</v>
      </c>
      <c r="D3030" s="39" t="s">
        <v>2122</v>
      </c>
    </row>
    <row r="3031" spans="1:4" x14ac:dyDescent="0.25">
      <c r="A3031" s="39" t="s">
        <v>7718</v>
      </c>
      <c r="B3031" s="39" t="s">
        <v>1336</v>
      </c>
      <c r="C3031" s="39">
        <v>4</v>
      </c>
      <c r="D3031" s="39" t="s">
        <v>2122</v>
      </c>
    </row>
    <row r="3032" spans="1:4" x14ac:dyDescent="0.25">
      <c r="A3032" s="39" t="s">
        <v>11403</v>
      </c>
      <c r="B3032" s="39" t="s">
        <v>4556</v>
      </c>
      <c r="C3032" s="39">
        <v>4</v>
      </c>
      <c r="D3032" s="39" t="s">
        <v>2122</v>
      </c>
    </row>
    <row r="3033" spans="1:4" x14ac:dyDescent="0.25">
      <c r="A3033" s="39" t="s">
        <v>5547</v>
      </c>
      <c r="B3033" s="39" t="s">
        <v>5548</v>
      </c>
      <c r="C3033" s="39">
        <v>4</v>
      </c>
      <c r="D3033" s="39" t="s">
        <v>2122</v>
      </c>
    </row>
    <row r="3034" spans="1:4" x14ac:dyDescent="0.25">
      <c r="A3034" s="39" t="s">
        <v>3651</v>
      </c>
      <c r="B3034" s="39" t="s">
        <v>3857</v>
      </c>
      <c r="C3034" s="39">
        <v>4</v>
      </c>
      <c r="D3034" s="39" t="s">
        <v>2122</v>
      </c>
    </row>
    <row r="3035" spans="1:4" x14ac:dyDescent="0.25">
      <c r="A3035" s="39" t="s">
        <v>11404</v>
      </c>
      <c r="B3035" s="39" t="s">
        <v>5703</v>
      </c>
      <c r="C3035" s="39">
        <v>4</v>
      </c>
      <c r="D3035" s="39" t="s">
        <v>2122</v>
      </c>
    </row>
    <row r="3036" spans="1:4" x14ac:dyDescent="0.25">
      <c r="A3036" s="39" t="s">
        <v>518</v>
      </c>
      <c r="B3036" s="39" t="s">
        <v>1337</v>
      </c>
      <c r="C3036" s="39">
        <v>4</v>
      </c>
      <c r="D3036" s="39" t="s">
        <v>2122</v>
      </c>
    </row>
    <row r="3037" spans="1:4" x14ac:dyDescent="0.25">
      <c r="A3037" s="39" t="s">
        <v>3346</v>
      </c>
      <c r="B3037" s="39" t="s">
        <v>1872</v>
      </c>
      <c r="C3037" s="39">
        <v>4</v>
      </c>
      <c r="D3037" s="39" t="s">
        <v>2122</v>
      </c>
    </row>
    <row r="3038" spans="1:4" x14ac:dyDescent="0.25">
      <c r="A3038" s="39" t="s">
        <v>2293</v>
      </c>
      <c r="B3038" s="39" t="s">
        <v>1065</v>
      </c>
      <c r="C3038" s="39">
        <v>4</v>
      </c>
      <c r="D3038" s="39" t="s">
        <v>2122</v>
      </c>
    </row>
    <row r="3039" spans="1:4" x14ac:dyDescent="0.25">
      <c r="A3039" s="39" t="s">
        <v>7719</v>
      </c>
      <c r="B3039" s="39" t="s">
        <v>7720</v>
      </c>
      <c r="C3039" s="39">
        <v>4</v>
      </c>
      <c r="D3039" s="39" t="s">
        <v>2122</v>
      </c>
    </row>
    <row r="3040" spans="1:4" x14ac:dyDescent="0.25">
      <c r="A3040" s="39" t="s">
        <v>5549</v>
      </c>
      <c r="B3040" s="39" t="s">
        <v>5550</v>
      </c>
      <c r="C3040" s="39">
        <v>4</v>
      </c>
      <c r="D3040" s="39" t="s">
        <v>2122</v>
      </c>
    </row>
    <row r="3041" spans="1:4" x14ac:dyDescent="0.25">
      <c r="A3041" s="39" t="s">
        <v>7721</v>
      </c>
      <c r="B3041" s="39" t="s">
        <v>7722</v>
      </c>
      <c r="C3041" s="39">
        <v>4</v>
      </c>
      <c r="D3041" s="39" t="s">
        <v>2122</v>
      </c>
    </row>
    <row r="3042" spans="1:4" x14ac:dyDescent="0.25">
      <c r="A3042" s="39" t="s">
        <v>7723</v>
      </c>
      <c r="B3042" s="39" t="s">
        <v>4145</v>
      </c>
      <c r="C3042" s="39">
        <v>4</v>
      </c>
      <c r="D3042" s="39" t="s">
        <v>2122</v>
      </c>
    </row>
    <row r="3043" spans="1:4" x14ac:dyDescent="0.25">
      <c r="A3043" s="39" t="s">
        <v>2520</v>
      </c>
      <c r="B3043" s="39" t="s">
        <v>3347</v>
      </c>
      <c r="C3043" s="39">
        <v>4</v>
      </c>
      <c r="D3043" s="39" t="s">
        <v>2122</v>
      </c>
    </row>
    <row r="3044" spans="1:4" x14ac:dyDescent="0.25">
      <c r="A3044" s="39" t="s">
        <v>3652</v>
      </c>
      <c r="B3044" s="39" t="s">
        <v>3858</v>
      </c>
      <c r="C3044" s="39">
        <v>4</v>
      </c>
      <c r="D3044" s="39" t="s">
        <v>2122</v>
      </c>
    </row>
    <row r="3045" spans="1:4" x14ac:dyDescent="0.25">
      <c r="A3045" s="39" t="s">
        <v>7724</v>
      </c>
      <c r="B3045" s="39" t="s">
        <v>2919</v>
      </c>
      <c r="C3045" s="39">
        <v>4</v>
      </c>
      <c r="D3045" s="39" t="s">
        <v>2122</v>
      </c>
    </row>
    <row r="3046" spans="1:4" x14ac:dyDescent="0.25">
      <c r="A3046" s="39" t="s">
        <v>1785</v>
      </c>
      <c r="B3046" s="39" t="s">
        <v>3348</v>
      </c>
      <c r="C3046" s="39">
        <v>4</v>
      </c>
      <c r="D3046" s="39" t="s">
        <v>2122</v>
      </c>
    </row>
    <row r="3047" spans="1:4" x14ac:dyDescent="0.25">
      <c r="A3047" s="39" t="s">
        <v>1638</v>
      </c>
      <c r="B3047" s="39" t="s">
        <v>2428</v>
      </c>
      <c r="C3047" s="39">
        <v>4</v>
      </c>
      <c r="D3047" s="39" t="s">
        <v>2122</v>
      </c>
    </row>
    <row r="3048" spans="1:4" x14ac:dyDescent="0.25">
      <c r="A3048" s="39" t="s">
        <v>5551</v>
      </c>
      <c r="B3048" s="39" t="s">
        <v>945</v>
      </c>
      <c r="C3048" s="39">
        <v>4</v>
      </c>
      <c r="D3048" s="39" t="s">
        <v>2122</v>
      </c>
    </row>
    <row r="3049" spans="1:4" x14ac:dyDescent="0.25">
      <c r="A3049" s="39" t="s">
        <v>11405</v>
      </c>
      <c r="B3049" s="39" t="s">
        <v>7725</v>
      </c>
      <c r="C3049" s="39">
        <v>4</v>
      </c>
      <c r="D3049" s="39" t="s">
        <v>2122</v>
      </c>
    </row>
    <row r="3050" spans="1:4" x14ac:dyDescent="0.25">
      <c r="A3050" s="39" t="s">
        <v>11406</v>
      </c>
      <c r="B3050" s="39" t="s">
        <v>11407</v>
      </c>
      <c r="C3050" s="39">
        <v>4</v>
      </c>
      <c r="D3050" s="39" t="s">
        <v>2122</v>
      </c>
    </row>
    <row r="3051" spans="1:4" x14ac:dyDescent="0.25">
      <c r="A3051" s="39" t="s">
        <v>11408</v>
      </c>
      <c r="B3051" s="39" t="s">
        <v>3890</v>
      </c>
      <c r="C3051" s="39">
        <v>4</v>
      </c>
      <c r="D3051" s="39" t="s">
        <v>2122</v>
      </c>
    </row>
    <row r="3052" spans="1:4" x14ac:dyDescent="0.25">
      <c r="A3052" s="39" t="s">
        <v>5552</v>
      </c>
      <c r="B3052" s="39" t="s">
        <v>2509</v>
      </c>
      <c r="C3052" s="39">
        <v>4</v>
      </c>
      <c r="D3052" s="39" t="s">
        <v>2122</v>
      </c>
    </row>
    <row r="3053" spans="1:4" x14ac:dyDescent="0.25">
      <c r="A3053" s="39" t="s">
        <v>3349</v>
      </c>
      <c r="B3053" s="39" t="s">
        <v>2486</v>
      </c>
      <c r="C3053" s="39">
        <v>4</v>
      </c>
      <c r="D3053" s="39" t="s">
        <v>2122</v>
      </c>
    </row>
    <row r="3054" spans="1:4" x14ac:dyDescent="0.25">
      <c r="A3054" s="39" t="s">
        <v>3653</v>
      </c>
      <c r="B3054" s="39" t="s">
        <v>356</v>
      </c>
      <c r="C3054" s="39">
        <v>4</v>
      </c>
      <c r="D3054" s="39" t="s">
        <v>2122</v>
      </c>
    </row>
    <row r="3055" spans="1:4" x14ac:dyDescent="0.25">
      <c r="A3055" s="39" t="s">
        <v>5553</v>
      </c>
      <c r="B3055" s="39" t="s">
        <v>3079</v>
      </c>
      <c r="C3055" s="39">
        <v>4</v>
      </c>
      <c r="D3055" s="39" t="s">
        <v>2122</v>
      </c>
    </row>
    <row r="3056" spans="1:4" x14ac:dyDescent="0.25">
      <c r="A3056" s="39" t="s">
        <v>7728</v>
      </c>
      <c r="B3056" s="39" t="s">
        <v>4200</v>
      </c>
      <c r="C3056" s="39">
        <v>4</v>
      </c>
      <c r="D3056" s="39" t="s">
        <v>2122</v>
      </c>
    </row>
    <row r="3057" spans="1:4" x14ac:dyDescent="0.25">
      <c r="A3057" s="39" t="s">
        <v>11409</v>
      </c>
      <c r="B3057" s="39" t="s">
        <v>4072</v>
      </c>
      <c r="C3057" s="39">
        <v>4</v>
      </c>
      <c r="D3057" s="39" t="s">
        <v>2122</v>
      </c>
    </row>
    <row r="3058" spans="1:4" x14ac:dyDescent="0.25">
      <c r="A3058" s="39" t="s">
        <v>5554</v>
      </c>
      <c r="B3058" s="39" t="s">
        <v>5555</v>
      </c>
      <c r="C3058" s="39">
        <v>4</v>
      </c>
      <c r="D3058" s="39" t="s">
        <v>2122</v>
      </c>
    </row>
    <row r="3059" spans="1:4" x14ac:dyDescent="0.25">
      <c r="A3059" s="39" t="s">
        <v>5556</v>
      </c>
      <c r="B3059" s="39" t="s">
        <v>5557</v>
      </c>
      <c r="C3059" s="39">
        <v>4</v>
      </c>
      <c r="D3059" s="39" t="s">
        <v>2122</v>
      </c>
    </row>
    <row r="3060" spans="1:4" x14ac:dyDescent="0.25">
      <c r="A3060" s="39" t="s">
        <v>11410</v>
      </c>
      <c r="B3060" s="39" t="s">
        <v>4735</v>
      </c>
      <c r="C3060" s="39">
        <v>4</v>
      </c>
      <c r="D3060" s="39" t="s">
        <v>2122</v>
      </c>
    </row>
    <row r="3061" spans="1:4" x14ac:dyDescent="0.25">
      <c r="A3061" s="39" t="s">
        <v>3654</v>
      </c>
      <c r="B3061" s="39" t="s">
        <v>2129</v>
      </c>
      <c r="C3061" s="39">
        <v>4</v>
      </c>
      <c r="D3061" s="39" t="s">
        <v>2122</v>
      </c>
    </row>
    <row r="3062" spans="1:4" x14ac:dyDescent="0.25">
      <c r="A3062" s="39" t="s">
        <v>7729</v>
      </c>
      <c r="B3062" s="39" t="s">
        <v>7730</v>
      </c>
      <c r="C3062" s="39">
        <v>4</v>
      </c>
      <c r="D3062" s="39" t="s">
        <v>2122</v>
      </c>
    </row>
    <row r="3063" spans="1:4" x14ac:dyDescent="0.25">
      <c r="A3063" s="39" t="s">
        <v>3655</v>
      </c>
      <c r="B3063" s="39" t="s">
        <v>3859</v>
      </c>
      <c r="C3063" s="39">
        <v>4</v>
      </c>
      <c r="D3063" s="39" t="s">
        <v>2122</v>
      </c>
    </row>
    <row r="3064" spans="1:4" x14ac:dyDescent="0.25">
      <c r="A3064" s="39" t="s">
        <v>5558</v>
      </c>
      <c r="B3064" s="39" t="s">
        <v>3860</v>
      </c>
      <c r="C3064" s="39">
        <v>4</v>
      </c>
      <c r="D3064" s="39" t="s">
        <v>2122</v>
      </c>
    </row>
    <row r="3065" spans="1:4" x14ac:dyDescent="0.25">
      <c r="A3065" s="39" t="s">
        <v>11411</v>
      </c>
      <c r="B3065" s="39" t="s">
        <v>11412</v>
      </c>
      <c r="C3065" s="39">
        <v>4</v>
      </c>
      <c r="D3065" s="39" t="s">
        <v>2122</v>
      </c>
    </row>
    <row r="3066" spans="1:4" x14ac:dyDescent="0.25">
      <c r="A3066" s="39" t="s">
        <v>2297</v>
      </c>
      <c r="B3066" s="39" t="s">
        <v>1179</v>
      </c>
      <c r="C3066" s="39">
        <v>4</v>
      </c>
      <c r="D3066" s="39" t="s">
        <v>2122</v>
      </c>
    </row>
    <row r="3067" spans="1:4" x14ac:dyDescent="0.25">
      <c r="A3067" s="39" t="s">
        <v>7731</v>
      </c>
      <c r="B3067" s="39" t="s">
        <v>3991</v>
      </c>
      <c r="C3067" s="39">
        <v>4</v>
      </c>
      <c r="D3067" s="39" t="s">
        <v>2122</v>
      </c>
    </row>
    <row r="3068" spans="1:4" x14ac:dyDescent="0.25">
      <c r="A3068" s="39" t="s">
        <v>11413</v>
      </c>
      <c r="B3068" s="39" t="s">
        <v>11414</v>
      </c>
      <c r="C3068" s="39">
        <v>4</v>
      </c>
      <c r="D3068" s="39" t="s">
        <v>2122</v>
      </c>
    </row>
    <row r="3069" spans="1:4" x14ac:dyDescent="0.25">
      <c r="A3069" s="39" t="s">
        <v>11415</v>
      </c>
      <c r="B3069" s="39" t="s">
        <v>11416</v>
      </c>
      <c r="C3069" s="39">
        <v>4</v>
      </c>
      <c r="D3069" s="39" t="s">
        <v>2122</v>
      </c>
    </row>
    <row r="3070" spans="1:4" x14ac:dyDescent="0.25">
      <c r="A3070" s="39" t="s">
        <v>11417</v>
      </c>
      <c r="B3070" s="39" t="s">
        <v>6154</v>
      </c>
      <c r="C3070" s="39">
        <v>4</v>
      </c>
      <c r="D3070" s="39" t="s">
        <v>2122</v>
      </c>
    </row>
    <row r="3071" spans="1:4" x14ac:dyDescent="0.25">
      <c r="A3071" s="39" t="s">
        <v>3351</v>
      </c>
      <c r="B3071" s="39" t="s">
        <v>2618</v>
      </c>
      <c r="C3071" s="39">
        <v>4</v>
      </c>
      <c r="D3071" s="39" t="s">
        <v>2122</v>
      </c>
    </row>
    <row r="3072" spans="1:4" x14ac:dyDescent="0.25">
      <c r="A3072" s="39" t="s">
        <v>1519</v>
      </c>
      <c r="B3072" s="39" t="s">
        <v>672</v>
      </c>
      <c r="C3072" s="39">
        <v>4</v>
      </c>
      <c r="D3072" s="39" t="s">
        <v>2122</v>
      </c>
    </row>
    <row r="3073" spans="1:4" x14ac:dyDescent="0.25">
      <c r="A3073" s="39" t="s">
        <v>11418</v>
      </c>
      <c r="B3073" s="39" t="s">
        <v>11419</v>
      </c>
      <c r="C3073" s="39">
        <v>4</v>
      </c>
      <c r="D3073" s="39" t="s">
        <v>2122</v>
      </c>
    </row>
    <row r="3074" spans="1:4" x14ac:dyDescent="0.25">
      <c r="A3074" s="39" t="s">
        <v>746</v>
      </c>
      <c r="B3074" s="39" t="s">
        <v>2459</v>
      </c>
      <c r="C3074" s="39">
        <v>4</v>
      </c>
      <c r="D3074" s="39" t="s">
        <v>2122</v>
      </c>
    </row>
    <row r="3075" spans="1:4" x14ac:dyDescent="0.25">
      <c r="A3075" s="39" t="s">
        <v>7734</v>
      </c>
      <c r="B3075" s="39" t="s">
        <v>7735</v>
      </c>
      <c r="C3075" s="39">
        <v>4</v>
      </c>
      <c r="D3075" s="39" t="s">
        <v>2122</v>
      </c>
    </row>
    <row r="3076" spans="1:4" x14ac:dyDescent="0.25">
      <c r="A3076" s="39" t="s">
        <v>3352</v>
      </c>
      <c r="B3076" s="39" t="s">
        <v>3353</v>
      </c>
      <c r="C3076" s="39">
        <v>4</v>
      </c>
      <c r="D3076" s="39" t="s">
        <v>2122</v>
      </c>
    </row>
    <row r="3077" spans="1:4" x14ac:dyDescent="0.25">
      <c r="A3077" s="39" t="s">
        <v>5559</v>
      </c>
      <c r="B3077" s="39" t="s">
        <v>5560</v>
      </c>
      <c r="C3077" s="39">
        <v>4</v>
      </c>
      <c r="D3077" s="39" t="s">
        <v>2122</v>
      </c>
    </row>
    <row r="3078" spans="1:4" x14ac:dyDescent="0.25">
      <c r="A3078" s="39" t="s">
        <v>7736</v>
      </c>
      <c r="B3078" s="39" t="s">
        <v>4744</v>
      </c>
      <c r="C3078" s="39">
        <v>4</v>
      </c>
      <c r="D3078" s="39" t="s">
        <v>2122</v>
      </c>
    </row>
    <row r="3079" spans="1:4" x14ac:dyDescent="0.25">
      <c r="A3079" s="39" t="s">
        <v>7737</v>
      </c>
      <c r="B3079" s="39" t="s">
        <v>7738</v>
      </c>
      <c r="C3079" s="39">
        <v>4</v>
      </c>
      <c r="D3079" s="39" t="s">
        <v>2122</v>
      </c>
    </row>
    <row r="3080" spans="1:4" x14ac:dyDescent="0.25">
      <c r="A3080" s="39" t="s">
        <v>3656</v>
      </c>
      <c r="B3080" s="39" t="s">
        <v>3002</v>
      </c>
      <c r="C3080" s="39">
        <v>4</v>
      </c>
      <c r="D3080" s="39" t="s">
        <v>2122</v>
      </c>
    </row>
    <row r="3081" spans="1:4" x14ac:dyDescent="0.25">
      <c r="A3081" s="39" t="s">
        <v>1868</v>
      </c>
      <c r="B3081" s="39" t="s">
        <v>2940</v>
      </c>
      <c r="C3081" s="39">
        <v>4</v>
      </c>
      <c r="D3081" s="39" t="s">
        <v>2122</v>
      </c>
    </row>
    <row r="3082" spans="1:4" x14ac:dyDescent="0.25">
      <c r="A3082" s="39" t="s">
        <v>7739</v>
      </c>
      <c r="B3082" s="39" t="s">
        <v>7740</v>
      </c>
      <c r="C3082" s="39">
        <v>4</v>
      </c>
      <c r="D3082" s="39" t="s">
        <v>2122</v>
      </c>
    </row>
    <row r="3083" spans="1:4" x14ac:dyDescent="0.25">
      <c r="A3083" s="39" t="s">
        <v>2460</v>
      </c>
      <c r="B3083" s="39" t="s">
        <v>2461</v>
      </c>
      <c r="C3083" s="39">
        <v>4</v>
      </c>
      <c r="D3083" s="39" t="s">
        <v>2122</v>
      </c>
    </row>
    <row r="3084" spans="1:4" x14ac:dyDescent="0.25">
      <c r="A3084" s="39" t="s">
        <v>1809</v>
      </c>
      <c r="B3084" s="39" t="s">
        <v>2021</v>
      </c>
      <c r="C3084" s="39">
        <v>4</v>
      </c>
      <c r="D3084" s="39" t="s">
        <v>2122</v>
      </c>
    </row>
    <row r="3085" spans="1:4" x14ac:dyDescent="0.25">
      <c r="A3085" s="39" t="s">
        <v>7741</v>
      </c>
      <c r="B3085" s="39" t="s">
        <v>7742</v>
      </c>
      <c r="C3085" s="39">
        <v>4</v>
      </c>
      <c r="D3085" s="39" t="s">
        <v>2122</v>
      </c>
    </row>
    <row r="3086" spans="1:4" x14ac:dyDescent="0.25">
      <c r="A3086" s="39" t="s">
        <v>11420</v>
      </c>
      <c r="B3086" s="39" t="s">
        <v>11421</v>
      </c>
      <c r="C3086" s="39">
        <v>4</v>
      </c>
      <c r="D3086" s="39" t="s">
        <v>2122</v>
      </c>
    </row>
    <row r="3087" spans="1:4" x14ac:dyDescent="0.25">
      <c r="A3087" s="39" t="s">
        <v>5561</v>
      </c>
      <c r="B3087" s="39" t="s">
        <v>5562</v>
      </c>
      <c r="C3087" s="39">
        <v>4</v>
      </c>
      <c r="D3087" s="39" t="s">
        <v>2122</v>
      </c>
    </row>
    <row r="3088" spans="1:4" x14ac:dyDescent="0.25">
      <c r="A3088" s="39" t="s">
        <v>5563</v>
      </c>
      <c r="B3088" s="39" t="s">
        <v>5564</v>
      </c>
      <c r="C3088" s="39">
        <v>4</v>
      </c>
      <c r="D3088" s="39" t="s">
        <v>2122</v>
      </c>
    </row>
    <row r="3089" spans="1:4" x14ac:dyDescent="0.25">
      <c r="A3089" s="39" t="s">
        <v>7743</v>
      </c>
      <c r="B3089" s="39" t="s">
        <v>7744</v>
      </c>
      <c r="C3089" s="39">
        <v>4</v>
      </c>
      <c r="D3089" s="39" t="s">
        <v>2122</v>
      </c>
    </row>
    <row r="3090" spans="1:4" x14ac:dyDescent="0.25">
      <c r="A3090" s="39" t="s">
        <v>11422</v>
      </c>
      <c r="B3090" s="39" t="s">
        <v>11423</v>
      </c>
      <c r="C3090" s="39">
        <v>4</v>
      </c>
      <c r="D3090" s="39" t="s">
        <v>2122</v>
      </c>
    </row>
    <row r="3091" spans="1:4" x14ac:dyDescent="0.25">
      <c r="A3091" s="39" t="s">
        <v>5565</v>
      </c>
      <c r="B3091" s="39" t="s">
        <v>4192</v>
      </c>
      <c r="C3091" s="39">
        <v>4</v>
      </c>
      <c r="D3091" s="39" t="s">
        <v>2122</v>
      </c>
    </row>
    <row r="3092" spans="1:4" x14ac:dyDescent="0.25">
      <c r="A3092" s="39" t="s">
        <v>1997</v>
      </c>
      <c r="B3092" s="39" t="s">
        <v>309</v>
      </c>
      <c r="C3092" s="39">
        <v>4</v>
      </c>
      <c r="D3092" s="39" t="s">
        <v>2122</v>
      </c>
    </row>
    <row r="3093" spans="1:4" x14ac:dyDescent="0.25">
      <c r="A3093" s="39" t="s">
        <v>11424</v>
      </c>
      <c r="B3093" s="39" t="s">
        <v>11425</v>
      </c>
      <c r="C3093" s="39">
        <v>4</v>
      </c>
      <c r="D3093" s="39" t="s">
        <v>2122</v>
      </c>
    </row>
    <row r="3094" spans="1:4" x14ac:dyDescent="0.25">
      <c r="A3094" s="39" t="s">
        <v>11426</v>
      </c>
      <c r="B3094" s="39" t="s">
        <v>11427</v>
      </c>
      <c r="C3094" s="39">
        <v>4</v>
      </c>
      <c r="D3094" s="39" t="s">
        <v>2122</v>
      </c>
    </row>
    <row r="3095" spans="1:4" x14ac:dyDescent="0.25">
      <c r="A3095" s="39" t="s">
        <v>11428</v>
      </c>
      <c r="B3095" s="39" t="s">
        <v>11429</v>
      </c>
      <c r="C3095" s="39">
        <v>4</v>
      </c>
      <c r="D3095" s="39" t="s">
        <v>2122</v>
      </c>
    </row>
    <row r="3096" spans="1:4" x14ac:dyDescent="0.25">
      <c r="A3096" s="39" t="s">
        <v>7745</v>
      </c>
      <c r="B3096" s="39" t="s">
        <v>7746</v>
      </c>
      <c r="C3096" s="39">
        <v>4</v>
      </c>
      <c r="D3096" s="39" t="s">
        <v>2122</v>
      </c>
    </row>
    <row r="3097" spans="1:4" x14ac:dyDescent="0.25">
      <c r="A3097" s="39" t="s">
        <v>3658</v>
      </c>
      <c r="B3097" s="39" t="s">
        <v>3074</v>
      </c>
      <c r="C3097" s="39">
        <v>4</v>
      </c>
      <c r="D3097" s="39" t="s">
        <v>2122</v>
      </c>
    </row>
    <row r="3098" spans="1:4" x14ac:dyDescent="0.25">
      <c r="A3098" s="39" t="s">
        <v>5566</v>
      </c>
      <c r="B3098" s="39" t="s">
        <v>5567</v>
      </c>
      <c r="C3098" s="39">
        <v>4</v>
      </c>
      <c r="D3098" s="39" t="s">
        <v>2122</v>
      </c>
    </row>
    <row r="3099" spans="1:4" x14ac:dyDescent="0.25">
      <c r="A3099" s="39" t="s">
        <v>3132</v>
      </c>
      <c r="B3099" s="39" t="s">
        <v>3356</v>
      </c>
      <c r="C3099" s="39">
        <v>4</v>
      </c>
      <c r="D3099" s="39" t="s">
        <v>2122</v>
      </c>
    </row>
    <row r="3100" spans="1:4" x14ac:dyDescent="0.25">
      <c r="A3100" s="39" t="s">
        <v>5568</v>
      </c>
      <c r="B3100" s="39" t="s">
        <v>2604</v>
      </c>
      <c r="C3100" s="39">
        <v>4</v>
      </c>
      <c r="D3100" s="39" t="s">
        <v>2122</v>
      </c>
    </row>
    <row r="3101" spans="1:4" x14ac:dyDescent="0.25">
      <c r="A3101" s="39" t="s">
        <v>5569</v>
      </c>
      <c r="B3101" s="39" t="s">
        <v>5570</v>
      </c>
      <c r="C3101" s="39">
        <v>4</v>
      </c>
      <c r="D3101" s="39" t="s">
        <v>2122</v>
      </c>
    </row>
    <row r="3102" spans="1:4" x14ac:dyDescent="0.25">
      <c r="A3102" s="39" t="s">
        <v>2999</v>
      </c>
      <c r="B3102" s="39" t="s">
        <v>2978</v>
      </c>
      <c r="C3102" s="39">
        <v>4</v>
      </c>
      <c r="D3102" s="39" t="s">
        <v>2122</v>
      </c>
    </row>
    <row r="3103" spans="1:4" x14ac:dyDescent="0.25">
      <c r="A3103" s="39" t="s">
        <v>11430</v>
      </c>
      <c r="B3103" s="39" t="s">
        <v>2576</v>
      </c>
      <c r="C3103" s="39">
        <v>4</v>
      </c>
      <c r="D3103" s="39" t="s">
        <v>2122</v>
      </c>
    </row>
    <row r="3104" spans="1:4" x14ac:dyDescent="0.25">
      <c r="A3104" s="39" t="s">
        <v>11431</v>
      </c>
      <c r="B3104" s="39" t="s">
        <v>1930</v>
      </c>
      <c r="C3104" s="39">
        <v>4</v>
      </c>
      <c r="D3104" s="39" t="s">
        <v>2122</v>
      </c>
    </row>
    <row r="3105" spans="1:4" x14ac:dyDescent="0.25">
      <c r="A3105" s="39" t="s">
        <v>5571</v>
      </c>
      <c r="B3105" s="39" t="s">
        <v>5572</v>
      </c>
      <c r="C3105" s="39">
        <v>4</v>
      </c>
      <c r="D3105" s="39" t="s">
        <v>2122</v>
      </c>
    </row>
    <row r="3106" spans="1:4" x14ac:dyDescent="0.25">
      <c r="A3106" s="39" t="s">
        <v>7747</v>
      </c>
      <c r="B3106" s="39" t="s">
        <v>4149</v>
      </c>
      <c r="C3106" s="39">
        <v>4</v>
      </c>
      <c r="D3106" s="39" t="s">
        <v>2122</v>
      </c>
    </row>
    <row r="3107" spans="1:4" x14ac:dyDescent="0.25">
      <c r="A3107" s="39" t="s">
        <v>7748</v>
      </c>
      <c r="B3107" s="39" t="s">
        <v>3908</v>
      </c>
      <c r="C3107" s="39">
        <v>4</v>
      </c>
      <c r="D3107" s="39" t="s">
        <v>2122</v>
      </c>
    </row>
    <row r="3108" spans="1:4" x14ac:dyDescent="0.25">
      <c r="A3108" s="39" t="s">
        <v>7749</v>
      </c>
      <c r="B3108" s="39" t="s">
        <v>7750</v>
      </c>
      <c r="C3108" s="39">
        <v>4</v>
      </c>
      <c r="D3108" s="39" t="s">
        <v>2122</v>
      </c>
    </row>
    <row r="3109" spans="1:4" x14ac:dyDescent="0.25">
      <c r="A3109" s="39" t="s">
        <v>11432</v>
      </c>
      <c r="B3109" s="39" t="s">
        <v>4473</v>
      </c>
      <c r="C3109" s="39">
        <v>4</v>
      </c>
      <c r="D3109" s="39" t="s">
        <v>2122</v>
      </c>
    </row>
    <row r="3110" spans="1:4" x14ac:dyDescent="0.25">
      <c r="A3110" s="39" t="s">
        <v>3357</v>
      </c>
      <c r="B3110" s="39" t="s">
        <v>2455</v>
      </c>
      <c r="C3110" s="39">
        <v>4</v>
      </c>
      <c r="D3110" s="39" t="s">
        <v>2122</v>
      </c>
    </row>
    <row r="3111" spans="1:4" x14ac:dyDescent="0.25">
      <c r="A3111" s="39" t="s">
        <v>1996</v>
      </c>
      <c r="B3111" s="39" t="s">
        <v>1225</v>
      </c>
      <c r="C3111" s="39">
        <v>4</v>
      </c>
      <c r="D3111" s="39" t="s">
        <v>2122</v>
      </c>
    </row>
    <row r="3112" spans="1:4" x14ac:dyDescent="0.25">
      <c r="A3112" s="39" t="s">
        <v>819</v>
      </c>
      <c r="B3112" s="39" t="s">
        <v>296</v>
      </c>
      <c r="C3112" s="39">
        <v>4</v>
      </c>
      <c r="D3112" s="39" t="s">
        <v>2122</v>
      </c>
    </row>
    <row r="3113" spans="1:4" x14ac:dyDescent="0.25">
      <c r="A3113" s="39" t="s">
        <v>3660</v>
      </c>
      <c r="B3113" s="39" t="s">
        <v>2212</v>
      </c>
      <c r="C3113" s="39">
        <v>4</v>
      </c>
      <c r="D3113" s="39" t="s">
        <v>2122</v>
      </c>
    </row>
    <row r="3114" spans="1:4" x14ac:dyDescent="0.25">
      <c r="A3114" s="39" t="s">
        <v>1998</v>
      </c>
      <c r="B3114" s="39" t="s">
        <v>1305</v>
      </c>
      <c r="C3114" s="39">
        <v>4</v>
      </c>
      <c r="D3114" s="39" t="s">
        <v>2122</v>
      </c>
    </row>
    <row r="3115" spans="1:4" x14ac:dyDescent="0.25">
      <c r="A3115" s="39" t="s">
        <v>3050</v>
      </c>
      <c r="B3115" s="39" t="s">
        <v>1128</v>
      </c>
      <c r="C3115" s="39">
        <v>4</v>
      </c>
      <c r="D3115" s="39" t="s">
        <v>2122</v>
      </c>
    </row>
    <row r="3116" spans="1:4" x14ac:dyDescent="0.25">
      <c r="A3116" s="39" t="s">
        <v>5573</v>
      </c>
      <c r="B3116" s="39" t="s">
        <v>5574</v>
      </c>
      <c r="C3116" s="39">
        <v>4</v>
      </c>
      <c r="D3116" s="39" t="s">
        <v>2122</v>
      </c>
    </row>
    <row r="3117" spans="1:4" x14ac:dyDescent="0.25">
      <c r="A3117" s="39" t="s">
        <v>7751</v>
      </c>
      <c r="B3117" s="39" t="s">
        <v>7752</v>
      </c>
      <c r="C3117" s="39">
        <v>4</v>
      </c>
      <c r="D3117" s="39" t="s">
        <v>2122</v>
      </c>
    </row>
    <row r="3118" spans="1:4" x14ac:dyDescent="0.25">
      <c r="A3118" s="39" t="s">
        <v>2810</v>
      </c>
      <c r="B3118" s="39" t="s">
        <v>2599</v>
      </c>
      <c r="C3118" s="39">
        <v>4</v>
      </c>
      <c r="D3118" s="39" t="s">
        <v>2122</v>
      </c>
    </row>
    <row r="3119" spans="1:4" x14ac:dyDescent="0.25">
      <c r="A3119" s="39" t="s">
        <v>1999</v>
      </c>
      <c r="B3119" s="39" t="s">
        <v>268</v>
      </c>
      <c r="C3119" s="39">
        <v>4</v>
      </c>
      <c r="D3119" s="39" t="s">
        <v>2122</v>
      </c>
    </row>
    <row r="3120" spans="1:4" x14ac:dyDescent="0.25">
      <c r="A3120" s="39" t="s">
        <v>3358</v>
      </c>
      <c r="B3120" s="39" t="s">
        <v>3330</v>
      </c>
      <c r="C3120" s="39">
        <v>4</v>
      </c>
      <c r="D3120" s="39" t="s">
        <v>2122</v>
      </c>
    </row>
    <row r="3121" spans="1:4" x14ac:dyDescent="0.25">
      <c r="A3121" s="39" t="s">
        <v>2811</v>
      </c>
      <c r="B3121" s="39" t="s">
        <v>1255</v>
      </c>
      <c r="C3121" s="39">
        <v>4</v>
      </c>
      <c r="D3121" s="39" t="s">
        <v>2122</v>
      </c>
    </row>
    <row r="3122" spans="1:4" x14ac:dyDescent="0.25">
      <c r="A3122" s="39" t="s">
        <v>2000</v>
      </c>
      <c r="B3122" s="39" t="s">
        <v>1077</v>
      </c>
      <c r="C3122" s="39">
        <v>4</v>
      </c>
      <c r="D3122" s="39" t="s">
        <v>2122</v>
      </c>
    </row>
    <row r="3123" spans="1:4" x14ac:dyDescent="0.25">
      <c r="A3123" s="39" t="s">
        <v>3359</v>
      </c>
      <c r="B3123" s="39" t="s">
        <v>1458</v>
      </c>
      <c r="C3123" s="39">
        <v>4</v>
      </c>
      <c r="D3123" s="39" t="s">
        <v>2122</v>
      </c>
    </row>
    <row r="3124" spans="1:4" x14ac:dyDescent="0.25">
      <c r="A3124" s="39" t="s">
        <v>11433</v>
      </c>
      <c r="B3124" s="39" t="s">
        <v>2882</v>
      </c>
      <c r="C3124" s="39">
        <v>4</v>
      </c>
      <c r="D3124" s="39" t="s">
        <v>2122</v>
      </c>
    </row>
    <row r="3125" spans="1:4" x14ac:dyDescent="0.25">
      <c r="A3125" s="39" t="s">
        <v>5575</v>
      </c>
      <c r="B3125" s="39" t="s">
        <v>2881</v>
      </c>
      <c r="C3125" s="39">
        <v>4</v>
      </c>
      <c r="D3125" s="39" t="s">
        <v>2122</v>
      </c>
    </row>
    <row r="3126" spans="1:4" x14ac:dyDescent="0.25">
      <c r="A3126" s="39" t="s">
        <v>11434</v>
      </c>
      <c r="B3126" s="39" t="s">
        <v>11435</v>
      </c>
      <c r="C3126" s="39">
        <v>4</v>
      </c>
      <c r="D3126" s="39" t="s">
        <v>2122</v>
      </c>
    </row>
    <row r="3127" spans="1:4" x14ac:dyDescent="0.25">
      <c r="A3127" s="39" t="s">
        <v>7753</v>
      </c>
      <c r="B3127" s="39" t="s">
        <v>7754</v>
      </c>
      <c r="C3127" s="39">
        <v>4</v>
      </c>
      <c r="D3127" s="39" t="s">
        <v>2122</v>
      </c>
    </row>
    <row r="3128" spans="1:4" x14ac:dyDescent="0.25">
      <c r="A3128" s="39" t="s">
        <v>5576</v>
      </c>
      <c r="B3128" s="39" t="s">
        <v>5577</v>
      </c>
      <c r="C3128" s="39">
        <v>4</v>
      </c>
      <c r="D3128" s="39" t="s">
        <v>2122</v>
      </c>
    </row>
    <row r="3129" spans="1:4" x14ac:dyDescent="0.25">
      <c r="A3129" s="39" t="s">
        <v>5578</v>
      </c>
      <c r="B3129" s="39" t="s">
        <v>5579</v>
      </c>
      <c r="C3129" s="39">
        <v>4</v>
      </c>
      <c r="D3129" s="39" t="s">
        <v>2122</v>
      </c>
    </row>
    <row r="3130" spans="1:4" x14ac:dyDescent="0.25">
      <c r="A3130" s="39" t="s">
        <v>11436</v>
      </c>
      <c r="B3130" s="39" t="s">
        <v>11437</v>
      </c>
      <c r="C3130" s="39">
        <v>4</v>
      </c>
      <c r="D3130" s="39" t="s">
        <v>2122</v>
      </c>
    </row>
    <row r="3131" spans="1:4" x14ac:dyDescent="0.25">
      <c r="A3131" s="39" t="s">
        <v>7755</v>
      </c>
      <c r="B3131" s="39" t="s">
        <v>839</v>
      </c>
      <c r="C3131" s="39">
        <v>4</v>
      </c>
      <c r="D3131" s="39" t="s">
        <v>2122</v>
      </c>
    </row>
    <row r="3132" spans="1:4" x14ac:dyDescent="0.25">
      <c r="A3132" s="39" t="s">
        <v>11438</v>
      </c>
      <c r="B3132" s="39" t="s">
        <v>11439</v>
      </c>
      <c r="C3132" s="39">
        <v>4</v>
      </c>
      <c r="D3132" s="39" t="s">
        <v>2122</v>
      </c>
    </row>
    <row r="3133" spans="1:4" x14ac:dyDescent="0.25">
      <c r="A3133" s="39" t="s">
        <v>2507</v>
      </c>
      <c r="B3133" s="39" t="s">
        <v>2092</v>
      </c>
      <c r="C3133" s="39">
        <v>4</v>
      </c>
      <c r="D3133" s="39" t="s">
        <v>2122</v>
      </c>
    </row>
    <row r="3134" spans="1:4" x14ac:dyDescent="0.25">
      <c r="A3134" s="39" t="s">
        <v>11440</v>
      </c>
      <c r="B3134" s="39" t="s">
        <v>11441</v>
      </c>
      <c r="C3134" s="39">
        <v>4</v>
      </c>
      <c r="D3134" s="39" t="s">
        <v>2122</v>
      </c>
    </row>
    <row r="3135" spans="1:4" x14ac:dyDescent="0.25">
      <c r="A3135" s="39" t="s">
        <v>11442</v>
      </c>
      <c r="B3135" s="39" t="s">
        <v>5977</v>
      </c>
      <c r="C3135" s="39">
        <v>4</v>
      </c>
      <c r="D3135" s="39" t="s">
        <v>2122</v>
      </c>
    </row>
    <row r="3136" spans="1:4" x14ac:dyDescent="0.25">
      <c r="A3136" s="39" t="s">
        <v>5580</v>
      </c>
      <c r="B3136" s="39" t="s">
        <v>5581</v>
      </c>
      <c r="C3136" s="39">
        <v>4</v>
      </c>
      <c r="D3136" s="39" t="s">
        <v>2122</v>
      </c>
    </row>
    <row r="3137" spans="1:4" x14ac:dyDescent="0.25">
      <c r="A3137" s="39" t="s">
        <v>3661</v>
      </c>
      <c r="B3137" s="39" t="s">
        <v>30</v>
      </c>
      <c r="C3137" s="39">
        <v>4</v>
      </c>
      <c r="D3137" s="39" t="s">
        <v>2122</v>
      </c>
    </row>
    <row r="3138" spans="1:4" x14ac:dyDescent="0.25">
      <c r="A3138" s="39" t="s">
        <v>3662</v>
      </c>
      <c r="B3138" s="39" t="s">
        <v>3863</v>
      </c>
      <c r="C3138" s="39">
        <v>4</v>
      </c>
      <c r="D3138" s="39" t="s">
        <v>2122</v>
      </c>
    </row>
    <row r="3139" spans="1:4" x14ac:dyDescent="0.25">
      <c r="A3139" s="39" t="s">
        <v>3361</v>
      </c>
      <c r="B3139" s="39" t="s">
        <v>3362</v>
      </c>
      <c r="C3139" s="39">
        <v>4</v>
      </c>
      <c r="D3139" s="39" t="s">
        <v>2122</v>
      </c>
    </row>
    <row r="3140" spans="1:4" x14ac:dyDescent="0.25">
      <c r="A3140" s="39" t="s">
        <v>11443</v>
      </c>
      <c r="B3140" s="39" t="s">
        <v>4070</v>
      </c>
      <c r="C3140" s="39">
        <v>4</v>
      </c>
      <c r="D3140" s="39" t="s">
        <v>2122</v>
      </c>
    </row>
    <row r="3141" spans="1:4" x14ac:dyDescent="0.25">
      <c r="A3141" s="39" t="s">
        <v>7756</v>
      </c>
      <c r="B3141" s="39" t="s">
        <v>2945</v>
      </c>
      <c r="C3141" s="39">
        <v>4</v>
      </c>
      <c r="D3141" s="39" t="s">
        <v>2122</v>
      </c>
    </row>
    <row r="3142" spans="1:4" x14ac:dyDescent="0.25">
      <c r="A3142" s="39" t="s">
        <v>11444</v>
      </c>
      <c r="B3142" s="39" t="s">
        <v>2945</v>
      </c>
      <c r="C3142" s="39">
        <v>4</v>
      </c>
      <c r="D3142" s="39" t="s">
        <v>2122</v>
      </c>
    </row>
    <row r="3143" spans="1:4" x14ac:dyDescent="0.25">
      <c r="A3143" s="39" t="s">
        <v>5582</v>
      </c>
      <c r="B3143" s="39" t="s">
        <v>5583</v>
      </c>
      <c r="C3143" s="39">
        <v>4</v>
      </c>
      <c r="D3143" s="39" t="s">
        <v>2122</v>
      </c>
    </row>
    <row r="3144" spans="1:4" x14ac:dyDescent="0.25">
      <c r="A3144" s="39" t="s">
        <v>7757</v>
      </c>
      <c r="B3144" s="39" t="s">
        <v>7758</v>
      </c>
      <c r="C3144" s="39">
        <v>4</v>
      </c>
      <c r="D3144" s="39" t="s">
        <v>2122</v>
      </c>
    </row>
    <row r="3145" spans="1:4" x14ac:dyDescent="0.25">
      <c r="A3145" s="39" t="s">
        <v>7759</v>
      </c>
      <c r="B3145" s="39" t="s">
        <v>7760</v>
      </c>
      <c r="C3145" s="39">
        <v>4</v>
      </c>
      <c r="D3145" s="39" t="s">
        <v>2122</v>
      </c>
    </row>
    <row r="3146" spans="1:4" x14ac:dyDescent="0.25">
      <c r="A3146" s="39" t="s">
        <v>5584</v>
      </c>
      <c r="B3146" s="39" t="s">
        <v>3936</v>
      </c>
      <c r="C3146" s="39">
        <v>4</v>
      </c>
      <c r="D3146" s="39" t="s">
        <v>2122</v>
      </c>
    </row>
    <row r="3147" spans="1:4" x14ac:dyDescent="0.25">
      <c r="A3147" s="39" t="s">
        <v>11445</v>
      </c>
      <c r="B3147" s="39" t="s">
        <v>11446</v>
      </c>
      <c r="C3147" s="39">
        <v>4</v>
      </c>
      <c r="D3147" s="39" t="s">
        <v>2122</v>
      </c>
    </row>
    <row r="3148" spans="1:4" x14ac:dyDescent="0.25">
      <c r="A3148" s="39" t="s">
        <v>5585</v>
      </c>
      <c r="B3148" s="39" t="s">
        <v>5586</v>
      </c>
      <c r="C3148" s="39">
        <v>4</v>
      </c>
      <c r="D3148" s="39" t="s">
        <v>2122</v>
      </c>
    </row>
    <row r="3149" spans="1:4" x14ac:dyDescent="0.25">
      <c r="A3149" s="39" t="s">
        <v>11447</v>
      </c>
      <c r="B3149" s="39" t="s">
        <v>11448</v>
      </c>
      <c r="C3149" s="39">
        <v>4</v>
      </c>
      <c r="D3149" s="39" t="s">
        <v>2122</v>
      </c>
    </row>
    <row r="3150" spans="1:4" x14ac:dyDescent="0.25">
      <c r="A3150" s="39" t="s">
        <v>11449</v>
      </c>
      <c r="B3150" s="39" t="s">
        <v>11450</v>
      </c>
      <c r="C3150" s="39">
        <v>4</v>
      </c>
      <c r="D3150" s="39" t="s">
        <v>2122</v>
      </c>
    </row>
    <row r="3151" spans="1:4" x14ac:dyDescent="0.25">
      <c r="A3151" s="39" t="s">
        <v>2812</v>
      </c>
      <c r="B3151" s="39" t="s">
        <v>2298</v>
      </c>
      <c r="C3151" s="39">
        <v>4</v>
      </c>
      <c r="D3151" s="39" t="s">
        <v>2122</v>
      </c>
    </row>
    <row r="3152" spans="1:4" x14ac:dyDescent="0.25">
      <c r="A3152" s="39" t="s">
        <v>2070</v>
      </c>
      <c r="B3152" s="39" t="s">
        <v>2512</v>
      </c>
      <c r="C3152" s="39">
        <v>4</v>
      </c>
      <c r="D3152" s="39" t="s">
        <v>2122</v>
      </c>
    </row>
    <row r="3153" spans="1:4" x14ac:dyDescent="0.25">
      <c r="A3153" s="39" t="s">
        <v>11451</v>
      </c>
      <c r="B3153" s="39" t="s">
        <v>4086</v>
      </c>
      <c r="C3153" s="39">
        <v>4</v>
      </c>
      <c r="D3153" s="39" t="s">
        <v>2122</v>
      </c>
    </row>
    <row r="3154" spans="1:4" x14ac:dyDescent="0.25">
      <c r="A3154" s="39" t="s">
        <v>11452</v>
      </c>
      <c r="B3154" s="39" t="s">
        <v>11453</v>
      </c>
      <c r="C3154" s="39">
        <v>4</v>
      </c>
      <c r="D3154" s="39" t="s">
        <v>2122</v>
      </c>
    </row>
    <row r="3155" spans="1:4" x14ac:dyDescent="0.25">
      <c r="A3155" s="39" t="s">
        <v>7761</v>
      </c>
      <c r="B3155" s="39" t="s">
        <v>7762</v>
      </c>
      <c r="C3155" s="39">
        <v>4</v>
      </c>
      <c r="D3155" s="39" t="s">
        <v>2122</v>
      </c>
    </row>
    <row r="3156" spans="1:4" x14ac:dyDescent="0.25">
      <c r="A3156" s="39" t="s">
        <v>3663</v>
      </c>
      <c r="B3156" s="39" t="s">
        <v>3864</v>
      </c>
      <c r="C3156" s="39">
        <v>4</v>
      </c>
      <c r="D3156" s="39" t="s">
        <v>2122</v>
      </c>
    </row>
    <row r="3157" spans="1:4" x14ac:dyDescent="0.25">
      <c r="A3157" s="39" t="s">
        <v>11454</v>
      </c>
      <c r="B3157" s="39" t="s">
        <v>11455</v>
      </c>
      <c r="C3157" s="39">
        <v>4</v>
      </c>
      <c r="D3157" s="39" t="s">
        <v>2122</v>
      </c>
    </row>
    <row r="3158" spans="1:4" x14ac:dyDescent="0.25">
      <c r="A3158" s="39" t="s">
        <v>5589</v>
      </c>
      <c r="B3158" s="39" t="s">
        <v>5590</v>
      </c>
      <c r="C3158" s="39">
        <v>4</v>
      </c>
      <c r="D3158" s="39" t="s">
        <v>2122</v>
      </c>
    </row>
    <row r="3159" spans="1:4" x14ac:dyDescent="0.25">
      <c r="A3159" s="39" t="s">
        <v>11456</v>
      </c>
      <c r="B3159" s="39" t="s">
        <v>11457</v>
      </c>
      <c r="C3159" s="39">
        <v>4</v>
      </c>
      <c r="D3159" s="39" t="s">
        <v>2122</v>
      </c>
    </row>
    <row r="3160" spans="1:4" x14ac:dyDescent="0.25">
      <c r="A3160" s="39" t="s">
        <v>11458</v>
      </c>
      <c r="B3160" s="39" t="s">
        <v>11459</v>
      </c>
      <c r="C3160" s="39">
        <v>4</v>
      </c>
      <c r="D3160" s="39" t="s">
        <v>2122</v>
      </c>
    </row>
    <row r="3161" spans="1:4" x14ac:dyDescent="0.25">
      <c r="A3161" s="39" t="s">
        <v>11460</v>
      </c>
      <c r="B3161" s="39" t="s">
        <v>3901</v>
      </c>
      <c r="C3161" s="39">
        <v>4</v>
      </c>
      <c r="D3161" s="39" t="s">
        <v>2122</v>
      </c>
    </row>
    <row r="3162" spans="1:4" x14ac:dyDescent="0.25">
      <c r="A3162" s="39" t="s">
        <v>11461</v>
      </c>
      <c r="B3162" s="39" t="s">
        <v>11462</v>
      </c>
      <c r="C3162" s="39">
        <v>4</v>
      </c>
      <c r="D3162" s="39" t="s">
        <v>2122</v>
      </c>
    </row>
    <row r="3163" spans="1:4" x14ac:dyDescent="0.25">
      <c r="A3163" s="39" t="s">
        <v>11463</v>
      </c>
      <c r="B3163" s="39" t="s">
        <v>11464</v>
      </c>
      <c r="C3163" s="39">
        <v>4</v>
      </c>
      <c r="D3163" s="39" t="s">
        <v>2122</v>
      </c>
    </row>
    <row r="3164" spans="1:4" x14ac:dyDescent="0.25">
      <c r="A3164" s="39" t="s">
        <v>3363</v>
      </c>
      <c r="B3164" s="39" t="s">
        <v>3364</v>
      </c>
      <c r="C3164" s="39">
        <v>4</v>
      </c>
      <c r="D3164" s="39" t="s">
        <v>2122</v>
      </c>
    </row>
    <row r="3165" spans="1:4" x14ac:dyDescent="0.25">
      <c r="A3165" s="39" t="s">
        <v>2363</v>
      </c>
      <c r="B3165" s="39" t="s">
        <v>2228</v>
      </c>
      <c r="C3165" s="39">
        <v>4</v>
      </c>
      <c r="D3165" s="39" t="s">
        <v>2122</v>
      </c>
    </row>
    <row r="3166" spans="1:4" x14ac:dyDescent="0.25">
      <c r="A3166" s="39" t="s">
        <v>11465</v>
      </c>
      <c r="B3166" s="39" t="s">
        <v>11466</v>
      </c>
      <c r="C3166" s="39">
        <v>4</v>
      </c>
      <c r="D3166" s="39" t="s">
        <v>2122</v>
      </c>
    </row>
  </sheetData>
  <phoneticPr fontId="29"/>
  <pageMargins left="0.7" right="0.7" top="0.75" bottom="0.75" header="0.3" footer="0.3"/>
  <pageSetup paperSize="9" orientation="portrait" horizontalDpi="65532"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63DEE-C9D7-46BB-AFD2-6DC988E97AF7}">
  <dimension ref="A1:AM2891"/>
  <sheetViews>
    <sheetView workbookViewId="0">
      <selection activeCell="I16" sqref="I16"/>
    </sheetView>
  </sheetViews>
  <sheetFormatPr defaultColWidth="9" defaultRowHeight="12.75" x14ac:dyDescent="0.25"/>
  <cols>
    <col min="1" max="2" width="9" style="39"/>
    <col min="3" max="3" width="9.1328125"/>
    <col min="4" max="4" width="9" style="39"/>
    <col min="5" max="5" width="9" style="371"/>
    <col min="6" max="14" width="9" style="39"/>
    <col min="15" max="15" width="9.1328125" customWidth="1"/>
    <col min="16" max="16384" width="9" style="39"/>
  </cols>
  <sheetData>
    <row r="1" spans="1:39" x14ac:dyDescent="0.25">
      <c r="A1" s="39" t="s">
        <v>7818</v>
      </c>
      <c r="B1" s="39" t="s">
        <v>7819</v>
      </c>
      <c r="C1" s="39"/>
      <c r="D1" s="39" t="s">
        <v>7822</v>
      </c>
      <c r="E1" s="371" t="s">
        <v>14328</v>
      </c>
      <c r="F1" s="39" t="s">
        <v>7827</v>
      </c>
      <c r="G1" s="39" t="s">
        <v>7820</v>
      </c>
      <c r="H1" s="39" t="s">
        <v>7823</v>
      </c>
      <c r="I1" s="39" t="s">
        <v>138</v>
      </c>
      <c r="J1" s="39" t="s">
        <v>1477</v>
      </c>
      <c r="K1" s="39" t="s">
        <v>2121</v>
      </c>
      <c r="L1" s="39" t="s">
        <v>7824</v>
      </c>
      <c r="M1" s="39" t="s">
        <v>7825</v>
      </c>
      <c r="N1" s="39" t="s">
        <v>7826</v>
      </c>
      <c r="P1" s="39" t="s">
        <v>11489</v>
      </c>
      <c r="Q1" s="39" t="s">
        <v>8545</v>
      </c>
      <c r="R1" s="39" t="s">
        <v>8546</v>
      </c>
      <c r="S1" s="39" t="s">
        <v>8547</v>
      </c>
      <c r="T1" s="39" t="s">
        <v>8548</v>
      </c>
      <c r="U1" s="39" t="s">
        <v>8549</v>
      </c>
      <c r="V1" s="39" t="s">
        <v>8550</v>
      </c>
      <c r="W1" s="39" t="s">
        <v>8551</v>
      </c>
      <c r="X1" s="39" t="s">
        <v>8552</v>
      </c>
      <c r="Y1" s="39" t="s">
        <v>8553</v>
      </c>
      <c r="Z1" s="39" t="s">
        <v>8554</v>
      </c>
      <c r="AA1" s="39" t="s">
        <v>8555</v>
      </c>
      <c r="AB1" s="39" t="s">
        <v>8556</v>
      </c>
      <c r="AC1" s="39" t="s">
        <v>8557</v>
      </c>
      <c r="AD1" s="39" t="s">
        <v>8558</v>
      </c>
      <c r="AE1" s="39" t="s">
        <v>8559</v>
      </c>
      <c r="AF1" s="39" t="s">
        <v>8560</v>
      </c>
      <c r="AG1" s="39" t="s">
        <v>8561</v>
      </c>
      <c r="AH1" s="39" t="s">
        <v>8562</v>
      </c>
      <c r="AI1" s="39" t="s">
        <v>8563</v>
      </c>
      <c r="AJ1" s="39" t="s">
        <v>8564</v>
      </c>
      <c r="AK1" s="39" t="s">
        <v>8565</v>
      </c>
      <c r="AL1" s="39" t="s">
        <v>8566</v>
      </c>
      <c r="AM1" s="39" t="s">
        <v>8567</v>
      </c>
    </row>
    <row r="2" spans="1:39" x14ac:dyDescent="0.25">
      <c r="A2" s="39" t="str">
        <f>("0112040455")</f>
        <v>0112040455</v>
      </c>
      <c r="C2" s="39"/>
      <c r="D2" s="39" t="s">
        <v>6100</v>
      </c>
      <c r="E2" s="371" t="str">
        <f>PHONETIC(P2)</f>
        <v>おおつか　こうた</v>
      </c>
      <c r="F2" s="39" t="s">
        <v>5618</v>
      </c>
      <c r="G2" s="39" t="s">
        <v>7828</v>
      </c>
      <c r="H2" s="39" t="str">
        <f>("2013/12/04")</f>
        <v>2013/12/04</v>
      </c>
      <c r="I2" s="39">
        <v>6</v>
      </c>
      <c r="J2" s="39" t="s">
        <v>1478</v>
      </c>
      <c r="K2" s="39" t="s">
        <v>2122</v>
      </c>
      <c r="L2" s="39" t="s">
        <v>7830</v>
      </c>
      <c r="M2" s="39" t="s">
        <v>7831</v>
      </c>
      <c r="N2" s="39" t="str">
        <f>("0433235")</f>
        <v>0433235</v>
      </c>
      <c r="P2" s="39" t="s">
        <v>11490</v>
      </c>
      <c r="Q2" s="39" t="s">
        <v>8568</v>
      </c>
      <c r="R2" s="39" t="s">
        <v>8569</v>
      </c>
      <c r="S2" s="39" t="s">
        <v>8570</v>
      </c>
      <c r="AK2" s="39" t="str">
        <f>("2025/03/17")</f>
        <v>2025/03/17</v>
      </c>
      <c r="AL2" s="39" t="str">
        <f>("2025/04/01")</f>
        <v>2025/04/01</v>
      </c>
    </row>
    <row r="3" spans="1:39" s="368" customFormat="1" x14ac:dyDescent="0.25">
      <c r="A3" s="368" t="str">
        <f>("1010240247")</f>
        <v>1010240247</v>
      </c>
      <c r="D3" s="368" t="s">
        <v>8571</v>
      </c>
      <c r="E3" s="371" t="str">
        <f t="shared" ref="E3:E66" si="0">PHONETIC(P3)</f>
        <v>ふじい　ゆずき</v>
      </c>
      <c r="F3" s="368" t="s">
        <v>1095</v>
      </c>
      <c r="G3" s="368" t="s">
        <v>7828</v>
      </c>
      <c r="H3" s="368" t="str">
        <f>("2010/10/24")</f>
        <v>2010/10/24</v>
      </c>
      <c r="I3" s="368">
        <v>2</v>
      </c>
      <c r="J3" s="368" t="s">
        <v>1478</v>
      </c>
      <c r="K3" s="368" t="s">
        <v>2122</v>
      </c>
      <c r="L3" s="368" t="s">
        <v>7830</v>
      </c>
      <c r="M3" s="368" t="s">
        <v>7831</v>
      </c>
      <c r="N3" s="368" t="str">
        <f>("0487492")</f>
        <v>0487492</v>
      </c>
      <c r="P3" s="368" t="s">
        <v>11491</v>
      </c>
      <c r="Q3" s="368" t="s">
        <v>8568</v>
      </c>
      <c r="R3" s="368" t="s">
        <v>8569</v>
      </c>
      <c r="S3" s="368" t="s">
        <v>8570</v>
      </c>
      <c r="AK3" s="368" t="str">
        <f>("2025/09/17")</f>
        <v>2025/09/17</v>
      </c>
      <c r="AL3" s="368" t="str">
        <f>("2025/09/17")</f>
        <v>2025/09/17</v>
      </c>
    </row>
    <row r="4" spans="1:39" s="368" customFormat="1" x14ac:dyDescent="0.25">
      <c r="A4" s="368" t="str">
        <f>("1108240378")</f>
        <v>1108240378</v>
      </c>
      <c r="D4" s="368" t="s">
        <v>8572</v>
      </c>
      <c r="E4" s="371" t="str">
        <f t="shared" si="0"/>
        <v>こうの　なぎさ</v>
      </c>
      <c r="F4" s="368" t="s">
        <v>1095</v>
      </c>
      <c r="G4" s="368" t="s">
        <v>7828</v>
      </c>
      <c r="H4" s="368" t="str">
        <f>("2011/08/24")</f>
        <v>2011/08/24</v>
      </c>
      <c r="I4" s="368">
        <v>1</v>
      </c>
      <c r="J4" s="368" t="s">
        <v>1478</v>
      </c>
      <c r="K4" s="368" t="s">
        <v>2122</v>
      </c>
      <c r="L4" s="368" t="s">
        <v>7830</v>
      </c>
      <c r="M4" s="368" t="s">
        <v>7831</v>
      </c>
      <c r="N4" s="368" t="str">
        <f>("0487492")</f>
        <v>0487492</v>
      </c>
      <c r="P4" s="368" t="s">
        <v>11492</v>
      </c>
      <c r="Q4" s="368" t="s">
        <v>8568</v>
      </c>
      <c r="R4" s="368" t="s">
        <v>8569</v>
      </c>
      <c r="S4" s="368" t="s">
        <v>8570</v>
      </c>
      <c r="AK4" s="368" t="str">
        <f>("2025/09/17")</f>
        <v>2025/09/17</v>
      </c>
      <c r="AL4" s="368" t="str">
        <f>("2025/09/17")</f>
        <v>2025/09/17</v>
      </c>
    </row>
    <row r="5" spans="1:39" x14ac:dyDescent="0.25">
      <c r="A5" s="39" t="str">
        <f>("1111210234")</f>
        <v>1111210234</v>
      </c>
      <c r="C5" s="39"/>
      <c r="D5" s="39" t="s">
        <v>4801</v>
      </c>
      <c r="E5" s="371" t="str">
        <f t="shared" si="0"/>
        <v>さとう　ゆうせい</v>
      </c>
      <c r="F5" s="39" t="s">
        <v>1095</v>
      </c>
      <c r="G5" s="39" t="s">
        <v>7828</v>
      </c>
      <c r="H5" s="39" t="str">
        <f>("2013/11/21")</f>
        <v>2013/11/21</v>
      </c>
      <c r="I5" s="39">
        <v>6</v>
      </c>
      <c r="J5" s="39" t="s">
        <v>1478</v>
      </c>
      <c r="K5" s="39" t="s">
        <v>2122</v>
      </c>
      <c r="L5" s="39" t="s">
        <v>7830</v>
      </c>
      <c r="M5" s="39" t="s">
        <v>7831</v>
      </c>
      <c r="N5" s="39" t="str">
        <f>("0487492")</f>
        <v>0487492</v>
      </c>
      <c r="P5" s="39" t="s">
        <v>11493</v>
      </c>
      <c r="Q5" s="39" t="s">
        <v>8568</v>
      </c>
      <c r="R5" s="39" t="s">
        <v>8569</v>
      </c>
      <c r="S5" s="39" t="s">
        <v>8570</v>
      </c>
      <c r="AK5" s="39" t="str">
        <f>("2025/03/21")</f>
        <v>2025/03/21</v>
      </c>
      <c r="AL5" s="39" t="str">
        <f t="shared" ref="AL5:AL12" si="1">("2025/04/01")</f>
        <v>2025/04/01</v>
      </c>
    </row>
    <row r="6" spans="1:39" x14ac:dyDescent="0.25">
      <c r="A6" s="39" t="str">
        <f>("1210090023")</f>
        <v>1210090023</v>
      </c>
      <c r="C6" s="39"/>
      <c r="D6" s="39" t="s">
        <v>3992</v>
      </c>
      <c r="E6" s="371" t="str">
        <f t="shared" si="0"/>
        <v>あまざき　けいたろう</v>
      </c>
      <c r="F6" s="39" t="s">
        <v>1917</v>
      </c>
      <c r="G6" s="39" t="s">
        <v>7876</v>
      </c>
      <c r="H6" s="39" t="str">
        <f>("2013/10/09")</f>
        <v>2013/10/09</v>
      </c>
      <c r="I6" s="39">
        <v>6</v>
      </c>
      <c r="J6" s="39" t="s">
        <v>1478</v>
      </c>
      <c r="K6" s="39" t="s">
        <v>2122</v>
      </c>
      <c r="L6" s="39" t="s">
        <v>7830</v>
      </c>
      <c r="M6" s="39" t="s">
        <v>7831</v>
      </c>
      <c r="N6" s="39" t="str">
        <f>("1032161")</f>
        <v>1032161</v>
      </c>
      <c r="P6" s="39" t="s">
        <v>11494</v>
      </c>
      <c r="Q6" s="39" t="s">
        <v>8568</v>
      </c>
      <c r="R6" s="39" t="s">
        <v>8569</v>
      </c>
      <c r="S6" s="39" t="s">
        <v>8570</v>
      </c>
      <c r="AA6" s="39" t="s">
        <v>2122</v>
      </c>
      <c r="AB6" s="39" t="s">
        <v>7830</v>
      </c>
      <c r="AC6" s="39" t="s">
        <v>7831</v>
      </c>
      <c r="AD6" s="39" t="str">
        <f>("0130363")</f>
        <v>0130363</v>
      </c>
      <c r="AE6" s="39" t="s">
        <v>1912</v>
      </c>
      <c r="AK6" s="39" t="str">
        <f>("2025/03/21")</f>
        <v>2025/03/21</v>
      </c>
      <c r="AL6" s="39" t="str">
        <f t="shared" si="1"/>
        <v>2025/04/01</v>
      </c>
      <c r="AM6" s="39" t="str">
        <f>("2025/04/28")</f>
        <v>2025/04/28</v>
      </c>
    </row>
    <row r="7" spans="1:39" x14ac:dyDescent="0.25">
      <c r="A7" s="39" t="str">
        <f>("1301140093")</f>
        <v>1301140093</v>
      </c>
      <c r="C7" s="39"/>
      <c r="D7" s="39" t="s">
        <v>6247</v>
      </c>
      <c r="E7" s="371" t="str">
        <f t="shared" si="0"/>
        <v>あべ　けんしろう</v>
      </c>
      <c r="F7" s="39" t="s">
        <v>2299</v>
      </c>
      <c r="G7" s="39" t="s">
        <v>7828</v>
      </c>
      <c r="H7" s="39" t="str">
        <f>("2013/01/14")</f>
        <v>2013/01/14</v>
      </c>
      <c r="I7" s="39">
        <v>6</v>
      </c>
      <c r="J7" s="39" t="s">
        <v>1478</v>
      </c>
      <c r="K7" s="39" t="s">
        <v>2122</v>
      </c>
      <c r="L7" s="39" t="s">
        <v>7830</v>
      </c>
      <c r="M7" s="39" t="s">
        <v>7831</v>
      </c>
      <c r="N7" s="39" t="str">
        <f>("1066647")</f>
        <v>1066647</v>
      </c>
      <c r="P7" s="39" t="s">
        <v>11495</v>
      </c>
      <c r="Q7" s="39" t="s">
        <v>8568</v>
      </c>
      <c r="R7" s="39" t="s">
        <v>8569</v>
      </c>
      <c r="S7" s="39" t="s">
        <v>8570</v>
      </c>
      <c r="AK7" s="39" t="str">
        <f>("2025/03/21")</f>
        <v>2025/03/21</v>
      </c>
      <c r="AL7" s="39" t="str">
        <f t="shared" si="1"/>
        <v>2025/04/01</v>
      </c>
    </row>
    <row r="8" spans="1:39" x14ac:dyDescent="0.25">
      <c r="A8" s="39" t="str">
        <f>("1301170045")</f>
        <v>1301170045</v>
      </c>
      <c r="B8" s="39" t="s">
        <v>8573</v>
      </c>
      <c r="C8" s="39"/>
      <c r="D8" s="39" t="s">
        <v>4660</v>
      </c>
      <c r="E8" s="371" t="str">
        <f t="shared" si="0"/>
        <v>あなみ　やまと</v>
      </c>
      <c r="F8" s="39" t="s">
        <v>2821</v>
      </c>
      <c r="G8" s="39" t="s">
        <v>7828</v>
      </c>
      <c r="H8" s="39" t="str">
        <f>("2014/01/17")</f>
        <v>2014/01/17</v>
      </c>
      <c r="I8" s="39">
        <v>6</v>
      </c>
      <c r="J8" s="39" t="s">
        <v>1478</v>
      </c>
      <c r="K8" s="39" t="s">
        <v>2122</v>
      </c>
      <c r="L8" s="39" t="s">
        <v>7830</v>
      </c>
      <c r="M8" s="39" t="s">
        <v>7831</v>
      </c>
      <c r="N8" s="39" t="str">
        <f>("0237631")</f>
        <v>0237631</v>
      </c>
      <c r="P8" s="39" t="s">
        <v>11496</v>
      </c>
      <c r="Q8" s="39" t="s">
        <v>8568</v>
      </c>
      <c r="R8" s="39" t="s">
        <v>8569</v>
      </c>
      <c r="S8" s="39" t="s">
        <v>8570</v>
      </c>
      <c r="AK8" s="39" t="str">
        <f>("2025/03/17")</f>
        <v>2025/03/17</v>
      </c>
      <c r="AL8" s="39" t="str">
        <f t="shared" si="1"/>
        <v>2025/04/01</v>
      </c>
    </row>
    <row r="9" spans="1:39" x14ac:dyDescent="0.25">
      <c r="A9" s="39" t="str">
        <f>("1304020044")</f>
        <v>1304020044</v>
      </c>
      <c r="B9" s="39" t="s">
        <v>8574</v>
      </c>
      <c r="C9" s="39"/>
      <c r="D9" s="39" t="s">
        <v>4585</v>
      </c>
      <c r="E9" s="371" t="str">
        <f t="shared" si="0"/>
        <v>きた　はるき</v>
      </c>
      <c r="F9" s="39" t="s">
        <v>2022</v>
      </c>
      <c r="G9" s="39" t="s">
        <v>7828</v>
      </c>
      <c r="H9" s="39" t="str">
        <f>("2013/04/02")</f>
        <v>2013/04/02</v>
      </c>
      <c r="I9" s="39">
        <v>6</v>
      </c>
      <c r="J9" s="39" t="s">
        <v>1478</v>
      </c>
      <c r="K9" s="39" t="s">
        <v>2122</v>
      </c>
      <c r="L9" s="39" t="s">
        <v>7830</v>
      </c>
      <c r="M9" s="39" t="s">
        <v>7831</v>
      </c>
      <c r="N9" s="39" t="str">
        <f>("0130329")</f>
        <v>0130329</v>
      </c>
      <c r="P9" s="39" t="s">
        <v>11497</v>
      </c>
      <c r="Q9" s="39" t="s">
        <v>8568</v>
      </c>
      <c r="R9" s="39" t="s">
        <v>8569</v>
      </c>
      <c r="S9" s="39" t="s">
        <v>8570</v>
      </c>
      <c r="AA9" s="39" t="s">
        <v>2122</v>
      </c>
      <c r="AB9" s="39" t="s">
        <v>7830</v>
      </c>
      <c r="AC9" s="39" t="s">
        <v>7831</v>
      </c>
      <c r="AD9" s="39" t="str">
        <f>("0130633")</f>
        <v>0130633</v>
      </c>
      <c r="AE9" s="39" t="s">
        <v>639</v>
      </c>
      <c r="AK9" s="39" t="str">
        <f>("2025/03/17")</f>
        <v>2025/03/17</v>
      </c>
      <c r="AL9" s="39" t="str">
        <f t="shared" si="1"/>
        <v>2025/04/01</v>
      </c>
    </row>
    <row r="10" spans="1:39" x14ac:dyDescent="0.25">
      <c r="A10" s="39" t="str">
        <f>("1304020193")</f>
        <v>1304020193</v>
      </c>
      <c r="C10" s="39"/>
      <c r="D10" s="39" t="s">
        <v>6249</v>
      </c>
      <c r="E10" s="371" t="str">
        <f t="shared" si="0"/>
        <v>はら　そうや</v>
      </c>
      <c r="F10" s="39" t="s">
        <v>2299</v>
      </c>
      <c r="G10" s="39" t="s">
        <v>7828</v>
      </c>
      <c r="H10" s="39" t="str">
        <f>("2013/04/02")</f>
        <v>2013/04/02</v>
      </c>
      <c r="I10" s="39">
        <v>6</v>
      </c>
      <c r="J10" s="39" t="s">
        <v>1478</v>
      </c>
      <c r="K10" s="39" t="s">
        <v>2122</v>
      </c>
      <c r="L10" s="39" t="s">
        <v>7830</v>
      </c>
      <c r="M10" s="39" t="s">
        <v>7831</v>
      </c>
      <c r="N10" s="39" t="str">
        <f>("1066647")</f>
        <v>1066647</v>
      </c>
      <c r="P10" s="39" t="s">
        <v>11498</v>
      </c>
      <c r="Q10" s="39" t="s">
        <v>8568</v>
      </c>
      <c r="R10" s="39" t="s">
        <v>8569</v>
      </c>
      <c r="S10" s="39" t="s">
        <v>8570</v>
      </c>
      <c r="AK10" s="39" t="str">
        <f>("2025/03/21")</f>
        <v>2025/03/21</v>
      </c>
      <c r="AL10" s="39" t="str">
        <f t="shared" si="1"/>
        <v>2025/04/01</v>
      </c>
    </row>
    <row r="11" spans="1:39" x14ac:dyDescent="0.25">
      <c r="A11" s="39" t="str">
        <f>("1304020199")</f>
        <v>1304020199</v>
      </c>
      <c r="C11" s="39"/>
      <c r="D11" s="39" t="s">
        <v>5873</v>
      </c>
      <c r="E11" s="371" t="str">
        <f t="shared" si="0"/>
        <v>おおい　ひろと</v>
      </c>
      <c r="F11" s="39" t="s">
        <v>2137</v>
      </c>
      <c r="G11" s="39" t="s">
        <v>7828</v>
      </c>
      <c r="H11" s="39" t="str">
        <f>("2013/04/02")</f>
        <v>2013/04/02</v>
      </c>
      <c r="I11" s="39">
        <v>6</v>
      </c>
      <c r="J11" s="39" t="s">
        <v>1478</v>
      </c>
      <c r="K11" s="39" t="s">
        <v>2122</v>
      </c>
      <c r="L11" s="39" t="s">
        <v>7830</v>
      </c>
      <c r="M11" s="39" t="s">
        <v>7831</v>
      </c>
      <c r="N11" s="39" t="str">
        <f>("0130510")</f>
        <v>0130510</v>
      </c>
      <c r="P11" s="39" t="s">
        <v>11499</v>
      </c>
      <c r="Q11" s="39" t="s">
        <v>8568</v>
      </c>
      <c r="R11" s="39" t="s">
        <v>8569</v>
      </c>
      <c r="S11" s="39" t="s">
        <v>8570</v>
      </c>
      <c r="AK11" s="39" t="str">
        <f>("2025/03/21")</f>
        <v>2025/03/21</v>
      </c>
      <c r="AL11" s="39" t="str">
        <f t="shared" si="1"/>
        <v>2025/04/01</v>
      </c>
    </row>
    <row r="12" spans="1:39" x14ac:dyDescent="0.25">
      <c r="A12" s="39" t="str">
        <f>("1304020224")</f>
        <v>1304020224</v>
      </c>
      <c r="C12" s="39"/>
      <c r="D12" s="39" t="s">
        <v>8575</v>
      </c>
      <c r="E12" s="371" t="str">
        <f t="shared" si="0"/>
        <v>みしろ　あおば</v>
      </c>
      <c r="F12" s="39" t="s">
        <v>2619</v>
      </c>
      <c r="G12" s="39" t="s">
        <v>7828</v>
      </c>
      <c r="H12" s="39" t="str">
        <f>("2013/04/02")</f>
        <v>2013/04/02</v>
      </c>
      <c r="I12" s="39">
        <v>6</v>
      </c>
      <c r="J12" s="39" t="s">
        <v>1478</v>
      </c>
      <c r="K12" s="39" t="s">
        <v>2122</v>
      </c>
      <c r="L12" s="39" t="s">
        <v>7830</v>
      </c>
      <c r="M12" s="39" t="s">
        <v>7831</v>
      </c>
      <c r="N12" s="39" t="str">
        <f>("0472823")</f>
        <v>0472823</v>
      </c>
      <c r="P12" s="39" t="s">
        <v>11500</v>
      </c>
      <c r="Q12" s="39" t="s">
        <v>8568</v>
      </c>
      <c r="R12" s="39" t="s">
        <v>8569</v>
      </c>
      <c r="S12" s="39" t="s">
        <v>8570</v>
      </c>
      <c r="AA12" s="39" t="s">
        <v>2122</v>
      </c>
      <c r="AB12" s="39" t="s">
        <v>7830</v>
      </c>
      <c r="AC12" s="39" t="s">
        <v>7831</v>
      </c>
      <c r="AD12" s="39" t="str">
        <f>("0430119")</f>
        <v>0430119</v>
      </c>
      <c r="AE12" s="39" t="s">
        <v>2602</v>
      </c>
      <c r="AK12" s="39" t="str">
        <f>("2025/03/17")</f>
        <v>2025/03/17</v>
      </c>
      <c r="AL12" s="39" t="str">
        <f t="shared" si="1"/>
        <v>2025/04/01</v>
      </c>
    </row>
    <row r="13" spans="1:39" x14ac:dyDescent="0.25">
      <c r="A13" s="39" t="str">
        <f>("1304030192")</f>
        <v>1304030192</v>
      </c>
      <c r="C13" s="39"/>
      <c r="D13" s="39" t="s">
        <v>8576</v>
      </c>
      <c r="E13" s="371" t="str">
        <f t="shared" si="0"/>
        <v>こみや　ひなと</v>
      </c>
      <c r="F13" s="39" t="s">
        <v>1446</v>
      </c>
      <c r="G13" s="39" t="s">
        <v>7828</v>
      </c>
      <c r="H13" s="39" t="str">
        <f>("2013/04/03")</f>
        <v>2013/04/03</v>
      </c>
      <c r="I13" s="39">
        <v>6</v>
      </c>
      <c r="J13" s="39" t="s">
        <v>1478</v>
      </c>
      <c r="K13" s="39" t="s">
        <v>2122</v>
      </c>
      <c r="L13" s="39" t="s">
        <v>7830</v>
      </c>
      <c r="M13" s="39" t="s">
        <v>7831</v>
      </c>
      <c r="N13" s="39" t="str">
        <f>("0478807")</f>
        <v>0478807</v>
      </c>
      <c r="P13" s="39" t="s">
        <v>11501</v>
      </c>
      <c r="Q13" s="39" t="s">
        <v>8568</v>
      </c>
      <c r="R13" s="39" t="s">
        <v>8569</v>
      </c>
      <c r="S13" s="39" t="s">
        <v>8570</v>
      </c>
      <c r="AA13" s="39" t="s">
        <v>2122</v>
      </c>
      <c r="AB13" s="39" t="s">
        <v>7830</v>
      </c>
      <c r="AC13" s="39" t="s">
        <v>7831</v>
      </c>
      <c r="AD13" s="39" t="str">
        <f>("0129765")</f>
        <v>0129765</v>
      </c>
      <c r="AE13" s="39" t="s">
        <v>520</v>
      </c>
      <c r="AK13" s="39" t="str">
        <f>("2025/04/05")</f>
        <v>2025/04/05</v>
      </c>
      <c r="AL13" s="39" t="str">
        <f>("2025/04/05")</f>
        <v>2025/04/05</v>
      </c>
      <c r="AM13" s="39" t="str">
        <f>("2025/04/08")</f>
        <v>2025/04/08</v>
      </c>
    </row>
    <row r="14" spans="1:39" x14ac:dyDescent="0.25">
      <c r="A14" s="39" t="str">
        <f>("1304040143")</f>
        <v>1304040143</v>
      </c>
      <c r="C14" s="39"/>
      <c r="D14" s="39" t="s">
        <v>6240</v>
      </c>
      <c r="E14" s="371" t="str">
        <f t="shared" si="0"/>
        <v>もり　ひろあき</v>
      </c>
      <c r="F14" s="39" t="s">
        <v>1692</v>
      </c>
      <c r="G14" s="39" t="s">
        <v>7828</v>
      </c>
      <c r="H14" s="39" t="str">
        <f>("2013/04/04")</f>
        <v>2013/04/04</v>
      </c>
      <c r="I14" s="39">
        <v>6</v>
      </c>
      <c r="J14" s="39" t="s">
        <v>1478</v>
      </c>
      <c r="K14" s="39" t="s">
        <v>2122</v>
      </c>
      <c r="L14" s="39" t="s">
        <v>7830</v>
      </c>
      <c r="M14" s="39" t="s">
        <v>7831</v>
      </c>
      <c r="N14" s="39" t="str">
        <f>("1052299")</f>
        <v>1052299</v>
      </c>
      <c r="P14" s="39" t="s">
        <v>11502</v>
      </c>
      <c r="Q14" s="39" t="s">
        <v>8568</v>
      </c>
      <c r="R14" s="39" t="s">
        <v>8569</v>
      </c>
      <c r="S14" s="39" t="s">
        <v>8570</v>
      </c>
      <c r="AK14" s="39" t="str">
        <f>("2025/03/17")</f>
        <v>2025/03/17</v>
      </c>
      <c r="AL14" s="39" t="str">
        <f>("2025/04/01")</f>
        <v>2025/04/01</v>
      </c>
    </row>
    <row r="15" spans="1:39" x14ac:dyDescent="0.25">
      <c r="A15" s="39" t="str">
        <f>("1304040272")</f>
        <v>1304040272</v>
      </c>
      <c r="C15" s="39"/>
      <c r="D15" s="39" t="s">
        <v>5690</v>
      </c>
      <c r="E15" s="371" t="str">
        <f t="shared" si="0"/>
        <v>あんべ　しん</v>
      </c>
      <c r="F15" s="39" t="s">
        <v>334</v>
      </c>
      <c r="G15" s="39" t="s">
        <v>7828</v>
      </c>
      <c r="H15" s="39" t="str">
        <f>("2013/04/04")</f>
        <v>2013/04/04</v>
      </c>
      <c r="I15" s="39">
        <v>6</v>
      </c>
      <c r="J15" s="39" t="s">
        <v>1478</v>
      </c>
      <c r="K15" s="39" t="s">
        <v>2122</v>
      </c>
      <c r="L15" s="39" t="s">
        <v>7830</v>
      </c>
      <c r="M15" s="39" t="s">
        <v>7831</v>
      </c>
      <c r="N15" s="39" t="str">
        <f>("0129664")</f>
        <v>0129664</v>
      </c>
      <c r="P15" s="39" t="s">
        <v>11503</v>
      </c>
      <c r="Q15" s="39" t="s">
        <v>8568</v>
      </c>
      <c r="R15" s="39" t="s">
        <v>8569</v>
      </c>
      <c r="S15" s="39" t="s">
        <v>8570</v>
      </c>
      <c r="AK15" s="39" t="str">
        <f>("2025/03/17")</f>
        <v>2025/03/17</v>
      </c>
      <c r="AL15" s="39" t="str">
        <f>("2025/04/01")</f>
        <v>2025/04/01</v>
      </c>
    </row>
    <row r="16" spans="1:39" x14ac:dyDescent="0.25">
      <c r="A16" s="39" t="str">
        <f>("1304050141")</f>
        <v>1304050141</v>
      </c>
      <c r="B16" s="39" t="s">
        <v>8577</v>
      </c>
      <c r="C16" s="39"/>
      <c r="D16" s="39" t="s">
        <v>5852</v>
      </c>
      <c r="E16" s="371" t="str">
        <f t="shared" si="0"/>
        <v>わだ　ゆいと</v>
      </c>
      <c r="F16" s="39" t="s">
        <v>2033</v>
      </c>
      <c r="G16" s="39" t="s">
        <v>7828</v>
      </c>
      <c r="H16" s="39" t="str">
        <f>("2013/04/05")</f>
        <v>2013/04/05</v>
      </c>
      <c r="I16" s="39">
        <v>6</v>
      </c>
      <c r="J16" s="39" t="s">
        <v>1478</v>
      </c>
      <c r="K16" s="39" t="s">
        <v>2122</v>
      </c>
      <c r="L16" s="39" t="s">
        <v>7830</v>
      </c>
      <c r="M16" s="39" t="s">
        <v>7831</v>
      </c>
      <c r="N16" s="39" t="str">
        <f>("0130442")</f>
        <v>0130442</v>
      </c>
      <c r="P16" s="39" t="s">
        <v>11504</v>
      </c>
      <c r="Q16" s="39" t="s">
        <v>8568</v>
      </c>
      <c r="R16" s="39" t="s">
        <v>8569</v>
      </c>
      <c r="S16" s="39" t="s">
        <v>8570</v>
      </c>
      <c r="AA16" s="39" t="s">
        <v>2122</v>
      </c>
      <c r="AB16" s="39" t="s">
        <v>7830</v>
      </c>
      <c r="AC16" s="39" t="s">
        <v>7831</v>
      </c>
      <c r="AD16" s="39" t="str">
        <f>("0130475")</f>
        <v>0130475</v>
      </c>
      <c r="AE16" s="39" t="s">
        <v>2024</v>
      </c>
      <c r="AF16" s="39" t="s">
        <v>2122</v>
      </c>
      <c r="AG16" s="39" t="s">
        <v>7830</v>
      </c>
      <c r="AH16" s="39" t="s">
        <v>7831</v>
      </c>
      <c r="AI16" s="39" t="str">
        <f>("0130442")</f>
        <v>0130442</v>
      </c>
      <c r="AJ16" s="39" t="s">
        <v>2033</v>
      </c>
      <c r="AK16" s="39" t="str">
        <f>("2025/08/19")</f>
        <v>2025/08/19</v>
      </c>
      <c r="AL16" s="39" t="str">
        <f>("2025/08/19")</f>
        <v>2025/08/19</v>
      </c>
    </row>
    <row r="17" spans="1:38" x14ac:dyDescent="0.25">
      <c r="A17" s="39" t="str">
        <f>("1304050142")</f>
        <v>1304050142</v>
      </c>
      <c r="C17" s="39"/>
      <c r="D17" s="39" t="s">
        <v>5723</v>
      </c>
      <c r="E17" s="371" t="str">
        <f t="shared" si="0"/>
        <v>ごとう　みつおみ</v>
      </c>
      <c r="F17" s="39" t="s">
        <v>834</v>
      </c>
      <c r="G17" s="39" t="s">
        <v>7828</v>
      </c>
      <c r="H17" s="39" t="str">
        <f>("2013/04/05")</f>
        <v>2013/04/05</v>
      </c>
      <c r="I17" s="39">
        <v>6</v>
      </c>
      <c r="J17" s="39" t="s">
        <v>1478</v>
      </c>
      <c r="K17" s="39" t="s">
        <v>2122</v>
      </c>
      <c r="L17" s="39" t="s">
        <v>7830</v>
      </c>
      <c r="M17" s="39" t="s">
        <v>7831</v>
      </c>
      <c r="N17" s="39" t="str">
        <f>("0129844")</f>
        <v>0129844</v>
      </c>
      <c r="P17" s="39" t="s">
        <v>11505</v>
      </c>
      <c r="Q17" s="39" t="s">
        <v>8568</v>
      </c>
      <c r="R17" s="39" t="s">
        <v>8569</v>
      </c>
      <c r="S17" s="39" t="s">
        <v>8570</v>
      </c>
      <c r="AK17" s="39" t="str">
        <f>("2025/03/17")</f>
        <v>2025/03/17</v>
      </c>
      <c r="AL17" s="39" t="str">
        <f t="shared" ref="AL17:AL24" si="2">("2025/04/01")</f>
        <v>2025/04/01</v>
      </c>
    </row>
    <row r="18" spans="1:38" x14ac:dyDescent="0.25">
      <c r="A18" s="39" t="str">
        <f>("1304070004")</f>
        <v>1304070004</v>
      </c>
      <c r="B18" s="39" t="s">
        <v>8578</v>
      </c>
      <c r="C18" s="39"/>
      <c r="D18" s="39" t="s">
        <v>5966</v>
      </c>
      <c r="E18" s="371" t="str">
        <f t="shared" si="0"/>
        <v>くどう　そうま</v>
      </c>
      <c r="F18" s="39" t="s">
        <v>2325</v>
      </c>
      <c r="G18" s="39" t="s">
        <v>7828</v>
      </c>
      <c r="H18" s="39" t="str">
        <f>("2013/04/07")</f>
        <v>2013/04/07</v>
      </c>
      <c r="I18" s="39">
        <v>6</v>
      </c>
      <c r="J18" s="39" t="s">
        <v>1478</v>
      </c>
      <c r="K18" s="39" t="s">
        <v>2122</v>
      </c>
      <c r="L18" s="39" t="s">
        <v>7830</v>
      </c>
      <c r="M18" s="39" t="s">
        <v>7831</v>
      </c>
      <c r="N18" s="39" t="str">
        <f>("0155034")</f>
        <v>0155034</v>
      </c>
      <c r="P18" s="39" t="s">
        <v>11506</v>
      </c>
      <c r="Q18" s="39" t="s">
        <v>8568</v>
      </c>
      <c r="R18" s="39" t="s">
        <v>8569</v>
      </c>
      <c r="S18" s="39" t="s">
        <v>8570</v>
      </c>
      <c r="AK18" s="39" t="str">
        <f>("2025/03/17")</f>
        <v>2025/03/17</v>
      </c>
      <c r="AL18" s="39" t="str">
        <f t="shared" si="2"/>
        <v>2025/04/01</v>
      </c>
    </row>
    <row r="19" spans="1:38" x14ac:dyDescent="0.25">
      <c r="A19" s="39" t="str">
        <f>("1304070033")</f>
        <v>1304070033</v>
      </c>
      <c r="C19" s="39"/>
      <c r="D19" s="39" t="s">
        <v>3875</v>
      </c>
      <c r="E19" s="371" t="str">
        <f t="shared" si="0"/>
        <v>いとう　さくま</v>
      </c>
      <c r="F19" s="39" t="s">
        <v>2878</v>
      </c>
      <c r="G19" s="39" t="s">
        <v>7828</v>
      </c>
      <c r="H19" s="39" t="str">
        <f>("2013/04/07")</f>
        <v>2013/04/07</v>
      </c>
      <c r="I19" s="39">
        <v>6</v>
      </c>
      <c r="J19" s="39" t="s">
        <v>1478</v>
      </c>
      <c r="K19" s="39" t="s">
        <v>2122</v>
      </c>
      <c r="L19" s="39" t="s">
        <v>7830</v>
      </c>
      <c r="M19" s="39" t="s">
        <v>7831</v>
      </c>
      <c r="N19" s="39" t="str">
        <f>("0129484")</f>
        <v>0129484</v>
      </c>
      <c r="P19" s="39" t="s">
        <v>11507</v>
      </c>
      <c r="Q19" s="39" t="s">
        <v>8568</v>
      </c>
      <c r="R19" s="39" t="s">
        <v>8569</v>
      </c>
      <c r="S19" s="39" t="s">
        <v>8570</v>
      </c>
      <c r="AK19" s="39" t="str">
        <f>("2025/03/17")</f>
        <v>2025/03/17</v>
      </c>
      <c r="AL19" s="39" t="str">
        <f t="shared" si="2"/>
        <v>2025/04/01</v>
      </c>
    </row>
    <row r="20" spans="1:38" x14ac:dyDescent="0.25">
      <c r="A20" s="39" t="str">
        <f>("1304070188")</f>
        <v>1304070188</v>
      </c>
      <c r="C20" s="39"/>
      <c r="D20" s="39" t="s">
        <v>8579</v>
      </c>
      <c r="E20" s="371" t="str">
        <f t="shared" si="0"/>
        <v>にしむら　りくと</v>
      </c>
      <c r="F20" s="39" t="s">
        <v>7864</v>
      </c>
      <c r="G20" s="39" t="s">
        <v>7828</v>
      </c>
      <c r="H20" s="39" t="str">
        <f>("2013/04/07")</f>
        <v>2013/04/07</v>
      </c>
      <c r="I20" s="39">
        <v>6</v>
      </c>
      <c r="J20" s="39" t="s">
        <v>1478</v>
      </c>
      <c r="K20" s="39" t="s">
        <v>2122</v>
      </c>
      <c r="L20" s="39" t="s">
        <v>7830</v>
      </c>
      <c r="M20" s="39" t="s">
        <v>7831</v>
      </c>
      <c r="N20" s="39" t="str">
        <f>("1039801")</f>
        <v>1039801</v>
      </c>
      <c r="P20" s="39" t="s">
        <v>11508</v>
      </c>
      <c r="Q20" s="39" t="s">
        <v>8568</v>
      </c>
      <c r="R20" s="39" t="s">
        <v>8569</v>
      </c>
      <c r="S20" s="39" t="s">
        <v>8570</v>
      </c>
      <c r="AK20" s="39" t="str">
        <f>("2025/03/24")</f>
        <v>2025/03/24</v>
      </c>
      <c r="AL20" s="39" t="str">
        <f t="shared" si="2"/>
        <v>2025/04/01</v>
      </c>
    </row>
    <row r="21" spans="1:38" x14ac:dyDescent="0.25">
      <c r="A21" s="39" t="str">
        <f>("1304080076")</f>
        <v>1304080076</v>
      </c>
      <c r="B21" s="39" t="s">
        <v>8580</v>
      </c>
      <c r="C21" s="39"/>
      <c r="D21" s="39" t="s">
        <v>5634</v>
      </c>
      <c r="E21" s="371" t="str">
        <f t="shared" si="0"/>
        <v>たかだ　まなと</v>
      </c>
      <c r="F21" s="39" t="s">
        <v>1968</v>
      </c>
      <c r="G21" s="39" t="s">
        <v>7828</v>
      </c>
      <c r="H21" s="39" t="str">
        <f>("2013/04/08")</f>
        <v>2013/04/08</v>
      </c>
      <c r="I21" s="39">
        <v>6</v>
      </c>
      <c r="J21" s="39" t="s">
        <v>1478</v>
      </c>
      <c r="K21" s="39" t="s">
        <v>2122</v>
      </c>
      <c r="L21" s="39" t="s">
        <v>7830</v>
      </c>
      <c r="M21" s="39" t="s">
        <v>7831</v>
      </c>
      <c r="N21" s="39" t="str">
        <f>("0129507")</f>
        <v>0129507</v>
      </c>
      <c r="P21" s="39" t="s">
        <v>11509</v>
      </c>
      <c r="Q21" s="39" t="s">
        <v>8568</v>
      </c>
      <c r="R21" s="39" t="s">
        <v>8569</v>
      </c>
      <c r="S21" s="39" t="s">
        <v>8570</v>
      </c>
      <c r="AK21" s="39" t="str">
        <f>("2025/03/17")</f>
        <v>2025/03/17</v>
      </c>
      <c r="AL21" s="39" t="str">
        <f t="shared" si="2"/>
        <v>2025/04/01</v>
      </c>
    </row>
    <row r="22" spans="1:38" x14ac:dyDescent="0.25">
      <c r="A22" s="39" t="str">
        <f>("1304080155")</f>
        <v>1304080155</v>
      </c>
      <c r="B22" s="39" t="s">
        <v>8581</v>
      </c>
      <c r="C22" s="39"/>
      <c r="D22" s="39" t="s">
        <v>4306</v>
      </c>
      <c r="E22" s="371" t="str">
        <f t="shared" si="0"/>
        <v>ごとう　そら</v>
      </c>
      <c r="F22" s="39" t="s">
        <v>2491</v>
      </c>
      <c r="G22" s="39" t="s">
        <v>7828</v>
      </c>
      <c r="H22" s="39" t="str">
        <f>("2013/04/08")</f>
        <v>2013/04/08</v>
      </c>
      <c r="I22" s="39">
        <v>6</v>
      </c>
      <c r="J22" s="39" t="s">
        <v>1478</v>
      </c>
      <c r="K22" s="39" t="s">
        <v>2122</v>
      </c>
      <c r="L22" s="39" t="s">
        <v>7830</v>
      </c>
      <c r="M22" s="39" t="s">
        <v>7831</v>
      </c>
      <c r="N22" s="39" t="str">
        <f>("0129822")</f>
        <v>0129822</v>
      </c>
      <c r="P22" s="39" t="s">
        <v>11510</v>
      </c>
      <c r="Q22" s="39" t="s">
        <v>8568</v>
      </c>
      <c r="R22" s="39" t="s">
        <v>8569</v>
      </c>
      <c r="S22" s="39" t="s">
        <v>8570</v>
      </c>
      <c r="AK22" s="39" t="str">
        <f>("2025/03/17")</f>
        <v>2025/03/17</v>
      </c>
      <c r="AL22" s="39" t="str">
        <f t="shared" si="2"/>
        <v>2025/04/01</v>
      </c>
    </row>
    <row r="23" spans="1:38" x14ac:dyDescent="0.25">
      <c r="A23" s="39" t="str">
        <f>("1304080260")</f>
        <v>1304080260</v>
      </c>
      <c r="C23" s="39"/>
      <c r="D23" s="39" t="s">
        <v>6168</v>
      </c>
      <c r="E23" s="371" t="str">
        <f t="shared" si="0"/>
        <v>てらじ　きょうたろう</v>
      </c>
      <c r="F23" s="39" t="s">
        <v>1095</v>
      </c>
      <c r="G23" s="39" t="s">
        <v>7828</v>
      </c>
      <c r="H23" s="39" t="str">
        <f>("2013/04/08")</f>
        <v>2013/04/08</v>
      </c>
      <c r="I23" s="39">
        <v>6</v>
      </c>
      <c r="J23" s="39" t="s">
        <v>1478</v>
      </c>
      <c r="K23" s="39" t="s">
        <v>2122</v>
      </c>
      <c r="L23" s="39" t="s">
        <v>7830</v>
      </c>
      <c r="M23" s="39" t="s">
        <v>7831</v>
      </c>
      <c r="N23" s="39" t="str">
        <f>("0487492")</f>
        <v>0487492</v>
      </c>
      <c r="P23" s="39" t="s">
        <v>11511</v>
      </c>
      <c r="Q23" s="39" t="s">
        <v>8568</v>
      </c>
      <c r="R23" s="39" t="s">
        <v>8569</v>
      </c>
      <c r="S23" s="39" t="s">
        <v>8570</v>
      </c>
      <c r="AK23" s="39" t="str">
        <f>("2025/03/21")</f>
        <v>2025/03/21</v>
      </c>
      <c r="AL23" s="39" t="str">
        <f t="shared" si="2"/>
        <v>2025/04/01</v>
      </c>
    </row>
    <row r="24" spans="1:38" x14ac:dyDescent="0.25">
      <c r="A24" s="39" t="str">
        <f>("1304090175")</f>
        <v>1304090175</v>
      </c>
      <c r="C24" s="39"/>
      <c r="D24" s="39" t="s">
        <v>8582</v>
      </c>
      <c r="E24" s="371" t="str">
        <f t="shared" si="0"/>
        <v>てしま　ここね</v>
      </c>
      <c r="F24" s="39" t="s">
        <v>1968</v>
      </c>
      <c r="G24" s="39" t="s">
        <v>7828</v>
      </c>
      <c r="H24" s="39" t="str">
        <f>("2013/04/09")</f>
        <v>2013/04/09</v>
      </c>
      <c r="I24" s="39">
        <v>6</v>
      </c>
      <c r="J24" s="39" t="s">
        <v>1480</v>
      </c>
      <c r="K24" s="39" t="s">
        <v>2122</v>
      </c>
      <c r="L24" s="39" t="s">
        <v>7830</v>
      </c>
      <c r="M24" s="39" t="s">
        <v>7831</v>
      </c>
      <c r="N24" s="39" t="str">
        <f>("0129507")</f>
        <v>0129507</v>
      </c>
      <c r="P24" s="39" t="s">
        <v>11512</v>
      </c>
      <c r="Q24" s="39" t="s">
        <v>8568</v>
      </c>
      <c r="R24" s="39" t="s">
        <v>8569</v>
      </c>
      <c r="S24" s="39" t="s">
        <v>8570</v>
      </c>
      <c r="AA24" s="39" t="s">
        <v>2035</v>
      </c>
      <c r="AB24" s="39" t="s">
        <v>7830</v>
      </c>
      <c r="AC24" s="39" t="s">
        <v>7831</v>
      </c>
      <c r="AD24" s="39" t="str">
        <f>("0286961")</f>
        <v>0286961</v>
      </c>
      <c r="AE24" s="39" t="s">
        <v>8583</v>
      </c>
      <c r="AK24" s="39" t="str">
        <f>("2025/03/17")</f>
        <v>2025/03/17</v>
      </c>
      <c r="AL24" s="39" t="str">
        <f t="shared" si="2"/>
        <v>2025/04/01</v>
      </c>
    </row>
    <row r="25" spans="1:38" x14ac:dyDescent="0.25">
      <c r="A25" s="39" t="str">
        <f>("1304090240")</f>
        <v>1304090240</v>
      </c>
      <c r="C25" s="39"/>
      <c r="D25" s="39" t="s">
        <v>8584</v>
      </c>
      <c r="E25" s="371" t="str">
        <f t="shared" si="0"/>
        <v>みはた　ゆうき</v>
      </c>
      <c r="F25" s="39" t="s">
        <v>2324</v>
      </c>
      <c r="G25" s="39" t="s">
        <v>7828</v>
      </c>
      <c r="H25" s="39" t="str">
        <f>("2013/04/09")</f>
        <v>2013/04/09</v>
      </c>
      <c r="I25" s="39">
        <v>6</v>
      </c>
      <c r="J25" s="39" t="s">
        <v>1478</v>
      </c>
      <c r="K25" s="39" t="s">
        <v>2122</v>
      </c>
      <c r="L25" s="39" t="s">
        <v>7830</v>
      </c>
      <c r="M25" s="39" t="s">
        <v>7831</v>
      </c>
      <c r="N25" s="39" t="str">
        <f>("0130486")</f>
        <v>0130486</v>
      </c>
      <c r="P25" s="39" t="s">
        <v>11513</v>
      </c>
      <c r="Q25" s="39" t="s">
        <v>8568</v>
      </c>
      <c r="R25" s="39" t="s">
        <v>8569</v>
      </c>
      <c r="S25" s="39" t="s">
        <v>8570</v>
      </c>
      <c r="AA25" s="39" t="s">
        <v>2122</v>
      </c>
      <c r="AB25" s="39" t="s">
        <v>7830</v>
      </c>
      <c r="AC25" s="39" t="s">
        <v>7831</v>
      </c>
      <c r="AD25" s="39" t="str">
        <f>("0472722")</f>
        <v>0472722</v>
      </c>
      <c r="AE25" s="39" t="s">
        <v>2323</v>
      </c>
      <c r="AK25" s="39" t="str">
        <f>("2025/05/09")</f>
        <v>2025/05/09</v>
      </c>
      <c r="AL25" s="39" t="str">
        <f>("2025/05/09")</f>
        <v>2025/05/09</v>
      </c>
    </row>
    <row r="26" spans="1:38" x14ac:dyDescent="0.25">
      <c r="A26" s="39" t="str">
        <f>("1304100117")</f>
        <v>1304100117</v>
      </c>
      <c r="B26" s="39" t="s">
        <v>8585</v>
      </c>
      <c r="C26" s="39"/>
      <c r="D26" s="39" t="s">
        <v>8586</v>
      </c>
      <c r="E26" s="371" t="str">
        <f t="shared" si="0"/>
        <v>かまほり　れんと</v>
      </c>
      <c r="F26" s="39" t="s">
        <v>838</v>
      </c>
      <c r="G26" s="39" t="s">
        <v>7828</v>
      </c>
      <c r="H26" s="39" t="str">
        <f>("2013/04/10")</f>
        <v>2013/04/10</v>
      </c>
      <c r="I26" s="39">
        <v>6</v>
      </c>
      <c r="J26" s="39" t="s">
        <v>1478</v>
      </c>
      <c r="K26" s="39" t="s">
        <v>2122</v>
      </c>
      <c r="L26" s="39" t="s">
        <v>7830</v>
      </c>
      <c r="M26" s="39" t="s">
        <v>7831</v>
      </c>
      <c r="N26" s="39" t="str">
        <f>("0360021")</f>
        <v>0360021</v>
      </c>
      <c r="P26" s="39" t="s">
        <v>11514</v>
      </c>
      <c r="Q26" s="39" t="s">
        <v>8568</v>
      </c>
      <c r="R26" s="39" t="s">
        <v>8569</v>
      </c>
      <c r="S26" s="39" t="s">
        <v>8570</v>
      </c>
      <c r="AK26" s="39" t="str">
        <f>("2025/03/17")</f>
        <v>2025/03/17</v>
      </c>
      <c r="AL26" s="39" t="str">
        <f t="shared" ref="AL26:AL59" si="3">("2025/04/01")</f>
        <v>2025/04/01</v>
      </c>
    </row>
    <row r="27" spans="1:38" x14ac:dyDescent="0.25">
      <c r="A27" s="39" t="str">
        <f>("1304120137")</f>
        <v>1304120137</v>
      </c>
      <c r="C27" s="39"/>
      <c r="D27" s="39" t="s">
        <v>4617</v>
      </c>
      <c r="E27" s="371" t="str">
        <f t="shared" si="0"/>
        <v>たかはし　おうすけ</v>
      </c>
      <c r="F27" s="39" t="s">
        <v>5621</v>
      </c>
      <c r="G27" s="39" t="s">
        <v>7828</v>
      </c>
      <c r="H27" s="39" t="str">
        <f>("2013/04/12")</f>
        <v>2013/04/12</v>
      </c>
      <c r="I27" s="39">
        <v>6</v>
      </c>
      <c r="J27" s="39" t="s">
        <v>1478</v>
      </c>
      <c r="K27" s="39" t="s">
        <v>2122</v>
      </c>
      <c r="L27" s="39" t="s">
        <v>7830</v>
      </c>
      <c r="M27" s="39" t="s">
        <v>7831</v>
      </c>
      <c r="N27" s="39" t="str">
        <f>("1110654")</f>
        <v>1110654</v>
      </c>
      <c r="P27" s="39" t="s">
        <v>11515</v>
      </c>
      <c r="Q27" s="39" t="s">
        <v>8568</v>
      </c>
      <c r="R27" s="39" t="s">
        <v>8569</v>
      </c>
      <c r="S27" s="39" t="s">
        <v>8570</v>
      </c>
      <c r="AA27" s="39" t="s">
        <v>2122</v>
      </c>
      <c r="AB27" s="39" t="s">
        <v>7830</v>
      </c>
      <c r="AC27" s="39" t="s">
        <v>7831</v>
      </c>
      <c r="AD27" s="39" t="str">
        <f>("0130712")</f>
        <v>0130712</v>
      </c>
      <c r="AE27" s="39" t="s">
        <v>2556</v>
      </c>
      <c r="AK27" s="39" t="str">
        <f>("2025/03/03")</f>
        <v>2025/03/03</v>
      </c>
      <c r="AL27" s="39" t="str">
        <f t="shared" si="3"/>
        <v>2025/04/01</v>
      </c>
    </row>
    <row r="28" spans="1:38" x14ac:dyDescent="0.25">
      <c r="A28" s="39" t="str">
        <f>("1304120218")</f>
        <v>1304120218</v>
      </c>
      <c r="C28" s="39"/>
      <c r="D28" s="39" t="s">
        <v>6129</v>
      </c>
      <c r="E28" s="371" t="str">
        <f t="shared" si="0"/>
        <v>みうら　おうすけ</v>
      </c>
      <c r="F28" s="39" t="s">
        <v>413</v>
      </c>
      <c r="G28" s="39" t="s">
        <v>7828</v>
      </c>
      <c r="H28" s="39" t="str">
        <f>("2013/04/12")</f>
        <v>2013/04/12</v>
      </c>
      <c r="I28" s="39">
        <v>6</v>
      </c>
      <c r="J28" s="39" t="s">
        <v>1478</v>
      </c>
      <c r="K28" s="39" t="s">
        <v>2122</v>
      </c>
      <c r="L28" s="39" t="s">
        <v>7830</v>
      </c>
      <c r="M28" s="39" t="s">
        <v>7831</v>
      </c>
      <c r="N28" s="39" t="str">
        <f>("0436902")</f>
        <v>0436902</v>
      </c>
      <c r="P28" s="39" t="s">
        <v>11516</v>
      </c>
      <c r="Q28" s="39" t="s">
        <v>8568</v>
      </c>
      <c r="R28" s="39" t="s">
        <v>8569</v>
      </c>
      <c r="S28" s="39" t="s">
        <v>8570</v>
      </c>
      <c r="AK28" s="39" t="str">
        <f>("2025/03/24")</f>
        <v>2025/03/24</v>
      </c>
      <c r="AL28" s="39" t="str">
        <f t="shared" si="3"/>
        <v>2025/04/01</v>
      </c>
    </row>
    <row r="29" spans="1:38" x14ac:dyDescent="0.25">
      <c r="A29" s="39" t="str">
        <f>("1304130015")</f>
        <v>1304130015</v>
      </c>
      <c r="C29" s="39"/>
      <c r="D29" s="39" t="s">
        <v>3968</v>
      </c>
      <c r="E29" s="371" t="str">
        <f t="shared" si="0"/>
        <v>かわた　あつむ</v>
      </c>
      <c r="F29" s="39" t="s">
        <v>2138</v>
      </c>
      <c r="G29" s="39" t="s">
        <v>7828</v>
      </c>
      <c r="H29" s="39" t="str">
        <f>("2013/04/13")</f>
        <v>2013/04/13</v>
      </c>
      <c r="I29" s="39">
        <v>6</v>
      </c>
      <c r="J29" s="39" t="s">
        <v>1478</v>
      </c>
      <c r="K29" s="39" t="s">
        <v>2122</v>
      </c>
      <c r="L29" s="39" t="s">
        <v>7830</v>
      </c>
      <c r="M29" s="39" t="s">
        <v>7831</v>
      </c>
      <c r="N29" s="39" t="str">
        <f>("0130082")</f>
        <v>0130082</v>
      </c>
      <c r="P29" s="39" t="s">
        <v>11517</v>
      </c>
      <c r="Q29" s="39" t="s">
        <v>8568</v>
      </c>
      <c r="R29" s="39" t="s">
        <v>8569</v>
      </c>
      <c r="S29" s="39" t="s">
        <v>8570</v>
      </c>
      <c r="AK29" s="39" t="str">
        <f>("2025/03/17")</f>
        <v>2025/03/17</v>
      </c>
      <c r="AL29" s="39" t="str">
        <f t="shared" si="3"/>
        <v>2025/04/01</v>
      </c>
    </row>
    <row r="30" spans="1:38" x14ac:dyDescent="0.25">
      <c r="A30" s="39" t="str">
        <f>("1304130114")</f>
        <v>1304130114</v>
      </c>
      <c r="B30" s="39" t="s">
        <v>8587</v>
      </c>
      <c r="C30" s="39"/>
      <c r="D30" s="39" t="s">
        <v>5673</v>
      </c>
      <c r="E30" s="371" t="str">
        <f t="shared" si="0"/>
        <v>まつもと　あおと</v>
      </c>
      <c r="F30" s="39" t="s">
        <v>2188</v>
      </c>
      <c r="G30" s="39" t="s">
        <v>7828</v>
      </c>
      <c r="H30" s="39" t="str">
        <f>("2013/04/30")</f>
        <v>2013/04/30</v>
      </c>
      <c r="I30" s="39">
        <v>6</v>
      </c>
      <c r="J30" s="39" t="s">
        <v>1478</v>
      </c>
      <c r="K30" s="39" t="s">
        <v>2122</v>
      </c>
      <c r="L30" s="39" t="s">
        <v>7830</v>
      </c>
      <c r="M30" s="39" t="s">
        <v>7831</v>
      </c>
      <c r="N30" s="39" t="str">
        <f>("0129596")</f>
        <v>0129596</v>
      </c>
      <c r="P30" s="39" t="s">
        <v>11518</v>
      </c>
      <c r="Q30" s="39" t="s">
        <v>8568</v>
      </c>
      <c r="R30" s="39" t="s">
        <v>8569</v>
      </c>
      <c r="S30" s="39" t="s">
        <v>8570</v>
      </c>
      <c r="AK30" s="39" t="str">
        <f>("2025/03/17")</f>
        <v>2025/03/17</v>
      </c>
      <c r="AL30" s="39" t="str">
        <f t="shared" si="3"/>
        <v>2025/04/01</v>
      </c>
    </row>
    <row r="31" spans="1:38" x14ac:dyDescent="0.25">
      <c r="A31" s="39" t="str">
        <f>("1304130180")</f>
        <v>1304130180</v>
      </c>
      <c r="C31" s="39"/>
      <c r="D31" s="39" t="s">
        <v>6081</v>
      </c>
      <c r="E31" s="371" t="str">
        <f t="shared" si="0"/>
        <v>あんどう　なりと</v>
      </c>
      <c r="F31" s="39" t="s">
        <v>829</v>
      </c>
      <c r="G31" s="39" t="s">
        <v>7828</v>
      </c>
      <c r="H31" s="39" t="str">
        <f>("2013/04/13")</f>
        <v>2013/04/13</v>
      </c>
      <c r="I31" s="39">
        <v>6</v>
      </c>
      <c r="J31" s="39" t="s">
        <v>1478</v>
      </c>
      <c r="K31" s="39" t="s">
        <v>2122</v>
      </c>
      <c r="L31" s="39" t="s">
        <v>7830</v>
      </c>
      <c r="M31" s="39" t="s">
        <v>7831</v>
      </c>
      <c r="N31" s="39" t="str">
        <f>("0426631")</f>
        <v>0426631</v>
      </c>
      <c r="P31" s="39" t="s">
        <v>11519</v>
      </c>
      <c r="Q31" s="39" t="s">
        <v>8568</v>
      </c>
      <c r="R31" s="39" t="s">
        <v>8569</v>
      </c>
      <c r="S31" s="39" t="s">
        <v>8570</v>
      </c>
      <c r="AK31" s="39" t="str">
        <f>("2025/03/21")</f>
        <v>2025/03/21</v>
      </c>
      <c r="AL31" s="39" t="str">
        <f t="shared" si="3"/>
        <v>2025/04/01</v>
      </c>
    </row>
    <row r="32" spans="1:38" x14ac:dyDescent="0.25">
      <c r="A32" s="39" t="str">
        <f>("1304150047")</f>
        <v>1304150047</v>
      </c>
      <c r="C32" s="39"/>
      <c r="D32" s="39" t="s">
        <v>8588</v>
      </c>
      <c r="E32" s="371" t="str">
        <f t="shared" si="0"/>
        <v>のだ　そうし</v>
      </c>
      <c r="F32" s="39" t="s">
        <v>2544</v>
      </c>
      <c r="G32" s="39" t="s">
        <v>7828</v>
      </c>
      <c r="H32" s="39" t="str">
        <f>("2013/04/15")</f>
        <v>2013/04/15</v>
      </c>
      <c r="I32" s="39">
        <v>6</v>
      </c>
      <c r="J32" s="39" t="s">
        <v>1478</v>
      </c>
      <c r="K32" s="39" t="s">
        <v>2122</v>
      </c>
      <c r="L32" s="39" t="s">
        <v>7830</v>
      </c>
      <c r="M32" s="39" t="s">
        <v>7831</v>
      </c>
      <c r="N32" s="39" t="str">
        <f>("0130644")</f>
        <v>0130644</v>
      </c>
      <c r="P32" s="39" t="s">
        <v>11520</v>
      </c>
      <c r="Q32" s="39" t="s">
        <v>8568</v>
      </c>
      <c r="R32" s="39" t="s">
        <v>8569</v>
      </c>
      <c r="S32" s="39" t="s">
        <v>8570</v>
      </c>
      <c r="AK32" s="39" t="str">
        <f>("2025/03/17")</f>
        <v>2025/03/17</v>
      </c>
      <c r="AL32" s="39" t="str">
        <f t="shared" si="3"/>
        <v>2025/04/01</v>
      </c>
    </row>
    <row r="33" spans="1:38" x14ac:dyDescent="0.25">
      <c r="A33" s="39" t="str">
        <f>("1304150217")</f>
        <v>1304150217</v>
      </c>
      <c r="C33" s="39"/>
      <c r="D33" s="39" t="s">
        <v>5705</v>
      </c>
      <c r="E33" s="371" t="str">
        <f t="shared" si="0"/>
        <v>まつもと　らいと</v>
      </c>
      <c r="F33" s="39" t="s">
        <v>520</v>
      </c>
      <c r="G33" s="39" t="s">
        <v>7828</v>
      </c>
      <c r="H33" s="39" t="str">
        <f>("2013/04/15")</f>
        <v>2013/04/15</v>
      </c>
      <c r="I33" s="39">
        <v>6</v>
      </c>
      <c r="J33" s="39" t="s">
        <v>1478</v>
      </c>
      <c r="K33" s="39" t="s">
        <v>2122</v>
      </c>
      <c r="L33" s="39" t="s">
        <v>7830</v>
      </c>
      <c r="M33" s="39" t="s">
        <v>7831</v>
      </c>
      <c r="N33" s="39" t="str">
        <f>("0129765")</f>
        <v>0129765</v>
      </c>
      <c r="P33" s="39" t="s">
        <v>11521</v>
      </c>
      <c r="Q33" s="39" t="s">
        <v>8568</v>
      </c>
      <c r="R33" s="39" t="s">
        <v>8569</v>
      </c>
      <c r="S33" s="39" t="s">
        <v>8570</v>
      </c>
      <c r="AK33" s="39" t="str">
        <f>("2025/03/17")</f>
        <v>2025/03/17</v>
      </c>
      <c r="AL33" s="39" t="str">
        <f t="shared" si="3"/>
        <v>2025/04/01</v>
      </c>
    </row>
    <row r="34" spans="1:38" x14ac:dyDescent="0.25">
      <c r="A34" s="39" t="str">
        <f>("1304160027")</f>
        <v>1304160027</v>
      </c>
      <c r="B34" s="39" t="s">
        <v>8589</v>
      </c>
      <c r="C34" s="39"/>
      <c r="D34" s="39" t="s">
        <v>4130</v>
      </c>
      <c r="E34" s="371" t="str">
        <f t="shared" si="0"/>
        <v>ふじわら　そうた</v>
      </c>
      <c r="F34" s="39" t="s">
        <v>2395</v>
      </c>
      <c r="G34" s="39" t="s">
        <v>7828</v>
      </c>
      <c r="H34" s="39" t="str">
        <f>("2013/04/16")</f>
        <v>2013/04/16</v>
      </c>
      <c r="I34" s="39">
        <v>6</v>
      </c>
      <c r="J34" s="39" t="s">
        <v>1478</v>
      </c>
      <c r="K34" s="39" t="s">
        <v>2122</v>
      </c>
      <c r="L34" s="39" t="s">
        <v>7830</v>
      </c>
      <c r="M34" s="39" t="s">
        <v>7831</v>
      </c>
      <c r="N34" s="39" t="str">
        <f>("0366735")</f>
        <v>0366735</v>
      </c>
      <c r="P34" s="39" t="s">
        <v>11522</v>
      </c>
      <c r="Q34" s="39" t="s">
        <v>8568</v>
      </c>
      <c r="R34" s="39" t="s">
        <v>8569</v>
      </c>
      <c r="S34" s="39" t="s">
        <v>8570</v>
      </c>
      <c r="AK34" s="39" t="str">
        <f>("2025/03/17")</f>
        <v>2025/03/17</v>
      </c>
      <c r="AL34" s="39" t="str">
        <f t="shared" si="3"/>
        <v>2025/04/01</v>
      </c>
    </row>
    <row r="35" spans="1:38" x14ac:dyDescent="0.25">
      <c r="A35" s="39" t="str">
        <f>("1304160039")</f>
        <v>1304160039</v>
      </c>
      <c r="B35" s="39" t="s">
        <v>8590</v>
      </c>
      <c r="C35" s="39"/>
      <c r="D35" s="39" t="s">
        <v>5912</v>
      </c>
      <c r="E35" s="371" t="str">
        <f t="shared" si="0"/>
        <v>かわぐち　わく</v>
      </c>
      <c r="F35" s="39" t="s">
        <v>639</v>
      </c>
      <c r="G35" s="39" t="s">
        <v>7828</v>
      </c>
      <c r="H35" s="39" t="str">
        <f>("2013/04/16")</f>
        <v>2013/04/16</v>
      </c>
      <c r="I35" s="39">
        <v>6</v>
      </c>
      <c r="J35" s="39" t="s">
        <v>1478</v>
      </c>
      <c r="K35" s="39" t="s">
        <v>2122</v>
      </c>
      <c r="L35" s="39" t="s">
        <v>7830</v>
      </c>
      <c r="M35" s="39" t="s">
        <v>7831</v>
      </c>
      <c r="N35" s="39" t="str">
        <f>("0130633")</f>
        <v>0130633</v>
      </c>
      <c r="P35" s="39" t="s">
        <v>11523</v>
      </c>
      <c r="Q35" s="39" t="s">
        <v>8568</v>
      </c>
      <c r="R35" s="39" t="s">
        <v>8569</v>
      </c>
      <c r="S35" s="39" t="s">
        <v>8570</v>
      </c>
      <c r="AK35" s="39" t="str">
        <f>("2025/03/17")</f>
        <v>2025/03/17</v>
      </c>
      <c r="AL35" s="39" t="str">
        <f t="shared" si="3"/>
        <v>2025/04/01</v>
      </c>
    </row>
    <row r="36" spans="1:38" x14ac:dyDescent="0.25">
      <c r="A36" s="39" t="str">
        <f>("1304160072")</f>
        <v>1304160072</v>
      </c>
      <c r="C36" s="39"/>
      <c r="D36" s="39" t="s">
        <v>4628</v>
      </c>
      <c r="E36" s="371" t="str">
        <f t="shared" si="0"/>
        <v>わたなべ　はく</v>
      </c>
      <c r="F36" s="39" t="s">
        <v>1917</v>
      </c>
      <c r="G36" s="39" t="s">
        <v>7828</v>
      </c>
      <c r="H36" s="39" t="str">
        <f>("2013/04/16")</f>
        <v>2013/04/16</v>
      </c>
      <c r="I36" s="39">
        <v>6</v>
      </c>
      <c r="J36" s="39" t="s">
        <v>1478</v>
      </c>
      <c r="K36" s="39" t="s">
        <v>2122</v>
      </c>
      <c r="L36" s="39" t="s">
        <v>7830</v>
      </c>
      <c r="M36" s="39" t="s">
        <v>7831</v>
      </c>
      <c r="N36" s="39" t="str">
        <f>("1032161")</f>
        <v>1032161</v>
      </c>
      <c r="P36" s="39" t="s">
        <v>11524</v>
      </c>
      <c r="Q36" s="39" t="s">
        <v>8568</v>
      </c>
      <c r="R36" s="39" t="s">
        <v>8569</v>
      </c>
      <c r="S36" s="39" t="s">
        <v>8570</v>
      </c>
      <c r="AA36" s="39" t="s">
        <v>2122</v>
      </c>
      <c r="AB36" s="39" t="s">
        <v>7830</v>
      </c>
      <c r="AC36" s="39" t="s">
        <v>7831</v>
      </c>
      <c r="AD36" s="39" t="str">
        <f>("0130745")</f>
        <v>0130745</v>
      </c>
      <c r="AE36" s="39" t="s">
        <v>686</v>
      </c>
      <c r="AK36" s="39" t="str">
        <f>("2025/03/21")</f>
        <v>2025/03/21</v>
      </c>
      <c r="AL36" s="39" t="str">
        <f t="shared" si="3"/>
        <v>2025/04/01</v>
      </c>
    </row>
    <row r="37" spans="1:38" x14ac:dyDescent="0.25">
      <c r="A37" s="39" t="str">
        <f>("1304160148")</f>
        <v>1304160148</v>
      </c>
      <c r="B37" s="39" t="s">
        <v>8591</v>
      </c>
      <c r="C37" s="39"/>
      <c r="D37" s="39" t="s">
        <v>4621</v>
      </c>
      <c r="E37" s="371" t="str">
        <f t="shared" si="0"/>
        <v>りょうかい　きら</v>
      </c>
      <c r="F37" s="39" t="s">
        <v>2556</v>
      </c>
      <c r="G37" s="39" t="s">
        <v>7828</v>
      </c>
      <c r="H37" s="39" t="str">
        <f>("2013/04/16")</f>
        <v>2013/04/16</v>
      </c>
      <c r="I37" s="39">
        <v>6</v>
      </c>
      <c r="J37" s="39" t="s">
        <v>1478</v>
      </c>
      <c r="K37" s="39" t="s">
        <v>2122</v>
      </c>
      <c r="L37" s="39" t="s">
        <v>7830</v>
      </c>
      <c r="M37" s="39" t="s">
        <v>7831</v>
      </c>
      <c r="N37" s="39" t="str">
        <f>("0130712")</f>
        <v>0130712</v>
      </c>
      <c r="P37" s="39" t="s">
        <v>11525</v>
      </c>
      <c r="Q37" s="39" t="s">
        <v>8568</v>
      </c>
      <c r="R37" s="39" t="s">
        <v>8569</v>
      </c>
      <c r="S37" s="39" t="s">
        <v>8570</v>
      </c>
      <c r="AK37" s="39" t="str">
        <f>("2025/03/27")</f>
        <v>2025/03/27</v>
      </c>
      <c r="AL37" s="39" t="str">
        <f t="shared" si="3"/>
        <v>2025/04/01</v>
      </c>
    </row>
    <row r="38" spans="1:38" x14ac:dyDescent="0.25">
      <c r="A38" s="39" t="str">
        <f>("1304170032")</f>
        <v>1304170032</v>
      </c>
      <c r="B38" s="39" t="s">
        <v>8592</v>
      </c>
      <c r="C38" s="39"/>
      <c r="D38" s="39" t="s">
        <v>4557</v>
      </c>
      <c r="E38" s="371" t="str">
        <f t="shared" si="0"/>
        <v>さかもと　じんのすけ</v>
      </c>
      <c r="F38" s="39" t="s">
        <v>1344</v>
      </c>
      <c r="G38" s="39" t="s">
        <v>7828</v>
      </c>
      <c r="H38" s="39" t="str">
        <f>("2013/04/17")</f>
        <v>2013/04/17</v>
      </c>
      <c r="I38" s="39">
        <v>6</v>
      </c>
      <c r="J38" s="39" t="s">
        <v>1478</v>
      </c>
      <c r="K38" s="39" t="s">
        <v>2122</v>
      </c>
      <c r="L38" s="39" t="s">
        <v>7830</v>
      </c>
      <c r="M38" s="39" t="s">
        <v>7831</v>
      </c>
      <c r="N38" s="39" t="str">
        <f>("0130587")</f>
        <v>0130587</v>
      </c>
      <c r="P38" s="39" t="s">
        <v>11526</v>
      </c>
      <c r="Q38" s="39" t="s">
        <v>8568</v>
      </c>
      <c r="R38" s="39" t="s">
        <v>8569</v>
      </c>
      <c r="S38" s="39" t="s">
        <v>8570</v>
      </c>
      <c r="AK38" s="39" t="str">
        <f t="shared" ref="AK38:AK43" si="4">("2025/03/17")</f>
        <v>2025/03/17</v>
      </c>
      <c r="AL38" s="39" t="str">
        <f t="shared" si="3"/>
        <v>2025/04/01</v>
      </c>
    </row>
    <row r="39" spans="1:38" x14ac:dyDescent="0.25">
      <c r="A39" s="39" t="str">
        <f>("1304170241")</f>
        <v>1304170241</v>
      </c>
      <c r="C39" s="39"/>
      <c r="D39" s="39" t="s">
        <v>8593</v>
      </c>
      <c r="E39" s="371" t="str">
        <f t="shared" si="0"/>
        <v>ながの　さとる</v>
      </c>
      <c r="F39" s="39" t="s">
        <v>2350</v>
      </c>
      <c r="G39" s="39" t="s">
        <v>7828</v>
      </c>
      <c r="H39" s="39" t="str">
        <f>("2013/04/17")</f>
        <v>2013/04/17</v>
      </c>
      <c r="I39" s="39">
        <v>6</v>
      </c>
      <c r="J39" s="39" t="s">
        <v>1478</v>
      </c>
      <c r="K39" s="39" t="s">
        <v>2122</v>
      </c>
      <c r="L39" s="39" t="s">
        <v>7830</v>
      </c>
      <c r="M39" s="39" t="s">
        <v>7831</v>
      </c>
      <c r="N39" s="39" t="str">
        <f>("0360032")</f>
        <v>0360032</v>
      </c>
      <c r="P39" s="39" t="s">
        <v>11527</v>
      </c>
      <c r="Q39" s="39" t="s">
        <v>8568</v>
      </c>
      <c r="R39" s="39" t="s">
        <v>8569</v>
      </c>
      <c r="S39" s="39" t="s">
        <v>8570</v>
      </c>
      <c r="AK39" s="39" t="str">
        <f t="shared" si="4"/>
        <v>2025/03/17</v>
      </c>
      <c r="AL39" s="39" t="str">
        <f t="shared" si="3"/>
        <v>2025/04/01</v>
      </c>
    </row>
    <row r="40" spans="1:38" x14ac:dyDescent="0.25">
      <c r="A40" s="39" t="str">
        <f>("1304170247")</f>
        <v>1304170247</v>
      </c>
      <c r="B40" s="39" t="s">
        <v>8594</v>
      </c>
      <c r="C40" s="39"/>
      <c r="D40" s="39" t="s">
        <v>5820</v>
      </c>
      <c r="E40" s="371" t="str">
        <f t="shared" si="0"/>
        <v>しゅとう　そらと</v>
      </c>
      <c r="F40" s="39" t="s">
        <v>1912</v>
      </c>
      <c r="G40" s="39" t="s">
        <v>7828</v>
      </c>
      <c r="H40" s="39" t="str">
        <f>("2013/04/17")</f>
        <v>2013/04/17</v>
      </c>
      <c r="I40" s="39">
        <v>6</v>
      </c>
      <c r="J40" s="39" t="s">
        <v>1478</v>
      </c>
      <c r="K40" s="39" t="s">
        <v>2122</v>
      </c>
      <c r="L40" s="39" t="s">
        <v>7830</v>
      </c>
      <c r="M40" s="39" t="s">
        <v>7831</v>
      </c>
      <c r="N40" s="39" t="str">
        <f>("0130363")</f>
        <v>0130363</v>
      </c>
      <c r="P40" s="39" t="s">
        <v>11528</v>
      </c>
      <c r="Q40" s="39" t="s">
        <v>8568</v>
      </c>
      <c r="R40" s="39" t="s">
        <v>8569</v>
      </c>
      <c r="S40" s="39" t="s">
        <v>8570</v>
      </c>
      <c r="AK40" s="39" t="str">
        <f t="shared" si="4"/>
        <v>2025/03/17</v>
      </c>
      <c r="AL40" s="39" t="str">
        <f t="shared" si="3"/>
        <v>2025/04/01</v>
      </c>
    </row>
    <row r="41" spans="1:38" x14ac:dyDescent="0.25">
      <c r="A41" s="39" t="str">
        <f>("1304180005")</f>
        <v>1304180005</v>
      </c>
      <c r="B41" s="39" t="s">
        <v>8595</v>
      </c>
      <c r="C41" s="39"/>
      <c r="D41" s="39" t="s">
        <v>4443</v>
      </c>
      <c r="E41" s="371" t="str">
        <f t="shared" si="0"/>
        <v>あべ　さき</v>
      </c>
      <c r="F41" s="39" t="s">
        <v>1912</v>
      </c>
      <c r="G41" s="39" t="s">
        <v>7828</v>
      </c>
      <c r="H41" s="39" t="str">
        <f>("2013/04/18")</f>
        <v>2013/04/18</v>
      </c>
      <c r="I41" s="39">
        <v>6</v>
      </c>
      <c r="J41" s="39" t="s">
        <v>1480</v>
      </c>
      <c r="K41" s="39" t="s">
        <v>2122</v>
      </c>
      <c r="L41" s="39" t="s">
        <v>7830</v>
      </c>
      <c r="M41" s="39" t="s">
        <v>7831</v>
      </c>
      <c r="N41" s="39" t="str">
        <f>("0130363")</f>
        <v>0130363</v>
      </c>
      <c r="P41" s="39" t="s">
        <v>11529</v>
      </c>
      <c r="Q41" s="39" t="s">
        <v>8568</v>
      </c>
      <c r="R41" s="39" t="s">
        <v>8569</v>
      </c>
      <c r="S41" s="39" t="s">
        <v>8570</v>
      </c>
      <c r="AA41" s="39" t="s">
        <v>2122</v>
      </c>
      <c r="AB41" s="39" t="s">
        <v>7830</v>
      </c>
      <c r="AC41" s="39" t="s">
        <v>7831</v>
      </c>
      <c r="AD41" s="39" t="str">
        <f>("0472722")</f>
        <v>0472722</v>
      </c>
      <c r="AE41" s="39" t="s">
        <v>2323</v>
      </c>
      <c r="AF41" s="39" t="s">
        <v>2122</v>
      </c>
      <c r="AG41" s="39" t="s">
        <v>7830</v>
      </c>
      <c r="AH41" s="39" t="s">
        <v>7831</v>
      </c>
      <c r="AI41" s="39" t="str">
        <f>("0130363")</f>
        <v>0130363</v>
      </c>
      <c r="AJ41" s="39" t="s">
        <v>1912</v>
      </c>
      <c r="AK41" s="39" t="str">
        <f t="shared" si="4"/>
        <v>2025/03/17</v>
      </c>
      <c r="AL41" s="39" t="str">
        <f t="shared" si="3"/>
        <v>2025/04/01</v>
      </c>
    </row>
    <row r="42" spans="1:38" x14ac:dyDescent="0.25">
      <c r="A42" s="39" t="str">
        <f>("1304190011")</f>
        <v>1304190011</v>
      </c>
      <c r="B42" s="39" t="s">
        <v>8596</v>
      </c>
      <c r="C42" s="39"/>
      <c r="D42" s="39" t="s">
        <v>3993</v>
      </c>
      <c r="E42" s="371" t="str">
        <f t="shared" si="0"/>
        <v>しおつき　はると</v>
      </c>
      <c r="F42" s="39" t="s">
        <v>1912</v>
      </c>
      <c r="G42" s="39" t="s">
        <v>7828</v>
      </c>
      <c r="H42" s="39" t="str">
        <f>("2013/04/19")</f>
        <v>2013/04/19</v>
      </c>
      <c r="I42" s="39">
        <v>6</v>
      </c>
      <c r="J42" s="39" t="s">
        <v>1478</v>
      </c>
      <c r="K42" s="39" t="s">
        <v>2122</v>
      </c>
      <c r="L42" s="39" t="s">
        <v>7830</v>
      </c>
      <c r="M42" s="39" t="s">
        <v>7831</v>
      </c>
      <c r="N42" s="39" t="str">
        <f>("0130363")</f>
        <v>0130363</v>
      </c>
      <c r="P42" s="39" t="s">
        <v>11530</v>
      </c>
      <c r="Q42" s="39" t="s">
        <v>8568</v>
      </c>
      <c r="R42" s="39" t="s">
        <v>8569</v>
      </c>
      <c r="S42" s="39" t="s">
        <v>8570</v>
      </c>
      <c r="AK42" s="39" t="str">
        <f t="shared" si="4"/>
        <v>2025/03/17</v>
      </c>
      <c r="AL42" s="39" t="str">
        <f t="shared" si="3"/>
        <v>2025/04/01</v>
      </c>
    </row>
    <row r="43" spans="1:38" x14ac:dyDescent="0.25">
      <c r="A43" s="39" t="str">
        <f>("1304190056")</f>
        <v>1304190056</v>
      </c>
      <c r="C43" s="39"/>
      <c r="D43" s="39" t="s">
        <v>4516</v>
      </c>
      <c r="E43" s="371" t="str">
        <f t="shared" si="0"/>
        <v>あかぎ　かいと</v>
      </c>
      <c r="F43" s="39" t="s">
        <v>2533</v>
      </c>
      <c r="G43" s="39" t="s">
        <v>7828</v>
      </c>
      <c r="H43" s="39" t="str">
        <f>("2013/04/19")</f>
        <v>2013/04/19</v>
      </c>
      <c r="I43" s="39">
        <v>6</v>
      </c>
      <c r="J43" s="39" t="s">
        <v>1478</v>
      </c>
      <c r="K43" s="39" t="s">
        <v>2122</v>
      </c>
      <c r="L43" s="39" t="s">
        <v>7830</v>
      </c>
      <c r="M43" s="39" t="s">
        <v>7831</v>
      </c>
      <c r="N43" s="39" t="str">
        <f>("0130497")</f>
        <v>0130497</v>
      </c>
      <c r="P43" s="39" t="s">
        <v>11531</v>
      </c>
      <c r="Q43" s="39" t="s">
        <v>8568</v>
      </c>
      <c r="R43" s="39" t="s">
        <v>8569</v>
      </c>
      <c r="S43" s="39" t="s">
        <v>8570</v>
      </c>
      <c r="AK43" s="39" t="str">
        <f t="shared" si="4"/>
        <v>2025/03/17</v>
      </c>
      <c r="AL43" s="39" t="str">
        <f t="shared" si="3"/>
        <v>2025/04/01</v>
      </c>
    </row>
    <row r="44" spans="1:38" x14ac:dyDescent="0.25">
      <c r="A44" s="39" t="str">
        <f>("1304190089")</f>
        <v>1304190089</v>
      </c>
      <c r="C44" s="39"/>
      <c r="D44" s="39" t="s">
        <v>6231</v>
      </c>
      <c r="E44" s="371" t="str">
        <f t="shared" si="0"/>
        <v>たつしま　はると</v>
      </c>
      <c r="F44" s="39" t="s">
        <v>2648</v>
      </c>
      <c r="G44" s="39" t="s">
        <v>7828</v>
      </c>
      <c r="H44" s="39" t="str">
        <f>("2013/04/19")</f>
        <v>2013/04/19</v>
      </c>
      <c r="I44" s="39">
        <v>6</v>
      </c>
      <c r="J44" s="39" t="s">
        <v>1478</v>
      </c>
      <c r="K44" s="39" t="s">
        <v>2122</v>
      </c>
      <c r="L44" s="39" t="s">
        <v>7830</v>
      </c>
      <c r="M44" s="39" t="s">
        <v>7831</v>
      </c>
      <c r="N44" s="39" t="str">
        <f>("1050097")</f>
        <v>1050097</v>
      </c>
      <c r="P44" s="39" t="s">
        <v>11532</v>
      </c>
      <c r="Q44" s="39" t="s">
        <v>8568</v>
      </c>
      <c r="R44" s="39" t="s">
        <v>8569</v>
      </c>
      <c r="S44" s="39" t="s">
        <v>8570</v>
      </c>
      <c r="AA44" s="39" t="s">
        <v>2122</v>
      </c>
      <c r="AB44" s="39" t="s">
        <v>7830</v>
      </c>
      <c r="AC44" s="39" t="s">
        <v>7831</v>
      </c>
      <c r="AD44" s="39" t="str">
        <f>("0129990")</f>
        <v>0129990</v>
      </c>
      <c r="AE44" s="39" t="s">
        <v>3867</v>
      </c>
      <c r="AK44" s="39" t="str">
        <f>("2025/03/25")</f>
        <v>2025/03/25</v>
      </c>
      <c r="AL44" s="39" t="str">
        <f t="shared" si="3"/>
        <v>2025/04/01</v>
      </c>
    </row>
    <row r="45" spans="1:38" x14ac:dyDescent="0.25">
      <c r="A45" s="39" t="str">
        <f>("1304200025")</f>
        <v>1304200025</v>
      </c>
      <c r="C45" s="39"/>
      <c r="D45" s="39" t="s">
        <v>3893</v>
      </c>
      <c r="E45" s="371" t="str">
        <f t="shared" si="0"/>
        <v>だいりき　はやと</v>
      </c>
      <c r="F45" s="39" t="s">
        <v>2274</v>
      </c>
      <c r="G45" s="39" t="s">
        <v>7828</v>
      </c>
      <c r="H45" s="39" t="str">
        <f>("2013/04/20")</f>
        <v>2013/04/20</v>
      </c>
      <c r="I45" s="39">
        <v>6</v>
      </c>
      <c r="J45" s="39" t="s">
        <v>1478</v>
      </c>
      <c r="K45" s="39" t="s">
        <v>2122</v>
      </c>
      <c r="L45" s="39" t="s">
        <v>7830</v>
      </c>
      <c r="M45" s="39" t="s">
        <v>7831</v>
      </c>
      <c r="N45" s="39" t="str">
        <f>("0129563")</f>
        <v>0129563</v>
      </c>
      <c r="P45" s="39" t="s">
        <v>11533</v>
      </c>
      <c r="Q45" s="39" t="s">
        <v>8568</v>
      </c>
      <c r="R45" s="39" t="s">
        <v>8569</v>
      </c>
      <c r="S45" s="39" t="s">
        <v>8570</v>
      </c>
      <c r="AK45" s="39" t="str">
        <f>("2025/03/17")</f>
        <v>2025/03/17</v>
      </c>
      <c r="AL45" s="39" t="str">
        <f t="shared" si="3"/>
        <v>2025/04/01</v>
      </c>
    </row>
    <row r="46" spans="1:38" x14ac:dyDescent="0.25">
      <c r="A46" s="39" t="str">
        <f>("1304200100")</f>
        <v>1304200100</v>
      </c>
      <c r="C46" s="39"/>
      <c r="D46" s="39" t="s">
        <v>5893</v>
      </c>
      <c r="E46" s="371" t="str">
        <f t="shared" si="0"/>
        <v>えど　しゅんた</v>
      </c>
      <c r="F46" s="39" t="s">
        <v>1190</v>
      </c>
      <c r="G46" s="39" t="s">
        <v>7828</v>
      </c>
      <c r="H46" s="39" t="str">
        <f>("2013/04/20")</f>
        <v>2013/04/20</v>
      </c>
      <c r="I46" s="39">
        <v>6</v>
      </c>
      <c r="J46" s="39" t="s">
        <v>1478</v>
      </c>
      <c r="K46" s="39" t="s">
        <v>2122</v>
      </c>
      <c r="L46" s="39" t="s">
        <v>7830</v>
      </c>
      <c r="M46" s="39" t="s">
        <v>7831</v>
      </c>
      <c r="N46" s="39" t="str">
        <f>("0130554")</f>
        <v>0130554</v>
      </c>
      <c r="P46" s="39" t="s">
        <v>11534</v>
      </c>
      <c r="Q46" s="39" t="s">
        <v>8568</v>
      </c>
      <c r="R46" s="39" t="s">
        <v>8569</v>
      </c>
      <c r="S46" s="39" t="s">
        <v>8570</v>
      </c>
      <c r="AA46" s="39" t="s">
        <v>2122</v>
      </c>
      <c r="AB46" s="39" t="s">
        <v>7830</v>
      </c>
      <c r="AC46" s="39" t="s">
        <v>7831</v>
      </c>
      <c r="AD46" s="39" t="str">
        <f>("0456892")</f>
        <v>0456892</v>
      </c>
      <c r="AE46" s="39" t="s">
        <v>2615</v>
      </c>
      <c r="AK46" s="39" t="str">
        <f>("2025/03/17")</f>
        <v>2025/03/17</v>
      </c>
      <c r="AL46" s="39" t="str">
        <f t="shared" si="3"/>
        <v>2025/04/01</v>
      </c>
    </row>
    <row r="47" spans="1:38" x14ac:dyDescent="0.25">
      <c r="A47" s="39" t="str">
        <f>("1304210098")</f>
        <v>1304210098</v>
      </c>
      <c r="C47" s="39"/>
      <c r="D47" s="39" t="s">
        <v>6019</v>
      </c>
      <c r="E47" s="371" t="str">
        <f t="shared" si="0"/>
        <v>しまだ　ゆいと</v>
      </c>
      <c r="F47" s="39" t="s">
        <v>2530</v>
      </c>
      <c r="G47" s="39" t="s">
        <v>7828</v>
      </c>
      <c r="H47" s="39" t="str">
        <f>("2013/04/21")</f>
        <v>2013/04/21</v>
      </c>
      <c r="I47" s="39">
        <v>6</v>
      </c>
      <c r="J47" s="39" t="s">
        <v>1478</v>
      </c>
      <c r="K47" s="39" t="s">
        <v>2122</v>
      </c>
      <c r="L47" s="39" t="s">
        <v>7830</v>
      </c>
      <c r="M47" s="39" t="s">
        <v>7831</v>
      </c>
      <c r="N47" s="39" t="str">
        <f>("0338756")</f>
        <v>0338756</v>
      </c>
      <c r="P47" s="39" t="s">
        <v>11535</v>
      </c>
      <c r="Q47" s="39" t="s">
        <v>8568</v>
      </c>
      <c r="R47" s="39" t="s">
        <v>8569</v>
      </c>
      <c r="S47" s="39" t="s">
        <v>8570</v>
      </c>
      <c r="AK47" s="39" t="str">
        <f>("2025/04/01")</f>
        <v>2025/04/01</v>
      </c>
      <c r="AL47" s="39" t="str">
        <f t="shared" si="3"/>
        <v>2025/04/01</v>
      </c>
    </row>
    <row r="48" spans="1:38" x14ac:dyDescent="0.25">
      <c r="A48" s="39" t="str">
        <f>("1304220039")</f>
        <v>1304220039</v>
      </c>
      <c r="C48" s="39"/>
      <c r="D48" s="39" t="s">
        <v>4241</v>
      </c>
      <c r="E48" s="371" t="str">
        <f t="shared" si="0"/>
        <v>よしだ　ゆきひさ</v>
      </c>
      <c r="F48" s="39" t="s">
        <v>2274</v>
      </c>
      <c r="G48" s="39" t="s">
        <v>7828</v>
      </c>
      <c r="H48" s="39" t="str">
        <f>("2013/04/22")</f>
        <v>2013/04/22</v>
      </c>
      <c r="I48" s="39">
        <v>6</v>
      </c>
      <c r="J48" s="39" t="s">
        <v>1478</v>
      </c>
      <c r="K48" s="39" t="s">
        <v>2122</v>
      </c>
      <c r="L48" s="39" t="s">
        <v>7830</v>
      </c>
      <c r="M48" s="39" t="s">
        <v>7831</v>
      </c>
      <c r="N48" s="39" t="str">
        <f>("0129563")</f>
        <v>0129563</v>
      </c>
      <c r="P48" s="39" t="s">
        <v>11536</v>
      </c>
      <c r="Q48" s="39" t="s">
        <v>8568</v>
      </c>
      <c r="R48" s="39" t="s">
        <v>8569</v>
      </c>
      <c r="S48" s="39" t="s">
        <v>8570</v>
      </c>
      <c r="AK48" s="39" t="str">
        <f>("2025/03/17")</f>
        <v>2025/03/17</v>
      </c>
      <c r="AL48" s="39" t="str">
        <f t="shared" si="3"/>
        <v>2025/04/01</v>
      </c>
    </row>
    <row r="49" spans="1:39" x14ac:dyDescent="0.25">
      <c r="A49" s="39" t="str">
        <f>("1304240023")</f>
        <v>1304240023</v>
      </c>
      <c r="C49" s="39"/>
      <c r="D49" s="39" t="s">
        <v>4338</v>
      </c>
      <c r="E49" s="371" t="str">
        <f t="shared" si="0"/>
        <v>はたべ　あん</v>
      </c>
      <c r="F49" s="39" t="s">
        <v>2918</v>
      </c>
      <c r="G49" s="39" t="s">
        <v>7828</v>
      </c>
      <c r="H49" s="39" t="str">
        <f>("2013/04/24")</f>
        <v>2013/04/24</v>
      </c>
      <c r="I49" s="39">
        <v>6</v>
      </c>
      <c r="J49" s="39" t="s">
        <v>1480</v>
      </c>
      <c r="K49" s="39" t="s">
        <v>2122</v>
      </c>
      <c r="L49" s="39" t="s">
        <v>7830</v>
      </c>
      <c r="M49" s="39" t="s">
        <v>7831</v>
      </c>
      <c r="N49" s="39" t="str">
        <f>("0129912")</f>
        <v>0129912</v>
      </c>
      <c r="P49" s="39" t="s">
        <v>11537</v>
      </c>
      <c r="Q49" s="39" t="s">
        <v>8568</v>
      </c>
      <c r="R49" s="39" t="s">
        <v>8569</v>
      </c>
      <c r="S49" s="39" t="s">
        <v>8570</v>
      </c>
      <c r="AK49" s="39" t="str">
        <f>("2025/03/17")</f>
        <v>2025/03/17</v>
      </c>
      <c r="AL49" s="39" t="str">
        <f t="shared" si="3"/>
        <v>2025/04/01</v>
      </c>
    </row>
    <row r="50" spans="1:39" x14ac:dyDescent="0.25">
      <c r="A50" s="39" t="str">
        <f>("1304240176")</f>
        <v>1304240176</v>
      </c>
      <c r="C50" s="39"/>
      <c r="D50" s="39" t="s">
        <v>4663</v>
      </c>
      <c r="E50" s="371" t="str">
        <f t="shared" si="0"/>
        <v>あんどう　まなと</v>
      </c>
      <c r="F50" s="39" t="s">
        <v>2349</v>
      </c>
      <c r="G50" s="39" t="s">
        <v>7828</v>
      </c>
      <c r="H50" s="39" t="str">
        <f>("2013/04/24")</f>
        <v>2013/04/24</v>
      </c>
      <c r="I50" s="39">
        <v>6</v>
      </c>
      <c r="J50" s="39" t="s">
        <v>1478</v>
      </c>
      <c r="K50" s="39" t="s">
        <v>2122</v>
      </c>
      <c r="L50" s="39" t="s">
        <v>7830</v>
      </c>
      <c r="M50" s="39" t="s">
        <v>7831</v>
      </c>
      <c r="N50" s="39" t="str">
        <f>("0292081")</f>
        <v>0292081</v>
      </c>
      <c r="P50" s="39" t="s">
        <v>11538</v>
      </c>
      <c r="Q50" s="39" t="s">
        <v>8568</v>
      </c>
      <c r="R50" s="39" t="s">
        <v>8569</v>
      </c>
      <c r="S50" s="39" t="s">
        <v>8570</v>
      </c>
      <c r="AK50" s="39" t="str">
        <f>("2025/03/24")</f>
        <v>2025/03/24</v>
      </c>
      <c r="AL50" s="39" t="str">
        <f t="shared" si="3"/>
        <v>2025/04/01</v>
      </c>
    </row>
    <row r="51" spans="1:39" x14ac:dyDescent="0.25">
      <c r="A51" s="39" t="str">
        <f>("1304250092")</f>
        <v>1304250092</v>
      </c>
      <c r="C51" s="39"/>
      <c r="D51" s="39" t="s">
        <v>8597</v>
      </c>
      <c r="E51" s="371" t="str">
        <f t="shared" si="0"/>
        <v>さきむら　ゆうせい</v>
      </c>
      <c r="F51" s="39" t="s">
        <v>947</v>
      </c>
      <c r="G51" s="39" t="s">
        <v>7828</v>
      </c>
      <c r="H51" s="39" t="str">
        <f>("2013/04/25")</f>
        <v>2013/04/25</v>
      </c>
      <c r="I51" s="39">
        <v>6</v>
      </c>
      <c r="J51" s="39" t="s">
        <v>1478</v>
      </c>
      <c r="K51" s="39" t="s">
        <v>2122</v>
      </c>
      <c r="L51" s="39" t="s">
        <v>7830</v>
      </c>
      <c r="M51" s="39" t="s">
        <v>7831</v>
      </c>
      <c r="N51" s="39" t="str">
        <f>("0130183")</f>
        <v>0130183</v>
      </c>
      <c r="P51" s="39" t="s">
        <v>11539</v>
      </c>
      <c r="Q51" s="39" t="s">
        <v>8568</v>
      </c>
      <c r="R51" s="39" t="s">
        <v>8569</v>
      </c>
      <c r="S51" s="39" t="s">
        <v>8570</v>
      </c>
      <c r="AK51" s="39" t="str">
        <f>("2025/03/27")</f>
        <v>2025/03/27</v>
      </c>
      <c r="AL51" s="39" t="str">
        <f t="shared" si="3"/>
        <v>2025/04/01</v>
      </c>
    </row>
    <row r="52" spans="1:39" x14ac:dyDescent="0.25">
      <c r="A52" s="39" t="str">
        <f>("1304260154")</f>
        <v>1304260154</v>
      </c>
      <c r="B52" s="39" t="s">
        <v>8598</v>
      </c>
      <c r="C52" s="39"/>
      <c r="D52" s="39" t="s">
        <v>5671</v>
      </c>
      <c r="E52" s="371" t="str">
        <f t="shared" si="0"/>
        <v>なかしま　かなた</v>
      </c>
      <c r="F52" s="39" t="s">
        <v>2188</v>
      </c>
      <c r="G52" s="39" t="s">
        <v>7828</v>
      </c>
      <c r="H52" s="39" t="str">
        <f>("2013/04/26")</f>
        <v>2013/04/26</v>
      </c>
      <c r="I52" s="39">
        <v>6</v>
      </c>
      <c r="J52" s="39" t="s">
        <v>1478</v>
      </c>
      <c r="K52" s="39" t="s">
        <v>2122</v>
      </c>
      <c r="L52" s="39" t="s">
        <v>7830</v>
      </c>
      <c r="M52" s="39" t="s">
        <v>7831</v>
      </c>
      <c r="N52" s="39" t="str">
        <f>("0129596")</f>
        <v>0129596</v>
      </c>
      <c r="P52" s="39" t="s">
        <v>11540</v>
      </c>
      <c r="Q52" s="39" t="s">
        <v>8568</v>
      </c>
      <c r="R52" s="39" t="s">
        <v>8569</v>
      </c>
      <c r="S52" s="39" t="s">
        <v>8570</v>
      </c>
      <c r="AK52" s="39" t="str">
        <f>("2025/03/17")</f>
        <v>2025/03/17</v>
      </c>
      <c r="AL52" s="39" t="str">
        <f t="shared" si="3"/>
        <v>2025/04/01</v>
      </c>
    </row>
    <row r="53" spans="1:39" x14ac:dyDescent="0.25">
      <c r="A53" s="39" t="str">
        <f>("1304260267")</f>
        <v>1304260267</v>
      </c>
      <c r="C53" s="39"/>
      <c r="D53" s="39" t="s">
        <v>8599</v>
      </c>
      <c r="E53" s="371" t="str">
        <f t="shared" si="0"/>
        <v>くわばら　ゆいか</v>
      </c>
      <c r="F53" s="39" t="s">
        <v>2557</v>
      </c>
      <c r="G53" s="39" t="s">
        <v>7828</v>
      </c>
      <c r="H53" s="39" t="str">
        <f>("2013/04/26")</f>
        <v>2013/04/26</v>
      </c>
      <c r="I53" s="39">
        <v>6</v>
      </c>
      <c r="J53" s="39" t="s">
        <v>1480</v>
      </c>
      <c r="K53" s="39" t="s">
        <v>2122</v>
      </c>
      <c r="L53" s="39" t="s">
        <v>7830</v>
      </c>
      <c r="M53" s="39" t="s">
        <v>7831</v>
      </c>
      <c r="N53" s="39" t="str">
        <f>("0130723")</f>
        <v>0130723</v>
      </c>
      <c r="P53" s="39" t="s">
        <v>11541</v>
      </c>
      <c r="Q53" s="39" t="s">
        <v>8568</v>
      </c>
      <c r="R53" s="39" t="s">
        <v>8569</v>
      </c>
      <c r="S53" s="39" t="s">
        <v>8570</v>
      </c>
      <c r="AK53" s="39" t="str">
        <f>("2025/03/17")</f>
        <v>2025/03/17</v>
      </c>
      <c r="AL53" s="39" t="str">
        <f t="shared" si="3"/>
        <v>2025/04/01</v>
      </c>
    </row>
    <row r="54" spans="1:39" x14ac:dyDescent="0.25">
      <c r="A54" s="39" t="str">
        <f>("1304280059")</f>
        <v>1304280059</v>
      </c>
      <c r="C54" s="39"/>
      <c r="D54" s="39" t="s">
        <v>4232</v>
      </c>
      <c r="E54" s="371" t="str">
        <f t="shared" si="0"/>
        <v>わたなべ　そうすけ</v>
      </c>
      <c r="F54" s="39" t="s">
        <v>2878</v>
      </c>
      <c r="G54" s="39" t="s">
        <v>7828</v>
      </c>
      <c r="H54" s="39" t="str">
        <f>("2013/04/28")</f>
        <v>2013/04/28</v>
      </c>
      <c r="I54" s="39">
        <v>6</v>
      </c>
      <c r="J54" s="39" t="s">
        <v>1478</v>
      </c>
      <c r="K54" s="39" t="s">
        <v>2122</v>
      </c>
      <c r="L54" s="39" t="s">
        <v>7830</v>
      </c>
      <c r="M54" s="39" t="s">
        <v>7831</v>
      </c>
      <c r="N54" s="39" t="str">
        <f>("0129484")</f>
        <v>0129484</v>
      </c>
      <c r="P54" s="39" t="s">
        <v>11542</v>
      </c>
      <c r="Q54" s="39" t="s">
        <v>8568</v>
      </c>
      <c r="R54" s="39" t="s">
        <v>8569</v>
      </c>
      <c r="S54" s="39" t="s">
        <v>8570</v>
      </c>
      <c r="AK54" s="39" t="str">
        <f>("2025/03/17")</f>
        <v>2025/03/17</v>
      </c>
      <c r="AL54" s="39" t="str">
        <f t="shared" si="3"/>
        <v>2025/04/01</v>
      </c>
    </row>
    <row r="55" spans="1:39" x14ac:dyDescent="0.25">
      <c r="A55" s="39" t="str">
        <f>("1304280092")</f>
        <v>1304280092</v>
      </c>
      <c r="C55" s="39"/>
      <c r="D55" s="39" t="s">
        <v>6250</v>
      </c>
      <c r="E55" s="371" t="str">
        <f t="shared" si="0"/>
        <v>たかくら　りゅうしょう</v>
      </c>
      <c r="F55" s="39" t="s">
        <v>2651</v>
      </c>
      <c r="G55" s="39" t="s">
        <v>7828</v>
      </c>
      <c r="H55" s="39" t="str">
        <f>("2013/04/28")</f>
        <v>2013/04/28</v>
      </c>
      <c r="I55" s="39">
        <v>6</v>
      </c>
      <c r="J55" s="39" t="s">
        <v>1478</v>
      </c>
      <c r="K55" s="39" t="s">
        <v>2122</v>
      </c>
      <c r="L55" s="39" t="s">
        <v>7830</v>
      </c>
      <c r="M55" s="39" t="s">
        <v>7831</v>
      </c>
      <c r="N55" s="39" t="str">
        <f>("1067415")</f>
        <v>1067415</v>
      </c>
      <c r="P55" s="39" t="s">
        <v>11543</v>
      </c>
      <c r="Q55" s="39" t="s">
        <v>8568</v>
      </c>
      <c r="R55" s="39" t="s">
        <v>8569</v>
      </c>
      <c r="S55" s="39" t="s">
        <v>8570</v>
      </c>
      <c r="AK55" s="39" t="str">
        <f>("2025/03/21")</f>
        <v>2025/03/21</v>
      </c>
      <c r="AL55" s="39" t="str">
        <f t="shared" si="3"/>
        <v>2025/04/01</v>
      </c>
    </row>
    <row r="56" spans="1:39" x14ac:dyDescent="0.25">
      <c r="A56" s="39" t="str">
        <f>("1304300111")</f>
        <v>1304300111</v>
      </c>
      <c r="C56" s="39"/>
      <c r="D56" s="39" t="s">
        <v>5844</v>
      </c>
      <c r="E56" s="371" t="str">
        <f t="shared" si="0"/>
        <v>おの　ひょうが</v>
      </c>
      <c r="F56" s="39" t="s">
        <v>2531</v>
      </c>
      <c r="G56" s="39" t="s">
        <v>7828</v>
      </c>
      <c r="H56" s="39" t="str">
        <f>("2013/04/30")</f>
        <v>2013/04/30</v>
      </c>
      <c r="I56" s="39">
        <v>6</v>
      </c>
      <c r="J56" s="39" t="s">
        <v>1478</v>
      </c>
      <c r="K56" s="39" t="s">
        <v>2122</v>
      </c>
      <c r="L56" s="39" t="s">
        <v>7830</v>
      </c>
      <c r="M56" s="39" t="s">
        <v>7831</v>
      </c>
      <c r="N56" s="39" t="str">
        <f>("0130419")</f>
        <v>0130419</v>
      </c>
      <c r="P56" s="39" t="s">
        <v>11544</v>
      </c>
      <c r="Q56" s="39" t="s">
        <v>8568</v>
      </c>
      <c r="R56" s="39" t="s">
        <v>8569</v>
      </c>
      <c r="S56" s="39" t="s">
        <v>8570</v>
      </c>
      <c r="AK56" s="39" t="str">
        <f>("2025/03/17")</f>
        <v>2025/03/17</v>
      </c>
      <c r="AL56" s="39" t="str">
        <f t="shared" si="3"/>
        <v>2025/04/01</v>
      </c>
    </row>
    <row r="57" spans="1:39" x14ac:dyDescent="0.25">
      <c r="A57" s="39" t="str">
        <f>("1305010070")</f>
        <v>1305010070</v>
      </c>
      <c r="C57" s="39"/>
      <c r="D57" s="39" t="s">
        <v>6128</v>
      </c>
      <c r="E57" s="371" t="str">
        <f t="shared" si="0"/>
        <v>おおいし　こうた</v>
      </c>
      <c r="F57" s="39" t="s">
        <v>413</v>
      </c>
      <c r="G57" s="39" t="s">
        <v>7828</v>
      </c>
      <c r="H57" s="39" t="str">
        <f>("2013/05/01")</f>
        <v>2013/05/01</v>
      </c>
      <c r="I57" s="39">
        <v>6</v>
      </c>
      <c r="J57" s="39" t="s">
        <v>1478</v>
      </c>
      <c r="K57" s="39" t="s">
        <v>2122</v>
      </c>
      <c r="L57" s="39" t="s">
        <v>7830</v>
      </c>
      <c r="M57" s="39" t="s">
        <v>7831</v>
      </c>
      <c r="N57" s="39" t="str">
        <f>("0436902")</f>
        <v>0436902</v>
      </c>
      <c r="P57" s="39" t="s">
        <v>11545</v>
      </c>
      <c r="Q57" s="39" t="s">
        <v>8568</v>
      </c>
      <c r="R57" s="39" t="s">
        <v>8569</v>
      </c>
      <c r="S57" s="39" t="s">
        <v>8570</v>
      </c>
      <c r="AA57" s="39" t="s">
        <v>2122</v>
      </c>
      <c r="AB57" s="39" t="s">
        <v>7830</v>
      </c>
      <c r="AC57" s="39" t="s">
        <v>7831</v>
      </c>
      <c r="AD57" s="39" t="str">
        <f>("0130318")</f>
        <v>0130318</v>
      </c>
      <c r="AE57" s="39" t="s">
        <v>1158</v>
      </c>
      <c r="AK57" s="39" t="str">
        <f>("2025/03/24")</f>
        <v>2025/03/24</v>
      </c>
      <c r="AL57" s="39" t="str">
        <f t="shared" si="3"/>
        <v>2025/04/01</v>
      </c>
    </row>
    <row r="58" spans="1:39" x14ac:dyDescent="0.25">
      <c r="A58" s="39" t="str">
        <f>("1305010126")</f>
        <v>1305010126</v>
      </c>
      <c r="B58" s="39" t="s">
        <v>8600</v>
      </c>
      <c r="C58" s="39"/>
      <c r="D58" s="39" t="s">
        <v>4424</v>
      </c>
      <c r="E58" s="371" t="str">
        <f t="shared" si="0"/>
        <v>もり　たける</v>
      </c>
      <c r="F58" s="39" t="s">
        <v>2342</v>
      </c>
      <c r="G58" s="39" t="s">
        <v>7828</v>
      </c>
      <c r="H58" s="39" t="str">
        <f>("2013/05/01")</f>
        <v>2013/05/01</v>
      </c>
      <c r="I58" s="39">
        <v>6</v>
      </c>
      <c r="J58" s="39" t="s">
        <v>1478</v>
      </c>
      <c r="K58" s="39" t="s">
        <v>2122</v>
      </c>
      <c r="L58" s="39" t="s">
        <v>7830</v>
      </c>
      <c r="M58" s="39" t="s">
        <v>7831</v>
      </c>
      <c r="N58" s="39" t="str">
        <f>("0130307")</f>
        <v>0130307</v>
      </c>
      <c r="P58" s="39" t="s">
        <v>11546</v>
      </c>
      <c r="Q58" s="39" t="s">
        <v>8568</v>
      </c>
      <c r="R58" s="39" t="s">
        <v>8569</v>
      </c>
      <c r="S58" s="39" t="s">
        <v>8570</v>
      </c>
      <c r="AK58" s="39" t="str">
        <f>("2025/03/17")</f>
        <v>2025/03/17</v>
      </c>
      <c r="AL58" s="39" t="str">
        <f t="shared" si="3"/>
        <v>2025/04/01</v>
      </c>
    </row>
    <row r="59" spans="1:39" x14ac:dyDescent="0.25">
      <c r="A59" s="39" t="str">
        <f>("1305020126")</f>
        <v>1305020126</v>
      </c>
      <c r="C59" s="39"/>
      <c r="D59" s="39" t="s">
        <v>8601</v>
      </c>
      <c r="E59" s="371" t="str">
        <f t="shared" si="0"/>
        <v>しもたか　けいと</v>
      </c>
      <c r="F59" s="39" t="s">
        <v>2619</v>
      </c>
      <c r="G59" s="39" t="s">
        <v>7828</v>
      </c>
      <c r="H59" s="39" t="str">
        <f>("2013/05/02")</f>
        <v>2013/05/02</v>
      </c>
      <c r="I59" s="39">
        <v>6</v>
      </c>
      <c r="J59" s="39" t="s">
        <v>1478</v>
      </c>
      <c r="K59" s="39" t="s">
        <v>2122</v>
      </c>
      <c r="L59" s="39" t="s">
        <v>7830</v>
      </c>
      <c r="M59" s="39" t="s">
        <v>7831</v>
      </c>
      <c r="N59" s="39" t="str">
        <f>("0472823")</f>
        <v>0472823</v>
      </c>
      <c r="P59" s="39" t="s">
        <v>11547</v>
      </c>
      <c r="Q59" s="39" t="s">
        <v>8568</v>
      </c>
      <c r="R59" s="39" t="s">
        <v>8569</v>
      </c>
      <c r="S59" s="39" t="s">
        <v>8570</v>
      </c>
      <c r="AK59" s="39" t="str">
        <f>("2025/03/17")</f>
        <v>2025/03/17</v>
      </c>
      <c r="AL59" s="39" t="str">
        <f t="shared" si="3"/>
        <v>2025/04/01</v>
      </c>
    </row>
    <row r="60" spans="1:39" x14ac:dyDescent="0.25">
      <c r="A60" s="39" t="str">
        <f>("1305030032")</f>
        <v>1305030032</v>
      </c>
      <c r="B60" s="39" t="s">
        <v>8602</v>
      </c>
      <c r="C60" s="39"/>
      <c r="D60" s="39" t="s">
        <v>4105</v>
      </c>
      <c r="E60" s="371" t="str">
        <f t="shared" si="0"/>
        <v>しいば　るき</v>
      </c>
      <c r="F60" s="39" t="s">
        <v>413</v>
      </c>
      <c r="G60" s="39" t="s">
        <v>7828</v>
      </c>
      <c r="H60" s="39" t="str">
        <f>("2013/05/03")</f>
        <v>2013/05/03</v>
      </c>
      <c r="I60" s="39">
        <v>6</v>
      </c>
      <c r="J60" s="39" t="s">
        <v>1478</v>
      </c>
      <c r="K60" s="39" t="s">
        <v>2122</v>
      </c>
      <c r="L60" s="39" t="s">
        <v>7830</v>
      </c>
      <c r="M60" s="39" t="s">
        <v>7831</v>
      </c>
      <c r="N60" s="39" t="str">
        <f>("0436902")</f>
        <v>0436902</v>
      </c>
      <c r="P60" s="39" t="s">
        <v>11548</v>
      </c>
      <c r="Q60" s="39" t="s">
        <v>8568</v>
      </c>
      <c r="R60" s="39" t="s">
        <v>8569</v>
      </c>
      <c r="S60" s="39" t="s">
        <v>8570</v>
      </c>
      <c r="AA60" s="39" t="s">
        <v>2122</v>
      </c>
      <c r="AB60" s="39" t="s">
        <v>7830</v>
      </c>
      <c r="AC60" s="39" t="s">
        <v>7831</v>
      </c>
      <c r="AD60" s="39" t="str">
        <f>("0354901")</f>
        <v>0354901</v>
      </c>
      <c r="AE60" s="39" t="s">
        <v>2025</v>
      </c>
      <c r="AK60" s="39" t="str">
        <f>("2025/06/20")</f>
        <v>2025/06/20</v>
      </c>
      <c r="AL60" s="39" t="str">
        <f>("2025/06/20")</f>
        <v>2025/06/20</v>
      </c>
    </row>
    <row r="61" spans="1:39" x14ac:dyDescent="0.25">
      <c r="A61" s="39" t="str">
        <f>("1305030158")</f>
        <v>1305030158</v>
      </c>
      <c r="C61" s="39"/>
      <c r="D61" s="39" t="s">
        <v>4409</v>
      </c>
      <c r="E61" s="371" t="str">
        <f t="shared" si="0"/>
        <v>まつお　れいしょう</v>
      </c>
      <c r="F61" s="39" t="s">
        <v>856</v>
      </c>
      <c r="G61" s="39" t="s">
        <v>7828</v>
      </c>
      <c r="H61" s="39" t="str">
        <f>("2013/05/03")</f>
        <v>2013/05/03</v>
      </c>
      <c r="I61" s="39">
        <v>6</v>
      </c>
      <c r="J61" s="39" t="s">
        <v>1478</v>
      </c>
      <c r="K61" s="39" t="s">
        <v>2122</v>
      </c>
      <c r="L61" s="39" t="s">
        <v>7830</v>
      </c>
      <c r="M61" s="39" t="s">
        <v>7831</v>
      </c>
      <c r="N61" s="39" t="str">
        <f>("0130149")</f>
        <v>0130149</v>
      </c>
      <c r="P61" s="39" t="s">
        <v>11549</v>
      </c>
      <c r="Q61" s="39" t="s">
        <v>8568</v>
      </c>
      <c r="R61" s="39" t="s">
        <v>8569</v>
      </c>
      <c r="S61" s="39" t="s">
        <v>8570</v>
      </c>
      <c r="AK61" s="39" t="str">
        <f>("2025/03/17")</f>
        <v>2025/03/17</v>
      </c>
      <c r="AL61" s="39" t="str">
        <f>("2025/04/01")</f>
        <v>2025/04/01</v>
      </c>
    </row>
    <row r="62" spans="1:39" x14ac:dyDescent="0.25">
      <c r="A62" s="39" t="str">
        <f>("1305040006")</f>
        <v>1305040006</v>
      </c>
      <c r="B62" s="39" t="s">
        <v>8603</v>
      </c>
      <c r="C62" s="39"/>
      <c r="D62" s="39" t="s">
        <v>8604</v>
      </c>
      <c r="E62" s="371" t="str">
        <f t="shared" si="0"/>
        <v>たけなが　はんと</v>
      </c>
      <c r="F62" s="39" t="s">
        <v>8135</v>
      </c>
      <c r="G62" s="39" t="s">
        <v>7828</v>
      </c>
      <c r="H62" s="39" t="str">
        <f>("2013/05/04")</f>
        <v>2013/05/04</v>
      </c>
      <c r="I62" s="39">
        <v>6</v>
      </c>
      <c r="J62" s="39" t="s">
        <v>1478</v>
      </c>
      <c r="K62" s="39" t="s">
        <v>2122</v>
      </c>
      <c r="L62" s="39" t="s">
        <v>7830</v>
      </c>
      <c r="M62" s="39" t="s">
        <v>7831</v>
      </c>
      <c r="N62" s="39" t="str">
        <f>("0475567")</f>
        <v>0475567</v>
      </c>
      <c r="P62" s="39" t="s">
        <v>11550</v>
      </c>
      <c r="Q62" s="39" t="s">
        <v>8568</v>
      </c>
      <c r="R62" s="39" t="s">
        <v>8569</v>
      </c>
      <c r="S62" s="39" t="s">
        <v>8570</v>
      </c>
      <c r="AK62" s="39" t="str">
        <f>("2025/03/24")</f>
        <v>2025/03/24</v>
      </c>
      <c r="AL62" s="39" t="str">
        <f>("2025/04/01")</f>
        <v>2025/04/01</v>
      </c>
    </row>
    <row r="63" spans="1:39" x14ac:dyDescent="0.25">
      <c r="A63" s="39" t="str">
        <f>("1305040039")</f>
        <v>1305040039</v>
      </c>
      <c r="B63" s="39" t="s">
        <v>8605</v>
      </c>
      <c r="C63" s="39"/>
      <c r="D63" s="39" t="s">
        <v>8606</v>
      </c>
      <c r="E63" s="371" t="str">
        <f t="shared" si="0"/>
        <v>ひめの　あやか</v>
      </c>
      <c r="F63" s="39" t="s">
        <v>1158</v>
      </c>
      <c r="G63" s="39" t="s">
        <v>7876</v>
      </c>
      <c r="H63" s="39" t="str">
        <f>("2013/05/04")</f>
        <v>2013/05/04</v>
      </c>
      <c r="I63" s="39">
        <v>6</v>
      </c>
      <c r="J63" s="39" t="s">
        <v>1480</v>
      </c>
      <c r="K63" s="39" t="s">
        <v>2122</v>
      </c>
      <c r="L63" s="39" t="s">
        <v>7830</v>
      </c>
      <c r="M63" s="39" t="s">
        <v>7831</v>
      </c>
      <c r="N63" s="39" t="str">
        <f>("0130318")</f>
        <v>0130318</v>
      </c>
      <c r="P63" s="39" t="s">
        <v>11551</v>
      </c>
      <c r="Q63" s="39" t="s">
        <v>8568</v>
      </c>
      <c r="R63" s="39" t="s">
        <v>8569</v>
      </c>
      <c r="S63" s="39" t="s">
        <v>8570</v>
      </c>
      <c r="AK63" s="39" t="str">
        <f>("2025/03/17")</f>
        <v>2025/03/17</v>
      </c>
      <c r="AL63" s="39" t="str">
        <f>("2025/04/01")</f>
        <v>2025/04/01</v>
      </c>
      <c r="AM63" s="39" t="str">
        <f>("2025/10/02")</f>
        <v>2025/10/02</v>
      </c>
    </row>
    <row r="64" spans="1:39" x14ac:dyDescent="0.25">
      <c r="A64" s="39" t="str">
        <f>("1305060030")</f>
        <v>1305060030</v>
      </c>
      <c r="B64" s="39" t="s">
        <v>8607</v>
      </c>
      <c r="C64" s="39"/>
      <c r="D64" s="39" t="s">
        <v>4474</v>
      </c>
      <c r="E64" s="371" t="str">
        <f t="shared" si="0"/>
        <v>みうら　はやと</v>
      </c>
      <c r="F64" s="39" t="s">
        <v>2033</v>
      </c>
      <c r="G64" s="39" t="s">
        <v>7828</v>
      </c>
      <c r="H64" s="39" t="str">
        <f>("2013/05/06")</f>
        <v>2013/05/06</v>
      </c>
      <c r="I64" s="39">
        <v>6</v>
      </c>
      <c r="J64" s="39" t="s">
        <v>1478</v>
      </c>
      <c r="K64" s="39" t="s">
        <v>2122</v>
      </c>
      <c r="L64" s="39" t="s">
        <v>7830</v>
      </c>
      <c r="M64" s="39" t="s">
        <v>7831</v>
      </c>
      <c r="N64" s="39" t="str">
        <f>("0130442")</f>
        <v>0130442</v>
      </c>
      <c r="P64" s="39" t="s">
        <v>11552</v>
      </c>
      <c r="Q64" s="39" t="s">
        <v>8568</v>
      </c>
      <c r="R64" s="39" t="s">
        <v>8569</v>
      </c>
      <c r="S64" s="39" t="s">
        <v>8570</v>
      </c>
      <c r="AK64" s="39" t="str">
        <f>("2025/04/04")</f>
        <v>2025/04/04</v>
      </c>
      <c r="AL64" s="39" t="str">
        <f>("2025/04/01")</f>
        <v>2025/04/01</v>
      </c>
    </row>
    <row r="65" spans="1:38" x14ac:dyDescent="0.25">
      <c r="A65" s="39" t="str">
        <f>("1305080081")</f>
        <v>1305080081</v>
      </c>
      <c r="C65" s="39"/>
      <c r="D65" s="39" t="s">
        <v>6201</v>
      </c>
      <c r="E65" s="371" t="str">
        <f t="shared" si="0"/>
        <v>にしだ　こたろう</v>
      </c>
      <c r="F65" s="39" t="s">
        <v>1917</v>
      </c>
      <c r="G65" s="39" t="s">
        <v>7828</v>
      </c>
      <c r="H65" s="39" t="str">
        <f>("2013/05/08")</f>
        <v>2013/05/08</v>
      </c>
      <c r="I65" s="39">
        <v>6</v>
      </c>
      <c r="J65" s="39" t="s">
        <v>1478</v>
      </c>
      <c r="K65" s="39" t="s">
        <v>2122</v>
      </c>
      <c r="L65" s="39" t="s">
        <v>7830</v>
      </c>
      <c r="M65" s="39" t="s">
        <v>7831</v>
      </c>
      <c r="N65" s="39" t="str">
        <f>("1032161")</f>
        <v>1032161</v>
      </c>
      <c r="P65" s="39" t="s">
        <v>11553</v>
      </c>
      <c r="Q65" s="39" t="s">
        <v>8568</v>
      </c>
      <c r="R65" s="39" t="s">
        <v>8569</v>
      </c>
      <c r="S65" s="39" t="s">
        <v>8570</v>
      </c>
      <c r="AK65" s="39" t="str">
        <f>("2025/03/21")</f>
        <v>2025/03/21</v>
      </c>
      <c r="AL65" s="39" t="str">
        <f>("2025/04/01")</f>
        <v>2025/04/01</v>
      </c>
    </row>
    <row r="66" spans="1:38" x14ac:dyDescent="0.25">
      <c r="A66" s="39" t="str">
        <f>("1305080109")</f>
        <v>1305080109</v>
      </c>
      <c r="B66" s="39" t="s">
        <v>8608</v>
      </c>
      <c r="C66" s="39"/>
      <c r="D66" s="39" t="s">
        <v>6069</v>
      </c>
      <c r="E66" s="371" t="str">
        <f t="shared" si="0"/>
        <v>しゅとう　まのあ</v>
      </c>
      <c r="F66" s="39" t="s">
        <v>2630</v>
      </c>
      <c r="G66" s="39" t="s">
        <v>7828</v>
      </c>
      <c r="H66" s="39" t="str">
        <f>("2013/05/08")</f>
        <v>2013/05/08</v>
      </c>
      <c r="I66" s="39">
        <v>6</v>
      </c>
      <c r="J66" s="39" t="s">
        <v>1480</v>
      </c>
      <c r="K66" s="39" t="s">
        <v>2122</v>
      </c>
      <c r="L66" s="39" t="s">
        <v>7830</v>
      </c>
      <c r="M66" s="39" t="s">
        <v>7831</v>
      </c>
      <c r="N66" s="39" t="str">
        <f>("0506269")</f>
        <v>0506269</v>
      </c>
      <c r="P66" s="39" t="s">
        <v>11554</v>
      </c>
      <c r="Q66" s="39" t="s">
        <v>8568</v>
      </c>
      <c r="R66" s="39" t="s">
        <v>8569</v>
      </c>
      <c r="S66" s="39" t="s">
        <v>8570</v>
      </c>
      <c r="AA66" s="39" t="s">
        <v>2122</v>
      </c>
      <c r="AB66" s="39" t="s">
        <v>7830</v>
      </c>
      <c r="AC66" s="39" t="s">
        <v>7831</v>
      </c>
      <c r="AD66" s="39" t="str">
        <f>("0395254")</f>
        <v>0395254</v>
      </c>
      <c r="AE66" s="39" t="s">
        <v>1977</v>
      </c>
      <c r="AK66" s="39" t="str">
        <f>("2025/07/28")</f>
        <v>2025/07/28</v>
      </c>
      <c r="AL66" s="39" t="str">
        <f>("2025/07/28")</f>
        <v>2025/07/28</v>
      </c>
    </row>
    <row r="67" spans="1:38" x14ac:dyDescent="0.25">
      <c r="A67" s="39" t="str">
        <f>("1305080128")</f>
        <v>1305080128</v>
      </c>
      <c r="B67" s="39" t="s">
        <v>8609</v>
      </c>
      <c r="C67" s="39"/>
      <c r="D67" s="39" t="s">
        <v>5793</v>
      </c>
      <c r="E67" s="371" t="str">
        <f t="shared" ref="E67:E130" si="5">PHONETIC(P67)</f>
        <v>ののした　かいせい</v>
      </c>
      <c r="F67" s="39" t="s">
        <v>2516</v>
      </c>
      <c r="G67" s="39" t="s">
        <v>7828</v>
      </c>
      <c r="H67" s="39" t="str">
        <f>("2013/05/08")</f>
        <v>2013/05/08</v>
      </c>
      <c r="I67" s="39">
        <v>6</v>
      </c>
      <c r="J67" s="39" t="s">
        <v>1478</v>
      </c>
      <c r="K67" s="39" t="s">
        <v>2122</v>
      </c>
      <c r="L67" s="39" t="s">
        <v>7830</v>
      </c>
      <c r="M67" s="39" t="s">
        <v>7831</v>
      </c>
      <c r="N67" s="39" t="str">
        <f>("0130116")</f>
        <v>0130116</v>
      </c>
      <c r="P67" s="39" t="s">
        <v>11555</v>
      </c>
      <c r="Q67" s="39" t="s">
        <v>8568</v>
      </c>
      <c r="R67" s="39" t="s">
        <v>8569</v>
      </c>
      <c r="S67" s="39" t="s">
        <v>8570</v>
      </c>
      <c r="AK67" s="39" t="str">
        <f>("2025/03/25")</f>
        <v>2025/03/25</v>
      </c>
      <c r="AL67" s="39" t="str">
        <f t="shared" ref="AL67:AL74" si="6">("2025/04/01")</f>
        <v>2025/04/01</v>
      </c>
    </row>
    <row r="68" spans="1:38" x14ac:dyDescent="0.25">
      <c r="A68" s="39" t="str">
        <f>("1305080158")</f>
        <v>1305080158</v>
      </c>
      <c r="C68" s="39"/>
      <c r="D68" s="39" t="s">
        <v>4731</v>
      </c>
      <c r="E68" s="371" t="str">
        <f t="shared" si="5"/>
        <v>ひがし　さだおみ</v>
      </c>
      <c r="F68" s="39" t="s">
        <v>2602</v>
      </c>
      <c r="G68" s="39" t="s">
        <v>7828</v>
      </c>
      <c r="H68" s="39" t="str">
        <f>("2013/05/08")</f>
        <v>2013/05/08</v>
      </c>
      <c r="I68" s="39">
        <v>6</v>
      </c>
      <c r="J68" s="39" t="s">
        <v>1478</v>
      </c>
      <c r="K68" s="39" t="s">
        <v>2122</v>
      </c>
      <c r="L68" s="39" t="s">
        <v>7830</v>
      </c>
      <c r="M68" s="39" t="s">
        <v>7831</v>
      </c>
      <c r="N68" s="39" t="str">
        <f>("0430119")</f>
        <v>0430119</v>
      </c>
      <c r="P68" s="39" t="s">
        <v>11556</v>
      </c>
      <c r="Q68" s="39" t="s">
        <v>8568</v>
      </c>
      <c r="R68" s="39" t="s">
        <v>8569</v>
      </c>
      <c r="S68" s="39" t="s">
        <v>8570</v>
      </c>
      <c r="AK68" s="39" t="str">
        <f>("2025/03/17")</f>
        <v>2025/03/17</v>
      </c>
      <c r="AL68" s="39" t="str">
        <f t="shared" si="6"/>
        <v>2025/04/01</v>
      </c>
    </row>
    <row r="69" spans="1:38" x14ac:dyDescent="0.25">
      <c r="A69" s="39" t="str">
        <f>("1305080309")</f>
        <v>1305080309</v>
      </c>
      <c r="C69" s="39"/>
      <c r="D69" s="39" t="s">
        <v>8610</v>
      </c>
      <c r="E69" s="371" t="str">
        <f t="shared" si="5"/>
        <v>わたなべ　りょう</v>
      </c>
      <c r="F69" s="39" t="s">
        <v>2469</v>
      </c>
      <c r="G69" s="39" t="s">
        <v>7828</v>
      </c>
      <c r="H69" s="39" t="str">
        <f>("2013/05/08")</f>
        <v>2013/05/08</v>
      </c>
      <c r="I69" s="39">
        <v>6</v>
      </c>
      <c r="J69" s="39" t="s">
        <v>1478</v>
      </c>
      <c r="K69" s="39" t="s">
        <v>2122</v>
      </c>
      <c r="L69" s="39" t="s">
        <v>7830</v>
      </c>
      <c r="M69" s="39" t="s">
        <v>7831</v>
      </c>
      <c r="N69" s="39" t="str">
        <f>("0129462")</f>
        <v>0129462</v>
      </c>
      <c r="P69" s="39" t="s">
        <v>11557</v>
      </c>
      <c r="Q69" s="39" t="s">
        <v>8568</v>
      </c>
      <c r="R69" s="39" t="s">
        <v>8569</v>
      </c>
      <c r="S69" s="39" t="s">
        <v>8570</v>
      </c>
      <c r="AK69" s="39" t="str">
        <f>("2025/03/21")</f>
        <v>2025/03/21</v>
      </c>
      <c r="AL69" s="39" t="str">
        <f t="shared" si="6"/>
        <v>2025/04/01</v>
      </c>
    </row>
    <row r="70" spans="1:38" x14ac:dyDescent="0.25">
      <c r="A70" s="39" t="str">
        <f>("1305090041")</f>
        <v>1305090041</v>
      </c>
      <c r="C70" s="39"/>
      <c r="D70" s="39" t="s">
        <v>5952</v>
      </c>
      <c r="E70" s="371" t="str">
        <f t="shared" si="5"/>
        <v>つるた　たける</v>
      </c>
      <c r="F70" s="39" t="s">
        <v>5617</v>
      </c>
      <c r="G70" s="39" t="s">
        <v>7828</v>
      </c>
      <c r="H70" s="39" t="str">
        <f>("2013/05/09")</f>
        <v>2013/05/09</v>
      </c>
      <c r="I70" s="39">
        <v>6</v>
      </c>
      <c r="J70" s="39" t="s">
        <v>1478</v>
      </c>
      <c r="K70" s="39" t="s">
        <v>2122</v>
      </c>
      <c r="L70" s="39" t="s">
        <v>7830</v>
      </c>
      <c r="M70" s="39" t="s">
        <v>7831</v>
      </c>
      <c r="N70" s="39" t="str">
        <f>("0130756")</f>
        <v>0130756</v>
      </c>
      <c r="P70" s="39" t="s">
        <v>11558</v>
      </c>
      <c r="Q70" s="39" t="s">
        <v>8568</v>
      </c>
      <c r="R70" s="39" t="s">
        <v>8569</v>
      </c>
      <c r="S70" s="39" t="s">
        <v>8570</v>
      </c>
      <c r="AK70" s="39" t="str">
        <f>("2025/03/17")</f>
        <v>2025/03/17</v>
      </c>
      <c r="AL70" s="39" t="str">
        <f t="shared" si="6"/>
        <v>2025/04/01</v>
      </c>
    </row>
    <row r="71" spans="1:38" x14ac:dyDescent="0.25">
      <c r="A71" s="39" t="str">
        <f>("1305090131")</f>
        <v>1305090131</v>
      </c>
      <c r="C71" s="39"/>
      <c r="D71" s="39" t="s">
        <v>5812</v>
      </c>
      <c r="E71" s="371" t="str">
        <f t="shared" si="5"/>
        <v>みうら　おうま</v>
      </c>
      <c r="F71" s="39" t="s">
        <v>2022</v>
      </c>
      <c r="G71" s="39" t="s">
        <v>7828</v>
      </c>
      <c r="H71" s="39" t="str">
        <f>("2013/05/09")</f>
        <v>2013/05/09</v>
      </c>
      <c r="I71" s="39">
        <v>6</v>
      </c>
      <c r="J71" s="39" t="s">
        <v>1478</v>
      </c>
      <c r="K71" s="39" t="s">
        <v>2122</v>
      </c>
      <c r="L71" s="39" t="s">
        <v>7830</v>
      </c>
      <c r="M71" s="39" t="s">
        <v>7831</v>
      </c>
      <c r="N71" s="39" t="str">
        <f>("0130329")</f>
        <v>0130329</v>
      </c>
      <c r="P71" s="39" t="s">
        <v>11559</v>
      </c>
      <c r="Q71" s="39" t="s">
        <v>8568</v>
      </c>
      <c r="R71" s="39" t="s">
        <v>8569</v>
      </c>
      <c r="S71" s="39" t="s">
        <v>8570</v>
      </c>
      <c r="AA71" s="39" t="s">
        <v>2122</v>
      </c>
      <c r="AB71" s="39" t="s">
        <v>7830</v>
      </c>
      <c r="AC71" s="39" t="s">
        <v>7831</v>
      </c>
      <c r="AD71" s="39" t="str">
        <f>("0436902")</f>
        <v>0436902</v>
      </c>
      <c r="AE71" s="39" t="s">
        <v>413</v>
      </c>
      <c r="AK71" s="39" t="str">
        <f>("2025/03/17")</f>
        <v>2025/03/17</v>
      </c>
      <c r="AL71" s="39" t="str">
        <f t="shared" si="6"/>
        <v>2025/04/01</v>
      </c>
    </row>
    <row r="72" spans="1:38" x14ac:dyDescent="0.25">
      <c r="A72" s="39" t="str">
        <f>("1305090223")</f>
        <v>1305090223</v>
      </c>
      <c r="B72" s="39" t="s">
        <v>8611</v>
      </c>
      <c r="C72" s="39"/>
      <c r="D72" s="39" t="s">
        <v>5887</v>
      </c>
      <c r="E72" s="371" t="str">
        <f t="shared" si="5"/>
        <v>だて　えりか</v>
      </c>
      <c r="F72" s="39" t="s">
        <v>4220</v>
      </c>
      <c r="G72" s="39" t="s">
        <v>7828</v>
      </c>
      <c r="H72" s="39" t="str">
        <f>("2013/05/09")</f>
        <v>2013/05/09</v>
      </c>
      <c r="I72" s="39">
        <v>6</v>
      </c>
      <c r="J72" s="39" t="s">
        <v>1480</v>
      </c>
      <c r="K72" s="39" t="s">
        <v>2122</v>
      </c>
      <c r="L72" s="39" t="s">
        <v>7830</v>
      </c>
      <c r="M72" s="39" t="s">
        <v>7831</v>
      </c>
      <c r="N72" s="39" t="str">
        <f>("0130543")</f>
        <v>0130543</v>
      </c>
      <c r="P72" s="39" t="s">
        <v>11560</v>
      </c>
      <c r="Q72" s="39" t="s">
        <v>8568</v>
      </c>
      <c r="R72" s="39" t="s">
        <v>8569</v>
      </c>
      <c r="S72" s="39" t="s">
        <v>8570</v>
      </c>
      <c r="AK72" s="39" t="str">
        <f>("2025/03/17")</f>
        <v>2025/03/17</v>
      </c>
      <c r="AL72" s="39" t="str">
        <f t="shared" si="6"/>
        <v>2025/04/01</v>
      </c>
    </row>
    <row r="73" spans="1:38" x14ac:dyDescent="0.25">
      <c r="A73" s="39" t="str">
        <f>("1305100252")</f>
        <v>1305100252</v>
      </c>
      <c r="C73" s="39"/>
      <c r="D73" s="39" t="s">
        <v>8612</v>
      </c>
      <c r="E73" s="371" t="str">
        <f t="shared" si="5"/>
        <v>いまむら　こころ</v>
      </c>
      <c r="F73" s="39" t="s">
        <v>2587</v>
      </c>
      <c r="G73" s="39" t="s">
        <v>7828</v>
      </c>
      <c r="H73" s="39" t="str">
        <f>("2013/05/10")</f>
        <v>2013/05/10</v>
      </c>
      <c r="I73" s="39">
        <v>6</v>
      </c>
      <c r="J73" s="39" t="s">
        <v>1480</v>
      </c>
      <c r="K73" s="39" t="s">
        <v>2122</v>
      </c>
      <c r="L73" s="39" t="s">
        <v>7830</v>
      </c>
      <c r="M73" s="39" t="s">
        <v>7831</v>
      </c>
      <c r="N73" s="39" t="str">
        <f>("0387334")</f>
        <v>0387334</v>
      </c>
      <c r="P73" s="39" t="s">
        <v>11561</v>
      </c>
      <c r="Q73" s="39" t="s">
        <v>8568</v>
      </c>
      <c r="R73" s="39" t="s">
        <v>8569</v>
      </c>
      <c r="S73" s="39" t="s">
        <v>8570</v>
      </c>
      <c r="AK73" s="39" t="str">
        <f>("2025/03/27")</f>
        <v>2025/03/27</v>
      </c>
      <c r="AL73" s="39" t="str">
        <f t="shared" si="6"/>
        <v>2025/04/01</v>
      </c>
    </row>
    <row r="74" spans="1:38" x14ac:dyDescent="0.25">
      <c r="A74" s="39" t="str">
        <f>("1305120075")</f>
        <v>1305120075</v>
      </c>
      <c r="C74" s="39"/>
      <c r="D74" s="39" t="s">
        <v>6236</v>
      </c>
      <c r="E74" s="371" t="str">
        <f t="shared" si="5"/>
        <v>おぐら　るき</v>
      </c>
      <c r="F74" s="39" t="s">
        <v>1692</v>
      </c>
      <c r="G74" s="39" t="s">
        <v>7828</v>
      </c>
      <c r="H74" s="39" t="str">
        <f>("2013/05/12")</f>
        <v>2013/05/12</v>
      </c>
      <c r="I74" s="39">
        <v>6</v>
      </c>
      <c r="J74" s="39" t="s">
        <v>1478</v>
      </c>
      <c r="K74" s="39" t="s">
        <v>2122</v>
      </c>
      <c r="L74" s="39" t="s">
        <v>7830</v>
      </c>
      <c r="M74" s="39" t="s">
        <v>7831</v>
      </c>
      <c r="N74" s="39" t="str">
        <f>("1052299")</f>
        <v>1052299</v>
      </c>
      <c r="P74" s="39" t="s">
        <v>11562</v>
      </c>
      <c r="Q74" s="39" t="s">
        <v>8568</v>
      </c>
      <c r="R74" s="39" t="s">
        <v>8569</v>
      </c>
      <c r="S74" s="39" t="s">
        <v>8570</v>
      </c>
      <c r="AK74" s="39" t="str">
        <f>("2025/03/17")</f>
        <v>2025/03/17</v>
      </c>
      <c r="AL74" s="39" t="str">
        <f t="shared" si="6"/>
        <v>2025/04/01</v>
      </c>
    </row>
    <row r="75" spans="1:38" x14ac:dyDescent="0.25">
      <c r="A75" s="39" t="str">
        <f>("1305120122")</f>
        <v>1305120122</v>
      </c>
      <c r="C75" s="39"/>
      <c r="D75" s="39" t="s">
        <v>6051</v>
      </c>
      <c r="E75" s="371" t="str">
        <f t="shared" si="5"/>
        <v>しまだ　はるた</v>
      </c>
      <c r="F75" s="39" t="s">
        <v>1207</v>
      </c>
      <c r="G75" s="39" t="s">
        <v>7828</v>
      </c>
      <c r="H75" s="39" t="str">
        <f>("2013/05/12")</f>
        <v>2013/05/12</v>
      </c>
      <c r="I75" s="39">
        <v>6</v>
      </c>
      <c r="J75" s="39" t="s">
        <v>1478</v>
      </c>
      <c r="K75" s="39" t="s">
        <v>2122</v>
      </c>
      <c r="L75" s="39" t="s">
        <v>7830</v>
      </c>
      <c r="M75" s="39" t="s">
        <v>7831</v>
      </c>
      <c r="N75" s="39" t="str">
        <f>("0381608")</f>
        <v>0381608</v>
      </c>
      <c r="P75" s="39" t="s">
        <v>11563</v>
      </c>
      <c r="Q75" s="39" t="s">
        <v>8568</v>
      </c>
      <c r="R75" s="39" t="s">
        <v>8569</v>
      </c>
      <c r="S75" s="39" t="s">
        <v>8570</v>
      </c>
      <c r="AK75" s="39" t="str">
        <f>("2025/12/05")</f>
        <v>2025/12/05</v>
      </c>
      <c r="AL75" s="39" t="str">
        <f>("2025/12/05")</f>
        <v>2025/12/05</v>
      </c>
    </row>
    <row r="76" spans="1:38" x14ac:dyDescent="0.25">
      <c r="A76" s="39" t="str">
        <f>("1305130096")</f>
        <v>1305130096</v>
      </c>
      <c r="B76" s="39" t="s">
        <v>8613</v>
      </c>
      <c r="C76" s="39"/>
      <c r="D76" s="39" t="s">
        <v>4276</v>
      </c>
      <c r="E76" s="371" t="str">
        <f t="shared" si="5"/>
        <v>いまにし　かなと</v>
      </c>
      <c r="F76" s="39" t="s">
        <v>2485</v>
      </c>
      <c r="G76" s="39" t="s">
        <v>7828</v>
      </c>
      <c r="H76" s="39" t="str">
        <f>("2013/05/13")</f>
        <v>2013/05/13</v>
      </c>
      <c r="I76" s="39">
        <v>6</v>
      </c>
      <c r="J76" s="39" t="s">
        <v>1478</v>
      </c>
      <c r="K76" s="39" t="s">
        <v>2122</v>
      </c>
      <c r="L76" s="39" t="s">
        <v>7830</v>
      </c>
      <c r="M76" s="39" t="s">
        <v>7831</v>
      </c>
      <c r="N76" s="39" t="str">
        <f>("0129754")</f>
        <v>0129754</v>
      </c>
      <c r="P76" s="39" t="s">
        <v>11564</v>
      </c>
      <c r="Q76" s="39" t="s">
        <v>8568</v>
      </c>
      <c r="R76" s="39" t="s">
        <v>8569</v>
      </c>
      <c r="S76" s="39" t="s">
        <v>8570</v>
      </c>
      <c r="AK76" s="39" t="str">
        <f>("2025/03/24")</f>
        <v>2025/03/24</v>
      </c>
      <c r="AL76" s="39" t="str">
        <f t="shared" ref="AL76:AL99" si="7">("2025/04/01")</f>
        <v>2025/04/01</v>
      </c>
    </row>
    <row r="77" spans="1:38" x14ac:dyDescent="0.25">
      <c r="A77" s="39" t="str">
        <f>("1305140056")</f>
        <v>1305140056</v>
      </c>
      <c r="C77" s="39"/>
      <c r="D77" s="39" t="s">
        <v>4520</v>
      </c>
      <c r="E77" s="371" t="str">
        <f t="shared" si="5"/>
        <v>やまさき　とお</v>
      </c>
      <c r="F77" s="39" t="s">
        <v>2533</v>
      </c>
      <c r="G77" s="39" t="s">
        <v>7828</v>
      </c>
      <c r="H77" s="39" t="str">
        <f>("2013/05/14")</f>
        <v>2013/05/14</v>
      </c>
      <c r="I77" s="39">
        <v>6</v>
      </c>
      <c r="J77" s="39" t="s">
        <v>1478</v>
      </c>
      <c r="K77" s="39" t="s">
        <v>2122</v>
      </c>
      <c r="L77" s="39" t="s">
        <v>7830</v>
      </c>
      <c r="M77" s="39" t="s">
        <v>7831</v>
      </c>
      <c r="N77" s="39" t="str">
        <f>("0130497")</f>
        <v>0130497</v>
      </c>
      <c r="P77" s="39" t="s">
        <v>11565</v>
      </c>
      <c r="Q77" s="39" t="s">
        <v>8568</v>
      </c>
      <c r="R77" s="39" t="s">
        <v>8569</v>
      </c>
      <c r="S77" s="39" t="s">
        <v>8570</v>
      </c>
      <c r="AK77" s="39" t="str">
        <f>("2025/03/17")</f>
        <v>2025/03/17</v>
      </c>
      <c r="AL77" s="39" t="str">
        <f t="shared" si="7"/>
        <v>2025/04/01</v>
      </c>
    </row>
    <row r="78" spans="1:38" x14ac:dyDescent="0.25">
      <c r="A78" s="39" t="str">
        <f>("1305140093")</f>
        <v>1305140093</v>
      </c>
      <c r="C78" s="39"/>
      <c r="D78" s="39" t="s">
        <v>5653</v>
      </c>
      <c r="E78" s="371" t="str">
        <f t="shared" si="5"/>
        <v>いのうえ　たいら</v>
      </c>
      <c r="F78" s="39" t="s">
        <v>2477</v>
      </c>
      <c r="G78" s="39" t="s">
        <v>7828</v>
      </c>
      <c r="H78" s="39" t="str">
        <f>("2013/05/14")</f>
        <v>2013/05/14</v>
      </c>
      <c r="I78" s="39">
        <v>6</v>
      </c>
      <c r="J78" s="39" t="s">
        <v>1478</v>
      </c>
      <c r="K78" s="39" t="s">
        <v>2122</v>
      </c>
      <c r="L78" s="39" t="s">
        <v>7830</v>
      </c>
      <c r="M78" s="39" t="s">
        <v>7831</v>
      </c>
      <c r="N78" s="39" t="str">
        <f>("0129541")</f>
        <v>0129541</v>
      </c>
      <c r="P78" s="39" t="s">
        <v>11566</v>
      </c>
      <c r="Q78" s="39" t="s">
        <v>8568</v>
      </c>
      <c r="R78" s="39" t="s">
        <v>8569</v>
      </c>
      <c r="S78" s="39" t="s">
        <v>8570</v>
      </c>
      <c r="AK78" s="39" t="str">
        <f>("2025/03/27")</f>
        <v>2025/03/27</v>
      </c>
      <c r="AL78" s="39" t="str">
        <f t="shared" si="7"/>
        <v>2025/04/01</v>
      </c>
    </row>
    <row r="79" spans="1:38" x14ac:dyDescent="0.25">
      <c r="A79" s="39" t="str">
        <f>("1305150020")</f>
        <v>1305150020</v>
      </c>
      <c r="B79" s="39" t="s">
        <v>8614</v>
      </c>
      <c r="C79" s="39"/>
      <c r="D79" s="39" t="s">
        <v>4174</v>
      </c>
      <c r="E79" s="371" t="str">
        <f t="shared" si="5"/>
        <v>かわの　ちさき</v>
      </c>
      <c r="F79" s="39" t="s">
        <v>2630</v>
      </c>
      <c r="G79" s="39" t="s">
        <v>7828</v>
      </c>
      <c r="H79" s="39" t="str">
        <f>("2013/05/15")</f>
        <v>2013/05/15</v>
      </c>
      <c r="I79" s="39">
        <v>6</v>
      </c>
      <c r="J79" s="39" t="s">
        <v>1480</v>
      </c>
      <c r="K79" s="39" t="s">
        <v>2122</v>
      </c>
      <c r="L79" s="39" t="s">
        <v>7830</v>
      </c>
      <c r="M79" s="39" t="s">
        <v>7831</v>
      </c>
      <c r="N79" s="39" t="str">
        <f>("0506269")</f>
        <v>0506269</v>
      </c>
      <c r="P79" s="39" t="s">
        <v>11567</v>
      </c>
      <c r="Q79" s="39" t="s">
        <v>8568</v>
      </c>
      <c r="R79" s="39" t="s">
        <v>8569</v>
      </c>
      <c r="S79" s="39" t="s">
        <v>8570</v>
      </c>
      <c r="AK79" s="39" t="str">
        <f>("2025/03/17")</f>
        <v>2025/03/17</v>
      </c>
      <c r="AL79" s="39" t="str">
        <f t="shared" si="7"/>
        <v>2025/04/01</v>
      </c>
    </row>
    <row r="80" spans="1:38" x14ac:dyDescent="0.25">
      <c r="A80" s="39" t="str">
        <f>("1305160015")</f>
        <v>1305160015</v>
      </c>
      <c r="B80" s="39" t="s">
        <v>8615</v>
      </c>
      <c r="C80" s="39"/>
      <c r="D80" s="39" t="s">
        <v>4019</v>
      </c>
      <c r="E80" s="371" t="str">
        <f t="shared" si="5"/>
        <v>い　なるき</v>
      </c>
      <c r="F80" s="39" t="s">
        <v>1190</v>
      </c>
      <c r="G80" s="39" t="s">
        <v>7828</v>
      </c>
      <c r="H80" s="39" t="str">
        <f t="shared" ref="H80:H85" si="8">("2013/05/16")</f>
        <v>2013/05/16</v>
      </c>
      <c r="I80" s="39">
        <v>6</v>
      </c>
      <c r="J80" s="39" t="s">
        <v>1478</v>
      </c>
      <c r="K80" s="39" t="s">
        <v>2122</v>
      </c>
      <c r="L80" s="39" t="s">
        <v>7830</v>
      </c>
      <c r="M80" s="39" t="s">
        <v>7831</v>
      </c>
      <c r="N80" s="39" t="str">
        <f>("0130554")</f>
        <v>0130554</v>
      </c>
      <c r="P80" s="39" t="s">
        <v>11568</v>
      </c>
      <c r="Q80" s="39" t="s">
        <v>8568</v>
      </c>
      <c r="R80" s="39" t="s">
        <v>8569</v>
      </c>
      <c r="S80" s="39" t="s">
        <v>8570</v>
      </c>
      <c r="AK80" s="39" t="str">
        <f>("2025/03/17")</f>
        <v>2025/03/17</v>
      </c>
      <c r="AL80" s="39" t="str">
        <f t="shared" si="7"/>
        <v>2025/04/01</v>
      </c>
    </row>
    <row r="81" spans="1:39" x14ac:dyDescent="0.25">
      <c r="A81" s="39" t="str">
        <f>("1305160069")</f>
        <v>1305160069</v>
      </c>
      <c r="B81" s="39" t="s">
        <v>8616</v>
      </c>
      <c r="C81" s="39"/>
      <c r="D81" s="39" t="s">
        <v>4236</v>
      </c>
      <c r="E81" s="371" t="str">
        <f t="shared" si="5"/>
        <v>さとう　ぎん</v>
      </c>
      <c r="F81" s="39" t="s">
        <v>1968</v>
      </c>
      <c r="G81" s="39" t="s">
        <v>7828</v>
      </c>
      <c r="H81" s="39" t="str">
        <f t="shared" si="8"/>
        <v>2013/05/16</v>
      </c>
      <c r="I81" s="39">
        <v>6</v>
      </c>
      <c r="J81" s="39" t="s">
        <v>1478</v>
      </c>
      <c r="K81" s="39" t="s">
        <v>2122</v>
      </c>
      <c r="L81" s="39" t="s">
        <v>7830</v>
      </c>
      <c r="M81" s="39" t="s">
        <v>7831</v>
      </c>
      <c r="N81" s="39" t="str">
        <f>("0129507")</f>
        <v>0129507</v>
      </c>
      <c r="P81" s="39" t="s">
        <v>11569</v>
      </c>
      <c r="Q81" s="39" t="s">
        <v>8568</v>
      </c>
      <c r="R81" s="39" t="s">
        <v>8569</v>
      </c>
      <c r="S81" s="39" t="s">
        <v>8570</v>
      </c>
      <c r="AA81" s="39" t="s">
        <v>2035</v>
      </c>
      <c r="AB81" s="39" t="s">
        <v>7830</v>
      </c>
      <c r="AC81" s="39" t="s">
        <v>7831</v>
      </c>
      <c r="AD81" s="39" t="str">
        <f>("0286961")</f>
        <v>0286961</v>
      </c>
      <c r="AE81" s="39" t="s">
        <v>8617</v>
      </c>
      <c r="AK81" s="39" t="str">
        <f>("2025/03/17")</f>
        <v>2025/03/17</v>
      </c>
      <c r="AL81" s="39" t="str">
        <f t="shared" si="7"/>
        <v>2025/04/01</v>
      </c>
    </row>
    <row r="82" spans="1:39" x14ac:dyDescent="0.25">
      <c r="A82" s="39" t="str">
        <f>("1305160083")</f>
        <v>1305160083</v>
      </c>
      <c r="B82" s="39" t="s">
        <v>8618</v>
      </c>
      <c r="C82" s="39"/>
      <c r="D82" s="39" t="s">
        <v>5652</v>
      </c>
      <c r="E82" s="371" t="str">
        <f t="shared" si="5"/>
        <v>みぞぐち　かお</v>
      </c>
      <c r="F82" s="39" t="s">
        <v>2477</v>
      </c>
      <c r="G82" s="39" t="s">
        <v>7828</v>
      </c>
      <c r="H82" s="39" t="str">
        <f t="shared" si="8"/>
        <v>2013/05/16</v>
      </c>
      <c r="I82" s="39">
        <v>6</v>
      </c>
      <c r="J82" s="39" t="s">
        <v>1480</v>
      </c>
      <c r="K82" s="39" t="s">
        <v>2122</v>
      </c>
      <c r="L82" s="39" t="s">
        <v>7830</v>
      </c>
      <c r="M82" s="39" t="s">
        <v>7831</v>
      </c>
      <c r="N82" s="39" t="str">
        <f>("0129541")</f>
        <v>0129541</v>
      </c>
      <c r="P82" s="39" t="s">
        <v>11570</v>
      </c>
      <c r="Q82" s="39" t="s">
        <v>8568</v>
      </c>
      <c r="R82" s="39" t="s">
        <v>8569</v>
      </c>
      <c r="S82" s="39" t="s">
        <v>8570</v>
      </c>
      <c r="AK82" s="39" t="str">
        <f>("2025/03/27")</f>
        <v>2025/03/27</v>
      </c>
      <c r="AL82" s="39" t="str">
        <f t="shared" si="7"/>
        <v>2025/04/01</v>
      </c>
    </row>
    <row r="83" spans="1:39" x14ac:dyDescent="0.25">
      <c r="A83" s="39" t="str">
        <f>("1305160119")</f>
        <v>1305160119</v>
      </c>
      <c r="B83" s="39" t="s">
        <v>8619</v>
      </c>
      <c r="C83" s="39"/>
      <c r="D83" s="39" t="s">
        <v>5683</v>
      </c>
      <c r="E83" s="371" t="str">
        <f t="shared" si="5"/>
        <v>かんだ　あゆむ</v>
      </c>
      <c r="F83" s="39" t="s">
        <v>5615</v>
      </c>
      <c r="G83" s="39" t="s">
        <v>7828</v>
      </c>
      <c r="H83" s="39" t="str">
        <f t="shared" si="8"/>
        <v>2013/05/16</v>
      </c>
      <c r="I83" s="39">
        <v>6</v>
      </c>
      <c r="J83" s="39" t="s">
        <v>1478</v>
      </c>
      <c r="K83" s="39" t="s">
        <v>2122</v>
      </c>
      <c r="L83" s="39" t="s">
        <v>7830</v>
      </c>
      <c r="M83" s="39" t="s">
        <v>7831</v>
      </c>
      <c r="N83" s="39" t="str">
        <f>("0129642")</f>
        <v>0129642</v>
      </c>
      <c r="P83" s="39" t="s">
        <v>11571</v>
      </c>
      <c r="Q83" s="39" t="s">
        <v>8568</v>
      </c>
      <c r="R83" s="39" t="s">
        <v>8569</v>
      </c>
      <c r="S83" s="39" t="s">
        <v>8570</v>
      </c>
      <c r="AK83" s="39" t="str">
        <f>("2025/03/24")</f>
        <v>2025/03/24</v>
      </c>
      <c r="AL83" s="39" t="str">
        <f t="shared" si="7"/>
        <v>2025/04/01</v>
      </c>
    </row>
    <row r="84" spans="1:39" x14ac:dyDescent="0.25">
      <c r="A84" s="39" t="str">
        <f>("1305160158")</f>
        <v>1305160158</v>
      </c>
      <c r="C84" s="39"/>
      <c r="D84" s="39" t="s">
        <v>6253</v>
      </c>
      <c r="E84" s="371" t="str">
        <f t="shared" si="5"/>
        <v>うえだ　ゆうせい</v>
      </c>
      <c r="F84" s="39" t="s">
        <v>2651</v>
      </c>
      <c r="G84" s="39" t="s">
        <v>7828</v>
      </c>
      <c r="H84" s="39" t="str">
        <f t="shared" si="8"/>
        <v>2013/05/16</v>
      </c>
      <c r="I84" s="39">
        <v>6</v>
      </c>
      <c r="J84" s="39" t="s">
        <v>1478</v>
      </c>
      <c r="K84" s="39" t="s">
        <v>2122</v>
      </c>
      <c r="L84" s="39" t="s">
        <v>7830</v>
      </c>
      <c r="M84" s="39" t="s">
        <v>7831</v>
      </c>
      <c r="N84" s="39" t="str">
        <f>("1067415")</f>
        <v>1067415</v>
      </c>
      <c r="P84" s="39" t="s">
        <v>11572</v>
      </c>
      <c r="Q84" s="39" t="s">
        <v>8568</v>
      </c>
      <c r="R84" s="39" t="s">
        <v>8569</v>
      </c>
      <c r="S84" s="39" t="s">
        <v>8570</v>
      </c>
      <c r="AK84" s="39" t="str">
        <f>("2025/03/21")</f>
        <v>2025/03/21</v>
      </c>
      <c r="AL84" s="39" t="str">
        <f t="shared" si="7"/>
        <v>2025/04/01</v>
      </c>
    </row>
    <row r="85" spans="1:39" x14ac:dyDescent="0.25">
      <c r="A85" s="39" t="str">
        <f>("1305160220")</f>
        <v>1305160220</v>
      </c>
      <c r="C85" s="39"/>
      <c r="D85" s="39" t="s">
        <v>6169</v>
      </c>
      <c r="E85" s="371" t="str">
        <f t="shared" si="5"/>
        <v>まつい　きょうた</v>
      </c>
      <c r="F85" s="39" t="s">
        <v>1095</v>
      </c>
      <c r="G85" s="39" t="s">
        <v>7828</v>
      </c>
      <c r="H85" s="39" t="str">
        <f t="shared" si="8"/>
        <v>2013/05/16</v>
      </c>
      <c r="I85" s="39">
        <v>6</v>
      </c>
      <c r="J85" s="39" t="s">
        <v>1478</v>
      </c>
      <c r="K85" s="39" t="s">
        <v>2122</v>
      </c>
      <c r="L85" s="39" t="s">
        <v>7830</v>
      </c>
      <c r="M85" s="39" t="s">
        <v>7831</v>
      </c>
      <c r="N85" s="39" t="str">
        <f>("0487492")</f>
        <v>0487492</v>
      </c>
      <c r="P85" s="39" t="s">
        <v>11573</v>
      </c>
      <c r="Q85" s="39" t="s">
        <v>8568</v>
      </c>
      <c r="R85" s="39" t="s">
        <v>8569</v>
      </c>
      <c r="S85" s="39" t="s">
        <v>8570</v>
      </c>
      <c r="AK85" s="39" t="str">
        <f>("2025/03/21")</f>
        <v>2025/03/21</v>
      </c>
      <c r="AL85" s="39" t="str">
        <f t="shared" si="7"/>
        <v>2025/04/01</v>
      </c>
    </row>
    <row r="86" spans="1:39" x14ac:dyDescent="0.25">
      <c r="A86" s="39" t="str">
        <f>("1305170114")</f>
        <v>1305170114</v>
      </c>
      <c r="B86" s="39" t="s">
        <v>8620</v>
      </c>
      <c r="C86" s="39"/>
      <c r="D86" s="39" t="s">
        <v>8621</v>
      </c>
      <c r="E86" s="371" t="str">
        <f t="shared" si="5"/>
        <v>はしもと　りょうが</v>
      </c>
      <c r="F86" s="39" t="s">
        <v>2619</v>
      </c>
      <c r="G86" s="39" t="s">
        <v>7828</v>
      </c>
      <c r="H86" s="39" t="str">
        <f>("2013/05/17")</f>
        <v>2013/05/17</v>
      </c>
      <c r="I86" s="39">
        <v>6</v>
      </c>
      <c r="J86" s="39" t="s">
        <v>1478</v>
      </c>
      <c r="K86" s="39" t="s">
        <v>2122</v>
      </c>
      <c r="L86" s="39" t="s">
        <v>7830</v>
      </c>
      <c r="M86" s="39" t="s">
        <v>7831</v>
      </c>
      <c r="N86" s="39" t="str">
        <f>("0472823")</f>
        <v>0472823</v>
      </c>
      <c r="P86" s="39" t="s">
        <v>11574</v>
      </c>
      <c r="Q86" s="39" t="s">
        <v>8568</v>
      </c>
      <c r="R86" s="39" t="s">
        <v>8569</v>
      </c>
      <c r="S86" s="39" t="s">
        <v>8570</v>
      </c>
      <c r="AK86" s="39" t="str">
        <f>("2025/03/17")</f>
        <v>2025/03/17</v>
      </c>
      <c r="AL86" s="39" t="str">
        <f t="shared" si="7"/>
        <v>2025/04/01</v>
      </c>
    </row>
    <row r="87" spans="1:39" x14ac:dyDescent="0.25">
      <c r="A87" s="39" t="str">
        <f>("1305170272")</f>
        <v>1305170272</v>
      </c>
      <c r="C87" s="39"/>
      <c r="D87" s="39" t="s">
        <v>5993</v>
      </c>
      <c r="E87" s="371" t="str">
        <f t="shared" si="5"/>
        <v>みぞべ　あやか</v>
      </c>
      <c r="F87" s="39" t="s">
        <v>2349</v>
      </c>
      <c r="G87" s="39" t="s">
        <v>7828</v>
      </c>
      <c r="H87" s="39" t="str">
        <f>("2013/05/17")</f>
        <v>2013/05/17</v>
      </c>
      <c r="I87" s="39">
        <v>6</v>
      </c>
      <c r="J87" s="39" t="s">
        <v>1480</v>
      </c>
      <c r="K87" s="39" t="s">
        <v>2122</v>
      </c>
      <c r="L87" s="39" t="s">
        <v>7830</v>
      </c>
      <c r="M87" s="39" t="s">
        <v>7831</v>
      </c>
      <c r="N87" s="39" t="str">
        <f>("0292081")</f>
        <v>0292081</v>
      </c>
      <c r="P87" s="39" t="s">
        <v>11575</v>
      </c>
      <c r="Q87" s="39" t="s">
        <v>8568</v>
      </c>
      <c r="R87" s="39" t="s">
        <v>8569</v>
      </c>
      <c r="S87" s="39" t="s">
        <v>8570</v>
      </c>
      <c r="AK87" s="39" t="str">
        <f>("2025/03/24")</f>
        <v>2025/03/24</v>
      </c>
      <c r="AL87" s="39" t="str">
        <f t="shared" si="7"/>
        <v>2025/04/01</v>
      </c>
    </row>
    <row r="88" spans="1:39" x14ac:dyDescent="0.25">
      <c r="A88" s="39" t="str">
        <f>("1305180099")</f>
        <v>1305180099</v>
      </c>
      <c r="C88" s="39"/>
      <c r="D88" s="39" t="s">
        <v>6106</v>
      </c>
      <c r="E88" s="371" t="str">
        <f t="shared" si="5"/>
        <v>すぎ　たく</v>
      </c>
      <c r="F88" s="39" t="s">
        <v>5618</v>
      </c>
      <c r="G88" s="39" t="s">
        <v>7828</v>
      </c>
      <c r="H88" s="39" t="str">
        <f>("2013/05/18")</f>
        <v>2013/05/18</v>
      </c>
      <c r="I88" s="39">
        <v>6</v>
      </c>
      <c r="J88" s="39" t="s">
        <v>1478</v>
      </c>
      <c r="K88" s="39" t="s">
        <v>2122</v>
      </c>
      <c r="L88" s="39" t="s">
        <v>7830</v>
      </c>
      <c r="M88" s="39" t="s">
        <v>7831</v>
      </c>
      <c r="N88" s="39" t="str">
        <f>("0433235")</f>
        <v>0433235</v>
      </c>
      <c r="P88" s="39" t="s">
        <v>11576</v>
      </c>
      <c r="Q88" s="39" t="s">
        <v>8568</v>
      </c>
      <c r="R88" s="39" t="s">
        <v>8569</v>
      </c>
      <c r="S88" s="39" t="s">
        <v>8570</v>
      </c>
      <c r="AK88" s="39" t="str">
        <f>("2025/03/17")</f>
        <v>2025/03/17</v>
      </c>
      <c r="AL88" s="39" t="str">
        <f t="shared" si="7"/>
        <v>2025/04/01</v>
      </c>
    </row>
    <row r="89" spans="1:39" x14ac:dyDescent="0.25">
      <c r="A89" s="39" t="str">
        <f>("1305180112")</f>
        <v>1305180112</v>
      </c>
      <c r="C89" s="39"/>
      <c r="D89" s="39" t="s">
        <v>4323</v>
      </c>
      <c r="E89" s="371" t="str">
        <f t="shared" si="5"/>
        <v>たはら　そうご</v>
      </c>
      <c r="F89" s="39" t="s">
        <v>2496</v>
      </c>
      <c r="G89" s="39" t="s">
        <v>7828</v>
      </c>
      <c r="H89" s="39" t="str">
        <f>("2013/05/18")</f>
        <v>2013/05/18</v>
      </c>
      <c r="I89" s="39">
        <v>6</v>
      </c>
      <c r="J89" s="39" t="s">
        <v>1478</v>
      </c>
      <c r="K89" s="39" t="s">
        <v>2122</v>
      </c>
      <c r="L89" s="39" t="s">
        <v>7830</v>
      </c>
      <c r="M89" s="39" t="s">
        <v>7831</v>
      </c>
      <c r="N89" s="39" t="str">
        <f>("0129855")</f>
        <v>0129855</v>
      </c>
      <c r="P89" s="39" t="s">
        <v>11577</v>
      </c>
      <c r="Q89" s="39" t="s">
        <v>8568</v>
      </c>
      <c r="R89" s="39" t="s">
        <v>8569</v>
      </c>
      <c r="S89" s="39" t="s">
        <v>8570</v>
      </c>
      <c r="AK89" s="39" t="str">
        <f>("2025/03/24")</f>
        <v>2025/03/24</v>
      </c>
      <c r="AL89" s="39" t="str">
        <f t="shared" si="7"/>
        <v>2025/04/01</v>
      </c>
    </row>
    <row r="90" spans="1:39" x14ac:dyDescent="0.25">
      <c r="A90" s="39" t="str">
        <f>("1305190008")</f>
        <v>1305190008</v>
      </c>
      <c r="C90" s="39"/>
      <c r="D90" s="39" t="s">
        <v>4336</v>
      </c>
      <c r="E90" s="371" t="str">
        <f t="shared" si="5"/>
        <v>いとう　りゅうあ</v>
      </c>
      <c r="F90" s="39" t="s">
        <v>2918</v>
      </c>
      <c r="G90" s="39" t="s">
        <v>7828</v>
      </c>
      <c r="H90" s="39" t="str">
        <f>("2013/05/19")</f>
        <v>2013/05/19</v>
      </c>
      <c r="I90" s="39">
        <v>6</v>
      </c>
      <c r="J90" s="39" t="s">
        <v>1478</v>
      </c>
      <c r="K90" s="39" t="s">
        <v>2122</v>
      </c>
      <c r="L90" s="39" t="s">
        <v>7830</v>
      </c>
      <c r="M90" s="39" t="s">
        <v>7831</v>
      </c>
      <c r="N90" s="39" t="str">
        <f>("0129912")</f>
        <v>0129912</v>
      </c>
      <c r="P90" s="39" t="s">
        <v>11578</v>
      </c>
      <c r="Q90" s="39" t="s">
        <v>8568</v>
      </c>
      <c r="R90" s="39" t="s">
        <v>8569</v>
      </c>
      <c r="S90" s="39" t="s">
        <v>8570</v>
      </c>
      <c r="AK90" s="39" t="str">
        <f>("2025/03/17")</f>
        <v>2025/03/17</v>
      </c>
      <c r="AL90" s="39" t="str">
        <f t="shared" si="7"/>
        <v>2025/04/01</v>
      </c>
    </row>
    <row r="91" spans="1:39" x14ac:dyDescent="0.25">
      <c r="A91" s="39" t="str">
        <f>("1305200122")</f>
        <v>1305200122</v>
      </c>
      <c r="C91" s="39"/>
      <c r="D91" s="39" t="s">
        <v>6190</v>
      </c>
      <c r="E91" s="371" t="str">
        <f t="shared" si="5"/>
        <v>さくらい　かける</v>
      </c>
      <c r="F91" s="39" t="s">
        <v>1014</v>
      </c>
      <c r="G91" s="39" t="s">
        <v>7876</v>
      </c>
      <c r="H91" s="39" t="str">
        <f>("2013/05/20")</f>
        <v>2013/05/20</v>
      </c>
      <c r="I91" s="39">
        <v>6</v>
      </c>
      <c r="J91" s="39" t="s">
        <v>1478</v>
      </c>
      <c r="K91" s="39" t="s">
        <v>2122</v>
      </c>
      <c r="L91" s="39" t="s">
        <v>7830</v>
      </c>
      <c r="M91" s="39" t="s">
        <v>7831</v>
      </c>
      <c r="N91" s="39" t="str">
        <f>("0513313")</f>
        <v>0513313</v>
      </c>
      <c r="P91" s="39" t="s">
        <v>11579</v>
      </c>
      <c r="Q91" s="39" t="s">
        <v>8568</v>
      </c>
      <c r="R91" s="39" t="s">
        <v>8569</v>
      </c>
      <c r="S91" s="39" t="s">
        <v>8570</v>
      </c>
      <c r="AA91" s="39" t="s">
        <v>2122</v>
      </c>
      <c r="AB91" s="39" t="s">
        <v>7830</v>
      </c>
      <c r="AC91" s="39" t="s">
        <v>7831</v>
      </c>
      <c r="AD91" s="39" t="str">
        <f>("0387334")</f>
        <v>0387334</v>
      </c>
      <c r="AE91" s="39" t="s">
        <v>2587</v>
      </c>
      <c r="AF91" s="39" t="s">
        <v>2122</v>
      </c>
      <c r="AG91" s="39" t="s">
        <v>7830</v>
      </c>
      <c r="AH91" s="39" t="s">
        <v>7831</v>
      </c>
      <c r="AI91" s="39" t="str">
        <f>("0472823")</f>
        <v>0472823</v>
      </c>
      <c r="AJ91" s="39" t="s">
        <v>2619</v>
      </c>
      <c r="AK91" s="39" t="str">
        <f>("2025/03/17")</f>
        <v>2025/03/17</v>
      </c>
      <c r="AL91" s="39" t="str">
        <f t="shared" si="7"/>
        <v>2025/04/01</v>
      </c>
      <c r="AM91" s="39" t="str">
        <f>("2025/04/11")</f>
        <v>2025/04/11</v>
      </c>
    </row>
    <row r="92" spans="1:39" x14ac:dyDescent="0.25">
      <c r="A92" s="39" t="str">
        <f>("1305200129")</f>
        <v>1305200129</v>
      </c>
      <c r="B92" s="39" t="s">
        <v>8622</v>
      </c>
      <c r="C92" s="39"/>
      <c r="D92" s="39" t="s">
        <v>4604</v>
      </c>
      <c r="E92" s="371" t="str">
        <f t="shared" si="5"/>
        <v>いわた　ゆうせい</v>
      </c>
      <c r="F92" s="39" t="s">
        <v>2544</v>
      </c>
      <c r="G92" s="39" t="s">
        <v>7828</v>
      </c>
      <c r="H92" s="39" t="str">
        <f>("2013/05/20")</f>
        <v>2013/05/20</v>
      </c>
      <c r="I92" s="39">
        <v>6</v>
      </c>
      <c r="J92" s="39" t="s">
        <v>1478</v>
      </c>
      <c r="K92" s="39" t="s">
        <v>2122</v>
      </c>
      <c r="L92" s="39" t="s">
        <v>7830</v>
      </c>
      <c r="M92" s="39" t="s">
        <v>7831</v>
      </c>
      <c r="N92" s="39" t="str">
        <f>("0130644")</f>
        <v>0130644</v>
      </c>
      <c r="P92" s="39" t="s">
        <v>11580</v>
      </c>
      <c r="Q92" s="39" t="s">
        <v>8568</v>
      </c>
      <c r="R92" s="39" t="s">
        <v>8569</v>
      </c>
      <c r="S92" s="39" t="s">
        <v>8570</v>
      </c>
      <c r="AK92" s="39" t="str">
        <f>("2025/03/17")</f>
        <v>2025/03/17</v>
      </c>
      <c r="AL92" s="39" t="str">
        <f t="shared" si="7"/>
        <v>2025/04/01</v>
      </c>
    </row>
    <row r="93" spans="1:39" x14ac:dyDescent="0.25">
      <c r="A93" s="39" t="str">
        <f>("1305200132")</f>
        <v>1305200132</v>
      </c>
      <c r="C93" s="39"/>
      <c r="D93" s="39" t="s">
        <v>4407</v>
      </c>
      <c r="E93" s="371" t="str">
        <f t="shared" si="5"/>
        <v>いのもと　こう</v>
      </c>
      <c r="F93" s="39" t="s">
        <v>856</v>
      </c>
      <c r="G93" s="39" t="s">
        <v>7828</v>
      </c>
      <c r="H93" s="39" t="str">
        <f>("2013/05/20")</f>
        <v>2013/05/20</v>
      </c>
      <c r="I93" s="39">
        <v>6</v>
      </c>
      <c r="J93" s="39" t="s">
        <v>1478</v>
      </c>
      <c r="K93" s="39" t="s">
        <v>2122</v>
      </c>
      <c r="L93" s="39" t="s">
        <v>7830</v>
      </c>
      <c r="M93" s="39" t="s">
        <v>7831</v>
      </c>
      <c r="N93" s="39" t="str">
        <f>("0130149")</f>
        <v>0130149</v>
      </c>
      <c r="P93" s="39" t="s">
        <v>11581</v>
      </c>
      <c r="Q93" s="39" t="s">
        <v>8568</v>
      </c>
      <c r="R93" s="39" t="s">
        <v>8569</v>
      </c>
      <c r="S93" s="39" t="s">
        <v>8570</v>
      </c>
      <c r="AK93" s="39" t="str">
        <f>("2025/03/17")</f>
        <v>2025/03/17</v>
      </c>
      <c r="AL93" s="39" t="str">
        <f t="shared" si="7"/>
        <v>2025/04/01</v>
      </c>
    </row>
    <row r="94" spans="1:39" x14ac:dyDescent="0.25">
      <c r="A94" s="39" t="str">
        <f>("1305200133")</f>
        <v>1305200133</v>
      </c>
      <c r="C94" s="39"/>
      <c r="D94" s="39" t="s">
        <v>4411</v>
      </c>
      <c r="E94" s="371" t="str">
        <f t="shared" si="5"/>
        <v>いのもと　るう</v>
      </c>
      <c r="F94" s="39" t="s">
        <v>856</v>
      </c>
      <c r="G94" s="39" t="s">
        <v>7828</v>
      </c>
      <c r="H94" s="39" t="str">
        <f>("2013/05/20")</f>
        <v>2013/05/20</v>
      </c>
      <c r="I94" s="39">
        <v>6</v>
      </c>
      <c r="J94" s="39" t="s">
        <v>1478</v>
      </c>
      <c r="K94" s="39" t="s">
        <v>2122</v>
      </c>
      <c r="L94" s="39" t="s">
        <v>7830</v>
      </c>
      <c r="M94" s="39" t="s">
        <v>7831</v>
      </c>
      <c r="N94" s="39" t="str">
        <f>("0130149")</f>
        <v>0130149</v>
      </c>
      <c r="P94" s="39" t="s">
        <v>11582</v>
      </c>
      <c r="Q94" s="39" t="s">
        <v>8568</v>
      </c>
      <c r="R94" s="39" t="s">
        <v>8569</v>
      </c>
      <c r="S94" s="39" t="s">
        <v>8570</v>
      </c>
      <c r="AK94" s="39" t="str">
        <f>("2025/03/17")</f>
        <v>2025/03/17</v>
      </c>
      <c r="AL94" s="39" t="str">
        <f t="shared" si="7"/>
        <v>2025/04/01</v>
      </c>
    </row>
    <row r="95" spans="1:39" x14ac:dyDescent="0.25">
      <c r="A95" s="39" t="str">
        <f>("1305200152")</f>
        <v>1305200152</v>
      </c>
      <c r="C95" s="39"/>
      <c r="D95" s="39" t="s">
        <v>4864</v>
      </c>
      <c r="E95" s="371" t="str">
        <f t="shared" si="5"/>
        <v>ふじい　ゆめと</v>
      </c>
      <c r="F95" s="39" t="s">
        <v>3104</v>
      </c>
      <c r="G95" s="39" t="s">
        <v>7828</v>
      </c>
      <c r="H95" s="39" t="str">
        <f>("2013/05/20")</f>
        <v>2013/05/20</v>
      </c>
      <c r="I95" s="39">
        <v>6</v>
      </c>
      <c r="J95" s="39" t="s">
        <v>1478</v>
      </c>
      <c r="K95" s="39" t="s">
        <v>2122</v>
      </c>
      <c r="L95" s="39" t="s">
        <v>7830</v>
      </c>
      <c r="M95" s="39" t="s">
        <v>7831</v>
      </c>
      <c r="N95" s="39" t="str">
        <f>("1076189")</f>
        <v>1076189</v>
      </c>
      <c r="P95" s="39" t="s">
        <v>11583</v>
      </c>
      <c r="Q95" s="39" t="s">
        <v>8568</v>
      </c>
      <c r="R95" s="39" t="s">
        <v>8569</v>
      </c>
      <c r="S95" s="39" t="s">
        <v>8570</v>
      </c>
      <c r="AK95" s="39" t="str">
        <f>("2025/03/24")</f>
        <v>2025/03/24</v>
      </c>
      <c r="AL95" s="39" t="str">
        <f t="shared" si="7"/>
        <v>2025/04/01</v>
      </c>
    </row>
    <row r="96" spans="1:39" x14ac:dyDescent="0.25">
      <c r="A96" s="39" t="str">
        <f>("1305210037")</f>
        <v>1305210037</v>
      </c>
      <c r="B96" s="39" t="s">
        <v>8623</v>
      </c>
      <c r="C96" s="39"/>
      <c r="D96" s="39" t="s">
        <v>1774</v>
      </c>
      <c r="E96" s="371" t="str">
        <f t="shared" si="5"/>
        <v>かわせ　はると</v>
      </c>
      <c r="F96" s="39" t="s">
        <v>1865</v>
      </c>
      <c r="G96" s="39" t="s">
        <v>7828</v>
      </c>
      <c r="H96" s="39" t="str">
        <f>("2013/05/21")</f>
        <v>2013/05/21</v>
      </c>
      <c r="I96" s="39">
        <v>6</v>
      </c>
      <c r="J96" s="39" t="s">
        <v>1478</v>
      </c>
      <c r="K96" s="39" t="s">
        <v>2122</v>
      </c>
      <c r="L96" s="39" t="s">
        <v>7830</v>
      </c>
      <c r="M96" s="39" t="s">
        <v>7831</v>
      </c>
      <c r="N96" s="39" t="str">
        <f>("0310565")</f>
        <v>0310565</v>
      </c>
      <c r="P96" s="39" t="s">
        <v>11584</v>
      </c>
      <c r="Q96" s="39" t="s">
        <v>8568</v>
      </c>
      <c r="R96" s="39" t="s">
        <v>8569</v>
      </c>
      <c r="S96" s="39" t="s">
        <v>8570</v>
      </c>
      <c r="AK96" s="39" t="str">
        <f>("2025/03/17")</f>
        <v>2025/03/17</v>
      </c>
      <c r="AL96" s="39" t="str">
        <f t="shared" si="7"/>
        <v>2025/04/01</v>
      </c>
    </row>
    <row r="97" spans="1:38" x14ac:dyDescent="0.25">
      <c r="A97" s="39" t="str">
        <f>("1305210234")</f>
        <v>1305210234</v>
      </c>
      <c r="C97" s="39"/>
      <c r="D97" s="39" t="s">
        <v>6209</v>
      </c>
      <c r="E97" s="371" t="str">
        <f t="shared" si="5"/>
        <v>たかい　とあ</v>
      </c>
      <c r="F97" s="39" t="s">
        <v>7864</v>
      </c>
      <c r="G97" s="39" t="s">
        <v>7828</v>
      </c>
      <c r="H97" s="39" t="str">
        <f>("2013/05/21")</f>
        <v>2013/05/21</v>
      </c>
      <c r="I97" s="39">
        <v>6</v>
      </c>
      <c r="J97" s="39" t="s">
        <v>1478</v>
      </c>
      <c r="K97" s="39" t="s">
        <v>2122</v>
      </c>
      <c r="L97" s="39" t="s">
        <v>7830</v>
      </c>
      <c r="M97" s="39" t="s">
        <v>7831</v>
      </c>
      <c r="N97" s="39" t="str">
        <f>("1039801")</f>
        <v>1039801</v>
      </c>
      <c r="P97" s="39" t="s">
        <v>11585</v>
      </c>
      <c r="Q97" s="39" t="s">
        <v>8568</v>
      </c>
      <c r="R97" s="39" t="s">
        <v>8569</v>
      </c>
      <c r="S97" s="39" t="s">
        <v>8570</v>
      </c>
      <c r="AK97" s="39" t="str">
        <f>("2025/03/24")</f>
        <v>2025/03/24</v>
      </c>
      <c r="AL97" s="39" t="str">
        <f t="shared" si="7"/>
        <v>2025/04/01</v>
      </c>
    </row>
    <row r="98" spans="1:38" x14ac:dyDescent="0.25">
      <c r="A98" s="39" t="str">
        <f>("1305210239")</f>
        <v>1305210239</v>
      </c>
      <c r="C98" s="39"/>
      <c r="D98" s="39" t="s">
        <v>8624</v>
      </c>
      <c r="E98" s="371" t="str">
        <f t="shared" si="5"/>
        <v>さかもり　むさし</v>
      </c>
      <c r="F98" s="39" t="s">
        <v>1692</v>
      </c>
      <c r="G98" s="39" t="s">
        <v>7828</v>
      </c>
      <c r="H98" s="39" t="str">
        <f>("2013/05/21")</f>
        <v>2013/05/21</v>
      </c>
      <c r="I98" s="39">
        <v>6</v>
      </c>
      <c r="J98" s="39" t="s">
        <v>1478</v>
      </c>
      <c r="K98" s="39" t="s">
        <v>2122</v>
      </c>
      <c r="L98" s="39" t="s">
        <v>7830</v>
      </c>
      <c r="M98" s="39" t="s">
        <v>7831</v>
      </c>
      <c r="N98" s="39" t="str">
        <f>("1052299")</f>
        <v>1052299</v>
      </c>
      <c r="P98" s="39" t="s">
        <v>11586</v>
      </c>
      <c r="Q98" s="39" t="s">
        <v>8568</v>
      </c>
      <c r="R98" s="39" t="s">
        <v>8569</v>
      </c>
      <c r="S98" s="39" t="s">
        <v>8570</v>
      </c>
      <c r="AA98" s="39" t="s">
        <v>2122</v>
      </c>
      <c r="AB98" s="39" t="s">
        <v>7830</v>
      </c>
      <c r="AC98" s="39" t="s">
        <v>7831</v>
      </c>
      <c r="AD98" s="39" t="str">
        <f>("0129765")</f>
        <v>0129765</v>
      </c>
      <c r="AE98" s="39" t="s">
        <v>520</v>
      </c>
      <c r="AK98" s="39" t="str">
        <f>("2025/03/17")</f>
        <v>2025/03/17</v>
      </c>
      <c r="AL98" s="39" t="str">
        <f t="shared" si="7"/>
        <v>2025/04/01</v>
      </c>
    </row>
    <row r="99" spans="1:38" x14ac:dyDescent="0.25">
      <c r="A99" s="39" t="str">
        <f>("1305210292")</f>
        <v>1305210292</v>
      </c>
      <c r="C99" s="39"/>
      <c r="D99" s="39" t="s">
        <v>8625</v>
      </c>
      <c r="E99" s="371" t="str">
        <f t="shared" si="5"/>
        <v>しん　りょうた</v>
      </c>
      <c r="F99" s="39" t="s">
        <v>7864</v>
      </c>
      <c r="G99" s="39" t="s">
        <v>7828</v>
      </c>
      <c r="H99" s="39" t="str">
        <f>("2013/05/21")</f>
        <v>2013/05/21</v>
      </c>
      <c r="I99" s="39">
        <v>6</v>
      </c>
      <c r="J99" s="39" t="s">
        <v>1478</v>
      </c>
      <c r="K99" s="39" t="s">
        <v>2122</v>
      </c>
      <c r="L99" s="39" t="s">
        <v>7830</v>
      </c>
      <c r="M99" s="39" t="s">
        <v>7831</v>
      </c>
      <c r="N99" s="39" t="str">
        <f>("1039801")</f>
        <v>1039801</v>
      </c>
      <c r="P99" s="39" t="s">
        <v>11587</v>
      </c>
      <c r="Q99" s="39" t="s">
        <v>8568</v>
      </c>
      <c r="R99" s="39" t="s">
        <v>8569</v>
      </c>
      <c r="S99" s="39" t="s">
        <v>8570</v>
      </c>
      <c r="AK99" s="39" t="str">
        <f>("2025/03/24")</f>
        <v>2025/03/24</v>
      </c>
      <c r="AL99" s="39" t="str">
        <f t="shared" si="7"/>
        <v>2025/04/01</v>
      </c>
    </row>
    <row r="100" spans="1:38" x14ac:dyDescent="0.25">
      <c r="A100" s="39" t="str">
        <f>("1305220102")</f>
        <v>1305220102</v>
      </c>
      <c r="B100" s="39" t="s">
        <v>8626</v>
      </c>
      <c r="C100" s="39"/>
      <c r="D100" s="39" t="s">
        <v>8627</v>
      </c>
      <c r="E100" s="371" t="str">
        <f t="shared" si="5"/>
        <v>ながおか　こうま</v>
      </c>
      <c r="F100" s="39" t="s">
        <v>1190</v>
      </c>
      <c r="G100" s="39" t="s">
        <v>7828</v>
      </c>
      <c r="H100" s="39" t="str">
        <f>("2013/05/22")</f>
        <v>2013/05/22</v>
      </c>
      <c r="I100" s="39">
        <v>6</v>
      </c>
      <c r="J100" s="39" t="s">
        <v>1478</v>
      </c>
      <c r="K100" s="39" t="s">
        <v>2122</v>
      </c>
      <c r="L100" s="39" t="s">
        <v>7830</v>
      </c>
      <c r="M100" s="39" t="s">
        <v>7831</v>
      </c>
      <c r="N100" s="39" t="str">
        <f>("0130554")</f>
        <v>0130554</v>
      </c>
      <c r="P100" s="39" t="s">
        <v>11588</v>
      </c>
      <c r="Q100" s="39" t="s">
        <v>8568</v>
      </c>
      <c r="R100" s="39" t="s">
        <v>8569</v>
      </c>
      <c r="S100" s="39" t="s">
        <v>8570</v>
      </c>
      <c r="AA100" s="39" t="s">
        <v>2122</v>
      </c>
      <c r="AB100" s="39" t="s">
        <v>7830</v>
      </c>
      <c r="AC100" s="39" t="s">
        <v>7831</v>
      </c>
      <c r="AD100" s="39" t="str">
        <f>("0472823")</f>
        <v>0472823</v>
      </c>
      <c r="AE100" s="39" t="s">
        <v>2619</v>
      </c>
      <c r="AK100" s="39" t="str">
        <f>("2025/05/29")</f>
        <v>2025/05/29</v>
      </c>
      <c r="AL100" s="39" t="str">
        <f>("2025/05/29")</f>
        <v>2025/05/29</v>
      </c>
    </row>
    <row r="101" spans="1:38" x14ac:dyDescent="0.25">
      <c r="A101" s="39" t="str">
        <f>("1305220124")</f>
        <v>1305220124</v>
      </c>
      <c r="C101" s="39"/>
      <c r="D101" s="39" t="s">
        <v>3930</v>
      </c>
      <c r="E101" s="371" t="str">
        <f t="shared" si="5"/>
        <v>さかた　りゅうと</v>
      </c>
      <c r="F101" s="39" t="s">
        <v>2496</v>
      </c>
      <c r="G101" s="39" t="s">
        <v>7828</v>
      </c>
      <c r="H101" s="39" t="str">
        <f>("2013/05/22")</f>
        <v>2013/05/22</v>
      </c>
      <c r="I101" s="39">
        <v>6</v>
      </c>
      <c r="J101" s="39" t="s">
        <v>1478</v>
      </c>
      <c r="K101" s="39" t="s">
        <v>2122</v>
      </c>
      <c r="L101" s="39" t="s">
        <v>7830</v>
      </c>
      <c r="M101" s="39" t="s">
        <v>7831</v>
      </c>
      <c r="N101" s="39" t="str">
        <f>("0129855")</f>
        <v>0129855</v>
      </c>
      <c r="P101" s="39" t="s">
        <v>11589</v>
      </c>
      <c r="Q101" s="39" t="s">
        <v>8568</v>
      </c>
      <c r="R101" s="39" t="s">
        <v>8569</v>
      </c>
      <c r="S101" s="39" t="s">
        <v>8570</v>
      </c>
      <c r="AK101" s="39" t="str">
        <f>("2025/03/24")</f>
        <v>2025/03/24</v>
      </c>
      <c r="AL101" s="39" t="str">
        <f t="shared" ref="AL101:AL118" si="9">("2025/04/01")</f>
        <v>2025/04/01</v>
      </c>
    </row>
    <row r="102" spans="1:38" x14ac:dyDescent="0.25">
      <c r="A102" s="39" t="str">
        <f>("1305220221")</f>
        <v>1305220221</v>
      </c>
      <c r="C102" s="39"/>
      <c r="D102" s="39" t="s">
        <v>5645</v>
      </c>
      <c r="E102" s="371" t="str">
        <f t="shared" si="5"/>
        <v>よしかい　れの</v>
      </c>
      <c r="F102" s="39" t="s">
        <v>684</v>
      </c>
      <c r="G102" s="39" t="s">
        <v>7828</v>
      </c>
      <c r="H102" s="39" t="str">
        <f>("2013/05/22")</f>
        <v>2013/05/22</v>
      </c>
      <c r="I102" s="39">
        <v>6</v>
      </c>
      <c r="J102" s="39" t="s">
        <v>1480</v>
      </c>
      <c r="K102" s="39" t="s">
        <v>2122</v>
      </c>
      <c r="L102" s="39" t="s">
        <v>7830</v>
      </c>
      <c r="M102" s="39" t="s">
        <v>7831</v>
      </c>
      <c r="N102" s="39" t="str">
        <f>("0129518")</f>
        <v>0129518</v>
      </c>
      <c r="P102" s="39" t="s">
        <v>11590</v>
      </c>
      <c r="Q102" s="39" t="s">
        <v>8568</v>
      </c>
      <c r="R102" s="39" t="s">
        <v>8569</v>
      </c>
      <c r="S102" s="39" t="s">
        <v>8570</v>
      </c>
      <c r="AK102" s="39" t="str">
        <f>("2025/03/17")</f>
        <v>2025/03/17</v>
      </c>
      <c r="AL102" s="39" t="str">
        <f t="shared" si="9"/>
        <v>2025/04/01</v>
      </c>
    </row>
    <row r="103" spans="1:38" x14ac:dyDescent="0.25">
      <c r="A103" s="39" t="str">
        <f>("1305220261")</f>
        <v>1305220261</v>
      </c>
      <c r="C103" s="39"/>
      <c r="D103" s="39" t="s">
        <v>8628</v>
      </c>
      <c r="E103" s="371" t="str">
        <f t="shared" si="5"/>
        <v>えとう　こうへい</v>
      </c>
      <c r="F103" s="39" t="s">
        <v>2619</v>
      </c>
      <c r="G103" s="39" t="s">
        <v>7828</v>
      </c>
      <c r="H103" s="39" t="str">
        <f>("2013/05/22")</f>
        <v>2013/05/22</v>
      </c>
      <c r="I103" s="39">
        <v>6</v>
      </c>
      <c r="J103" s="39" t="s">
        <v>1478</v>
      </c>
      <c r="K103" s="39" t="s">
        <v>2122</v>
      </c>
      <c r="L103" s="39" t="s">
        <v>7830</v>
      </c>
      <c r="M103" s="39" t="s">
        <v>7831</v>
      </c>
      <c r="N103" s="39" t="str">
        <f>("0472823")</f>
        <v>0472823</v>
      </c>
      <c r="P103" s="39" t="s">
        <v>11591</v>
      </c>
      <c r="Q103" s="39" t="s">
        <v>8568</v>
      </c>
      <c r="R103" s="39" t="s">
        <v>8569</v>
      </c>
      <c r="S103" s="39" t="s">
        <v>8570</v>
      </c>
      <c r="AK103" s="39" t="str">
        <f>("2025/03/17")</f>
        <v>2025/03/17</v>
      </c>
      <c r="AL103" s="39" t="str">
        <f t="shared" si="9"/>
        <v>2025/04/01</v>
      </c>
    </row>
    <row r="104" spans="1:38" x14ac:dyDescent="0.25">
      <c r="A104" s="39" t="str">
        <f>("1305220264")</f>
        <v>1305220264</v>
      </c>
      <c r="C104" s="39"/>
      <c r="D104" s="39" t="s">
        <v>6259</v>
      </c>
      <c r="E104" s="371" t="str">
        <f t="shared" si="5"/>
        <v>いわた　そうすけ</v>
      </c>
      <c r="F104" s="39" t="s">
        <v>5619</v>
      </c>
      <c r="G104" s="39" t="s">
        <v>7828</v>
      </c>
      <c r="H104" s="39" t="str">
        <f>("2013/05/22")</f>
        <v>2013/05/22</v>
      </c>
      <c r="I104" s="39">
        <v>6</v>
      </c>
      <c r="J104" s="39" t="s">
        <v>1478</v>
      </c>
      <c r="K104" s="39" t="s">
        <v>2122</v>
      </c>
      <c r="L104" s="39" t="s">
        <v>7830</v>
      </c>
      <c r="M104" s="39" t="s">
        <v>7831</v>
      </c>
      <c r="N104" s="39" t="str">
        <f>("1089004")</f>
        <v>1089004</v>
      </c>
      <c r="P104" s="39" t="s">
        <v>11592</v>
      </c>
      <c r="Q104" s="39" t="s">
        <v>8568</v>
      </c>
      <c r="R104" s="39" t="s">
        <v>8569</v>
      </c>
      <c r="S104" s="39" t="s">
        <v>8570</v>
      </c>
      <c r="AK104" s="39" t="str">
        <f>("2025/03/27")</f>
        <v>2025/03/27</v>
      </c>
      <c r="AL104" s="39" t="str">
        <f t="shared" si="9"/>
        <v>2025/04/01</v>
      </c>
    </row>
    <row r="105" spans="1:38" x14ac:dyDescent="0.25">
      <c r="A105" s="39" t="str">
        <f>("1305230007")</f>
        <v>1305230007</v>
      </c>
      <c r="B105" s="39" t="s">
        <v>8629</v>
      </c>
      <c r="C105" s="39"/>
      <c r="D105" s="39" t="s">
        <v>8630</v>
      </c>
      <c r="E105" s="371" t="str">
        <f t="shared" si="5"/>
        <v>あべ　ゆいたろう</v>
      </c>
      <c r="F105" s="39" t="s">
        <v>8135</v>
      </c>
      <c r="G105" s="39" t="s">
        <v>7828</v>
      </c>
      <c r="H105" s="39" t="str">
        <f>("2013/05/23")</f>
        <v>2013/05/23</v>
      </c>
      <c r="I105" s="39">
        <v>6</v>
      </c>
      <c r="J105" s="39" t="s">
        <v>1478</v>
      </c>
      <c r="K105" s="39" t="s">
        <v>2122</v>
      </c>
      <c r="L105" s="39" t="s">
        <v>7830</v>
      </c>
      <c r="M105" s="39" t="s">
        <v>7831</v>
      </c>
      <c r="N105" s="39" t="str">
        <f>("0475567")</f>
        <v>0475567</v>
      </c>
      <c r="P105" s="39" t="s">
        <v>11593</v>
      </c>
      <c r="Q105" s="39" t="s">
        <v>8568</v>
      </c>
      <c r="R105" s="39" t="s">
        <v>8569</v>
      </c>
      <c r="S105" s="39" t="s">
        <v>8570</v>
      </c>
      <c r="AK105" s="39" t="str">
        <f>("2025/03/24")</f>
        <v>2025/03/24</v>
      </c>
      <c r="AL105" s="39" t="str">
        <f t="shared" si="9"/>
        <v>2025/04/01</v>
      </c>
    </row>
    <row r="106" spans="1:38" x14ac:dyDescent="0.25">
      <c r="A106" s="39" t="str">
        <f>("1305230034")</f>
        <v>1305230034</v>
      </c>
      <c r="C106" s="39"/>
      <c r="D106" s="39" t="s">
        <v>6068</v>
      </c>
      <c r="E106" s="371" t="str">
        <f t="shared" si="5"/>
        <v>のなか　とあ</v>
      </c>
      <c r="F106" s="39" t="s">
        <v>1977</v>
      </c>
      <c r="G106" s="39" t="s">
        <v>7828</v>
      </c>
      <c r="H106" s="39" t="str">
        <f>("2013/05/23")</f>
        <v>2013/05/23</v>
      </c>
      <c r="I106" s="39">
        <v>6</v>
      </c>
      <c r="J106" s="39" t="s">
        <v>1478</v>
      </c>
      <c r="K106" s="39" t="s">
        <v>2122</v>
      </c>
      <c r="L106" s="39" t="s">
        <v>7830</v>
      </c>
      <c r="M106" s="39" t="s">
        <v>7831</v>
      </c>
      <c r="N106" s="39" t="str">
        <f>("0395254")</f>
        <v>0395254</v>
      </c>
      <c r="P106" s="39" t="s">
        <v>11594</v>
      </c>
      <c r="Q106" s="39" t="s">
        <v>8568</v>
      </c>
      <c r="R106" s="39" t="s">
        <v>8569</v>
      </c>
      <c r="S106" s="39" t="s">
        <v>8570</v>
      </c>
      <c r="AK106" s="39" t="str">
        <f>("2025/03/17")</f>
        <v>2025/03/17</v>
      </c>
      <c r="AL106" s="39" t="str">
        <f t="shared" si="9"/>
        <v>2025/04/01</v>
      </c>
    </row>
    <row r="107" spans="1:38" x14ac:dyDescent="0.25">
      <c r="A107" s="39" t="str">
        <f>("1305230035")</f>
        <v>1305230035</v>
      </c>
      <c r="C107" s="39"/>
      <c r="D107" s="39" t="s">
        <v>6067</v>
      </c>
      <c r="E107" s="371" t="str">
        <f t="shared" si="5"/>
        <v>しもむら　たくま</v>
      </c>
      <c r="F107" s="39" t="s">
        <v>1977</v>
      </c>
      <c r="G107" s="39" t="s">
        <v>7828</v>
      </c>
      <c r="H107" s="39" t="str">
        <f>("2013/05/23")</f>
        <v>2013/05/23</v>
      </c>
      <c r="I107" s="39">
        <v>6</v>
      </c>
      <c r="J107" s="39" t="s">
        <v>1478</v>
      </c>
      <c r="K107" s="39" t="s">
        <v>2122</v>
      </c>
      <c r="L107" s="39" t="s">
        <v>7830</v>
      </c>
      <c r="M107" s="39" t="s">
        <v>7831</v>
      </c>
      <c r="N107" s="39" t="str">
        <f>("0395254")</f>
        <v>0395254</v>
      </c>
      <c r="P107" s="39" t="s">
        <v>11595</v>
      </c>
      <c r="Q107" s="39" t="s">
        <v>8568</v>
      </c>
      <c r="R107" s="39" t="s">
        <v>8569</v>
      </c>
      <c r="S107" s="39" t="s">
        <v>8570</v>
      </c>
      <c r="AK107" s="39" t="str">
        <f>("2025/03/17")</f>
        <v>2025/03/17</v>
      </c>
      <c r="AL107" s="39" t="str">
        <f t="shared" si="9"/>
        <v>2025/04/01</v>
      </c>
    </row>
    <row r="108" spans="1:38" x14ac:dyDescent="0.25">
      <c r="A108" s="39" t="str">
        <f>("1305230120")</f>
        <v>1305230120</v>
      </c>
      <c r="B108" s="39" t="s">
        <v>8631</v>
      </c>
      <c r="C108" s="39"/>
      <c r="D108" s="39" t="s">
        <v>8632</v>
      </c>
      <c r="E108" s="371" t="str">
        <f t="shared" si="5"/>
        <v>たけはら　ゆうま</v>
      </c>
      <c r="F108" s="39" t="s">
        <v>8135</v>
      </c>
      <c r="G108" s="39" t="s">
        <v>7828</v>
      </c>
      <c r="H108" s="39" t="str">
        <f>("2013/05/23")</f>
        <v>2013/05/23</v>
      </c>
      <c r="I108" s="39">
        <v>6</v>
      </c>
      <c r="J108" s="39" t="s">
        <v>1478</v>
      </c>
      <c r="K108" s="39" t="s">
        <v>2122</v>
      </c>
      <c r="L108" s="39" t="s">
        <v>7830</v>
      </c>
      <c r="M108" s="39" t="s">
        <v>7831</v>
      </c>
      <c r="N108" s="39" t="str">
        <f>("0475567")</f>
        <v>0475567</v>
      </c>
      <c r="P108" s="39" t="s">
        <v>11596</v>
      </c>
      <c r="Q108" s="39" t="s">
        <v>8568</v>
      </c>
      <c r="R108" s="39" t="s">
        <v>8569</v>
      </c>
      <c r="S108" s="39" t="s">
        <v>8570</v>
      </c>
      <c r="AK108" s="39" t="str">
        <f>("2025/03/24")</f>
        <v>2025/03/24</v>
      </c>
      <c r="AL108" s="39" t="str">
        <f t="shared" si="9"/>
        <v>2025/04/01</v>
      </c>
    </row>
    <row r="109" spans="1:38" x14ac:dyDescent="0.25">
      <c r="A109" s="39" t="str">
        <f>("1305230121")</f>
        <v>1305230121</v>
      </c>
      <c r="B109" s="39" t="s">
        <v>8633</v>
      </c>
      <c r="C109" s="39"/>
      <c r="D109" s="39" t="s">
        <v>6062</v>
      </c>
      <c r="E109" s="371" t="str">
        <f t="shared" si="5"/>
        <v>やまさき　はやと</v>
      </c>
      <c r="F109" s="39" t="s">
        <v>2587</v>
      </c>
      <c r="G109" s="39" t="s">
        <v>7828</v>
      </c>
      <c r="H109" s="39" t="str">
        <f>("2013/05/23")</f>
        <v>2013/05/23</v>
      </c>
      <c r="I109" s="39">
        <v>6</v>
      </c>
      <c r="J109" s="39" t="s">
        <v>1478</v>
      </c>
      <c r="K109" s="39" t="s">
        <v>2122</v>
      </c>
      <c r="L109" s="39" t="s">
        <v>7830</v>
      </c>
      <c r="M109" s="39" t="s">
        <v>7831</v>
      </c>
      <c r="N109" s="39" t="str">
        <f>("0387334")</f>
        <v>0387334</v>
      </c>
      <c r="P109" s="39" t="s">
        <v>11597</v>
      </c>
      <c r="Q109" s="39" t="s">
        <v>8568</v>
      </c>
      <c r="R109" s="39" t="s">
        <v>8569</v>
      </c>
      <c r="S109" s="39" t="s">
        <v>8570</v>
      </c>
      <c r="AK109" s="39" t="str">
        <f>("2025/03/27")</f>
        <v>2025/03/27</v>
      </c>
      <c r="AL109" s="39" t="str">
        <f t="shared" si="9"/>
        <v>2025/04/01</v>
      </c>
    </row>
    <row r="110" spans="1:38" x14ac:dyDescent="0.25">
      <c r="A110" s="39" t="str">
        <f>("1305240137")</f>
        <v>1305240137</v>
      </c>
      <c r="C110" s="39"/>
      <c r="D110" s="39" t="s">
        <v>5724</v>
      </c>
      <c r="E110" s="371" t="str">
        <f t="shared" si="5"/>
        <v>あだち　いぶき</v>
      </c>
      <c r="F110" s="39" t="s">
        <v>834</v>
      </c>
      <c r="G110" s="39" t="s">
        <v>7828</v>
      </c>
      <c r="H110" s="39" t="str">
        <f>("2013/05/24")</f>
        <v>2013/05/24</v>
      </c>
      <c r="I110" s="39">
        <v>6</v>
      </c>
      <c r="J110" s="39" t="s">
        <v>1478</v>
      </c>
      <c r="K110" s="39" t="s">
        <v>2122</v>
      </c>
      <c r="L110" s="39" t="s">
        <v>7830</v>
      </c>
      <c r="M110" s="39" t="s">
        <v>7831</v>
      </c>
      <c r="N110" s="39" t="str">
        <f>("0129844")</f>
        <v>0129844</v>
      </c>
      <c r="P110" s="39" t="s">
        <v>11598</v>
      </c>
      <c r="Q110" s="39" t="s">
        <v>8568</v>
      </c>
      <c r="R110" s="39" t="s">
        <v>8569</v>
      </c>
      <c r="S110" s="39" t="s">
        <v>8570</v>
      </c>
      <c r="AK110" s="39" t="str">
        <f>("2025/03/17")</f>
        <v>2025/03/17</v>
      </c>
      <c r="AL110" s="39" t="str">
        <f t="shared" si="9"/>
        <v>2025/04/01</v>
      </c>
    </row>
    <row r="111" spans="1:38" x14ac:dyDescent="0.25">
      <c r="A111" s="39" t="str">
        <f>("1305250137")</f>
        <v>1305250137</v>
      </c>
      <c r="B111" s="39" t="s">
        <v>8634</v>
      </c>
      <c r="C111" s="39"/>
      <c r="D111" s="39" t="s">
        <v>8635</v>
      </c>
      <c r="E111" s="371" t="str">
        <f t="shared" si="5"/>
        <v>すえひろ　あやな</v>
      </c>
      <c r="F111" s="39" t="s">
        <v>2651</v>
      </c>
      <c r="G111" s="39" t="s">
        <v>7828</v>
      </c>
      <c r="H111" s="39" t="str">
        <f>("2013/05/25")</f>
        <v>2013/05/25</v>
      </c>
      <c r="I111" s="39">
        <v>6</v>
      </c>
      <c r="J111" s="39" t="s">
        <v>1480</v>
      </c>
      <c r="K111" s="39" t="s">
        <v>2122</v>
      </c>
      <c r="L111" s="39" t="s">
        <v>7830</v>
      </c>
      <c r="M111" s="39" t="s">
        <v>7831</v>
      </c>
      <c r="N111" s="39" t="str">
        <f>("1067415")</f>
        <v>1067415</v>
      </c>
      <c r="P111" s="39" t="s">
        <v>11599</v>
      </c>
      <c r="Q111" s="39" t="s">
        <v>8568</v>
      </c>
      <c r="R111" s="39" t="s">
        <v>8569</v>
      </c>
      <c r="S111" s="39" t="s">
        <v>8570</v>
      </c>
      <c r="AK111" s="39" t="str">
        <f>("2025/03/21")</f>
        <v>2025/03/21</v>
      </c>
      <c r="AL111" s="39" t="str">
        <f t="shared" si="9"/>
        <v>2025/04/01</v>
      </c>
    </row>
    <row r="112" spans="1:38" x14ac:dyDescent="0.25">
      <c r="A112" s="39" t="str">
        <f>("1305250231")</f>
        <v>1305250231</v>
      </c>
      <c r="C112" s="39"/>
      <c r="D112" s="39" t="s">
        <v>8636</v>
      </c>
      <c r="E112" s="371" t="str">
        <f t="shared" si="5"/>
        <v>おおしも　たつき</v>
      </c>
      <c r="F112" s="39" t="s">
        <v>2023</v>
      </c>
      <c r="G112" s="39" t="s">
        <v>7828</v>
      </c>
      <c r="H112" s="39" t="str">
        <f>("2013/05/25")</f>
        <v>2013/05/25</v>
      </c>
      <c r="I112" s="39">
        <v>6</v>
      </c>
      <c r="J112" s="39" t="s">
        <v>1478</v>
      </c>
      <c r="K112" s="39" t="s">
        <v>2122</v>
      </c>
      <c r="L112" s="39" t="s">
        <v>7830</v>
      </c>
      <c r="M112" s="39" t="s">
        <v>7831</v>
      </c>
      <c r="N112" s="39" t="str">
        <f>("0129967")</f>
        <v>0129967</v>
      </c>
      <c r="P112" s="39" t="s">
        <v>11600</v>
      </c>
      <c r="Q112" s="39" t="s">
        <v>8568</v>
      </c>
      <c r="R112" s="39" t="s">
        <v>8569</v>
      </c>
      <c r="S112" s="39" t="s">
        <v>8570</v>
      </c>
      <c r="AK112" s="39" t="str">
        <f>("2025/03/27")</f>
        <v>2025/03/27</v>
      </c>
      <c r="AL112" s="39" t="str">
        <f t="shared" si="9"/>
        <v>2025/04/01</v>
      </c>
    </row>
    <row r="113" spans="1:38" x14ac:dyDescent="0.25">
      <c r="A113" s="39" t="str">
        <f>("1305260120")</f>
        <v>1305260120</v>
      </c>
      <c r="B113" s="39" t="s">
        <v>8637</v>
      </c>
      <c r="C113" s="39"/>
      <c r="D113" s="39" t="s">
        <v>4610</v>
      </c>
      <c r="E113" s="371" t="str">
        <f t="shared" si="5"/>
        <v>ふかた　はんと</v>
      </c>
      <c r="F113" s="39" t="s">
        <v>2549</v>
      </c>
      <c r="G113" s="39" t="s">
        <v>7828</v>
      </c>
      <c r="H113" s="39" t="str">
        <f>("2013/05/26")</f>
        <v>2013/05/26</v>
      </c>
      <c r="I113" s="39">
        <v>6</v>
      </c>
      <c r="J113" s="39" t="s">
        <v>1478</v>
      </c>
      <c r="K113" s="39" t="s">
        <v>2122</v>
      </c>
      <c r="L113" s="39" t="s">
        <v>7830</v>
      </c>
      <c r="M113" s="39" t="s">
        <v>7831</v>
      </c>
      <c r="N113" s="39" t="str">
        <f>("0130688")</f>
        <v>0130688</v>
      </c>
      <c r="P113" s="39" t="s">
        <v>11601</v>
      </c>
      <c r="Q113" s="39" t="s">
        <v>8568</v>
      </c>
      <c r="R113" s="39" t="s">
        <v>8569</v>
      </c>
      <c r="S113" s="39" t="s">
        <v>8570</v>
      </c>
      <c r="AK113" s="39" t="str">
        <f>("2025/03/17")</f>
        <v>2025/03/17</v>
      </c>
      <c r="AL113" s="39" t="str">
        <f t="shared" si="9"/>
        <v>2025/04/01</v>
      </c>
    </row>
    <row r="114" spans="1:38" x14ac:dyDescent="0.25">
      <c r="A114" s="39" t="str">
        <f>("1305270024")</f>
        <v>1305270024</v>
      </c>
      <c r="B114" s="39" t="s">
        <v>8638</v>
      </c>
      <c r="C114" s="39"/>
      <c r="D114" s="39" t="s">
        <v>8639</v>
      </c>
      <c r="E114" s="371" t="str">
        <f t="shared" si="5"/>
        <v>ゆき　あやか</v>
      </c>
      <c r="F114" s="39" t="s">
        <v>8135</v>
      </c>
      <c r="G114" s="39" t="s">
        <v>7828</v>
      </c>
      <c r="H114" s="39" t="str">
        <f>("2013/05/27")</f>
        <v>2013/05/27</v>
      </c>
      <c r="I114" s="39">
        <v>6</v>
      </c>
      <c r="J114" s="39" t="s">
        <v>1480</v>
      </c>
      <c r="K114" s="39" t="s">
        <v>2122</v>
      </c>
      <c r="L114" s="39" t="s">
        <v>7830</v>
      </c>
      <c r="M114" s="39" t="s">
        <v>7831</v>
      </c>
      <c r="N114" s="39" t="str">
        <f>("0475567")</f>
        <v>0475567</v>
      </c>
      <c r="P114" s="39" t="s">
        <v>11602</v>
      </c>
      <c r="Q114" s="39" t="s">
        <v>8568</v>
      </c>
      <c r="R114" s="39" t="s">
        <v>8569</v>
      </c>
      <c r="S114" s="39" t="s">
        <v>8570</v>
      </c>
      <c r="AK114" s="39" t="str">
        <f>("2025/03/24")</f>
        <v>2025/03/24</v>
      </c>
      <c r="AL114" s="39" t="str">
        <f t="shared" si="9"/>
        <v>2025/04/01</v>
      </c>
    </row>
    <row r="115" spans="1:38" x14ac:dyDescent="0.25">
      <c r="A115" s="39" t="str">
        <f>("1305270126")</f>
        <v>1305270126</v>
      </c>
      <c r="B115" s="39" t="s">
        <v>8640</v>
      </c>
      <c r="C115" s="39"/>
      <c r="D115" s="39" t="s">
        <v>6251</v>
      </c>
      <c r="E115" s="371" t="str">
        <f t="shared" si="5"/>
        <v>よつじ　こうき</v>
      </c>
      <c r="F115" s="39" t="s">
        <v>2651</v>
      </c>
      <c r="G115" s="39" t="s">
        <v>7828</v>
      </c>
      <c r="H115" s="39" t="str">
        <f>("2013/05/27")</f>
        <v>2013/05/27</v>
      </c>
      <c r="I115" s="39">
        <v>6</v>
      </c>
      <c r="J115" s="39" t="s">
        <v>1478</v>
      </c>
      <c r="K115" s="39" t="s">
        <v>2122</v>
      </c>
      <c r="L115" s="39" t="s">
        <v>7830</v>
      </c>
      <c r="M115" s="39" t="s">
        <v>7831</v>
      </c>
      <c r="N115" s="39" t="str">
        <f>("1067415")</f>
        <v>1067415</v>
      </c>
      <c r="P115" s="39" t="s">
        <v>11603</v>
      </c>
      <c r="Q115" s="39" t="s">
        <v>8568</v>
      </c>
      <c r="R115" s="39" t="s">
        <v>8569</v>
      </c>
      <c r="S115" s="39" t="s">
        <v>8570</v>
      </c>
      <c r="AK115" s="39" t="str">
        <f>("2025/03/21")</f>
        <v>2025/03/21</v>
      </c>
      <c r="AL115" s="39" t="str">
        <f t="shared" si="9"/>
        <v>2025/04/01</v>
      </c>
    </row>
    <row r="116" spans="1:38" x14ac:dyDescent="0.25">
      <c r="A116" s="39" t="str">
        <f>("1305270191")</f>
        <v>1305270191</v>
      </c>
      <c r="C116" s="39"/>
      <c r="D116" s="39" t="s">
        <v>4757</v>
      </c>
      <c r="E116" s="371" t="str">
        <f t="shared" si="5"/>
        <v>あんべ　なお</v>
      </c>
      <c r="F116" s="39" t="s">
        <v>2256</v>
      </c>
      <c r="G116" s="39" t="s">
        <v>7828</v>
      </c>
      <c r="H116" s="39" t="str">
        <f>("2013/05/27")</f>
        <v>2013/05/27</v>
      </c>
      <c r="I116" s="39">
        <v>6</v>
      </c>
      <c r="J116" s="39" t="s">
        <v>1480</v>
      </c>
      <c r="K116" s="39" t="s">
        <v>2122</v>
      </c>
      <c r="L116" s="39" t="s">
        <v>7830</v>
      </c>
      <c r="M116" s="39" t="s">
        <v>7831</v>
      </c>
      <c r="N116" s="39" t="str">
        <f>("0449119")</f>
        <v>0449119</v>
      </c>
      <c r="P116" s="39" t="s">
        <v>11604</v>
      </c>
      <c r="Q116" s="39" t="s">
        <v>8568</v>
      </c>
      <c r="R116" s="39" t="s">
        <v>8569</v>
      </c>
      <c r="S116" s="39" t="s">
        <v>8570</v>
      </c>
      <c r="AK116" s="39" t="str">
        <f>("2025/03/17")</f>
        <v>2025/03/17</v>
      </c>
      <c r="AL116" s="39" t="str">
        <f t="shared" si="9"/>
        <v>2025/04/01</v>
      </c>
    </row>
    <row r="117" spans="1:38" x14ac:dyDescent="0.25">
      <c r="A117" s="39" t="str">
        <f>("1305280158")</f>
        <v>1305280158</v>
      </c>
      <c r="B117" s="39" t="s">
        <v>8641</v>
      </c>
      <c r="C117" s="39"/>
      <c r="D117" s="39" t="s">
        <v>4679</v>
      </c>
      <c r="E117" s="371" t="str">
        <f t="shared" si="5"/>
        <v>たかみね　さくたろう</v>
      </c>
      <c r="F117" s="39" t="s">
        <v>2530</v>
      </c>
      <c r="G117" s="39" t="s">
        <v>7828</v>
      </c>
      <c r="H117" s="39" t="str">
        <f>("2013/05/28")</f>
        <v>2013/05/28</v>
      </c>
      <c r="I117" s="39">
        <v>6</v>
      </c>
      <c r="J117" s="39" t="s">
        <v>1478</v>
      </c>
      <c r="K117" s="39" t="s">
        <v>2122</v>
      </c>
      <c r="L117" s="39" t="s">
        <v>7830</v>
      </c>
      <c r="M117" s="39" t="s">
        <v>7831</v>
      </c>
      <c r="N117" s="39" t="str">
        <f>("0338756")</f>
        <v>0338756</v>
      </c>
      <c r="P117" s="39" t="s">
        <v>11605</v>
      </c>
      <c r="Q117" s="39" t="s">
        <v>8568</v>
      </c>
      <c r="R117" s="39" t="s">
        <v>8569</v>
      </c>
      <c r="S117" s="39" t="s">
        <v>8570</v>
      </c>
      <c r="AK117" s="39" t="str">
        <f>("2025/04/01")</f>
        <v>2025/04/01</v>
      </c>
      <c r="AL117" s="39" t="str">
        <f t="shared" si="9"/>
        <v>2025/04/01</v>
      </c>
    </row>
    <row r="118" spans="1:38" x14ac:dyDescent="0.25">
      <c r="A118" s="39" t="str">
        <f>("1305280168")</f>
        <v>1305280168</v>
      </c>
      <c r="C118" s="39"/>
      <c r="D118" s="39" t="s">
        <v>6254</v>
      </c>
      <c r="E118" s="371" t="str">
        <f t="shared" si="5"/>
        <v>いなづみ　ひろと</v>
      </c>
      <c r="F118" s="39" t="s">
        <v>2651</v>
      </c>
      <c r="G118" s="39" t="s">
        <v>7828</v>
      </c>
      <c r="H118" s="39" t="str">
        <f>("2013/05/28")</f>
        <v>2013/05/28</v>
      </c>
      <c r="I118" s="39">
        <v>6</v>
      </c>
      <c r="J118" s="39" t="s">
        <v>1478</v>
      </c>
      <c r="K118" s="39" t="s">
        <v>2122</v>
      </c>
      <c r="L118" s="39" t="s">
        <v>7830</v>
      </c>
      <c r="M118" s="39" t="s">
        <v>7831</v>
      </c>
      <c r="N118" s="39" t="str">
        <f>("1067415")</f>
        <v>1067415</v>
      </c>
      <c r="P118" s="39" t="s">
        <v>11606</v>
      </c>
      <c r="Q118" s="39" t="s">
        <v>8568</v>
      </c>
      <c r="R118" s="39" t="s">
        <v>8569</v>
      </c>
      <c r="S118" s="39" t="s">
        <v>8570</v>
      </c>
      <c r="AK118" s="39" t="str">
        <f>("2025/03/21")</f>
        <v>2025/03/21</v>
      </c>
      <c r="AL118" s="39" t="str">
        <f t="shared" si="9"/>
        <v>2025/04/01</v>
      </c>
    </row>
    <row r="119" spans="1:38" x14ac:dyDescent="0.25">
      <c r="A119" s="39" t="str">
        <f>("1305280278")</f>
        <v>1305280278</v>
      </c>
      <c r="C119" s="39"/>
      <c r="D119" s="39" t="s">
        <v>8642</v>
      </c>
      <c r="E119" s="371" t="str">
        <f t="shared" si="5"/>
        <v>しが　かなと</v>
      </c>
      <c r="F119" s="39" t="s">
        <v>2600</v>
      </c>
      <c r="G119" s="39" t="s">
        <v>7828</v>
      </c>
      <c r="H119" s="39" t="str">
        <f>("2013/05/28")</f>
        <v>2013/05/28</v>
      </c>
      <c r="I119" s="39">
        <v>6</v>
      </c>
      <c r="J119" s="39" t="s">
        <v>1478</v>
      </c>
      <c r="K119" s="39" t="s">
        <v>2122</v>
      </c>
      <c r="L119" s="39" t="s">
        <v>7830</v>
      </c>
      <c r="M119" s="39" t="s">
        <v>7831</v>
      </c>
      <c r="N119" s="39" t="str">
        <f>("0429757")</f>
        <v>0429757</v>
      </c>
      <c r="P119" s="39" t="s">
        <v>11607</v>
      </c>
      <c r="Q119" s="39" t="s">
        <v>8568</v>
      </c>
      <c r="R119" s="39" t="s">
        <v>8569</v>
      </c>
      <c r="S119" s="39" t="s">
        <v>8570</v>
      </c>
      <c r="AK119" s="39" t="str">
        <f>("2025/12/15")</f>
        <v>2025/12/15</v>
      </c>
      <c r="AL119" s="39" t="str">
        <f>("2025/12/15")</f>
        <v>2025/12/15</v>
      </c>
    </row>
    <row r="120" spans="1:38" x14ac:dyDescent="0.25">
      <c r="A120" s="39" t="str">
        <f>("1305290083")</f>
        <v>1305290083</v>
      </c>
      <c r="B120" s="39" t="s">
        <v>8643</v>
      </c>
      <c r="C120" s="39"/>
      <c r="D120" s="39" t="s">
        <v>8644</v>
      </c>
      <c r="E120" s="371" t="str">
        <f t="shared" si="5"/>
        <v>さがら　せいよう</v>
      </c>
      <c r="F120" s="39" t="s">
        <v>2619</v>
      </c>
      <c r="G120" s="39" t="s">
        <v>7828</v>
      </c>
      <c r="H120" s="39" t="str">
        <f>("2013/05/29")</f>
        <v>2013/05/29</v>
      </c>
      <c r="I120" s="39">
        <v>6</v>
      </c>
      <c r="J120" s="39" t="s">
        <v>1478</v>
      </c>
      <c r="K120" s="39" t="s">
        <v>2122</v>
      </c>
      <c r="L120" s="39" t="s">
        <v>7830</v>
      </c>
      <c r="M120" s="39" t="s">
        <v>7831</v>
      </c>
      <c r="N120" s="39" t="str">
        <f>("0472823")</f>
        <v>0472823</v>
      </c>
      <c r="P120" s="39" t="s">
        <v>11608</v>
      </c>
      <c r="Q120" s="39" t="s">
        <v>8568</v>
      </c>
      <c r="R120" s="39" t="s">
        <v>8569</v>
      </c>
      <c r="S120" s="39" t="s">
        <v>8570</v>
      </c>
      <c r="AK120" s="39" t="str">
        <f>("2025/03/17")</f>
        <v>2025/03/17</v>
      </c>
      <c r="AL120" s="39" t="str">
        <f t="shared" ref="AL120:AL129" si="10">("2025/04/01")</f>
        <v>2025/04/01</v>
      </c>
    </row>
    <row r="121" spans="1:38" x14ac:dyDescent="0.25">
      <c r="A121" s="39" t="str">
        <f>("1305290170")</f>
        <v>1305290170</v>
      </c>
      <c r="C121" s="39"/>
      <c r="D121" s="39" t="s">
        <v>6048</v>
      </c>
      <c r="E121" s="371" t="str">
        <f t="shared" si="5"/>
        <v>いのくち　そうし</v>
      </c>
      <c r="F121" s="39" t="s">
        <v>1207</v>
      </c>
      <c r="G121" s="39" t="s">
        <v>7828</v>
      </c>
      <c r="H121" s="39" t="str">
        <f>("2013/05/29")</f>
        <v>2013/05/29</v>
      </c>
      <c r="I121" s="39">
        <v>6</v>
      </c>
      <c r="J121" s="39" t="s">
        <v>1478</v>
      </c>
      <c r="K121" s="39" t="s">
        <v>2122</v>
      </c>
      <c r="L121" s="39" t="s">
        <v>7830</v>
      </c>
      <c r="M121" s="39" t="s">
        <v>7831</v>
      </c>
      <c r="N121" s="39" t="str">
        <f>("0381608")</f>
        <v>0381608</v>
      </c>
      <c r="P121" s="39" t="s">
        <v>11609</v>
      </c>
      <c r="Q121" s="39" t="s">
        <v>8568</v>
      </c>
      <c r="R121" s="39" t="s">
        <v>8569</v>
      </c>
      <c r="S121" s="39" t="s">
        <v>8570</v>
      </c>
      <c r="AK121" s="39" t="str">
        <f>("2025/03/21")</f>
        <v>2025/03/21</v>
      </c>
      <c r="AL121" s="39" t="str">
        <f t="shared" si="10"/>
        <v>2025/04/01</v>
      </c>
    </row>
    <row r="122" spans="1:38" x14ac:dyDescent="0.25">
      <c r="A122" s="39" t="str">
        <f>("1305290229")</f>
        <v>1305290229</v>
      </c>
      <c r="C122" s="39"/>
      <c r="D122" s="39" t="s">
        <v>5802</v>
      </c>
      <c r="E122" s="371" t="str">
        <f t="shared" si="5"/>
        <v>はせがわ　れんと</v>
      </c>
      <c r="F122" s="39" t="s">
        <v>2342</v>
      </c>
      <c r="G122" s="39" t="s">
        <v>7828</v>
      </c>
      <c r="H122" s="39" t="str">
        <f>("2013/05/29")</f>
        <v>2013/05/29</v>
      </c>
      <c r="I122" s="39">
        <v>6</v>
      </c>
      <c r="J122" s="39" t="s">
        <v>1478</v>
      </c>
      <c r="K122" s="39" t="s">
        <v>2122</v>
      </c>
      <c r="L122" s="39" t="s">
        <v>7830</v>
      </c>
      <c r="M122" s="39" t="s">
        <v>7831</v>
      </c>
      <c r="N122" s="39" t="str">
        <f>("0130307")</f>
        <v>0130307</v>
      </c>
      <c r="P122" s="39" t="s">
        <v>11610</v>
      </c>
      <c r="Q122" s="39" t="s">
        <v>8568</v>
      </c>
      <c r="R122" s="39" t="s">
        <v>8569</v>
      </c>
      <c r="S122" s="39" t="s">
        <v>8570</v>
      </c>
      <c r="AK122" s="39" t="str">
        <f>("2025/03/17")</f>
        <v>2025/03/17</v>
      </c>
      <c r="AL122" s="39" t="str">
        <f t="shared" si="10"/>
        <v>2025/04/01</v>
      </c>
    </row>
    <row r="123" spans="1:38" x14ac:dyDescent="0.25">
      <c r="A123" s="39" t="str">
        <f>("1305290237")</f>
        <v>1305290237</v>
      </c>
      <c r="C123" s="39"/>
      <c r="D123" s="39" t="s">
        <v>8645</v>
      </c>
      <c r="E123" s="371" t="str">
        <f t="shared" si="5"/>
        <v>わたなべ　かける</v>
      </c>
      <c r="F123" s="39" t="s">
        <v>8485</v>
      </c>
      <c r="G123" s="39" t="s">
        <v>7828</v>
      </c>
      <c r="H123" s="39" t="str">
        <f>("2013/05/29")</f>
        <v>2013/05/29</v>
      </c>
      <c r="I123" s="39">
        <v>6</v>
      </c>
      <c r="J123" s="39" t="s">
        <v>1478</v>
      </c>
      <c r="K123" s="39" t="s">
        <v>2122</v>
      </c>
      <c r="L123" s="39" t="s">
        <v>7830</v>
      </c>
      <c r="M123" s="39" t="s">
        <v>7831</v>
      </c>
      <c r="N123" s="39" t="str">
        <f>("0130666")</f>
        <v>0130666</v>
      </c>
      <c r="P123" s="39" t="s">
        <v>11611</v>
      </c>
      <c r="Q123" s="39" t="s">
        <v>8568</v>
      </c>
      <c r="R123" s="39" t="s">
        <v>8569</v>
      </c>
      <c r="S123" s="39" t="s">
        <v>8570</v>
      </c>
      <c r="AK123" s="39" t="str">
        <f>("2025/03/24")</f>
        <v>2025/03/24</v>
      </c>
      <c r="AL123" s="39" t="str">
        <f t="shared" si="10"/>
        <v>2025/04/01</v>
      </c>
    </row>
    <row r="124" spans="1:38" x14ac:dyDescent="0.25">
      <c r="A124" s="39" t="str">
        <f>("1305300126")</f>
        <v>1305300126</v>
      </c>
      <c r="B124" s="39" t="s">
        <v>8646</v>
      </c>
      <c r="C124" s="39"/>
      <c r="D124" s="39" t="s">
        <v>4634</v>
      </c>
      <c r="E124" s="371" t="str">
        <f t="shared" si="5"/>
        <v>いけべ　あゆむ</v>
      </c>
      <c r="F124" s="39" t="s">
        <v>686</v>
      </c>
      <c r="G124" s="39" t="s">
        <v>7828</v>
      </c>
      <c r="H124" s="39" t="str">
        <f>("2013/05/30")</f>
        <v>2013/05/30</v>
      </c>
      <c r="I124" s="39">
        <v>6</v>
      </c>
      <c r="J124" s="39" t="s">
        <v>1478</v>
      </c>
      <c r="K124" s="39" t="s">
        <v>2122</v>
      </c>
      <c r="L124" s="39" t="s">
        <v>7830</v>
      </c>
      <c r="M124" s="39" t="s">
        <v>7831</v>
      </c>
      <c r="N124" s="39" t="str">
        <f>("0130745")</f>
        <v>0130745</v>
      </c>
      <c r="P124" s="39" t="s">
        <v>11612</v>
      </c>
      <c r="Q124" s="39" t="s">
        <v>8568</v>
      </c>
      <c r="R124" s="39" t="s">
        <v>8569</v>
      </c>
      <c r="S124" s="39" t="s">
        <v>8570</v>
      </c>
      <c r="AK124" s="39" t="str">
        <f>("2025/03/17")</f>
        <v>2025/03/17</v>
      </c>
      <c r="AL124" s="39" t="str">
        <f t="shared" si="10"/>
        <v>2025/04/01</v>
      </c>
    </row>
    <row r="125" spans="1:38" x14ac:dyDescent="0.25">
      <c r="A125" s="39" t="str">
        <f>("1305310113")</f>
        <v>1305310113</v>
      </c>
      <c r="B125" s="39" t="s">
        <v>8647</v>
      </c>
      <c r="C125" s="39"/>
      <c r="D125" s="39" t="s">
        <v>3895</v>
      </c>
      <c r="E125" s="371" t="str">
        <f t="shared" si="5"/>
        <v>たかはし　おうたろう</v>
      </c>
      <c r="F125" s="39" t="s">
        <v>2274</v>
      </c>
      <c r="G125" s="39" t="s">
        <v>7828</v>
      </c>
      <c r="H125" s="39" t="str">
        <f>("2013/05/31")</f>
        <v>2013/05/31</v>
      </c>
      <c r="I125" s="39">
        <v>6</v>
      </c>
      <c r="J125" s="39" t="s">
        <v>1478</v>
      </c>
      <c r="K125" s="39" t="s">
        <v>2122</v>
      </c>
      <c r="L125" s="39" t="s">
        <v>7830</v>
      </c>
      <c r="M125" s="39" t="s">
        <v>7831</v>
      </c>
      <c r="N125" s="39" t="str">
        <f>("0129563")</f>
        <v>0129563</v>
      </c>
      <c r="P125" s="39" t="s">
        <v>11613</v>
      </c>
      <c r="Q125" s="39" t="s">
        <v>8568</v>
      </c>
      <c r="R125" s="39" t="s">
        <v>8569</v>
      </c>
      <c r="S125" s="39" t="s">
        <v>8570</v>
      </c>
      <c r="AK125" s="39" t="str">
        <f>("2025/03/17")</f>
        <v>2025/03/17</v>
      </c>
      <c r="AL125" s="39" t="str">
        <f t="shared" si="10"/>
        <v>2025/04/01</v>
      </c>
    </row>
    <row r="126" spans="1:38" x14ac:dyDescent="0.25">
      <c r="A126" s="39" t="str">
        <f>("1306010125")</f>
        <v>1306010125</v>
      </c>
      <c r="C126" s="39"/>
      <c r="D126" s="39" t="s">
        <v>5737</v>
      </c>
      <c r="E126" s="371" t="str">
        <f t="shared" si="5"/>
        <v>まなべ　こうし</v>
      </c>
      <c r="F126" s="39" t="s">
        <v>1481</v>
      </c>
      <c r="G126" s="39" t="s">
        <v>7828</v>
      </c>
      <c r="H126" s="39" t="str">
        <f>("2013/06/01")</f>
        <v>2013/06/01</v>
      </c>
      <c r="I126" s="39">
        <v>6</v>
      </c>
      <c r="J126" s="39" t="s">
        <v>1478</v>
      </c>
      <c r="K126" s="39" t="s">
        <v>2122</v>
      </c>
      <c r="L126" s="39" t="s">
        <v>7830</v>
      </c>
      <c r="M126" s="39" t="s">
        <v>7831</v>
      </c>
      <c r="N126" s="39" t="str">
        <f>("0129866")</f>
        <v>0129866</v>
      </c>
      <c r="P126" s="39" t="s">
        <v>11614</v>
      </c>
      <c r="Q126" s="39" t="s">
        <v>8568</v>
      </c>
      <c r="R126" s="39" t="s">
        <v>8569</v>
      </c>
      <c r="S126" s="39" t="s">
        <v>8570</v>
      </c>
      <c r="AK126" s="39" t="str">
        <f>("2025/03/19")</f>
        <v>2025/03/19</v>
      </c>
      <c r="AL126" s="39" t="str">
        <f t="shared" si="10"/>
        <v>2025/04/01</v>
      </c>
    </row>
    <row r="127" spans="1:38" x14ac:dyDescent="0.25">
      <c r="A127" s="39" t="str">
        <f>("1306010145")</f>
        <v>1306010145</v>
      </c>
      <c r="C127" s="39"/>
      <c r="D127" s="39" t="s">
        <v>5663</v>
      </c>
      <c r="E127" s="371" t="str">
        <f t="shared" si="5"/>
        <v>まえかわ　こはる</v>
      </c>
      <c r="F127" s="39" t="s">
        <v>2477</v>
      </c>
      <c r="G127" s="39" t="s">
        <v>7828</v>
      </c>
      <c r="H127" s="39" t="str">
        <f>("2013/06/01")</f>
        <v>2013/06/01</v>
      </c>
      <c r="I127" s="39">
        <v>6</v>
      </c>
      <c r="J127" s="39" t="s">
        <v>1480</v>
      </c>
      <c r="K127" s="39" t="s">
        <v>2122</v>
      </c>
      <c r="L127" s="39" t="s">
        <v>7830</v>
      </c>
      <c r="M127" s="39" t="s">
        <v>7831</v>
      </c>
      <c r="N127" s="39" t="str">
        <f>("0129541")</f>
        <v>0129541</v>
      </c>
      <c r="P127" s="39" t="s">
        <v>11615</v>
      </c>
      <c r="Q127" s="39" t="s">
        <v>8568</v>
      </c>
      <c r="R127" s="39" t="s">
        <v>8569</v>
      </c>
      <c r="S127" s="39" t="s">
        <v>8570</v>
      </c>
      <c r="AA127" s="39" t="s">
        <v>8648</v>
      </c>
      <c r="AB127" s="39" t="s">
        <v>7830</v>
      </c>
      <c r="AC127" s="39" t="s">
        <v>7831</v>
      </c>
      <c r="AD127" s="39" t="str">
        <f>("1077568")</f>
        <v>1077568</v>
      </c>
      <c r="AE127" s="39" t="s">
        <v>8649</v>
      </c>
      <c r="AK127" s="39" t="str">
        <f>("2025/03/27")</f>
        <v>2025/03/27</v>
      </c>
      <c r="AL127" s="39" t="str">
        <f t="shared" si="10"/>
        <v>2025/04/01</v>
      </c>
    </row>
    <row r="128" spans="1:38" x14ac:dyDescent="0.25">
      <c r="A128" s="39" t="str">
        <f>("1306030176")</f>
        <v>1306030176</v>
      </c>
      <c r="B128" s="39" t="s">
        <v>8650</v>
      </c>
      <c r="C128" s="39"/>
      <c r="D128" s="39" t="s">
        <v>8651</v>
      </c>
      <c r="E128" s="371" t="str">
        <f t="shared" si="5"/>
        <v>とみなが　らん</v>
      </c>
      <c r="F128" s="39" t="s">
        <v>8032</v>
      </c>
      <c r="G128" s="39" t="s">
        <v>7828</v>
      </c>
      <c r="H128" s="39" t="str">
        <f>("2013/06/03")</f>
        <v>2013/06/03</v>
      </c>
      <c r="I128" s="39">
        <v>6</v>
      </c>
      <c r="J128" s="39" t="s">
        <v>1478</v>
      </c>
      <c r="K128" s="39" t="s">
        <v>2122</v>
      </c>
      <c r="L128" s="39" t="s">
        <v>7830</v>
      </c>
      <c r="M128" s="39" t="s">
        <v>7831</v>
      </c>
      <c r="N128" s="39" t="str">
        <f>("0452911")</f>
        <v>0452911</v>
      </c>
      <c r="P128" s="39" t="s">
        <v>11616</v>
      </c>
      <c r="Q128" s="39" t="s">
        <v>8568</v>
      </c>
      <c r="R128" s="39" t="s">
        <v>8569</v>
      </c>
      <c r="S128" s="39" t="s">
        <v>8570</v>
      </c>
      <c r="AK128" s="39" t="str">
        <f>("2025/04/10")</f>
        <v>2025/04/10</v>
      </c>
      <c r="AL128" s="39" t="str">
        <f t="shared" si="10"/>
        <v>2025/04/01</v>
      </c>
    </row>
    <row r="129" spans="1:39" x14ac:dyDescent="0.25">
      <c r="A129" s="39" t="str">
        <f>("1306030186")</f>
        <v>1306030186</v>
      </c>
      <c r="C129" s="39"/>
      <c r="D129" s="39" t="s">
        <v>5946</v>
      </c>
      <c r="E129" s="371" t="str">
        <f t="shared" si="5"/>
        <v>あらた　はる</v>
      </c>
      <c r="F129" s="39" t="s">
        <v>188</v>
      </c>
      <c r="G129" s="39" t="s">
        <v>7828</v>
      </c>
      <c r="H129" s="39" t="str">
        <f>("2013/06/03")</f>
        <v>2013/06/03</v>
      </c>
      <c r="I129" s="39">
        <v>6</v>
      </c>
      <c r="J129" s="39" t="s">
        <v>1478</v>
      </c>
      <c r="K129" s="39" t="s">
        <v>2122</v>
      </c>
      <c r="L129" s="39" t="s">
        <v>7830</v>
      </c>
      <c r="M129" s="39" t="s">
        <v>7831</v>
      </c>
      <c r="N129" s="39" t="str">
        <f>("0130734")</f>
        <v>0130734</v>
      </c>
      <c r="P129" s="39" t="s">
        <v>11617</v>
      </c>
      <c r="Q129" s="39" t="s">
        <v>8568</v>
      </c>
      <c r="R129" s="39" t="s">
        <v>8569</v>
      </c>
      <c r="S129" s="39" t="s">
        <v>8570</v>
      </c>
      <c r="AK129" s="39" t="str">
        <f>("2025/03/17")</f>
        <v>2025/03/17</v>
      </c>
      <c r="AL129" s="39" t="str">
        <f t="shared" si="10"/>
        <v>2025/04/01</v>
      </c>
    </row>
    <row r="130" spans="1:39" x14ac:dyDescent="0.25">
      <c r="A130" s="39" t="str">
        <f>("1306030197")</f>
        <v>1306030197</v>
      </c>
      <c r="C130" s="39"/>
      <c r="D130" s="39" t="s">
        <v>8652</v>
      </c>
      <c r="E130" s="371" t="str">
        <f t="shared" si="5"/>
        <v>とくまる　たくま</v>
      </c>
      <c r="F130" s="39" t="s">
        <v>5619</v>
      </c>
      <c r="G130" s="39" t="s">
        <v>7828</v>
      </c>
      <c r="H130" s="39" t="str">
        <f>("2013/06/03")</f>
        <v>2013/06/03</v>
      </c>
      <c r="I130" s="39">
        <v>6</v>
      </c>
      <c r="J130" s="39" t="s">
        <v>1478</v>
      </c>
      <c r="K130" s="39" t="s">
        <v>2122</v>
      </c>
      <c r="L130" s="39" t="s">
        <v>7830</v>
      </c>
      <c r="M130" s="39" t="s">
        <v>7831</v>
      </c>
      <c r="N130" s="39" t="str">
        <f>("1089004")</f>
        <v>1089004</v>
      </c>
      <c r="P130" s="39" t="s">
        <v>11618</v>
      </c>
      <c r="Q130" s="39" t="s">
        <v>8568</v>
      </c>
      <c r="R130" s="39" t="s">
        <v>8569</v>
      </c>
      <c r="S130" s="39" t="s">
        <v>8570</v>
      </c>
      <c r="AA130" s="39" t="s">
        <v>2122</v>
      </c>
      <c r="AB130" s="39" t="s">
        <v>7830</v>
      </c>
      <c r="AC130" s="39" t="s">
        <v>7831</v>
      </c>
      <c r="AD130" s="39" t="str">
        <f>("0130453")</f>
        <v>0130453</v>
      </c>
      <c r="AE130" s="39" t="s">
        <v>1751</v>
      </c>
      <c r="AK130" s="39" t="str">
        <f>("2025/04/22")</f>
        <v>2025/04/22</v>
      </c>
      <c r="AL130" s="39" t="str">
        <f>("2025/04/22")</f>
        <v>2025/04/22</v>
      </c>
    </row>
    <row r="131" spans="1:39" x14ac:dyDescent="0.25">
      <c r="A131" s="39" t="str">
        <f>("1306030252")</f>
        <v>1306030252</v>
      </c>
      <c r="B131" s="39" t="s">
        <v>8653</v>
      </c>
      <c r="C131" s="39"/>
      <c r="D131" s="39" t="s">
        <v>8654</v>
      </c>
      <c r="E131" s="371" t="str">
        <f t="shared" ref="E131:E194" si="11">PHONETIC(P131)</f>
        <v>あきもと　ようた</v>
      </c>
      <c r="F131" s="39" t="s">
        <v>2516</v>
      </c>
      <c r="G131" s="39" t="s">
        <v>7828</v>
      </c>
      <c r="H131" s="39" t="str">
        <f>("2013/06/03")</f>
        <v>2013/06/03</v>
      </c>
      <c r="I131" s="39">
        <v>6</v>
      </c>
      <c r="J131" s="39" t="s">
        <v>1478</v>
      </c>
      <c r="K131" s="39" t="s">
        <v>2122</v>
      </c>
      <c r="L131" s="39" t="s">
        <v>7830</v>
      </c>
      <c r="M131" s="39" t="s">
        <v>7831</v>
      </c>
      <c r="N131" s="39" t="str">
        <f>("0130116")</f>
        <v>0130116</v>
      </c>
      <c r="P131" s="39" t="s">
        <v>11619</v>
      </c>
      <c r="Q131" s="39" t="s">
        <v>8568</v>
      </c>
      <c r="R131" s="39" t="s">
        <v>8569</v>
      </c>
      <c r="S131" s="39" t="s">
        <v>8570</v>
      </c>
      <c r="AK131" s="39" t="str">
        <f>("2025/03/25")</f>
        <v>2025/03/25</v>
      </c>
      <c r="AL131" s="39" t="str">
        <f t="shared" ref="AL131:AL162" si="12">("2025/04/01")</f>
        <v>2025/04/01</v>
      </c>
    </row>
    <row r="132" spans="1:39" x14ac:dyDescent="0.25">
      <c r="A132" s="39" t="str">
        <f>("1306040122")</f>
        <v>1306040122</v>
      </c>
      <c r="C132" s="39"/>
      <c r="D132" s="39" t="s">
        <v>6221</v>
      </c>
      <c r="E132" s="371" t="str">
        <f t="shared" si="11"/>
        <v>もりした　あおと</v>
      </c>
      <c r="F132" s="39" t="s">
        <v>7864</v>
      </c>
      <c r="G132" s="39" t="s">
        <v>7828</v>
      </c>
      <c r="H132" s="39" t="str">
        <f>("2013/06/04")</f>
        <v>2013/06/04</v>
      </c>
      <c r="I132" s="39">
        <v>6</v>
      </c>
      <c r="J132" s="39" t="s">
        <v>1478</v>
      </c>
      <c r="K132" s="39" t="s">
        <v>2122</v>
      </c>
      <c r="L132" s="39" t="s">
        <v>7830</v>
      </c>
      <c r="M132" s="39" t="s">
        <v>7831</v>
      </c>
      <c r="N132" s="39" t="str">
        <f>("1039801")</f>
        <v>1039801</v>
      </c>
      <c r="P132" s="39" t="s">
        <v>11620</v>
      </c>
      <c r="Q132" s="39" t="s">
        <v>8568</v>
      </c>
      <c r="R132" s="39" t="s">
        <v>8569</v>
      </c>
      <c r="S132" s="39" t="s">
        <v>8570</v>
      </c>
      <c r="AA132" s="39" t="s">
        <v>2122</v>
      </c>
      <c r="AB132" s="39" t="s">
        <v>7830</v>
      </c>
      <c r="AC132" s="39" t="s">
        <v>7831</v>
      </c>
      <c r="AD132" s="39" t="str">
        <f>("0130419")</f>
        <v>0130419</v>
      </c>
      <c r="AE132" s="39" t="s">
        <v>2531</v>
      </c>
      <c r="AK132" s="39" t="str">
        <f>("2025/03/24")</f>
        <v>2025/03/24</v>
      </c>
      <c r="AL132" s="39" t="str">
        <f t="shared" si="12"/>
        <v>2025/04/01</v>
      </c>
    </row>
    <row r="133" spans="1:39" x14ac:dyDescent="0.25">
      <c r="A133" s="39" t="str">
        <f>("1306040161")</f>
        <v>1306040161</v>
      </c>
      <c r="B133" s="39" t="s">
        <v>8655</v>
      </c>
      <c r="C133" s="39"/>
      <c r="D133" s="39" t="s">
        <v>4683</v>
      </c>
      <c r="E133" s="371" t="str">
        <f t="shared" si="11"/>
        <v>としみつ　りょうが</v>
      </c>
      <c r="F133" s="39" t="s">
        <v>2530</v>
      </c>
      <c r="G133" s="39" t="s">
        <v>7828</v>
      </c>
      <c r="H133" s="39" t="str">
        <f>("2013/04/26")</f>
        <v>2013/04/26</v>
      </c>
      <c r="I133" s="39">
        <v>6</v>
      </c>
      <c r="J133" s="39" t="s">
        <v>1478</v>
      </c>
      <c r="K133" s="39" t="s">
        <v>2122</v>
      </c>
      <c r="L133" s="39" t="s">
        <v>7830</v>
      </c>
      <c r="M133" s="39" t="s">
        <v>7831</v>
      </c>
      <c r="N133" s="39" t="str">
        <f>("0338756")</f>
        <v>0338756</v>
      </c>
      <c r="P133" s="39" t="s">
        <v>11621</v>
      </c>
      <c r="Q133" s="39" t="s">
        <v>8568</v>
      </c>
      <c r="R133" s="39" t="s">
        <v>8569</v>
      </c>
      <c r="S133" s="39" t="s">
        <v>8570</v>
      </c>
      <c r="AK133" s="39" t="str">
        <f>("2025/04/01")</f>
        <v>2025/04/01</v>
      </c>
      <c r="AL133" s="39" t="str">
        <f t="shared" si="12"/>
        <v>2025/04/01</v>
      </c>
    </row>
    <row r="134" spans="1:39" x14ac:dyDescent="0.25">
      <c r="A134" s="39" t="str">
        <f>("1306040162")</f>
        <v>1306040162</v>
      </c>
      <c r="B134" s="39" t="s">
        <v>8656</v>
      </c>
      <c r="C134" s="39"/>
      <c r="D134" s="39" t="s">
        <v>6020</v>
      </c>
      <c r="E134" s="371" t="str">
        <f t="shared" si="11"/>
        <v>なかづる　たくま</v>
      </c>
      <c r="F134" s="39" t="s">
        <v>2530</v>
      </c>
      <c r="G134" s="39" t="s">
        <v>7876</v>
      </c>
      <c r="H134" s="39" t="str">
        <f>("2013/06/04")</f>
        <v>2013/06/04</v>
      </c>
      <c r="I134" s="39">
        <v>6</v>
      </c>
      <c r="J134" s="39" t="s">
        <v>1478</v>
      </c>
      <c r="K134" s="39" t="s">
        <v>2122</v>
      </c>
      <c r="L134" s="39" t="s">
        <v>7830</v>
      </c>
      <c r="M134" s="39" t="s">
        <v>7831</v>
      </c>
      <c r="N134" s="39" t="str">
        <f>("0338756")</f>
        <v>0338756</v>
      </c>
      <c r="P134" s="39" t="s">
        <v>11622</v>
      </c>
      <c r="Q134" s="39" t="s">
        <v>8568</v>
      </c>
      <c r="R134" s="39" t="s">
        <v>8569</v>
      </c>
      <c r="S134" s="39" t="s">
        <v>8570</v>
      </c>
      <c r="AK134" s="39" t="str">
        <f>("2025/04/01")</f>
        <v>2025/04/01</v>
      </c>
      <c r="AL134" s="39" t="str">
        <f t="shared" si="12"/>
        <v>2025/04/01</v>
      </c>
      <c r="AM134" s="39" t="str">
        <f>("2025/12/05")</f>
        <v>2025/12/05</v>
      </c>
    </row>
    <row r="135" spans="1:39" x14ac:dyDescent="0.25">
      <c r="A135" s="39" t="str">
        <f>("1306040241")</f>
        <v>1306040241</v>
      </c>
      <c r="B135" s="39" t="s">
        <v>8657</v>
      </c>
      <c r="C135" s="39"/>
      <c r="D135" s="39" t="s">
        <v>4612</v>
      </c>
      <c r="E135" s="371" t="str">
        <f t="shared" si="11"/>
        <v>やの　ゆうご</v>
      </c>
      <c r="F135" s="39" t="s">
        <v>2549</v>
      </c>
      <c r="G135" s="39" t="s">
        <v>7828</v>
      </c>
      <c r="H135" s="39" t="str">
        <f>("2013/06/04")</f>
        <v>2013/06/04</v>
      </c>
      <c r="I135" s="39">
        <v>6</v>
      </c>
      <c r="J135" s="39" t="s">
        <v>1478</v>
      </c>
      <c r="K135" s="39" t="s">
        <v>2122</v>
      </c>
      <c r="L135" s="39" t="s">
        <v>7830</v>
      </c>
      <c r="M135" s="39" t="s">
        <v>7831</v>
      </c>
      <c r="N135" s="39" t="str">
        <f>("0130688")</f>
        <v>0130688</v>
      </c>
      <c r="P135" s="39" t="s">
        <v>11623</v>
      </c>
      <c r="Q135" s="39" t="s">
        <v>8568</v>
      </c>
      <c r="R135" s="39" t="s">
        <v>8569</v>
      </c>
      <c r="S135" s="39" t="s">
        <v>8570</v>
      </c>
      <c r="AK135" s="39" t="str">
        <f>("2025/03/17")</f>
        <v>2025/03/17</v>
      </c>
      <c r="AL135" s="39" t="str">
        <f t="shared" si="12"/>
        <v>2025/04/01</v>
      </c>
    </row>
    <row r="136" spans="1:39" x14ac:dyDescent="0.25">
      <c r="A136" s="39" t="str">
        <f>("1306060066")</f>
        <v>1306060066</v>
      </c>
      <c r="C136" s="39"/>
      <c r="D136" s="39" t="s">
        <v>8658</v>
      </c>
      <c r="E136" s="371" t="str">
        <f t="shared" si="11"/>
        <v>もり　せいいちろう</v>
      </c>
      <c r="F136" s="39" t="s">
        <v>947</v>
      </c>
      <c r="G136" s="39" t="s">
        <v>7828</v>
      </c>
      <c r="H136" s="39" t="str">
        <f>("2013/06/06")</f>
        <v>2013/06/06</v>
      </c>
      <c r="I136" s="39">
        <v>6</v>
      </c>
      <c r="J136" s="39" t="s">
        <v>1478</v>
      </c>
      <c r="K136" s="39" t="s">
        <v>2122</v>
      </c>
      <c r="L136" s="39" t="s">
        <v>7830</v>
      </c>
      <c r="M136" s="39" t="s">
        <v>7831</v>
      </c>
      <c r="N136" s="39" t="str">
        <f>("0130183")</f>
        <v>0130183</v>
      </c>
      <c r="P136" s="39" t="s">
        <v>11624</v>
      </c>
      <c r="Q136" s="39" t="s">
        <v>8568</v>
      </c>
      <c r="R136" s="39" t="s">
        <v>8569</v>
      </c>
      <c r="S136" s="39" t="s">
        <v>8570</v>
      </c>
      <c r="AK136" s="39" t="str">
        <f>("2025/03/27")</f>
        <v>2025/03/27</v>
      </c>
      <c r="AL136" s="39" t="str">
        <f t="shared" si="12"/>
        <v>2025/04/01</v>
      </c>
    </row>
    <row r="137" spans="1:39" x14ac:dyDescent="0.25">
      <c r="A137" s="39" t="str">
        <f>("1306070019")</f>
        <v>1306070019</v>
      </c>
      <c r="B137" s="39" t="s">
        <v>8659</v>
      </c>
      <c r="C137" s="39"/>
      <c r="D137" s="39" t="s">
        <v>4084</v>
      </c>
      <c r="E137" s="371" t="str">
        <f t="shared" si="11"/>
        <v>ゆきひら　けんせい</v>
      </c>
      <c r="F137" s="39" t="s">
        <v>2821</v>
      </c>
      <c r="G137" s="39" t="s">
        <v>7828</v>
      </c>
      <c r="H137" s="39" t="str">
        <f>("2013/06/07")</f>
        <v>2013/06/07</v>
      </c>
      <c r="I137" s="39">
        <v>6</v>
      </c>
      <c r="J137" s="39" t="s">
        <v>1478</v>
      </c>
      <c r="K137" s="39" t="s">
        <v>2122</v>
      </c>
      <c r="L137" s="39" t="s">
        <v>7830</v>
      </c>
      <c r="M137" s="39" t="s">
        <v>7831</v>
      </c>
      <c r="N137" s="39" t="str">
        <f>("0237631")</f>
        <v>0237631</v>
      </c>
      <c r="P137" s="39" t="s">
        <v>11625</v>
      </c>
      <c r="Q137" s="39" t="s">
        <v>8568</v>
      </c>
      <c r="R137" s="39" t="s">
        <v>8569</v>
      </c>
      <c r="S137" s="39" t="s">
        <v>8570</v>
      </c>
      <c r="AK137" s="39" t="str">
        <f>("2025/03/17")</f>
        <v>2025/03/17</v>
      </c>
      <c r="AL137" s="39" t="str">
        <f t="shared" si="12"/>
        <v>2025/04/01</v>
      </c>
    </row>
    <row r="138" spans="1:39" x14ac:dyDescent="0.25">
      <c r="A138" s="39" t="str">
        <f>("1306080078")</f>
        <v>1306080078</v>
      </c>
      <c r="B138" s="39" t="s">
        <v>8660</v>
      </c>
      <c r="C138" s="39"/>
      <c r="D138" s="39" t="s">
        <v>8661</v>
      </c>
      <c r="E138" s="371" t="str">
        <f t="shared" si="11"/>
        <v>ひさえだ　はやと</v>
      </c>
      <c r="F138" s="39" t="s">
        <v>8135</v>
      </c>
      <c r="G138" s="39" t="s">
        <v>7828</v>
      </c>
      <c r="H138" s="39" t="str">
        <f>("2013/06/08")</f>
        <v>2013/06/08</v>
      </c>
      <c r="I138" s="39">
        <v>6</v>
      </c>
      <c r="J138" s="39" t="s">
        <v>1478</v>
      </c>
      <c r="K138" s="39" t="s">
        <v>2122</v>
      </c>
      <c r="L138" s="39" t="s">
        <v>7830</v>
      </c>
      <c r="M138" s="39" t="s">
        <v>7831</v>
      </c>
      <c r="N138" s="39" t="str">
        <f>("0475567")</f>
        <v>0475567</v>
      </c>
      <c r="P138" s="39" t="s">
        <v>11626</v>
      </c>
      <c r="Q138" s="39" t="s">
        <v>8568</v>
      </c>
      <c r="R138" s="39" t="s">
        <v>8569</v>
      </c>
      <c r="S138" s="39" t="s">
        <v>8570</v>
      </c>
      <c r="AK138" s="39" t="str">
        <f>("2025/03/24")</f>
        <v>2025/03/24</v>
      </c>
      <c r="AL138" s="39" t="str">
        <f t="shared" si="12"/>
        <v>2025/04/01</v>
      </c>
    </row>
    <row r="139" spans="1:39" x14ac:dyDescent="0.25">
      <c r="A139" s="39" t="str">
        <f>("1306080125")</f>
        <v>1306080125</v>
      </c>
      <c r="B139" s="39" t="s">
        <v>8662</v>
      </c>
      <c r="C139" s="39"/>
      <c r="D139" s="39" t="s">
        <v>5895</v>
      </c>
      <c r="E139" s="371" t="str">
        <f t="shared" si="11"/>
        <v>あだち　けいや</v>
      </c>
      <c r="F139" s="39" t="s">
        <v>2243</v>
      </c>
      <c r="G139" s="39" t="s">
        <v>7828</v>
      </c>
      <c r="H139" s="39" t="str">
        <f>("2013/06/08")</f>
        <v>2013/06/08</v>
      </c>
      <c r="I139" s="39">
        <v>6</v>
      </c>
      <c r="J139" s="39" t="s">
        <v>1478</v>
      </c>
      <c r="K139" s="39" t="s">
        <v>2122</v>
      </c>
      <c r="L139" s="39" t="s">
        <v>7830</v>
      </c>
      <c r="M139" s="39" t="s">
        <v>7831</v>
      </c>
      <c r="N139" s="39" t="str">
        <f>("0130565")</f>
        <v>0130565</v>
      </c>
      <c r="P139" s="39" t="s">
        <v>11627</v>
      </c>
      <c r="Q139" s="39" t="s">
        <v>8568</v>
      </c>
      <c r="R139" s="39" t="s">
        <v>8569</v>
      </c>
      <c r="S139" s="39" t="s">
        <v>8570</v>
      </c>
      <c r="AK139" s="39" t="str">
        <f>("2025/03/17")</f>
        <v>2025/03/17</v>
      </c>
      <c r="AL139" s="39" t="str">
        <f t="shared" si="12"/>
        <v>2025/04/01</v>
      </c>
    </row>
    <row r="140" spans="1:39" x14ac:dyDescent="0.25">
      <c r="A140" s="39" t="str">
        <f>("1306080135")</f>
        <v>1306080135</v>
      </c>
      <c r="B140" s="39" t="s">
        <v>8663</v>
      </c>
      <c r="C140" s="39"/>
      <c r="D140" s="39" t="s">
        <v>4700</v>
      </c>
      <c r="E140" s="371" t="str">
        <f t="shared" si="11"/>
        <v>やの　たくみ</v>
      </c>
      <c r="F140" s="39" t="s">
        <v>2584</v>
      </c>
      <c r="G140" s="39" t="s">
        <v>7828</v>
      </c>
      <c r="H140" s="39" t="str">
        <f>("2013/06/08")</f>
        <v>2013/06/08</v>
      </c>
      <c r="I140" s="39">
        <v>6</v>
      </c>
      <c r="J140" s="39" t="s">
        <v>1478</v>
      </c>
      <c r="K140" s="39" t="s">
        <v>2122</v>
      </c>
      <c r="L140" s="39" t="s">
        <v>7830</v>
      </c>
      <c r="M140" s="39" t="s">
        <v>7831</v>
      </c>
      <c r="N140" s="39" t="str">
        <f>("0374071")</f>
        <v>0374071</v>
      </c>
      <c r="P140" s="39" t="s">
        <v>11628</v>
      </c>
      <c r="Q140" s="39" t="s">
        <v>8568</v>
      </c>
      <c r="R140" s="39" t="s">
        <v>8569</v>
      </c>
      <c r="S140" s="39" t="s">
        <v>8570</v>
      </c>
      <c r="AK140" s="39" t="str">
        <f>("2025/03/17")</f>
        <v>2025/03/17</v>
      </c>
      <c r="AL140" s="39" t="str">
        <f t="shared" si="12"/>
        <v>2025/04/01</v>
      </c>
    </row>
    <row r="141" spans="1:39" x14ac:dyDescent="0.25">
      <c r="A141" s="39" t="str">
        <f>("1306100015")</f>
        <v>1306100015</v>
      </c>
      <c r="B141" s="39" t="s">
        <v>8664</v>
      </c>
      <c r="C141" s="39"/>
      <c r="D141" s="39" t="s">
        <v>4559</v>
      </c>
      <c r="E141" s="371" t="str">
        <f t="shared" si="11"/>
        <v>こいし　れん</v>
      </c>
      <c r="F141" s="39" t="s">
        <v>1344</v>
      </c>
      <c r="G141" s="39" t="s">
        <v>7828</v>
      </c>
      <c r="H141" s="39" t="str">
        <f>("2013/06/10")</f>
        <v>2013/06/10</v>
      </c>
      <c r="I141" s="39">
        <v>6</v>
      </c>
      <c r="J141" s="39" t="s">
        <v>1478</v>
      </c>
      <c r="K141" s="39" t="s">
        <v>2122</v>
      </c>
      <c r="L141" s="39" t="s">
        <v>7830</v>
      </c>
      <c r="M141" s="39" t="s">
        <v>7831</v>
      </c>
      <c r="N141" s="39" t="str">
        <f>("0130587")</f>
        <v>0130587</v>
      </c>
      <c r="P141" s="39" t="s">
        <v>11629</v>
      </c>
      <c r="Q141" s="39" t="s">
        <v>8568</v>
      </c>
      <c r="R141" s="39" t="s">
        <v>8569</v>
      </c>
      <c r="S141" s="39" t="s">
        <v>8570</v>
      </c>
      <c r="AK141" s="39" t="str">
        <f>("2025/03/17")</f>
        <v>2025/03/17</v>
      </c>
      <c r="AL141" s="39" t="str">
        <f t="shared" si="12"/>
        <v>2025/04/01</v>
      </c>
    </row>
    <row r="142" spans="1:39" x14ac:dyDescent="0.25">
      <c r="A142" s="39" t="str">
        <f>("1306100027")</f>
        <v>1306100027</v>
      </c>
      <c r="C142" s="39"/>
      <c r="D142" s="39" t="s">
        <v>6057</v>
      </c>
      <c r="E142" s="371" t="str">
        <f t="shared" si="11"/>
        <v>きもと　せあん</v>
      </c>
      <c r="F142" s="39" t="s">
        <v>2587</v>
      </c>
      <c r="G142" s="39" t="s">
        <v>7828</v>
      </c>
      <c r="H142" s="39" t="str">
        <f>("2013/06/10")</f>
        <v>2013/06/10</v>
      </c>
      <c r="I142" s="39">
        <v>6</v>
      </c>
      <c r="J142" s="39" t="s">
        <v>1480</v>
      </c>
      <c r="K142" s="39" t="s">
        <v>2122</v>
      </c>
      <c r="L142" s="39" t="s">
        <v>7830</v>
      </c>
      <c r="M142" s="39" t="s">
        <v>7831</v>
      </c>
      <c r="N142" s="39" t="str">
        <f>("0387334")</f>
        <v>0387334</v>
      </c>
      <c r="P142" s="39" t="s">
        <v>11630</v>
      </c>
      <c r="Q142" s="39" t="s">
        <v>8568</v>
      </c>
      <c r="R142" s="39" t="s">
        <v>8569</v>
      </c>
      <c r="S142" s="39" t="s">
        <v>8570</v>
      </c>
      <c r="AK142" s="39" t="str">
        <f>("2025/03/27")</f>
        <v>2025/03/27</v>
      </c>
      <c r="AL142" s="39" t="str">
        <f t="shared" si="12"/>
        <v>2025/04/01</v>
      </c>
    </row>
    <row r="143" spans="1:39" x14ac:dyDescent="0.25">
      <c r="A143" s="39" t="str">
        <f>("1306110007")</f>
        <v>1306110007</v>
      </c>
      <c r="B143" s="39" t="s">
        <v>8665</v>
      </c>
      <c r="C143" s="39"/>
      <c r="D143" s="39" t="s">
        <v>4640</v>
      </c>
      <c r="E143" s="371" t="str">
        <f t="shared" si="11"/>
        <v>のざき　ゆうと</v>
      </c>
      <c r="F143" s="39" t="s">
        <v>2325</v>
      </c>
      <c r="G143" s="39" t="s">
        <v>7828</v>
      </c>
      <c r="H143" s="39" t="str">
        <f>("2013/06/11")</f>
        <v>2013/06/11</v>
      </c>
      <c r="I143" s="39">
        <v>6</v>
      </c>
      <c r="J143" s="39" t="s">
        <v>1478</v>
      </c>
      <c r="K143" s="39" t="s">
        <v>2122</v>
      </c>
      <c r="L143" s="39" t="s">
        <v>7830</v>
      </c>
      <c r="M143" s="39" t="s">
        <v>7831</v>
      </c>
      <c r="N143" s="39" t="str">
        <f>("0155034")</f>
        <v>0155034</v>
      </c>
      <c r="P143" s="39" t="s">
        <v>11631</v>
      </c>
      <c r="Q143" s="39" t="s">
        <v>8568</v>
      </c>
      <c r="R143" s="39" t="s">
        <v>8569</v>
      </c>
      <c r="S143" s="39" t="s">
        <v>8570</v>
      </c>
      <c r="AK143" s="39" t="str">
        <f>("2025/03/17")</f>
        <v>2025/03/17</v>
      </c>
      <c r="AL143" s="39" t="str">
        <f t="shared" si="12"/>
        <v>2025/04/01</v>
      </c>
    </row>
    <row r="144" spans="1:39" x14ac:dyDescent="0.25">
      <c r="A144" s="39" t="str">
        <f>("1306120093")</f>
        <v>1306120093</v>
      </c>
      <c r="B144" s="39" t="s">
        <v>8666</v>
      </c>
      <c r="C144" s="39"/>
      <c r="D144" s="39" t="s">
        <v>6194</v>
      </c>
      <c r="E144" s="371" t="str">
        <f t="shared" si="11"/>
        <v>かん　たいすけ</v>
      </c>
      <c r="F144" s="39" t="s">
        <v>1917</v>
      </c>
      <c r="G144" s="39" t="s">
        <v>7828</v>
      </c>
      <c r="H144" s="39" t="str">
        <f>("2013/06/12")</f>
        <v>2013/06/12</v>
      </c>
      <c r="I144" s="39">
        <v>6</v>
      </c>
      <c r="J144" s="39" t="s">
        <v>1478</v>
      </c>
      <c r="K144" s="39" t="s">
        <v>2122</v>
      </c>
      <c r="L144" s="39" t="s">
        <v>7830</v>
      </c>
      <c r="M144" s="39" t="s">
        <v>7831</v>
      </c>
      <c r="N144" s="39" t="str">
        <f>("1032161")</f>
        <v>1032161</v>
      </c>
      <c r="P144" s="39" t="s">
        <v>11632</v>
      </c>
      <c r="Q144" s="39" t="s">
        <v>8568</v>
      </c>
      <c r="R144" s="39" t="s">
        <v>8569</v>
      </c>
      <c r="S144" s="39" t="s">
        <v>8570</v>
      </c>
      <c r="AK144" s="39" t="str">
        <f>("2025/03/21")</f>
        <v>2025/03/21</v>
      </c>
      <c r="AL144" s="39" t="str">
        <f t="shared" si="12"/>
        <v>2025/04/01</v>
      </c>
    </row>
    <row r="145" spans="1:39" x14ac:dyDescent="0.25">
      <c r="A145" s="39" t="str">
        <f>("1306120149")</f>
        <v>1306120149</v>
      </c>
      <c r="B145" s="39" t="s">
        <v>8667</v>
      </c>
      <c r="C145" s="39"/>
      <c r="D145" s="39" t="s">
        <v>4280</v>
      </c>
      <c r="E145" s="371" t="str">
        <f t="shared" si="11"/>
        <v>ひらかわ　りく</v>
      </c>
      <c r="F145" s="39" t="s">
        <v>2485</v>
      </c>
      <c r="G145" s="39" t="s">
        <v>7828</v>
      </c>
      <c r="H145" s="39" t="str">
        <f>("2013/06/12")</f>
        <v>2013/06/12</v>
      </c>
      <c r="I145" s="39">
        <v>6</v>
      </c>
      <c r="J145" s="39" t="s">
        <v>1478</v>
      </c>
      <c r="K145" s="39" t="s">
        <v>2122</v>
      </c>
      <c r="L145" s="39" t="s">
        <v>7830</v>
      </c>
      <c r="M145" s="39" t="s">
        <v>7831</v>
      </c>
      <c r="N145" s="39" t="str">
        <f>("0129754")</f>
        <v>0129754</v>
      </c>
      <c r="P145" s="39" t="s">
        <v>11633</v>
      </c>
      <c r="Q145" s="39" t="s">
        <v>8568</v>
      </c>
      <c r="R145" s="39" t="s">
        <v>8569</v>
      </c>
      <c r="S145" s="39" t="s">
        <v>8570</v>
      </c>
      <c r="AK145" s="39" t="str">
        <f>("2025/03/24")</f>
        <v>2025/03/24</v>
      </c>
      <c r="AL145" s="39" t="str">
        <f t="shared" si="12"/>
        <v>2025/04/01</v>
      </c>
    </row>
    <row r="146" spans="1:39" x14ac:dyDescent="0.25">
      <c r="A146" s="39" t="str">
        <f>("1306130009")</f>
        <v>1306130009</v>
      </c>
      <c r="B146" s="39" t="s">
        <v>8668</v>
      </c>
      <c r="C146" s="39"/>
      <c r="D146" s="39" t="s">
        <v>4124</v>
      </c>
      <c r="E146" s="371" t="str">
        <f t="shared" si="11"/>
        <v>よだ　ゆうだい</v>
      </c>
      <c r="F146" s="39" t="s">
        <v>2395</v>
      </c>
      <c r="G146" s="39" t="s">
        <v>7828</v>
      </c>
      <c r="H146" s="39" t="str">
        <f>("2013/06/13")</f>
        <v>2013/06/13</v>
      </c>
      <c r="I146" s="39">
        <v>6</v>
      </c>
      <c r="J146" s="39" t="s">
        <v>1478</v>
      </c>
      <c r="K146" s="39" t="s">
        <v>2122</v>
      </c>
      <c r="L146" s="39" t="s">
        <v>7830</v>
      </c>
      <c r="M146" s="39" t="s">
        <v>7831</v>
      </c>
      <c r="N146" s="39" t="str">
        <f>("0366735")</f>
        <v>0366735</v>
      </c>
      <c r="P146" s="39" t="s">
        <v>11634</v>
      </c>
      <c r="Q146" s="39" t="s">
        <v>8568</v>
      </c>
      <c r="R146" s="39" t="s">
        <v>8569</v>
      </c>
      <c r="S146" s="39" t="s">
        <v>8570</v>
      </c>
      <c r="AK146" s="39" t="str">
        <f>("2025/03/17")</f>
        <v>2025/03/17</v>
      </c>
      <c r="AL146" s="39" t="str">
        <f t="shared" si="12"/>
        <v>2025/04/01</v>
      </c>
    </row>
    <row r="147" spans="1:39" x14ac:dyDescent="0.25">
      <c r="A147" s="39" t="str">
        <f>("1306140044")</f>
        <v>1306140044</v>
      </c>
      <c r="C147" s="39"/>
      <c r="D147" s="39" t="s">
        <v>6072</v>
      </c>
      <c r="E147" s="371" t="str">
        <f t="shared" si="11"/>
        <v>あかみね　そうま</v>
      </c>
      <c r="F147" s="39" t="s">
        <v>1977</v>
      </c>
      <c r="G147" s="39" t="s">
        <v>7828</v>
      </c>
      <c r="H147" s="39" t="str">
        <f>("2013/06/14")</f>
        <v>2013/06/14</v>
      </c>
      <c r="I147" s="39">
        <v>6</v>
      </c>
      <c r="J147" s="39" t="s">
        <v>1478</v>
      </c>
      <c r="K147" s="39" t="s">
        <v>2122</v>
      </c>
      <c r="L147" s="39" t="s">
        <v>7830</v>
      </c>
      <c r="M147" s="39" t="s">
        <v>7831</v>
      </c>
      <c r="N147" s="39" t="str">
        <f>("0395254")</f>
        <v>0395254</v>
      </c>
      <c r="P147" s="39" t="s">
        <v>11635</v>
      </c>
      <c r="Q147" s="39" t="s">
        <v>8568</v>
      </c>
      <c r="R147" s="39" t="s">
        <v>8569</v>
      </c>
      <c r="S147" s="39" t="s">
        <v>8570</v>
      </c>
      <c r="AK147" s="39" t="str">
        <f>("2025/03/17")</f>
        <v>2025/03/17</v>
      </c>
      <c r="AL147" s="39" t="str">
        <f t="shared" si="12"/>
        <v>2025/04/01</v>
      </c>
    </row>
    <row r="148" spans="1:39" x14ac:dyDescent="0.25">
      <c r="A148" s="39" t="str">
        <f>("1306140093")</f>
        <v>1306140093</v>
      </c>
      <c r="C148" s="39"/>
      <c r="D148" s="39" t="s">
        <v>4866</v>
      </c>
      <c r="E148" s="371" t="str">
        <f t="shared" si="11"/>
        <v>なかむら　ひろと</v>
      </c>
      <c r="F148" s="39" t="s">
        <v>3104</v>
      </c>
      <c r="G148" s="39" t="s">
        <v>7828</v>
      </c>
      <c r="H148" s="39" t="str">
        <f>("2013/06/14")</f>
        <v>2013/06/14</v>
      </c>
      <c r="I148" s="39">
        <v>6</v>
      </c>
      <c r="J148" s="39" t="s">
        <v>1478</v>
      </c>
      <c r="K148" s="39" t="s">
        <v>2122</v>
      </c>
      <c r="L148" s="39" t="s">
        <v>7830</v>
      </c>
      <c r="M148" s="39" t="s">
        <v>7831</v>
      </c>
      <c r="N148" s="39" t="str">
        <f>("1076189")</f>
        <v>1076189</v>
      </c>
      <c r="P148" s="39" t="s">
        <v>11636</v>
      </c>
      <c r="Q148" s="39" t="s">
        <v>8568</v>
      </c>
      <c r="R148" s="39" t="s">
        <v>8569</v>
      </c>
      <c r="S148" s="39" t="s">
        <v>8570</v>
      </c>
      <c r="AK148" s="39" t="str">
        <f>("2025/03/24")</f>
        <v>2025/03/24</v>
      </c>
      <c r="AL148" s="39" t="str">
        <f t="shared" si="12"/>
        <v>2025/04/01</v>
      </c>
    </row>
    <row r="149" spans="1:39" x14ac:dyDescent="0.25">
      <c r="A149" s="39" t="str">
        <f>("1306140128")</f>
        <v>1306140128</v>
      </c>
      <c r="B149" s="39" t="s">
        <v>8669</v>
      </c>
      <c r="C149" s="39"/>
      <c r="D149" s="39" t="s">
        <v>8670</v>
      </c>
      <c r="E149" s="371" t="str">
        <f t="shared" si="11"/>
        <v>しだら　ゆうり</v>
      </c>
      <c r="F149" s="39" t="s">
        <v>8050</v>
      </c>
      <c r="G149" s="39" t="s">
        <v>7828</v>
      </c>
      <c r="H149" s="39" t="str">
        <f>("2013/06/14")</f>
        <v>2013/06/14</v>
      </c>
      <c r="I149" s="39">
        <v>6</v>
      </c>
      <c r="J149" s="39" t="s">
        <v>1478</v>
      </c>
      <c r="K149" s="39" t="s">
        <v>2122</v>
      </c>
      <c r="L149" s="39" t="s">
        <v>7830</v>
      </c>
      <c r="M149" s="39" t="s">
        <v>7831</v>
      </c>
      <c r="N149" s="39" t="str">
        <f>("0130015")</f>
        <v>0130015</v>
      </c>
      <c r="P149" s="39" t="s">
        <v>11637</v>
      </c>
      <c r="Q149" s="39" t="s">
        <v>8568</v>
      </c>
      <c r="R149" s="39" t="s">
        <v>8569</v>
      </c>
      <c r="S149" s="39" t="s">
        <v>8570</v>
      </c>
      <c r="AK149" s="39" t="str">
        <f>("2025/03/17")</f>
        <v>2025/03/17</v>
      </c>
      <c r="AL149" s="39" t="str">
        <f t="shared" si="12"/>
        <v>2025/04/01</v>
      </c>
    </row>
    <row r="150" spans="1:39" x14ac:dyDescent="0.25">
      <c r="A150" s="39" t="str">
        <f>("1306140141")</f>
        <v>1306140141</v>
      </c>
      <c r="B150" s="39" t="s">
        <v>8671</v>
      </c>
      <c r="C150" s="39"/>
      <c r="D150" s="39" t="s">
        <v>4677</v>
      </c>
      <c r="E150" s="371" t="str">
        <f t="shared" si="11"/>
        <v>かい　さくと</v>
      </c>
      <c r="F150" s="39" t="s">
        <v>2530</v>
      </c>
      <c r="G150" s="39" t="s">
        <v>7828</v>
      </c>
      <c r="H150" s="39" t="str">
        <f>("2013/06/14")</f>
        <v>2013/06/14</v>
      </c>
      <c r="I150" s="39">
        <v>6</v>
      </c>
      <c r="J150" s="39" t="s">
        <v>1478</v>
      </c>
      <c r="K150" s="39" t="s">
        <v>2122</v>
      </c>
      <c r="L150" s="39" t="s">
        <v>7830</v>
      </c>
      <c r="M150" s="39" t="s">
        <v>7831</v>
      </c>
      <c r="N150" s="39" t="str">
        <f>("0338756")</f>
        <v>0338756</v>
      </c>
      <c r="P150" s="39" t="s">
        <v>11638</v>
      </c>
      <c r="Q150" s="39" t="s">
        <v>8568</v>
      </c>
      <c r="R150" s="39" t="s">
        <v>8569</v>
      </c>
      <c r="S150" s="39" t="s">
        <v>8570</v>
      </c>
      <c r="AK150" s="39" t="str">
        <f>("2025/04/01")</f>
        <v>2025/04/01</v>
      </c>
      <c r="AL150" s="39" t="str">
        <f t="shared" si="12"/>
        <v>2025/04/01</v>
      </c>
    </row>
    <row r="151" spans="1:39" x14ac:dyDescent="0.25">
      <c r="A151" s="39" t="str">
        <f>("1306150023")</f>
        <v>1306150023</v>
      </c>
      <c r="C151" s="39"/>
      <c r="D151" s="39" t="s">
        <v>4540</v>
      </c>
      <c r="E151" s="371" t="str">
        <f t="shared" si="11"/>
        <v>えんもと　おうせ</v>
      </c>
      <c r="F151" s="39" t="s">
        <v>1190</v>
      </c>
      <c r="G151" s="39" t="s">
        <v>7828</v>
      </c>
      <c r="H151" s="39" t="str">
        <f>("2013/06/15")</f>
        <v>2013/06/15</v>
      </c>
      <c r="I151" s="39">
        <v>6</v>
      </c>
      <c r="J151" s="39" t="s">
        <v>1478</v>
      </c>
      <c r="K151" s="39" t="s">
        <v>2122</v>
      </c>
      <c r="L151" s="39" t="s">
        <v>7830</v>
      </c>
      <c r="M151" s="39" t="s">
        <v>7831</v>
      </c>
      <c r="N151" s="39" t="str">
        <f>("0130554")</f>
        <v>0130554</v>
      </c>
      <c r="P151" s="39" t="s">
        <v>11639</v>
      </c>
      <c r="Q151" s="39" t="s">
        <v>8568</v>
      </c>
      <c r="R151" s="39" t="s">
        <v>8569</v>
      </c>
      <c r="S151" s="39" t="s">
        <v>8570</v>
      </c>
      <c r="AK151" s="39" t="str">
        <f>("2025/03/17")</f>
        <v>2025/03/17</v>
      </c>
      <c r="AL151" s="39" t="str">
        <f t="shared" si="12"/>
        <v>2025/04/01</v>
      </c>
    </row>
    <row r="152" spans="1:39" x14ac:dyDescent="0.25">
      <c r="A152" s="39" t="str">
        <f>("1306150029")</f>
        <v>1306150029</v>
      </c>
      <c r="C152" s="39"/>
      <c r="D152" s="39" t="s">
        <v>4532</v>
      </c>
      <c r="E152" s="371" t="str">
        <f t="shared" si="11"/>
        <v>さとう　そうま</v>
      </c>
      <c r="F152" s="39" t="s">
        <v>2137</v>
      </c>
      <c r="G152" s="39" t="s">
        <v>7828</v>
      </c>
      <c r="H152" s="39" t="str">
        <f>("2013/06/15")</f>
        <v>2013/06/15</v>
      </c>
      <c r="I152" s="39">
        <v>6</v>
      </c>
      <c r="J152" s="39" t="s">
        <v>1478</v>
      </c>
      <c r="K152" s="39" t="s">
        <v>2122</v>
      </c>
      <c r="L152" s="39" t="s">
        <v>7830</v>
      </c>
      <c r="M152" s="39" t="s">
        <v>7831</v>
      </c>
      <c r="N152" s="39" t="str">
        <f>("0130510")</f>
        <v>0130510</v>
      </c>
      <c r="P152" s="39" t="s">
        <v>11640</v>
      </c>
      <c r="Q152" s="39" t="s">
        <v>8568</v>
      </c>
      <c r="R152" s="39" t="s">
        <v>8569</v>
      </c>
      <c r="S152" s="39" t="s">
        <v>8570</v>
      </c>
      <c r="AK152" s="39" t="str">
        <f>("2025/03/21")</f>
        <v>2025/03/21</v>
      </c>
      <c r="AL152" s="39" t="str">
        <f t="shared" si="12"/>
        <v>2025/04/01</v>
      </c>
    </row>
    <row r="153" spans="1:39" x14ac:dyDescent="0.25">
      <c r="A153" s="39" t="str">
        <f>("1306150218")</f>
        <v>1306150218</v>
      </c>
      <c r="C153" s="39"/>
      <c r="D153" s="39" t="s">
        <v>5933</v>
      </c>
      <c r="E153" s="371" t="str">
        <f t="shared" si="11"/>
        <v>みやわき　たかひろ</v>
      </c>
      <c r="F153" s="39" t="s">
        <v>2556</v>
      </c>
      <c r="G153" s="39" t="s">
        <v>7876</v>
      </c>
      <c r="H153" s="39" t="str">
        <f>("2013/06/15")</f>
        <v>2013/06/15</v>
      </c>
      <c r="I153" s="39">
        <v>6</v>
      </c>
      <c r="J153" s="39" t="s">
        <v>1478</v>
      </c>
      <c r="K153" s="39" t="s">
        <v>2122</v>
      </c>
      <c r="L153" s="39" t="s">
        <v>7830</v>
      </c>
      <c r="M153" s="39" t="s">
        <v>7831</v>
      </c>
      <c r="N153" s="39" t="str">
        <f>("0130712")</f>
        <v>0130712</v>
      </c>
      <c r="P153" s="39" t="s">
        <v>11641</v>
      </c>
      <c r="Q153" s="39" t="s">
        <v>8568</v>
      </c>
      <c r="R153" s="39" t="s">
        <v>8569</v>
      </c>
      <c r="S153" s="39" t="s">
        <v>8570</v>
      </c>
      <c r="AK153" s="39" t="str">
        <f>("2025/03/27")</f>
        <v>2025/03/27</v>
      </c>
      <c r="AL153" s="39" t="str">
        <f t="shared" si="12"/>
        <v>2025/04/01</v>
      </c>
      <c r="AM153" s="39" t="str">
        <f>("2026/01/05")</f>
        <v>2026/01/05</v>
      </c>
    </row>
    <row r="154" spans="1:39" x14ac:dyDescent="0.25">
      <c r="A154" s="39" t="str">
        <f>("1306160081")</f>
        <v>1306160081</v>
      </c>
      <c r="C154" s="39"/>
      <c r="D154" s="39" t="s">
        <v>3972</v>
      </c>
      <c r="E154" s="371" t="str">
        <f t="shared" si="11"/>
        <v>よこやま　れいし</v>
      </c>
      <c r="F154" s="39" t="s">
        <v>2514</v>
      </c>
      <c r="G154" s="39" t="s">
        <v>7828</v>
      </c>
      <c r="H154" s="39" t="str">
        <f>("2013/06/16")</f>
        <v>2013/06/16</v>
      </c>
      <c r="I154" s="39">
        <v>6</v>
      </c>
      <c r="J154" s="39" t="s">
        <v>1478</v>
      </c>
      <c r="K154" s="39" t="s">
        <v>2122</v>
      </c>
      <c r="L154" s="39" t="s">
        <v>7830</v>
      </c>
      <c r="M154" s="39" t="s">
        <v>7831</v>
      </c>
      <c r="N154" s="39" t="str">
        <f>("0130093")</f>
        <v>0130093</v>
      </c>
      <c r="P154" s="39" t="s">
        <v>11642</v>
      </c>
      <c r="Q154" s="39" t="s">
        <v>8568</v>
      </c>
      <c r="R154" s="39" t="s">
        <v>8569</v>
      </c>
      <c r="S154" s="39" t="s">
        <v>8570</v>
      </c>
      <c r="AK154" s="39" t="str">
        <f>("2025/04/01")</f>
        <v>2025/04/01</v>
      </c>
      <c r="AL154" s="39" t="str">
        <f t="shared" si="12"/>
        <v>2025/04/01</v>
      </c>
    </row>
    <row r="155" spans="1:39" x14ac:dyDescent="0.25">
      <c r="A155" s="39" t="str">
        <f>("1306160155")</f>
        <v>1306160155</v>
      </c>
      <c r="C155" s="39"/>
      <c r="D155" s="39" t="s">
        <v>6293</v>
      </c>
      <c r="E155" s="371" t="str">
        <f t="shared" si="11"/>
        <v>はまぐち　ひなた</v>
      </c>
      <c r="F155" s="39" t="s">
        <v>5621</v>
      </c>
      <c r="G155" s="39" t="s">
        <v>7828</v>
      </c>
      <c r="H155" s="39" t="str">
        <f>("2013/06/16")</f>
        <v>2013/06/16</v>
      </c>
      <c r="I155" s="39">
        <v>6</v>
      </c>
      <c r="J155" s="39" t="s">
        <v>1478</v>
      </c>
      <c r="K155" s="39" t="s">
        <v>2122</v>
      </c>
      <c r="L155" s="39" t="s">
        <v>7830</v>
      </c>
      <c r="M155" s="39" t="s">
        <v>7831</v>
      </c>
      <c r="N155" s="39" t="str">
        <f>("1110654")</f>
        <v>1110654</v>
      </c>
      <c r="P155" s="39" t="s">
        <v>11643</v>
      </c>
      <c r="Q155" s="39" t="s">
        <v>8568</v>
      </c>
      <c r="R155" s="39" t="s">
        <v>8569</v>
      </c>
      <c r="S155" s="39" t="s">
        <v>8570</v>
      </c>
      <c r="AA155" s="39" t="s">
        <v>2122</v>
      </c>
      <c r="AB155" s="39" t="s">
        <v>7830</v>
      </c>
      <c r="AC155" s="39" t="s">
        <v>7831</v>
      </c>
      <c r="AD155" s="39" t="str">
        <f>("0456892")</f>
        <v>0456892</v>
      </c>
      <c r="AE155" s="39" t="s">
        <v>2615</v>
      </c>
      <c r="AK155" s="39" t="str">
        <f>("2025/03/03")</f>
        <v>2025/03/03</v>
      </c>
      <c r="AL155" s="39" t="str">
        <f t="shared" si="12"/>
        <v>2025/04/01</v>
      </c>
    </row>
    <row r="156" spans="1:39" x14ac:dyDescent="0.25">
      <c r="A156" s="39" t="str">
        <f>("1306170026")</f>
        <v>1306170026</v>
      </c>
      <c r="C156" s="39"/>
      <c r="D156" s="39" t="s">
        <v>4662</v>
      </c>
      <c r="E156" s="371" t="str">
        <f t="shared" si="11"/>
        <v>いちはら　るい</v>
      </c>
      <c r="F156" s="39" t="s">
        <v>2349</v>
      </c>
      <c r="G156" s="39" t="s">
        <v>7828</v>
      </c>
      <c r="H156" s="39" t="str">
        <f>("2013/06/17")</f>
        <v>2013/06/17</v>
      </c>
      <c r="I156" s="39">
        <v>6</v>
      </c>
      <c r="J156" s="39" t="s">
        <v>1478</v>
      </c>
      <c r="K156" s="39" t="s">
        <v>2122</v>
      </c>
      <c r="L156" s="39" t="s">
        <v>7830</v>
      </c>
      <c r="M156" s="39" t="s">
        <v>7831</v>
      </c>
      <c r="N156" s="39" t="str">
        <f>("0292081")</f>
        <v>0292081</v>
      </c>
      <c r="P156" s="39" t="s">
        <v>11644</v>
      </c>
      <c r="Q156" s="39" t="s">
        <v>8568</v>
      </c>
      <c r="R156" s="39" t="s">
        <v>8569</v>
      </c>
      <c r="S156" s="39" t="s">
        <v>8570</v>
      </c>
      <c r="AK156" s="39" t="str">
        <f>("2025/03/24")</f>
        <v>2025/03/24</v>
      </c>
      <c r="AL156" s="39" t="str">
        <f t="shared" si="12"/>
        <v>2025/04/01</v>
      </c>
    </row>
    <row r="157" spans="1:39" x14ac:dyDescent="0.25">
      <c r="A157" s="39" t="str">
        <f>("1306170069")</f>
        <v>1306170069</v>
      </c>
      <c r="B157" s="39" t="s">
        <v>8672</v>
      </c>
      <c r="C157" s="39"/>
      <c r="D157" s="39" t="s">
        <v>5813</v>
      </c>
      <c r="E157" s="371" t="str">
        <f t="shared" si="11"/>
        <v>よしだ　はるま</v>
      </c>
      <c r="F157" s="39" t="s">
        <v>2022</v>
      </c>
      <c r="G157" s="39" t="s">
        <v>7828</v>
      </c>
      <c r="H157" s="39" t="str">
        <f>("2013/06/17")</f>
        <v>2013/06/17</v>
      </c>
      <c r="I157" s="39">
        <v>6</v>
      </c>
      <c r="J157" s="39" t="s">
        <v>1478</v>
      </c>
      <c r="K157" s="39" t="s">
        <v>2122</v>
      </c>
      <c r="L157" s="39" t="s">
        <v>7830</v>
      </c>
      <c r="M157" s="39" t="s">
        <v>7831</v>
      </c>
      <c r="N157" s="39" t="str">
        <f>("0130329")</f>
        <v>0130329</v>
      </c>
      <c r="P157" s="39" t="s">
        <v>11645</v>
      </c>
      <c r="Q157" s="39" t="s">
        <v>8568</v>
      </c>
      <c r="R157" s="39" t="s">
        <v>8569</v>
      </c>
      <c r="S157" s="39" t="s">
        <v>8570</v>
      </c>
      <c r="AK157" s="39" t="str">
        <f>("2025/03/17")</f>
        <v>2025/03/17</v>
      </c>
      <c r="AL157" s="39" t="str">
        <f t="shared" si="12"/>
        <v>2025/04/01</v>
      </c>
    </row>
    <row r="158" spans="1:39" x14ac:dyDescent="0.25">
      <c r="A158" s="39" t="str">
        <f>("1306170083")</f>
        <v>1306170083</v>
      </c>
      <c r="B158" s="39" t="s">
        <v>8673</v>
      </c>
      <c r="C158" s="39"/>
      <c r="D158" s="39" t="s">
        <v>8674</v>
      </c>
      <c r="E158" s="371" t="str">
        <f t="shared" si="11"/>
        <v>やまもと　みなと</v>
      </c>
      <c r="F158" s="39" t="s">
        <v>2619</v>
      </c>
      <c r="G158" s="39" t="s">
        <v>7828</v>
      </c>
      <c r="H158" s="39" t="str">
        <f>("2013/06/17")</f>
        <v>2013/06/17</v>
      </c>
      <c r="I158" s="39">
        <v>6</v>
      </c>
      <c r="J158" s="39" t="s">
        <v>1478</v>
      </c>
      <c r="K158" s="39" t="s">
        <v>2122</v>
      </c>
      <c r="L158" s="39" t="s">
        <v>7830</v>
      </c>
      <c r="M158" s="39" t="s">
        <v>7831</v>
      </c>
      <c r="N158" s="39" t="str">
        <f>("0472823")</f>
        <v>0472823</v>
      </c>
      <c r="P158" s="39" t="s">
        <v>11646</v>
      </c>
      <c r="Q158" s="39" t="s">
        <v>8568</v>
      </c>
      <c r="R158" s="39" t="s">
        <v>8569</v>
      </c>
      <c r="S158" s="39" t="s">
        <v>8570</v>
      </c>
      <c r="AK158" s="39" t="str">
        <f>("2025/03/17")</f>
        <v>2025/03/17</v>
      </c>
      <c r="AL158" s="39" t="str">
        <f t="shared" si="12"/>
        <v>2025/04/01</v>
      </c>
    </row>
    <row r="159" spans="1:39" x14ac:dyDescent="0.25">
      <c r="A159" s="39" t="str">
        <f>("1306170113")</f>
        <v>1306170113</v>
      </c>
      <c r="C159" s="39"/>
      <c r="D159" s="39" t="s">
        <v>3903</v>
      </c>
      <c r="E159" s="371" t="str">
        <f t="shared" si="11"/>
        <v>はが　りょうたろう</v>
      </c>
      <c r="F159" s="39" t="s">
        <v>2479</v>
      </c>
      <c r="G159" s="39" t="s">
        <v>7828</v>
      </c>
      <c r="H159" s="39" t="str">
        <f>("2013/06/17")</f>
        <v>2013/06/17</v>
      </c>
      <c r="I159" s="39">
        <v>6</v>
      </c>
      <c r="J159" s="39" t="s">
        <v>1478</v>
      </c>
      <c r="K159" s="39" t="s">
        <v>2122</v>
      </c>
      <c r="L159" s="39" t="s">
        <v>7830</v>
      </c>
      <c r="M159" s="39" t="s">
        <v>7831</v>
      </c>
      <c r="N159" s="39" t="str">
        <f>("0129608")</f>
        <v>0129608</v>
      </c>
      <c r="P159" s="39" t="s">
        <v>11647</v>
      </c>
      <c r="Q159" s="39" t="s">
        <v>8568</v>
      </c>
      <c r="R159" s="39" t="s">
        <v>8569</v>
      </c>
      <c r="S159" s="39" t="s">
        <v>8570</v>
      </c>
      <c r="AK159" s="39" t="str">
        <f>("2025/03/17")</f>
        <v>2025/03/17</v>
      </c>
      <c r="AL159" s="39" t="str">
        <f t="shared" si="12"/>
        <v>2025/04/01</v>
      </c>
    </row>
    <row r="160" spans="1:39" x14ac:dyDescent="0.25">
      <c r="A160" s="39" t="str">
        <f>("1306170114")</f>
        <v>1306170114</v>
      </c>
      <c r="B160" s="39" t="s">
        <v>8675</v>
      </c>
      <c r="C160" s="39"/>
      <c r="D160" s="39" t="s">
        <v>4122</v>
      </c>
      <c r="E160" s="371" t="str">
        <f t="shared" si="11"/>
        <v>いとう　たける</v>
      </c>
      <c r="F160" s="39" t="s">
        <v>2350</v>
      </c>
      <c r="G160" s="39" t="s">
        <v>7828</v>
      </c>
      <c r="H160" s="39" t="str">
        <f>("2013/06/17")</f>
        <v>2013/06/17</v>
      </c>
      <c r="I160" s="39">
        <v>6</v>
      </c>
      <c r="J160" s="39" t="s">
        <v>1478</v>
      </c>
      <c r="K160" s="39" t="s">
        <v>2122</v>
      </c>
      <c r="L160" s="39" t="s">
        <v>7830</v>
      </c>
      <c r="M160" s="39" t="s">
        <v>7831</v>
      </c>
      <c r="N160" s="39" t="str">
        <f>("0360032")</f>
        <v>0360032</v>
      </c>
      <c r="P160" s="39" t="s">
        <v>11648</v>
      </c>
      <c r="Q160" s="39" t="s">
        <v>8568</v>
      </c>
      <c r="R160" s="39" t="s">
        <v>8569</v>
      </c>
      <c r="S160" s="39" t="s">
        <v>8570</v>
      </c>
      <c r="AK160" s="39" t="str">
        <f>("2025/03/17")</f>
        <v>2025/03/17</v>
      </c>
      <c r="AL160" s="39" t="str">
        <f t="shared" si="12"/>
        <v>2025/04/01</v>
      </c>
    </row>
    <row r="161" spans="1:39" x14ac:dyDescent="0.25">
      <c r="A161" s="39" t="str">
        <f>("1306180150")</f>
        <v>1306180150</v>
      </c>
      <c r="B161" s="39" t="s">
        <v>8676</v>
      </c>
      <c r="C161" s="39"/>
      <c r="D161" s="39" t="s">
        <v>5675</v>
      </c>
      <c r="E161" s="371" t="str">
        <f t="shared" si="11"/>
        <v>みむら　なおふみ</v>
      </c>
      <c r="F161" s="39" t="s">
        <v>2188</v>
      </c>
      <c r="G161" s="39" t="s">
        <v>7828</v>
      </c>
      <c r="H161" s="39" t="str">
        <f>("2013/06/18")</f>
        <v>2013/06/18</v>
      </c>
      <c r="I161" s="39">
        <v>6</v>
      </c>
      <c r="J161" s="39" t="s">
        <v>1478</v>
      </c>
      <c r="K161" s="39" t="s">
        <v>2122</v>
      </c>
      <c r="L161" s="39" t="s">
        <v>7830</v>
      </c>
      <c r="M161" s="39" t="s">
        <v>7831</v>
      </c>
      <c r="N161" s="39" t="str">
        <f>("0129596")</f>
        <v>0129596</v>
      </c>
      <c r="P161" s="39" t="s">
        <v>11649</v>
      </c>
      <c r="Q161" s="39" t="s">
        <v>8568</v>
      </c>
      <c r="R161" s="39" t="s">
        <v>8569</v>
      </c>
      <c r="S161" s="39" t="s">
        <v>8570</v>
      </c>
      <c r="AK161" s="39" t="str">
        <f>("2025/03/17")</f>
        <v>2025/03/17</v>
      </c>
      <c r="AL161" s="39" t="str">
        <f t="shared" si="12"/>
        <v>2025/04/01</v>
      </c>
    </row>
    <row r="162" spans="1:39" x14ac:dyDescent="0.25">
      <c r="A162" s="39" t="str">
        <f>("1306180181")</f>
        <v>1306180181</v>
      </c>
      <c r="C162" s="39"/>
      <c r="D162" s="39" t="s">
        <v>8677</v>
      </c>
      <c r="E162" s="371" t="str">
        <f t="shared" si="11"/>
        <v>なかとみ　そうま</v>
      </c>
      <c r="F162" s="39" t="s">
        <v>947</v>
      </c>
      <c r="G162" s="39" t="s">
        <v>7828</v>
      </c>
      <c r="H162" s="39" t="str">
        <f>("2013/06/18")</f>
        <v>2013/06/18</v>
      </c>
      <c r="I162" s="39">
        <v>6</v>
      </c>
      <c r="J162" s="39" t="s">
        <v>1478</v>
      </c>
      <c r="K162" s="39" t="s">
        <v>2122</v>
      </c>
      <c r="L162" s="39" t="s">
        <v>7830</v>
      </c>
      <c r="M162" s="39" t="s">
        <v>7831</v>
      </c>
      <c r="N162" s="39" t="str">
        <f>("0130183")</f>
        <v>0130183</v>
      </c>
      <c r="P162" s="39" t="s">
        <v>11650</v>
      </c>
      <c r="Q162" s="39" t="s">
        <v>8568</v>
      </c>
      <c r="R162" s="39" t="s">
        <v>8569</v>
      </c>
      <c r="S162" s="39" t="s">
        <v>8570</v>
      </c>
      <c r="AK162" s="39" t="str">
        <f>("2025/03/27")</f>
        <v>2025/03/27</v>
      </c>
      <c r="AL162" s="39" t="str">
        <f t="shared" si="12"/>
        <v>2025/04/01</v>
      </c>
    </row>
    <row r="163" spans="1:39" x14ac:dyDescent="0.25">
      <c r="A163" s="39" t="str">
        <f>("1306190008")</f>
        <v>1306190008</v>
      </c>
      <c r="C163" s="39"/>
      <c r="D163" s="39" t="s">
        <v>3959</v>
      </c>
      <c r="E163" s="371" t="str">
        <f t="shared" si="11"/>
        <v>しおつき　そう</v>
      </c>
      <c r="F163" s="39" t="s">
        <v>2138</v>
      </c>
      <c r="G163" s="39" t="s">
        <v>7828</v>
      </c>
      <c r="H163" s="39" t="str">
        <f>("2013/06/19")</f>
        <v>2013/06/19</v>
      </c>
      <c r="I163" s="39">
        <v>6</v>
      </c>
      <c r="J163" s="39" t="s">
        <v>1478</v>
      </c>
      <c r="K163" s="39" t="s">
        <v>2122</v>
      </c>
      <c r="L163" s="39" t="s">
        <v>7830</v>
      </c>
      <c r="M163" s="39" t="s">
        <v>7831</v>
      </c>
      <c r="N163" s="39" t="str">
        <f>("0130082")</f>
        <v>0130082</v>
      </c>
      <c r="P163" s="39" t="s">
        <v>11651</v>
      </c>
      <c r="Q163" s="39" t="s">
        <v>8568</v>
      </c>
      <c r="R163" s="39" t="s">
        <v>8569</v>
      </c>
      <c r="S163" s="39" t="s">
        <v>8570</v>
      </c>
      <c r="AA163" s="39" t="s">
        <v>2122</v>
      </c>
      <c r="AB163" s="39" t="s">
        <v>7830</v>
      </c>
      <c r="AC163" s="39" t="s">
        <v>7831</v>
      </c>
      <c r="AD163" s="39" t="str">
        <f>("0130071")</f>
        <v>0130071</v>
      </c>
      <c r="AE163" s="39" t="s">
        <v>2173</v>
      </c>
      <c r="AK163" s="39" t="str">
        <f>("2025/04/05")</f>
        <v>2025/04/05</v>
      </c>
      <c r="AL163" s="39" t="str">
        <f>("2025/04/05")</f>
        <v>2025/04/05</v>
      </c>
      <c r="AM163" s="39" t="str">
        <f>("2025/04/11")</f>
        <v>2025/04/11</v>
      </c>
    </row>
    <row r="164" spans="1:39" x14ac:dyDescent="0.25">
      <c r="A164" s="39" t="str">
        <f>("1306190163")</f>
        <v>1306190163</v>
      </c>
      <c r="C164" s="39"/>
      <c r="D164" s="39" t="s">
        <v>4150</v>
      </c>
      <c r="E164" s="371" t="str">
        <f t="shared" si="11"/>
        <v>ふかた　りつ</v>
      </c>
      <c r="F164" s="39" t="s">
        <v>1082</v>
      </c>
      <c r="G164" s="39" t="s">
        <v>7828</v>
      </c>
      <c r="H164" s="39" t="str">
        <f>("2013/06/09")</f>
        <v>2013/06/09</v>
      </c>
      <c r="I164" s="39">
        <v>6</v>
      </c>
      <c r="J164" s="39" t="s">
        <v>1478</v>
      </c>
      <c r="K164" s="39" t="s">
        <v>2122</v>
      </c>
      <c r="L164" s="39" t="s">
        <v>7830</v>
      </c>
      <c r="M164" s="39" t="s">
        <v>7831</v>
      </c>
      <c r="N164" s="39" t="str">
        <f>("0450009")</f>
        <v>0450009</v>
      </c>
      <c r="P164" s="39" t="s">
        <v>11652</v>
      </c>
      <c r="Q164" s="39" t="s">
        <v>8568</v>
      </c>
      <c r="R164" s="39" t="s">
        <v>8569</v>
      </c>
      <c r="S164" s="39" t="s">
        <v>8570</v>
      </c>
      <c r="AK164" s="39" t="str">
        <f>("2025/03/17")</f>
        <v>2025/03/17</v>
      </c>
      <c r="AL164" s="39" t="str">
        <f t="shared" ref="AL164:AL174" si="13">("2025/04/01")</f>
        <v>2025/04/01</v>
      </c>
    </row>
    <row r="165" spans="1:39" x14ac:dyDescent="0.25">
      <c r="A165" s="39" t="str">
        <f>("1306190201")</f>
        <v>1306190201</v>
      </c>
      <c r="C165" s="39"/>
      <c r="D165" s="39" t="s">
        <v>8678</v>
      </c>
      <c r="E165" s="371" t="str">
        <f t="shared" si="11"/>
        <v>やまさき　そうた</v>
      </c>
      <c r="F165" s="39" t="s">
        <v>2587</v>
      </c>
      <c r="G165" s="39" t="s">
        <v>7828</v>
      </c>
      <c r="H165" s="39" t="str">
        <f>("2013/06/19")</f>
        <v>2013/06/19</v>
      </c>
      <c r="I165" s="39">
        <v>6</v>
      </c>
      <c r="J165" s="39" t="s">
        <v>1478</v>
      </c>
      <c r="K165" s="39" t="s">
        <v>2122</v>
      </c>
      <c r="L165" s="39" t="s">
        <v>7830</v>
      </c>
      <c r="M165" s="39" t="s">
        <v>7831</v>
      </c>
      <c r="N165" s="39" t="str">
        <f>("0387334")</f>
        <v>0387334</v>
      </c>
      <c r="P165" s="39" t="s">
        <v>11653</v>
      </c>
      <c r="Q165" s="39" t="s">
        <v>8568</v>
      </c>
      <c r="R165" s="39" t="s">
        <v>8569</v>
      </c>
      <c r="S165" s="39" t="s">
        <v>8570</v>
      </c>
      <c r="AK165" s="39" t="str">
        <f>("2025/03/27")</f>
        <v>2025/03/27</v>
      </c>
      <c r="AL165" s="39" t="str">
        <f t="shared" si="13"/>
        <v>2025/04/01</v>
      </c>
    </row>
    <row r="166" spans="1:39" x14ac:dyDescent="0.25">
      <c r="A166" s="39" t="str">
        <f>("1306210027")</f>
        <v>1306210027</v>
      </c>
      <c r="C166" s="39"/>
      <c r="D166" s="39" t="s">
        <v>8679</v>
      </c>
      <c r="E166" s="371" t="str">
        <f t="shared" si="11"/>
        <v>てしま　ななみ</v>
      </c>
      <c r="F166" s="39" t="s">
        <v>2587</v>
      </c>
      <c r="G166" s="39" t="s">
        <v>7828</v>
      </c>
      <c r="H166" s="39" t="str">
        <f>("2013/06/21")</f>
        <v>2013/06/21</v>
      </c>
      <c r="I166" s="39">
        <v>6</v>
      </c>
      <c r="J166" s="39" t="s">
        <v>1480</v>
      </c>
      <c r="K166" s="39" t="s">
        <v>2122</v>
      </c>
      <c r="L166" s="39" t="s">
        <v>7830</v>
      </c>
      <c r="M166" s="39" t="s">
        <v>7831</v>
      </c>
      <c r="N166" s="39" t="str">
        <f>("0387334")</f>
        <v>0387334</v>
      </c>
      <c r="P166" s="39" t="s">
        <v>11654</v>
      </c>
      <c r="Q166" s="39" t="s">
        <v>8568</v>
      </c>
      <c r="R166" s="39" t="s">
        <v>8569</v>
      </c>
      <c r="S166" s="39" t="s">
        <v>8570</v>
      </c>
      <c r="AK166" s="39" t="str">
        <f>("2025/03/27")</f>
        <v>2025/03/27</v>
      </c>
      <c r="AL166" s="39" t="str">
        <f t="shared" si="13"/>
        <v>2025/04/01</v>
      </c>
    </row>
    <row r="167" spans="1:39" x14ac:dyDescent="0.25">
      <c r="A167" s="39" t="str">
        <f>("1306210091")</f>
        <v>1306210091</v>
      </c>
      <c r="C167" s="39"/>
      <c r="D167" s="39" t="s">
        <v>6294</v>
      </c>
      <c r="E167" s="371" t="str">
        <f t="shared" si="11"/>
        <v>いのうえ　はると</v>
      </c>
      <c r="F167" s="39" t="s">
        <v>5621</v>
      </c>
      <c r="G167" s="39" t="s">
        <v>7828</v>
      </c>
      <c r="H167" s="39" t="str">
        <f>("2013/06/21")</f>
        <v>2013/06/21</v>
      </c>
      <c r="I167" s="39">
        <v>6</v>
      </c>
      <c r="J167" s="39" t="s">
        <v>1478</v>
      </c>
      <c r="K167" s="39" t="s">
        <v>2122</v>
      </c>
      <c r="L167" s="39" t="s">
        <v>7830</v>
      </c>
      <c r="M167" s="39" t="s">
        <v>7831</v>
      </c>
      <c r="N167" s="39" t="str">
        <f>("1110654")</f>
        <v>1110654</v>
      </c>
      <c r="P167" s="39" t="s">
        <v>11655</v>
      </c>
      <c r="Q167" s="39" t="s">
        <v>8568</v>
      </c>
      <c r="R167" s="39" t="s">
        <v>8569</v>
      </c>
      <c r="S167" s="39" t="s">
        <v>8570</v>
      </c>
      <c r="AA167" s="39" t="s">
        <v>2122</v>
      </c>
      <c r="AB167" s="39" t="s">
        <v>7830</v>
      </c>
      <c r="AC167" s="39" t="s">
        <v>7831</v>
      </c>
      <c r="AD167" s="39" t="str">
        <f>("0472823")</f>
        <v>0472823</v>
      </c>
      <c r="AE167" s="39" t="s">
        <v>2619</v>
      </c>
      <c r="AK167" s="39" t="str">
        <f>("2025/03/03")</f>
        <v>2025/03/03</v>
      </c>
      <c r="AL167" s="39" t="str">
        <f t="shared" si="13"/>
        <v>2025/04/01</v>
      </c>
    </row>
    <row r="168" spans="1:39" x14ac:dyDescent="0.25">
      <c r="A168" s="39" t="str">
        <f>("1306210095")</f>
        <v>1306210095</v>
      </c>
      <c r="B168" s="39" t="s">
        <v>8680</v>
      </c>
      <c r="C168" s="39"/>
      <c r="D168" s="39" t="s">
        <v>4422</v>
      </c>
      <c r="E168" s="371" t="str">
        <f t="shared" si="11"/>
        <v>やまもと　しゅん</v>
      </c>
      <c r="F168" s="39" t="s">
        <v>2342</v>
      </c>
      <c r="G168" s="39" t="s">
        <v>7828</v>
      </c>
      <c r="H168" s="39" t="str">
        <f>("2013/06/21")</f>
        <v>2013/06/21</v>
      </c>
      <c r="I168" s="39">
        <v>6</v>
      </c>
      <c r="J168" s="39" t="s">
        <v>1478</v>
      </c>
      <c r="K168" s="39" t="s">
        <v>2122</v>
      </c>
      <c r="L168" s="39" t="s">
        <v>7830</v>
      </c>
      <c r="M168" s="39" t="s">
        <v>7831</v>
      </c>
      <c r="N168" s="39" t="str">
        <f>("0130307")</f>
        <v>0130307</v>
      </c>
      <c r="P168" s="39" t="s">
        <v>11656</v>
      </c>
      <c r="Q168" s="39" t="s">
        <v>8568</v>
      </c>
      <c r="R168" s="39" t="s">
        <v>8569</v>
      </c>
      <c r="S168" s="39" t="s">
        <v>8570</v>
      </c>
      <c r="AK168" s="39" t="str">
        <f>("2025/03/17")</f>
        <v>2025/03/17</v>
      </c>
      <c r="AL168" s="39" t="str">
        <f t="shared" si="13"/>
        <v>2025/04/01</v>
      </c>
    </row>
    <row r="169" spans="1:39" x14ac:dyDescent="0.25">
      <c r="A169" s="39" t="str">
        <f>("1306210149")</f>
        <v>1306210149</v>
      </c>
      <c r="C169" s="39"/>
      <c r="D169" s="39" t="s">
        <v>6196</v>
      </c>
      <c r="E169" s="371" t="str">
        <f t="shared" si="11"/>
        <v>よしもと　けんた</v>
      </c>
      <c r="F169" s="39" t="s">
        <v>1917</v>
      </c>
      <c r="G169" s="39" t="s">
        <v>7828</v>
      </c>
      <c r="H169" s="39" t="str">
        <f>("2013/06/21")</f>
        <v>2013/06/21</v>
      </c>
      <c r="I169" s="39">
        <v>6</v>
      </c>
      <c r="J169" s="39" t="s">
        <v>1478</v>
      </c>
      <c r="K169" s="39" t="s">
        <v>2122</v>
      </c>
      <c r="L169" s="39" t="s">
        <v>7830</v>
      </c>
      <c r="M169" s="39" t="s">
        <v>7831</v>
      </c>
      <c r="N169" s="39" t="str">
        <f>("1032161")</f>
        <v>1032161</v>
      </c>
      <c r="P169" s="39" t="s">
        <v>11657</v>
      </c>
      <c r="Q169" s="39" t="s">
        <v>8568</v>
      </c>
      <c r="R169" s="39" t="s">
        <v>8569</v>
      </c>
      <c r="S169" s="39" t="s">
        <v>8570</v>
      </c>
      <c r="AK169" s="39" t="str">
        <f>("2025/03/21")</f>
        <v>2025/03/21</v>
      </c>
      <c r="AL169" s="39" t="str">
        <f t="shared" si="13"/>
        <v>2025/04/01</v>
      </c>
    </row>
    <row r="170" spans="1:39" x14ac:dyDescent="0.25">
      <c r="A170" s="39" t="str">
        <f>("1306220115")</f>
        <v>1306220115</v>
      </c>
      <c r="B170" s="39" t="s">
        <v>8681</v>
      </c>
      <c r="C170" s="39"/>
      <c r="D170" s="39" t="s">
        <v>3873</v>
      </c>
      <c r="E170" s="371" t="str">
        <f t="shared" si="11"/>
        <v>ほんだ　たいせい</v>
      </c>
      <c r="F170" s="39" t="s">
        <v>2469</v>
      </c>
      <c r="G170" s="39" t="s">
        <v>7828</v>
      </c>
      <c r="H170" s="39" t="str">
        <f>("2013/06/22")</f>
        <v>2013/06/22</v>
      </c>
      <c r="I170" s="39">
        <v>6</v>
      </c>
      <c r="J170" s="39" t="s">
        <v>1478</v>
      </c>
      <c r="K170" s="39" t="s">
        <v>2122</v>
      </c>
      <c r="L170" s="39" t="s">
        <v>7830</v>
      </c>
      <c r="M170" s="39" t="s">
        <v>7831</v>
      </c>
      <c r="N170" s="39" t="str">
        <f>("0129462")</f>
        <v>0129462</v>
      </c>
      <c r="P170" s="39" t="s">
        <v>11658</v>
      </c>
      <c r="Q170" s="39" t="s">
        <v>8568</v>
      </c>
      <c r="R170" s="39" t="s">
        <v>8569</v>
      </c>
      <c r="S170" s="39" t="s">
        <v>8570</v>
      </c>
      <c r="AK170" s="39" t="str">
        <f>("2025/03/21")</f>
        <v>2025/03/21</v>
      </c>
      <c r="AL170" s="39" t="str">
        <f t="shared" si="13"/>
        <v>2025/04/01</v>
      </c>
    </row>
    <row r="171" spans="1:39" x14ac:dyDescent="0.25">
      <c r="A171" s="39" t="str">
        <f>("1306220133")</f>
        <v>1306220133</v>
      </c>
      <c r="C171" s="39"/>
      <c r="D171" s="39" t="s">
        <v>4312</v>
      </c>
      <c r="E171" s="371" t="str">
        <f t="shared" si="11"/>
        <v>よしだ　ゆきひと</v>
      </c>
      <c r="F171" s="39" t="s">
        <v>834</v>
      </c>
      <c r="G171" s="39" t="s">
        <v>7828</v>
      </c>
      <c r="H171" s="39" t="str">
        <f>("2013/06/22")</f>
        <v>2013/06/22</v>
      </c>
      <c r="I171" s="39">
        <v>6</v>
      </c>
      <c r="J171" s="39" t="s">
        <v>1478</v>
      </c>
      <c r="K171" s="39" t="s">
        <v>2122</v>
      </c>
      <c r="L171" s="39" t="s">
        <v>7830</v>
      </c>
      <c r="M171" s="39" t="s">
        <v>7831</v>
      </c>
      <c r="N171" s="39" t="str">
        <f>("0129844")</f>
        <v>0129844</v>
      </c>
      <c r="P171" s="39" t="s">
        <v>11659</v>
      </c>
      <c r="Q171" s="39" t="s">
        <v>8568</v>
      </c>
      <c r="R171" s="39" t="s">
        <v>8569</v>
      </c>
      <c r="S171" s="39" t="s">
        <v>8570</v>
      </c>
      <c r="AK171" s="39" t="str">
        <f>("2025/03/17")</f>
        <v>2025/03/17</v>
      </c>
      <c r="AL171" s="39" t="str">
        <f t="shared" si="13"/>
        <v>2025/04/01</v>
      </c>
    </row>
    <row r="172" spans="1:39" x14ac:dyDescent="0.25">
      <c r="A172" s="39" t="str">
        <f>("1306220135")</f>
        <v>1306220135</v>
      </c>
      <c r="C172" s="39"/>
      <c r="D172" s="39" t="s">
        <v>5670</v>
      </c>
      <c r="E172" s="371" t="str">
        <f t="shared" si="11"/>
        <v>さかぐち　ゆうしん</v>
      </c>
      <c r="F172" s="39" t="s">
        <v>1239</v>
      </c>
      <c r="G172" s="39" t="s">
        <v>7828</v>
      </c>
      <c r="H172" s="39" t="str">
        <f>("2013/06/22")</f>
        <v>2013/06/22</v>
      </c>
      <c r="I172" s="39">
        <v>6</v>
      </c>
      <c r="J172" s="39" t="s">
        <v>1478</v>
      </c>
      <c r="K172" s="39" t="s">
        <v>2122</v>
      </c>
      <c r="L172" s="39" t="s">
        <v>7830</v>
      </c>
      <c r="M172" s="39" t="s">
        <v>7831</v>
      </c>
      <c r="N172" s="39" t="str">
        <f>("0129585")</f>
        <v>0129585</v>
      </c>
      <c r="P172" s="39" t="s">
        <v>11660</v>
      </c>
      <c r="Q172" s="39" t="s">
        <v>8568</v>
      </c>
      <c r="R172" s="39" t="s">
        <v>8569</v>
      </c>
      <c r="S172" s="39" t="s">
        <v>8570</v>
      </c>
      <c r="AK172" s="39" t="str">
        <f>("2025/03/17")</f>
        <v>2025/03/17</v>
      </c>
      <c r="AL172" s="39" t="str">
        <f t="shared" si="13"/>
        <v>2025/04/01</v>
      </c>
    </row>
    <row r="173" spans="1:39" x14ac:dyDescent="0.25">
      <c r="A173" s="39" t="str">
        <f>("1306230004")</f>
        <v>1306230004</v>
      </c>
      <c r="B173" s="39" t="s">
        <v>8682</v>
      </c>
      <c r="C173" s="39"/>
      <c r="D173" s="39" t="s">
        <v>8683</v>
      </c>
      <c r="E173" s="371" t="str">
        <f t="shared" si="11"/>
        <v>なかやま　れんと</v>
      </c>
      <c r="F173" s="39" t="s">
        <v>1968</v>
      </c>
      <c r="G173" s="39" t="s">
        <v>7828</v>
      </c>
      <c r="H173" s="39" t="str">
        <f>("2013/06/23")</f>
        <v>2013/06/23</v>
      </c>
      <c r="I173" s="39">
        <v>6</v>
      </c>
      <c r="J173" s="39" t="s">
        <v>1478</v>
      </c>
      <c r="K173" s="39" t="s">
        <v>2122</v>
      </c>
      <c r="L173" s="39" t="s">
        <v>7830</v>
      </c>
      <c r="M173" s="39" t="s">
        <v>7831</v>
      </c>
      <c r="N173" s="39" t="str">
        <f>("0129507")</f>
        <v>0129507</v>
      </c>
      <c r="P173" s="39" t="s">
        <v>11661</v>
      </c>
      <c r="Q173" s="39" t="s">
        <v>8568</v>
      </c>
      <c r="R173" s="39" t="s">
        <v>8569</v>
      </c>
      <c r="S173" s="39" t="s">
        <v>8570</v>
      </c>
      <c r="AA173" s="39" t="s">
        <v>8684</v>
      </c>
      <c r="AB173" s="39" t="s">
        <v>7830</v>
      </c>
      <c r="AC173" s="39" t="s">
        <v>7831</v>
      </c>
      <c r="AD173" s="39" t="str">
        <f>("0346531")</f>
        <v>0346531</v>
      </c>
      <c r="AE173" s="39" t="s">
        <v>8685</v>
      </c>
      <c r="AK173" s="39" t="str">
        <f>("2025/03/17")</f>
        <v>2025/03/17</v>
      </c>
      <c r="AL173" s="39" t="str">
        <f t="shared" si="13"/>
        <v>2025/04/01</v>
      </c>
    </row>
    <row r="174" spans="1:39" x14ac:dyDescent="0.25">
      <c r="A174" s="39" t="str">
        <f>("1306240235")</f>
        <v>1306240235</v>
      </c>
      <c r="C174" s="39"/>
      <c r="D174" s="39" t="s">
        <v>5727</v>
      </c>
      <c r="E174" s="371" t="str">
        <f t="shared" si="11"/>
        <v>うら　じゅんた</v>
      </c>
      <c r="F174" s="39" t="s">
        <v>834</v>
      </c>
      <c r="G174" s="39" t="s">
        <v>7828</v>
      </c>
      <c r="H174" s="39" t="str">
        <f>("2013/06/24")</f>
        <v>2013/06/24</v>
      </c>
      <c r="I174" s="39">
        <v>6</v>
      </c>
      <c r="J174" s="39" t="s">
        <v>1478</v>
      </c>
      <c r="K174" s="39" t="s">
        <v>2122</v>
      </c>
      <c r="L174" s="39" t="s">
        <v>7830</v>
      </c>
      <c r="M174" s="39" t="s">
        <v>7831</v>
      </c>
      <c r="N174" s="39" t="str">
        <f>("0129844")</f>
        <v>0129844</v>
      </c>
      <c r="P174" s="39" t="s">
        <v>11662</v>
      </c>
      <c r="Q174" s="39" t="s">
        <v>8568</v>
      </c>
      <c r="R174" s="39" t="s">
        <v>8569</v>
      </c>
      <c r="S174" s="39" t="s">
        <v>8570</v>
      </c>
      <c r="AK174" s="39" t="str">
        <f>("2025/03/17")</f>
        <v>2025/03/17</v>
      </c>
      <c r="AL174" s="39" t="str">
        <f t="shared" si="13"/>
        <v>2025/04/01</v>
      </c>
    </row>
    <row r="175" spans="1:39" x14ac:dyDescent="0.25">
      <c r="A175" s="39" t="str">
        <f>("1306240258")</f>
        <v>1306240258</v>
      </c>
      <c r="C175" s="39"/>
      <c r="D175" s="39" t="s">
        <v>8686</v>
      </c>
      <c r="E175" s="371" t="str">
        <f t="shared" si="11"/>
        <v>ながさお　あいと</v>
      </c>
      <c r="F175" s="39" t="s">
        <v>2323</v>
      </c>
      <c r="G175" s="39" t="s">
        <v>7828</v>
      </c>
      <c r="H175" s="39" t="str">
        <f>("2013/06/24")</f>
        <v>2013/06/24</v>
      </c>
      <c r="I175" s="39">
        <v>6</v>
      </c>
      <c r="J175" s="39" t="s">
        <v>1478</v>
      </c>
      <c r="K175" s="39" t="s">
        <v>2122</v>
      </c>
      <c r="L175" s="39" t="s">
        <v>7830</v>
      </c>
      <c r="M175" s="39" t="s">
        <v>7831</v>
      </c>
      <c r="N175" s="39" t="str">
        <f>("0472722")</f>
        <v>0472722</v>
      </c>
      <c r="P175" s="39" t="s">
        <v>11663</v>
      </c>
      <c r="Q175" s="39" t="s">
        <v>8568</v>
      </c>
      <c r="R175" s="39" t="s">
        <v>8569</v>
      </c>
      <c r="S175" s="39" t="s">
        <v>8570</v>
      </c>
      <c r="AK175" s="39" t="str">
        <f>("2025/04/16")</f>
        <v>2025/04/16</v>
      </c>
      <c r="AL175" s="39" t="str">
        <f>("2025/04/16")</f>
        <v>2025/04/16</v>
      </c>
    </row>
    <row r="176" spans="1:39" x14ac:dyDescent="0.25">
      <c r="A176" s="39" t="str">
        <f>("1306250130")</f>
        <v>1306250130</v>
      </c>
      <c r="B176" s="39" t="s">
        <v>8687</v>
      </c>
      <c r="C176" s="39"/>
      <c r="D176" s="39" t="s">
        <v>4538</v>
      </c>
      <c r="E176" s="371" t="str">
        <f t="shared" si="11"/>
        <v>いわた　ひかる</v>
      </c>
      <c r="F176" s="39" t="s">
        <v>1190</v>
      </c>
      <c r="G176" s="39" t="s">
        <v>7828</v>
      </c>
      <c r="H176" s="39" t="str">
        <f>("2013/06/25")</f>
        <v>2013/06/25</v>
      </c>
      <c r="I176" s="39">
        <v>6</v>
      </c>
      <c r="J176" s="39" t="s">
        <v>1478</v>
      </c>
      <c r="K176" s="39" t="s">
        <v>2122</v>
      </c>
      <c r="L176" s="39" t="s">
        <v>7830</v>
      </c>
      <c r="M176" s="39" t="s">
        <v>7831</v>
      </c>
      <c r="N176" s="39" t="str">
        <f>("0130554")</f>
        <v>0130554</v>
      </c>
      <c r="P176" s="39" t="s">
        <v>11664</v>
      </c>
      <c r="Q176" s="39" t="s">
        <v>8568</v>
      </c>
      <c r="R176" s="39" t="s">
        <v>8569</v>
      </c>
      <c r="S176" s="39" t="s">
        <v>8570</v>
      </c>
      <c r="AK176" s="39" t="str">
        <f>("2025/03/17")</f>
        <v>2025/03/17</v>
      </c>
      <c r="AL176" s="39" t="str">
        <f>("2025/04/01")</f>
        <v>2025/04/01</v>
      </c>
    </row>
    <row r="177" spans="1:38" x14ac:dyDescent="0.25">
      <c r="A177" s="39" t="str">
        <f>("1306270040")</f>
        <v>1306270040</v>
      </c>
      <c r="C177" s="39"/>
      <c r="D177" s="39" t="s">
        <v>6002</v>
      </c>
      <c r="E177" s="371" t="str">
        <f t="shared" si="11"/>
        <v>もり　こうたろう</v>
      </c>
      <c r="F177" s="39" t="s">
        <v>2575</v>
      </c>
      <c r="G177" s="39" t="s">
        <v>7828</v>
      </c>
      <c r="H177" s="39" t="str">
        <f>("2013/06/27")</f>
        <v>2013/06/27</v>
      </c>
      <c r="I177" s="39">
        <v>6</v>
      </c>
      <c r="J177" s="39" t="s">
        <v>1478</v>
      </c>
      <c r="K177" s="39" t="s">
        <v>2122</v>
      </c>
      <c r="L177" s="39" t="s">
        <v>7830</v>
      </c>
      <c r="M177" s="39" t="s">
        <v>7831</v>
      </c>
      <c r="N177" s="39" t="str">
        <f>("0303040")</f>
        <v>0303040</v>
      </c>
      <c r="P177" s="39" t="s">
        <v>11665</v>
      </c>
      <c r="Q177" s="39" t="s">
        <v>8568</v>
      </c>
      <c r="R177" s="39" t="s">
        <v>8569</v>
      </c>
      <c r="S177" s="39" t="s">
        <v>8570</v>
      </c>
      <c r="AK177" s="39" t="str">
        <f>("2025/03/17")</f>
        <v>2025/03/17</v>
      </c>
      <c r="AL177" s="39" t="str">
        <f>("2025/04/01")</f>
        <v>2025/04/01</v>
      </c>
    </row>
    <row r="178" spans="1:38" x14ac:dyDescent="0.25">
      <c r="A178" s="39" t="str">
        <f>("1306270119")</f>
        <v>1306270119</v>
      </c>
      <c r="C178" s="39"/>
      <c r="D178" s="39" t="s">
        <v>4247</v>
      </c>
      <c r="E178" s="371" t="str">
        <f t="shared" si="11"/>
        <v>たけしま　るい</v>
      </c>
      <c r="F178" s="39" t="s">
        <v>2479</v>
      </c>
      <c r="G178" s="39" t="s">
        <v>7828</v>
      </c>
      <c r="H178" s="39" t="str">
        <f>("2013/06/27")</f>
        <v>2013/06/27</v>
      </c>
      <c r="I178" s="39">
        <v>6</v>
      </c>
      <c r="J178" s="39" t="s">
        <v>1478</v>
      </c>
      <c r="K178" s="39" t="s">
        <v>2122</v>
      </c>
      <c r="L178" s="39" t="s">
        <v>7830</v>
      </c>
      <c r="M178" s="39" t="s">
        <v>7831</v>
      </c>
      <c r="N178" s="39" t="str">
        <f>("0129608")</f>
        <v>0129608</v>
      </c>
      <c r="P178" s="39" t="s">
        <v>11666</v>
      </c>
      <c r="Q178" s="39" t="s">
        <v>8568</v>
      </c>
      <c r="R178" s="39" t="s">
        <v>8569</v>
      </c>
      <c r="S178" s="39" t="s">
        <v>8570</v>
      </c>
      <c r="AK178" s="39" t="str">
        <f>("2025/03/17")</f>
        <v>2025/03/17</v>
      </c>
      <c r="AL178" s="39" t="str">
        <f>("2025/04/01")</f>
        <v>2025/04/01</v>
      </c>
    </row>
    <row r="179" spans="1:38" x14ac:dyDescent="0.25">
      <c r="A179" s="39" t="str">
        <f>("1306270256")</f>
        <v>1306270256</v>
      </c>
      <c r="C179" s="39"/>
      <c r="D179" s="39" t="s">
        <v>8688</v>
      </c>
      <c r="E179" s="371" t="str">
        <f t="shared" si="11"/>
        <v>かわの　はるく</v>
      </c>
      <c r="F179" s="39" t="s">
        <v>2323</v>
      </c>
      <c r="G179" s="39" t="s">
        <v>7828</v>
      </c>
      <c r="H179" s="39" t="str">
        <f>("2013/06/27")</f>
        <v>2013/06/27</v>
      </c>
      <c r="I179" s="39">
        <v>6</v>
      </c>
      <c r="J179" s="39" t="s">
        <v>1478</v>
      </c>
      <c r="K179" s="39" t="s">
        <v>2122</v>
      </c>
      <c r="L179" s="39" t="s">
        <v>7830</v>
      </c>
      <c r="M179" s="39" t="s">
        <v>7831</v>
      </c>
      <c r="N179" s="39" t="str">
        <f>("0472722")</f>
        <v>0472722</v>
      </c>
      <c r="P179" s="39" t="s">
        <v>11667</v>
      </c>
      <c r="Q179" s="39" t="s">
        <v>8568</v>
      </c>
      <c r="R179" s="39" t="s">
        <v>8569</v>
      </c>
      <c r="S179" s="39" t="s">
        <v>8570</v>
      </c>
      <c r="AK179" s="39" t="str">
        <f>("2025/04/16")</f>
        <v>2025/04/16</v>
      </c>
      <c r="AL179" s="39" t="str">
        <f>("2025/04/16")</f>
        <v>2025/04/16</v>
      </c>
    </row>
    <row r="180" spans="1:38" x14ac:dyDescent="0.25">
      <c r="A180" s="39" t="str">
        <f>("1306280076")</f>
        <v>1306280076</v>
      </c>
      <c r="C180" s="39"/>
      <c r="D180" s="39" t="s">
        <v>6178</v>
      </c>
      <c r="E180" s="371" t="str">
        <f t="shared" si="11"/>
        <v>なかむら　しんか</v>
      </c>
      <c r="F180" s="39" t="s">
        <v>827</v>
      </c>
      <c r="G180" s="39" t="s">
        <v>7828</v>
      </c>
      <c r="H180" s="39" t="str">
        <f>("2013/06/28")</f>
        <v>2013/06/28</v>
      </c>
      <c r="I180" s="39">
        <v>6</v>
      </c>
      <c r="J180" s="39" t="s">
        <v>1478</v>
      </c>
      <c r="K180" s="39" t="s">
        <v>2122</v>
      </c>
      <c r="L180" s="39" t="s">
        <v>7830</v>
      </c>
      <c r="M180" s="39" t="s">
        <v>7831</v>
      </c>
      <c r="N180" s="39" t="str">
        <f>("0504908")</f>
        <v>0504908</v>
      </c>
      <c r="P180" s="39" t="s">
        <v>11668</v>
      </c>
      <c r="Q180" s="39" t="s">
        <v>8568</v>
      </c>
      <c r="R180" s="39" t="s">
        <v>8569</v>
      </c>
      <c r="S180" s="39" t="s">
        <v>8570</v>
      </c>
      <c r="AK180" s="39" t="str">
        <f>("2025/03/21")</f>
        <v>2025/03/21</v>
      </c>
      <c r="AL180" s="39" t="str">
        <f t="shared" ref="AL180:AL199" si="14">("2025/04/01")</f>
        <v>2025/04/01</v>
      </c>
    </row>
    <row r="181" spans="1:38" x14ac:dyDescent="0.25">
      <c r="A181" s="39" t="str">
        <f>("1306290051")</f>
        <v>1306290051</v>
      </c>
      <c r="C181" s="39"/>
      <c r="D181" s="39" t="s">
        <v>8689</v>
      </c>
      <c r="E181" s="371" t="str">
        <f t="shared" si="11"/>
        <v>ごとう　つかさ</v>
      </c>
      <c r="F181" s="39" t="s">
        <v>1158</v>
      </c>
      <c r="G181" s="39" t="s">
        <v>7828</v>
      </c>
      <c r="H181" s="39" t="str">
        <f>("2013/06/29")</f>
        <v>2013/06/29</v>
      </c>
      <c r="I181" s="39">
        <v>6</v>
      </c>
      <c r="J181" s="39" t="s">
        <v>1478</v>
      </c>
      <c r="K181" s="39" t="s">
        <v>2122</v>
      </c>
      <c r="L181" s="39" t="s">
        <v>7830</v>
      </c>
      <c r="M181" s="39" t="s">
        <v>7831</v>
      </c>
      <c r="N181" s="39" t="str">
        <f>("0130318")</f>
        <v>0130318</v>
      </c>
      <c r="P181" s="39" t="s">
        <v>11669</v>
      </c>
      <c r="Q181" s="39" t="s">
        <v>8568</v>
      </c>
      <c r="R181" s="39" t="s">
        <v>8569</v>
      </c>
      <c r="S181" s="39" t="s">
        <v>8570</v>
      </c>
      <c r="AK181" s="39" t="str">
        <f>("2025/03/17")</f>
        <v>2025/03/17</v>
      </c>
      <c r="AL181" s="39" t="str">
        <f t="shared" si="14"/>
        <v>2025/04/01</v>
      </c>
    </row>
    <row r="182" spans="1:38" x14ac:dyDescent="0.25">
      <c r="A182" s="39" t="str">
        <f>("1306290103")</f>
        <v>1306290103</v>
      </c>
      <c r="C182" s="39"/>
      <c r="D182" s="39" t="s">
        <v>4753</v>
      </c>
      <c r="E182" s="371" t="str">
        <f t="shared" si="11"/>
        <v>みやした　はるま</v>
      </c>
      <c r="F182" s="39" t="s">
        <v>2256</v>
      </c>
      <c r="G182" s="39" t="s">
        <v>7828</v>
      </c>
      <c r="H182" s="39" t="str">
        <f>("2013/06/29")</f>
        <v>2013/06/29</v>
      </c>
      <c r="I182" s="39">
        <v>6</v>
      </c>
      <c r="J182" s="39" t="s">
        <v>1478</v>
      </c>
      <c r="K182" s="39" t="s">
        <v>2122</v>
      </c>
      <c r="L182" s="39" t="s">
        <v>7830</v>
      </c>
      <c r="M182" s="39" t="s">
        <v>7831</v>
      </c>
      <c r="N182" s="39" t="str">
        <f>("0449119")</f>
        <v>0449119</v>
      </c>
      <c r="P182" s="39" t="s">
        <v>11670</v>
      </c>
      <c r="Q182" s="39" t="s">
        <v>8568</v>
      </c>
      <c r="R182" s="39" t="s">
        <v>8569</v>
      </c>
      <c r="S182" s="39" t="s">
        <v>8570</v>
      </c>
      <c r="AK182" s="39" t="str">
        <f>("2025/03/17")</f>
        <v>2025/03/17</v>
      </c>
      <c r="AL182" s="39" t="str">
        <f t="shared" si="14"/>
        <v>2025/04/01</v>
      </c>
    </row>
    <row r="183" spans="1:38" x14ac:dyDescent="0.25">
      <c r="A183" s="39" t="str">
        <f>("1306290230")</f>
        <v>1306290230</v>
      </c>
      <c r="C183" s="39"/>
      <c r="D183" s="39" t="s">
        <v>8690</v>
      </c>
      <c r="E183" s="371" t="str">
        <f t="shared" si="11"/>
        <v>おおきた　めぐみ</v>
      </c>
      <c r="F183" s="39" t="s">
        <v>2651</v>
      </c>
      <c r="G183" s="39" t="s">
        <v>7828</v>
      </c>
      <c r="H183" s="39" t="str">
        <f>("2013/06/29")</f>
        <v>2013/06/29</v>
      </c>
      <c r="I183" s="39">
        <v>6</v>
      </c>
      <c r="J183" s="39" t="s">
        <v>1480</v>
      </c>
      <c r="K183" s="39" t="s">
        <v>2122</v>
      </c>
      <c r="L183" s="39" t="s">
        <v>7830</v>
      </c>
      <c r="M183" s="39" t="s">
        <v>7831</v>
      </c>
      <c r="N183" s="39" t="str">
        <f>("1067415")</f>
        <v>1067415</v>
      </c>
      <c r="P183" s="39" t="s">
        <v>11671</v>
      </c>
      <c r="Q183" s="39" t="s">
        <v>8568</v>
      </c>
      <c r="R183" s="39" t="s">
        <v>8569</v>
      </c>
      <c r="S183" s="39" t="s">
        <v>8570</v>
      </c>
      <c r="AK183" s="39" t="str">
        <f>("2025/03/24")</f>
        <v>2025/03/24</v>
      </c>
      <c r="AL183" s="39" t="str">
        <f t="shared" si="14"/>
        <v>2025/04/01</v>
      </c>
    </row>
    <row r="184" spans="1:38" x14ac:dyDescent="0.25">
      <c r="A184" s="39" t="str">
        <f>("1306300041")</f>
        <v>1306300041</v>
      </c>
      <c r="B184" s="39" t="s">
        <v>8691</v>
      </c>
      <c r="C184" s="39"/>
      <c r="D184" s="39" t="s">
        <v>4502</v>
      </c>
      <c r="E184" s="371" t="str">
        <f t="shared" si="11"/>
        <v>さとう　かいと</v>
      </c>
      <c r="F184" s="39" t="s">
        <v>2324</v>
      </c>
      <c r="G184" s="39" t="s">
        <v>7828</v>
      </c>
      <c r="H184" s="39" t="str">
        <f>("2013/06/30")</f>
        <v>2013/06/30</v>
      </c>
      <c r="I184" s="39">
        <v>6</v>
      </c>
      <c r="J184" s="39" t="s">
        <v>1478</v>
      </c>
      <c r="K184" s="39" t="s">
        <v>2122</v>
      </c>
      <c r="L184" s="39" t="s">
        <v>7830</v>
      </c>
      <c r="M184" s="39" t="s">
        <v>7831</v>
      </c>
      <c r="N184" s="39" t="str">
        <f>("0130486")</f>
        <v>0130486</v>
      </c>
      <c r="P184" s="39" t="s">
        <v>11672</v>
      </c>
      <c r="Q184" s="39" t="s">
        <v>8568</v>
      </c>
      <c r="R184" s="39" t="s">
        <v>8569</v>
      </c>
      <c r="S184" s="39" t="s">
        <v>8570</v>
      </c>
      <c r="AK184" s="39" t="str">
        <f>("2025/03/24")</f>
        <v>2025/03/24</v>
      </c>
      <c r="AL184" s="39" t="str">
        <f t="shared" si="14"/>
        <v>2025/04/01</v>
      </c>
    </row>
    <row r="185" spans="1:38" x14ac:dyDescent="0.25">
      <c r="A185" s="39" t="str">
        <f>("1306300042")</f>
        <v>1306300042</v>
      </c>
      <c r="C185" s="39"/>
      <c r="D185" s="39" t="s">
        <v>4490</v>
      </c>
      <c r="E185" s="371" t="str">
        <f t="shared" si="11"/>
        <v>もりた　のぶひで</v>
      </c>
      <c r="F185" s="39" t="s">
        <v>2024</v>
      </c>
      <c r="G185" s="39" t="s">
        <v>7828</v>
      </c>
      <c r="H185" s="39" t="str">
        <f>("2013/06/30")</f>
        <v>2013/06/30</v>
      </c>
      <c r="I185" s="39">
        <v>6</v>
      </c>
      <c r="J185" s="39" t="s">
        <v>1478</v>
      </c>
      <c r="K185" s="39" t="s">
        <v>2122</v>
      </c>
      <c r="L185" s="39" t="s">
        <v>7830</v>
      </c>
      <c r="M185" s="39" t="s">
        <v>7831</v>
      </c>
      <c r="N185" s="39" t="str">
        <f>("0130475")</f>
        <v>0130475</v>
      </c>
      <c r="P185" s="39" t="s">
        <v>11673</v>
      </c>
      <c r="Q185" s="39" t="s">
        <v>8568</v>
      </c>
      <c r="R185" s="39" t="s">
        <v>8569</v>
      </c>
      <c r="S185" s="39" t="s">
        <v>8570</v>
      </c>
      <c r="AK185" s="39" t="str">
        <f>("2025/04/04")</f>
        <v>2025/04/04</v>
      </c>
      <c r="AL185" s="39" t="str">
        <f t="shared" si="14"/>
        <v>2025/04/01</v>
      </c>
    </row>
    <row r="186" spans="1:38" x14ac:dyDescent="0.25">
      <c r="A186" s="39" t="str">
        <f>("1306300080")</f>
        <v>1306300080</v>
      </c>
      <c r="C186" s="39"/>
      <c r="D186" s="39" t="s">
        <v>4488</v>
      </c>
      <c r="E186" s="371" t="str">
        <f t="shared" si="11"/>
        <v>なかむら　いっしん</v>
      </c>
      <c r="F186" s="39" t="s">
        <v>2024</v>
      </c>
      <c r="G186" s="39" t="s">
        <v>7828</v>
      </c>
      <c r="H186" s="39" t="str">
        <f>("2013/06/30")</f>
        <v>2013/06/30</v>
      </c>
      <c r="I186" s="39">
        <v>6</v>
      </c>
      <c r="J186" s="39" t="s">
        <v>1478</v>
      </c>
      <c r="K186" s="39" t="s">
        <v>2122</v>
      </c>
      <c r="L186" s="39" t="s">
        <v>7830</v>
      </c>
      <c r="M186" s="39" t="s">
        <v>7831</v>
      </c>
      <c r="N186" s="39" t="str">
        <f>("0130475")</f>
        <v>0130475</v>
      </c>
      <c r="P186" s="39" t="s">
        <v>11674</v>
      </c>
      <c r="Q186" s="39" t="s">
        <v>8568</v>
      </c>
      <c r="R186" s="39" t="s">
        <v>8569</v>
      </c>
      <c r="S186" s="39" t="s">
        <v>8570</v>
      </c>
      <c r="AA186" s="39" t="s">
        <v>2122</v>
      </c>
      <c r="AB186" s="39" t="s">
        <v>7830</v>
      </c>
      <c r="AC186" s="39" t="s">
        <v>7831</v>
      </c>
      <c r="AD186" s="39" t="str">
        <f>("1039801")</f>
        <v>1039801</v>
      </c>
      <c r="AE186" s="39" t="s">
        <v>7864</v>
      </c>
      <c r="AK186" s="39" t="str">
        <f>("2025/04/04")</f>
        <v>2025/04/04</v>
      </c>
      <c r="AL186" s="39" t="str">
        <f t="shared" si="14"/>
        <v>2025/04/01</v>
      </c>
    </row>
    <row r="187" spans="1:38" x14ac:dyDescent="0.25">
      <c r="A187" s="39" t="str">
        <f>("1307020033")</f>
        <v>1307020033</v>
      </c>
      <c r="C187" s="39"/>
      <c r="D187" s="39" t="s">
        <v>4643</v>
      </c>
      <c r="E187" s="371" t="str">
        <f t="shared" si="11"/>
        <v>やまさき　りょうたろう</v>
      </c>
      <c r="F187" s="39" t="s">
        <v>2573</v>
      </c>
      <c r="G187" s="39" t="s">
        <v>7828</v>
      </c>
      <c r="H187" s="39" t="str">
        <f>("2013/07/02")</f>
        <v>2013/07/02</v>
      </c>
      <c r="I187" s="39">
        <v>6</v>
      </c>
      <c r="J187" s="39" t="s">
        <v>1478</v>
      </c>
      <c r="K187" s="39" t="s">
        <v>2122</v>
      </c>
      <c r="L187" s="39" t="s">
        <v>7830</v>
      </c>
      <c r="M187" s="39" t="s">
        <v>7831</v>
      </c>
      <c r="N187" s="39" t="str">
        <f>("0230982")</f>
        <v>0230982</v>
      </c>
      <c r="P187" s="39" t="s">
        <v>11675</v>
      </c>
      <c r="Q187" s="39" t="s">
        <v>8568</v>
      </c>
      <c r="R187" s="39" t="s">
        <v>8569</v>
      </c>
      <c r="S187" s="39" t="s">
        <v>8570</v>
      </c>
      <c r="AK187" s="39" t="str">
        <f>("2025/03/17")</f>
        <v>2025/03/17</v>
      </c>
      <c r="AL187" s="39" t="str">
        <f t="shared" si="14"/>
        <v>2025/04/01</v>
      </c>
    </row>
    <row r="188" spans="1:38" x14ac:dyDescent="0.25">
      <c r="A188" s="39" t="str">
        <f>("1307020050")</f>
        <v>1307020050</v>
      </c>
      <c r="B188" s="39" t="s">
        <v>8692</v>
      </c>
      <c r="C188" s="39"/>
      <c r="D188" s="39" t="s">
        <v>5849</v>
      </c>
      <c r="E188" s="371" t="str">
        <f t="shared" si="11"/>
        <v>ふちの　そうすけ</v>
      </c>
      <c r="F188" s="39" t="s">
        <v>2033</v>
      </c>
      <c r="G188" s="39" t="s">
        <v>7828</v>
      </c>
      <c r="H188" s="39" t="str">
        <f>("2013/07/02")</f>
        <v>2013/07/02</v>
      </c>
      <c r="I188" s="39">
        <v>6</v>
      </c>
      <c r="J188" s="39" t="s">
        <v>1478</v>
      </c>
      <c r="K188" s="39" t="s">
        <v>2122</v>
      </c>
      <c r="L188" s="39" t="s">
        <v>7830</v>
      </c>
      <c r="M188" s="39" t="s">
        <v>7831</v>
      </c>
      <c r="N188" s="39" t="str">
        <f>("0130442")</f>
        <v>0130442</v>
      </c>
      <c r="P188" s="39" t="s">
        <v>11676</v>
      </c>
      <c r="Q188" s="39" t="s">
        <v>8568</v>
      </c>
      <c r="R188" s="39" t="s">
        <v>8569</v>
      </c>
      <c r="S188" s="39" t="s">
        <v>8570</v>
      </c>
      <c r="AK188" s="39" t="str">
        <f>("2025/04/04")</f>
        <v>2025/04/04</v>
      </c>
      <c r="AL188" s="39" t="str">
        <f t="shared" si="14"/>
        <v>2025/04/01</v>
      </c>
    </row>
    <row r="189" spans="1:38" x14ac:dyDescent="0.25">
      <c r="A189" s="39" t="str">
        <f>("1307020129")</f>
        <v>1307020129</v>
      </c>
      <c r="B189" s="39" t="s">
        <v>8693</v>
      </c>
      <c r="C189" s="39"/>
      <c r="D189" s="39" t="s">
        <v>4855</v>
      </c>
      <c r="E189" s="371" t="str">
        <f t="shared" si="11"/>
        <v>なりしげ　せいな</v>
      </c>
      <c r="F189" s="39" t="s">
        <v>1692</v>
      </c>
      <c r="G189" s="39" t="s">
        <v>7828</v>
      </c>
      <c r="H189" s="39" t="str">
        <f>("2013/07/02")</f>
        <v>2013/07/02</v>
      </c>
      <c r="I189" s="39">
        <v>6</v>
      </c>
      <c r="J189" s="39" t="s">
        <v>1478</v>
      </c>
      <c r="K189" s="39" t="s">
        <v>2122</v>
      </c>
      <c r="L189" s="39" t="s">
        <v>7830</v>
      </c>
      <c r="M189" s="39" t="s">
        <v>7831</v>
      </c>
      <c r="N189" s="39" t="str">
        <f>("1052299")</f>
        <v>1052299</v>
      </c>
      <c r="P189" s="39" t="s">
        <v>11677</v>
      </c>
      <c r="Q189" s="39" t="s">
        <v>8568</v>
      </c>
      <c r="R189" s="39" t="s">
        <v>8569</v>
      </c>
      <c r="S189" s="39" t="s">
        <v>8570</v>
      </c>
      <c r="AK189" s="39" t="str">
        <f>("2025/03/17")</f>
        <v>2025/03/17</v>
      </c>
      <c r="AL189" s="39" t="str">
        <f t="shared" si="14"/>
        <v>2025/04/01</v>
      </c>
    </row>
    <row r="190" spans="1:38" x14ac:dyDescent="0.25">
      <c r="A190" s="39" t="str">
        <f>("1307020138")</f>
        <v>1307020138</v>
      </c>
      <c r="C190" s="39"/>
      <c r="D190" s="39" t="s">
        <v>3905</v>
      </c>
      <c r="E190" s="371" t="str">
        <f t="shared" si="11"/>
        <v>たかはし　ななこ</v>
      </c>
      <c r="F190" s="39" t="s">
        <v>2479</v>
      </c>
      <c r="G190" s="39" t="s">
        <v>7828</v>
      </c>
      <c r="H190" s="39" t="str">
        <f>("2013/07/02")</f>
        <v>2013/07/02</v>
      </c>
      <c r="I190" s="39">
        <v>6</v>
      </c>
      <c r="J190" s="39" t="s">
        <v>1480</v>
      </c>
      <c r="K190" s="39" t="s">
        <v>2122</v>
      </c>
      <c r="L190" s="39" t="s">
        <v>7830</v>
      </c>
      <c r="M190" s="39" t="s">
        <v>7831</v>
      </c>
      <c r="N190" s="39" t="str">
        <f>("0129608")</f>
        <v>0129608</v>
      </c>
      <c r="P190" s="39" t="s">
        <v>11678</v>
      </c>
      <c r="Q190" s="39" t="s">
        <v>8568</v>
      </c>
      <c r="R190" s="39" t="s">
        <v>8569</v>
      </c>
      <c r="S190" s="39" t="s">
        <v>8570</v>
      </c>
      <c r="AK190" s="39" t="str">
        <f>("2025/03/17")</f>
        <v>2025/03/17</v>
      </c>
      <c r="AL190" s="39" t="str">
        <f t="shared" si="14"/>
        <v>2025/04/01</v>
      </c>
    </row>
    <row r="191" spans="1:38" x14ac:dyDescent="0.25">
      <c r="A191" s="39" t="str">
        <f>("1307030012")</f>
        <v>1307030012</v>
      </c>
      <c r="C191" s="39"/>
      <c r="D191" s="39" t="s">
        <v>4860</v>
      </c>
      <c r="E191" s="371" t="str">
        <f t="shared" si="11"/>
        <v>やまもと　ゆうご</v>
      </c>
      <c r="F191" s="39" t="s">
        <v>2299</v>
      </c>
      <c r="G191" s="39" t="s">
        <v>7828</v>
      </c>
      <c r="H191" s="39" t="str">
        <f>("2013/07/03")</f>
        <v>2013/07/03</v>
      </c>
      <c r="I191" s="39">
        <v>6</v>
      </c>
      <c r="J191" s="39" t="s">
        <v>1478</v>
      </c>
      <c r="K191" s="39" t="s">
        <v>2122</v>
      </c>
      <c r="L191" s="39" t="s">
        <v>7830</v>
      </c>
      <c r="M191" s="39" t="s">
        <v>7831</v>
      </c>
      <c r="N191" s="39" t="str">
        <f>("1066647")</f>
        <v>1066647</v>
      </c>
      <c r="P191" s="39" t="s">
        <v>11679</v>
      </c>
      <c r="Q191" s="39" t="s">
        <v>8568</v>
      </c>
      <c r="R191" s="39" t="s">
        <v>8569</v>
      </c>
      <c r="S191" s="39" t="s">
        <v>8570</v>
      </c>
      <c r="AK191" s="39" t="str">
        <f>("2025/03/21")</f>
        <v>2025/03/21</v>
      </c>
      <c r="AL191" s="39" t="str">
        <f t="shared" si="14"/>
        <v>2025/04/01</v>
      </c>
    </row>
    <row r="192" spans="1:38" x14ac:dyDescent="0.25">
      <c r="A192" s="39" t="str">
        <f>("1307030063")</f>
        <v>1307030063</v>
      </c>
      <c r="C192" s="39"/>
      <c r="D192" s="39" t="s">
        <v>8694</v>
      </c>
      <c r="E192" s="371" t="str">
        <f t="shared" si="11"/>
        <v>しろもと　ゆうが</v>
      </c>
      <c r="F192" s="39" t="s">
        <v>1968</v>
      </c>
      <c r="G192" s="39" t="s">
        <v>7828</v>
      </c>
      <c r="H192" s="39" t="str">
        <f>("2013/07/03")</f>
        <v>2013/07/03</v>
      </c>
      <c r="I192" s="39">
        <v>6</v>
      </c>
      <c r="J192" s="39" t="s">
        <v>1478</v>
      </c>
      <c r="K192" s="39" t="s">
        <v>2122</v>
      </c>
      <c r="L192" s="39" t="s">
        <v>7830</v>
      </c>
      <c r="M192" s="39" t="s">
        <v>7831</v>
      </c>
      <c r="N192" s="39" t="str">
        <f>("0129507")</f>
        <v>0129507</v>
      </c>
      <c r="P192" s="39" t="s">
        <v>11680</v>
      </c>
      <c r="Q192" s="39" t="s">
        <v>8568</v>
      </c>
      <c r="R192" s="39" t="s">
        <v>8569</v>
      </c>
      <c r="S192" s="39" t="s">
        <v>8570</v>
      </c>
      <c r="AA192" s="39" t="s">
        <v>2122</v>
      </c>
      <c r="AB192" s="39" t="s">
        <v>7830</v>
      </c>
      <c r="AC192" s="39" t="s">
        <v>7831</v>
      </c>
      <c r="AD192" s="39" t="str">
        <f>("0129495")</f>
        <v>0129495</v>
      </c>
      <c r="AE192" s="39" t="s">
        <v>4881</v>
      </c>
      <c r="AK192" s="39" t="str">
        <f>("2025/03/17")</f>
        <v>2025/03/17</v>
      </c>
      <c r="AL192" s="39" t="str">
        <f t="shared" si="14"/>
        <v>2025/04/01</v>
      </c>
    </row>
    <row r="193" spans="1:38" x14ac:dyDescent="0.25">
      <c r="A193" s="39" t="str">
        <f>("1307030064")</f>
        <v>1307030064</v>
      </c>
      <c r="C193" s="39"/>
      <c r="D193" s="39" t="s">
        <v>4522</v>
      </c>
      <c r="E193" s="371" t="str">
        <f t="shared" si="11"/>
        <v>さとう　てんせい</v>
      </c>
      <c r="F193" s="39" t="s">
        <v>2533</v>
      </c>
      <c r="G193" s="39" t="s">
        <v>7828</v>
      </c>
      <c r="H193" s="39" t="str">
        <f>("2013/07/03")</f>
        <v>2013/07/03</v>
      </c>
      <c r="I193" s="39">
        <v>6</v>
      </c>
      <c r="J193" s="39" t="s">
        <v>1478</v>
      </c>
      <c r="K193" s="39" t="s">
        <v>2122</v>
      </c>
      <c r="L193" s="39" t="s">
        <v>7830</v>
      </c>
      <c r="M193" s="39" t="s">
        <v>7831</v>
      </c>
      <c r="N193" s="39" t="str">
        <f>("0130497")</f>
        <v>0130497</v>
      </c>
      <c r="P193" s="39" t="s">
        <v>11681</v>
      </c>
      <c r="Q193" s="39" t="s">
        <v>8568</v>
      </c>
      <c r="R193" s="39" t="s">
        <v>8569</v>
      </c>
      <c r="S193" s="39" t="s">
        <v>8570</v>
      </c>
      <c r="AK193" s="39" t="str">
        <f>("2025/03/17")</f>
        <v>2025/03/17</v>
      </c>
      <c r="AL193" s="39" t="str">
        <f t="shared" si="14"/>
        <v>2025/04/01</v>
      </c>
    </row>
    <row r="194" spans="1:38" x14ac:dyDescent="0.25">
      <c r="A194" s="39" t="str">
        <f>("1307030224")</f>
        <v>1307030224</v>
      </c>
      <c r="B194" s="39" t="s">
        <v>8695</v>
      </c>
      <c r="C194" s="39"/>
      <c r="D194" s="39" t="s">
        <v>8696</v>
      </c>
      <c r="E194" s="371" t="str">
        <f t="shared" si="11"/>
        <v>そうま　ゆうせい</v>
      </c>
      <c r="F194" s="39" t="s">
        <v>8032</v>
      </c>
      <c r="G194" s="39" t="s">
        <v>7828</v>
      </c>
      <c r="H194" s="39" t="str">
        <f>("2013/07/03")</f>
        <v>2013/07/03</v>
      </c>
      <c r="I194" s="39">
        <v>6</v>
      </c>
      <c r="J194" s="39" t="s">
        <v>1478</v>
      </c>
      <c r="K194" s="39" t="s">
        <v>2122</v>
      </c>
      <c r="L194" s="39" t="s">
        <v>7830</v>
      </c>
      <c r="M194" s="39" t="s">
        <v>7831</v>
      </c>
      <c r="N194" s="39" t="str">
        <f>("0452911")</f>
        <v>0452911</v>
      </c>
      <c r="P194" s="39" t="s">
        <v>11682</v>
      </c>
      <c r="Q194" s="39" t="s">
        <v>8568</v>
      </c>
      <c r="R194" s="39" t="s">
        <v>8569</v>
      </c>
      <c r="S194" s="39" t="s">
        <v>8570</v>
      </c>
      <c r="AK194" s="39" t="str">
        <f>("2025/04/10")</f>
        <v>2025/04/10</v>
      </c>
      <c r="AL194" s="39" t="str">
        <f t="shared" si="14"/>
        <v>2025/04/01</v>
      </c>
    </row>
    <row r="195" spans="1:38" x14ac:dyDescent="0.25">
      <c r="A195" s="39" t="str">
        <f>("1307030269")</f>
        <v>1307030269</v>
      </c>
      <c r="B195" s="39" t="s">
        <v>8697</v>
      </c>
      <c r="C195" s="39"/>
      <c r="D195" s="39" t="s">
        <v>6036</v>
      </c>
      <c r="E195" s="371" t="str">
        <f t="shared" ref="E195:E258" si="15">PHONETIC(P195)</f>
        <v>くろだ　ひゅうが</v>
      </c>
      <c r="F195" s="39" t="s">
        <v>2395</v>
      </c>
      <c r="G195" s="39" t="s">
        <v>7828</v>
      </c>
      <c r="H195" s="39" t="str">
        <f>("2013/07/03")</f>
        <v>2013/07/03</v>
      </c>
      <c r="I195" s="39">
        <v>6</v>
      </c>
      <c r="J195" s="39" t="s">
        <v>1478</v>
      </c>
      <c r="K195" s="39" t="s">
        <v>2122</v>
      </c>
      <c r="L195" s="39" t="s">
        <v>7830</v>
      </c>
      <c r="M195" s="39" t="s">
        <v>7831</v>
      </c>
      <c r="N195" s="39" t="str">
        <f>("0366735")</f>
        <v>0366735</v>
      </c>
      <c r="P195" s="39" t="s">
        <v>11683</v>
      </c>
      <c r="Q195" s="39" t="s">
        <v>8568</v>
      </c>
      <c r="R195" s="39" t="s">
        <v>8569</v>
      </c>
      <c r="S195" s="39" t="s">
        <v>8570</v>
      </c>
      <c r="AK195" s="39" t="str">
        <f>("2025/03/17")</f>
        <v>2025/03/17</v>
      </c>
      <c r="AL195" s="39" t="str">
        <f t="shared" si="14"/>
        <v>2025/04/01</v>
      </c>
    </row>
    <row r="196" spans="1:38" x14ac:dyDescent="0.25">
      <c r="A196" s="39" t="str">
        <f>("1307040037")</f>
        <v>1307040037</v>
      </c>
      <c r="C196" s="39"/>
      <c r="D196" s="39" t="s">
        <v>6179</v>
      </c>
      <c r="E196" s="371" t="str">
        <f t="shared" si="15"/>
        <v>さとう　いちと</v>
      </c>
      <c r="F196" s="39" t="s">
        <v>827</v>
      </c>
      <c r="G196" s="39" t="s">
        <v>7828</v>
      </c>
      <c r="H196" s="39" t="str">
        <f>("2013/07/04")</f>
        <v>2013/07/04</v>
      </c>
      <c r="I196" s="39">
        <v>6</v>
      </c>
      <c r="J196" s="39" t="s">
        <v>1478</v>
      </c>
      <c r="K196" s="39" t="s">
        <v>2122</v>
      </c>
      <c r="L196" s="39" t="s">
        <v>7830</v>
      </c>
      <c r="M196" s="39" t="s">
        <v>7831</v>
      </c>
      <c r="N196" s="39" t="str">
        <f>("0504908")</f>
        <v>0504908</v>
      </c>
      <c r="P196" s="39" t="s">
        <v>11684</v>
      </c>
      <c r="Q196" s="39" t="s">
        <v>8568</v>
      </c>
      <c r="R196" s="39" t="s">
        <v>8569</v>
      </c>
      <c r="S196" s="39" t="s">
        <v>8570</v>
      </c>
      <c r="AK196" s="39" t="str">
        <f>("2025/03/21")</f>
        <v>2025/03/21</v>
      </c>
      <c r="AL196" s="39" t="str">
        <f t="shared" si="14"/>
        <v>2025/04/01</v>
      </c>
    </row>
    <row r="197" spans="1:38" x14ac:dyDescent="0.25">
      <c r="A197" s="39" t="str">
        <f>("1307040093")</f>
        <v>1307040093</v>
      </c>
      <c r="B197" s="39" t="s">
        <v>8698</v>
      </c>
      <c r="C197" s="39"/>
      <c r="D197" s="39" t="s">
        <v>4807</v>
      </c>
      <c r="E197" s="371" t="str">
        <f t="shared" si="15"/>
        <v>うえはら　こうぜん</v>
      </c>
      <c r="F197" s="39" t="s">
        <v>2156</v>
      </c>
      <c r="G197" s="39" t="s">
        <v>7828</v>
      </c>
      <c r="H197" s="39" t="str">
        <f>("2013/07/04")</f>
        <v>2013/07/04</v>
      </c>
      <c r="I197" s="39">
        <v>6</v>
      </c>
      <c r="J197" s="39" t="s">
        <v>1478</v>
      </c>
      <c r="K197" s="39" t="s">
        <v>2122</v>
      </c>
      <c r="L197" s="39" t="s">
        <v>7830</v>
      </c>
      <c r="M197" s="39" t="s">
        <v>7831</v>
      </c>
      <c r="N197" s="39" t="str">
        <f>("0493040")</f>
        <v>0493040</v>
      </c>
      <c r="P197" s="39" t="s">
        <v>11685</v>
      </c>
      <c r="Q197" s="39" t="s">
        <v>8568</v>
      </c>
      <c r="R197" s="39" t="s">
        <v>8569</v>
      </c>
      <c r="S197" s="39" t="s">
        <v>8570</v>
      </c>
      <c r="AK197" s="39" t="str">
        <f>("2025/03/17")</f>
        <v>2025/03/17</v>
      </c>
      <c r="AL197" s="39" t="str">
        <f t="shared" si="14"/>
        <v>2025/04/01</v>
      </c>
    </row>
    <row r="198" spans="1:38" x14ac:dyDescent="0.25">
      <c r="A198" s="39" t="str">
        <f>("1307040119")</f>
        <v>1307040119</v>
      </c>
      <c r="C198" s="39"/>
      <c r="D198" s="39" t="s">
        <v>4785</v>
      </c>
      <c r="E198" s="371" t="str">
        <f t="shared" si="15"/>
        <v>なかぞの　ゆうご</v>
      </c>
      <c r="F198" s="39" t="s">
        <v>1446</v>
      </c>
      <c r="G198" s="39" t="s">
        <v>7828</v>
      </c>
      <c r="H198" s="39" t="str">
        <f>("2013/07/04")</f>
        <v>2013/07/04</v>
      </c>
      <c r="I198" s="39">
        <v>6</v>
      </c>
      <c r="J198" s="39" t="s">
        <v>1478</v>
      </c>
      <c r="K198" s="39" t="s">
        <v>2122</v>
      </c>
      <c r="L198" s="39" t="s">
        <v>7830</v>
      </c>
      <c r="M198" s="39" t="s">
        <v>7831</v>
      </c>
      <c r="N198" s="39" t="str">
        <f>("0478807")</f>
        <v>0478807</v>
      </c>
      <c r="P198" s="39" t="s">
        <v>11686</v>
      </c>
      <c r="Q198" s="39" t="s">
        <v>8568</v>
      </c>
      <c r="R198" s="39" t="s">
        <v>8569</v>
      </c>
      <c r="S198" s="39" t="s">
        <v>8570</v>
      </c>
      <c r="AK198" s="39" t="str">
        <f>("2025/03/21")</f>
        <v>2025/03/21</v>
      </c>
      <c r="AL198" s="39" t="str">
        <f t="shared" si="14"/>
        <v>2025/04/01</v>
      </c>
    </row>
    <row r="199" spans="1:38" x14ac:dyDescent="0.25">
      <c r="A199" s="39" t="str">
        <f>("1307040202")</f>
        <v>1307040202</v>
      </c>
      <c r="C199" s="39"/>
      <c r="D199" s="39" t="s">
        <v>6030</v>
      </c>
      <c r="E199" s="371" t="str">
        <f t="shared" si="15"/>
        <v>さかがわ　たく</v>
      </c>
      <c r="F199" s="39" t="s">
        <v>2350</v>
      </c>
      <c r="G199" s="39" t="s">
        <v>7828</v>
      </c>
      <c r="H199" s="39" t="str">
        <f>("2013/07/04")</f>
        <v>2013/07/04</v>
      </c>
      <c r="I199" s="39">
        <v>6</v>
      </c>
      <c r="J199" s="39" t="s">
        <v>1478</v>
      </c>
      <c r="K199" s="39" t="s">
        <v>2122</v>
      </c>
      <c r="L199" s="39" t="s">
        <v>7830</v>
      </c>
      <c r="M199" s="39" t="s">
        <v>7831</v>
      </c>
      <c r="N199" s="39" t="str">
        <f>("0360032")</f>
        <v>0360032</v>
      </c>
      <c r="P199" s="39" t="s">
        <v>11687</v>
      </c>
      <c r="Q199" s="39" t="s">
        <v>8568</v>
      </c>
      <c r="R199" s="39" t="s">
        <v>8569</v>
      </c>
      <c r="S199" s="39" t="s">
        <v>8570</v>
      </c>
      <c r="AK199" s="39" t="str">
        <f>("2025/03/17")</f>
        <v>2025/03/17</v>
      </c>
      <c r="AL199" s="39" t="str">
        <f t="shared" si="14"/>
        <v>2025/04/01</v>
      </c>
    </row>
    <row r="200" spans="1:38" x14ac:dyDescent="0.25">
      <c r="A200" s="39" t="str">
        <f>("1307040210")</f>
        <v>1307040210</v>
      </c>
      <c r="C200" s="39"/>
      <c r="D200" s="39" t="s">
        <v>4687</v>
      </c>
      <c r="E200" s="371" t="str">
        <f t="shared" si="15"/>
        <v>なかま　はると</v>
      </c>
      <c r="F200" s="39" t="s">
        <v>5619</v>
      </c>
      <c r="G200" s="39" t="s">
        <v>7828</v>
      </c>
      <c r="H200" s="39" t="str">
        <f>("2013/07/04")</f>
        <v>2013/07/04</v>
      </c>
      <c r="I200" s="39">
        <v>6</v>
      </c>
      <c r="J200" s="39" t="s">
        <v>1478</v>
      </c>
      <c r="K200" s="39" t="s">
        <v>2122</v>
      </c>
      <c r="L200" s="39" t="s">
        <v>7830</v>
      </c>
      <c r="M200" s="39" t="s">
        <v>7831</v>
      </c>
      <c r="N200" s="39" t="str">
        <f>("1089004")</f>
        <v>1089004</v>
      </c>
      <c r="P200" s="39" t="s">
        <v>11688</v>
      </c>
      <c r="Q200" s="39" t="s">
        <v>8568</v>
      </c>
      <c r="R200" s="39" t="s">
        <v>8569</v>
      </c>
      <c r="S200" s="39" t="s">
        <v>8570</v>
      </c>
      <c r="AA200" s="39" t="s">
        <v>2122</v>
      </c>
      <c r="AB200" s="39" t="s">
        <v>7830</v>
      </c>
      <c r="AC200" s="39" t="s">
        <v>7831</v>
      </c>
      <c r="AD200" s="39" t="str">
        <f>("0354901")</f>
        <v>0354901</v>
      </c>
      <c r="AE200" s="39" t="s">
        <v>2025</v>
      </c>
      <c r="AK200" s="39" t="str">
        <f>("2025/08/21")</f>
        <v>2025/08/21</v>
      </c>
      <c r="AL200" s="39" t="str">
        <f>("2025/08/21")</f>
        <v>2025/08/21</v>
      </c>
    </row>
    <row r="201" spans="1:38" x14ac:dyDescent="0.25">
      <c r="A201" s="39" t="str">
        <f>("1307050134")</f>
        <v>1307050134</v>
      </c>
      <c r="B201" s="39" t="s">
        <v>8699</v>
      </c>
      <c r="C201" s="39"/>
      <c r="D201" s="39" t="s">
        <v>4469</v>
      </c>
      <c r="E201" s="371" t="str">
        <f t="shared" si="15"/>
        <v>みさわ　そら</v>
      </c>
      <c r="F201" s="39" t="s">
        <v>2033</v>
      </c>
      <c r="G201" s="39" t="s">
        <v>7828</v>
      </c>
      <c r="H201" s="39" t="str">
        <f>("2013/07/05")</f>
        <v>2013/07/05</v>
      </c>
      <c r="I201" s="39">
        <v>6</v>
      </c>
      <c r="J201" s="39" t="s">
        <v>1478</v>
      </c>
      <c r="K201" s="39" t="s">
        <v>2122</v>
      </c>
      <c r="L201" s="39" t="s">
        <v>7830</v>
      </c>
      <c r="M201" s="39" t="s">
        <v>7831</v>
      </c>
      <c r="N201" s="39" t="str">
        <f>("0130442")</f>
        <v>0130442</v>
      </c>
      <c r="P201" s="39" t="s">
        <v>11689</v>
      </c>
      <c r="Q201" s="39" t="s">
        <v>8568</v>
      </c>
      <c r="R201" s="39" t="s">
        <v>8569</v>
      </c>
      <c r="S201" s="39" t="s">
        <v>8570</v>
      </c>
      <c r="AK201" s="39" t="str">
        <f>("2025/04/04")</f>
        <v>2025/04/04</v>
      </c>
      <c r="AL201" s="39" t="str">
        <f t="shared" ref="AL201:AL244" si="16">("2025/04/01")</f>
        <v>2025/04/01</v>
      </c>
    </row>
    <row r="202" spans="1:38" x14ac:dyDescent="0.25">
      <c r="A202" s="39" t="str">
        <f>("1307050259")</f>
        <v>1307050259</v>
      </c>
      <c r="C202" s="39"/>
      <c r="D202" s="39" t="s">
        <v>6229</v>
      </c>
      <c r="E202" s="371" t="str">
        <f t="shared" si="15"/>
        <v>ふかみ　くうや</v>
      </c>
      <c r="F202" s="39" t="s">
        <v>2648</v>
      </c>
      <c r="G202" s="39" t="s">
        <v>7828</v>
      </c>
      <c r="H202" s="39" t="str">
        <f>("2013/07/05")</f>
        <v>2013/07/05</v>
      </c>
      <c r="I202" s="39">
        <v>6</v>
      </c>
      <c r="J202" s="39" t="s">
        <v>1478</v>
      </c>
      <c r="K202" s="39" t="s">
        <v>2122</v>
      </c>
      <c r="L202" s="39" t="s">
        <v>7830</v>
      </c>
      <c r="M202" s="39" t="s">
        <v>7831</v>
      </c>
      <c r="N202" s="39" t="str">
        <f>("1050097")</f>
        <v>1050097</v>
      </c>
      <c r="P202" s="39" t="s">
        <v>11690</v>
      </c>
      <c r="Q202" s="39" t="s">
        <v>8568</v>
      </c>
      <c r="R202" s="39" t="s">
        <v>8569</v>
      </c>
      <c r="S202" s="39" t="s">
        <v>8570</v>
      </c>
      <c r="AK202" s="39" t="str">
        <f>("2025/03/25")</f>
        <v>2025/03/25</v>
      </c>
      <c r="AL202" s="39" t="str">
        <f t="shared" si="16"/>
        <v>2025/04/01</v>
      </c>
    </row>
    <row r="203" spans="1:38" x14ac:dyDescent="0.25">
      <c r="A203" s="39" t="str">
        <f>("1307060005")</f>
        <v>1307060005</v>
      </c>
      <c r="C203" s="39"/>
      <c r="D203" s="39" t="s">
        <v>5779</v>
      </c>
      <c r="E203" s="371" t="str">
        <f t="shared" si="15"/>
        <v>かりゅう　けんた</v>
      </c>
      <c r="F203" s="39" t="s">
        <v>2138</v>
      </c>
      <c r="G203" s="39" t="s">
        <v>7828</v>
      </c>
      <c r="H203" s="39" t="str">
        <f>("2013/07/06")</f>
        <v>2013/07/06</v>
      </c>
      <c r="I203" s="39">
        <v>6</v>
      </c>
      <c r="J203" s="39" t="s">
        <v>1478</v>
      </c>
      <c r="K203" s="39" t="s">
        <v>2122</v>
      </c>
      <c r="L203" s="39" t="s">
        <v>7830</v>
      </c>
      <c r="M203" s="39" t="s">
        <v>7831</v>
      </c>
      <c r="N203" s="39" t="str">
        <f>("0130082")</f>
        <v>0130082</v>
      </c>
      <c r="P203" s="39" t="s">
        <v>11691</v>
      </c>
      <c r="Q203" s="39" t="s">
        <v>8568</v>
      </c>
      <c r="R203" s="39" t="s">
        <v>8569</v>
      </c>
      <c r="S203" s="39" t="s">
        <v>8570</v>
      </c>
      <c r="AK203" s="39" t="str">
        <f>("2025/03/17")</f>
        <v>2025/03/17</v>
      </c>
      <c r="AL203" s="39" t="str">
        <f t="shared" si="16"/>
        <v>2025/04/01</v>
      </c>
    </row>
    <row r="204" spans="1:38" x14ac:dyDescent="0.25">
      <c r="A204" s="39" t="str">
        <f>("1307060153")</f>
        <v>1307060153</v>
      </c>
      <c r="C204" s="39"/>
      <c r="D204" s="39" t="s">
        <v>8700</v>
      </c>
      <c r="E204" s="371" t="str">
        <f t="shared" si="15"/>
        <v>まつもと　ゆうり</v>
      </c>
      <c r="F204" s="39" t="s">
        <v>2587</v>
      </c>
      <c r="G204" s="39" t="s">
        <v>7828</v>
      </c>
      <c r="H204" s="39" t="str">
        <f>("2013/07/06")</f>
        <v>2013/07/06</v>
      </c>
      <c r="I204" s="39">
        <v>6</v>
      </c>
      <c r="J204" s="39" t="s">
        <v>1478</v>
      </c>
      <c r="K204" s="39" t="s">
        <v>2122</v>
      </c>
      <c r="L204" s="39" t="s">
        <v>7830</v>
      </c>
      <c r="M204" s="39" t="s">
        <v>7831</v>
      </c>
      <c r="N204" s="39" t="str">
        <f>("0387334")</f>
        <v>0387334</v>
      </c>
      <c r="P204" s="39" t="s">
        <v>11692</v>
      </c>
      <c r="Q204" s="39" t="s">
        <v>8568</v>
      </c>
      <c r="R204" s="39" t="s">
        <v>8569</v>
      </c>
      <c r="S204" s="39" t="s">
        <v>8570</v>
      </c>
      <c r="AK204" s="39" t="str">
        <f>("2025/03/27")</f>
        <v>2025/03/27</v>
      </c>
      <c r="AL204" s="39" t="str">
        <f t="shared" si="16"/>
        <v>2025/04/01</v>
      </c>
    </row>
    <row r="205" spans="1:38" x14ac:dyDescent="0.25">
      <c r="A205" s="39" t="str">
        <f>("1307070036")</f>
        <v>1307070036</v>
      </c>
      <c r="C205" s="39"/>
      <c r="D205" s="39" t="s">
        <v>6197</v>
      </c>
      <c r="E205" s="371" t="str">
        <f t="shared" si="15"/>
        <v>なかの　れあ</v>
      </c>
      <c r="F205" s="39" t="s">
        <v>1917</v>
      </c>
      <c r="G205" s="39" t="s">
        <v>7828</v>
      </c>
      <c r="H205" s="39" t="str">
        <f>("2013/07/07")</f>
        <v>2013/07/07</v>
      </c>
      <c r="I205" s="39">
        <v>6</v>
      </c>
      <c r="J205" s="39" t="s">
        <v>1478</v>
      </c>
      <c r="K205" s="39" t="s">
        <v>2122</v>
      </c>
      <c r="L205" s="39" t="s">
        <v>7830</v>
      </c>
      <c r="M205" s="39" t="s">
        <v>7831</v>
      </c>
      <c r="N205" s="39" t="str">
        <f>("1032161")</f>
        <v>1032161</v>
      </c>
      <c r="P205" s="39" t="s">
        <v>11693</v>
      </c>
      <c r="Q205" s="39" t="s">
        <v>8568</v>
      </c>
      <c r="R205" s="39" t="s">
        <v>8569</v>
      </c>
      <c r="S205" s="39" t="s">
        <v>8570</v>
      </c>
      <c r="AK205" s="39" t="str">
        <f>("2025/03/21")</f>
        <v>2025/03/21</v>
      </c>
      <c r="AL205" s="39" t="str">
        <f t="shared" si="16"/>
        <v>2025/04/01</v>
      </c>
    </row>
    <row r="206" spans="1:38" x14ac:dyDescent="0.25">
      <c r="A206" s="39" t="str">
        <f>("1307080011")</f>
        <v>1307080011</v>
      </c>
      <c r="C206" s="39"/>
      <c r="D206" s="39" t="s">
        <v>8701</v>
      </c>
      <c r="E206" s="371" t="str">
        <f t="shared" si="15"/>
        <v>ほそぎ　たいせい</v>
      </c>
      <c r="F206" s="39" t="s">
        <v>2587</v>
      </c>
      <c r="G206" s="39" t="s">
        <v>7828</v>
      </c>
      <c r="H206" s="39" t="str">
        <f>("2013/07/08")</f>
        <v>2013/07/08</v>
      </c>
      <c r="I206" s="39">
        <v>6</v>
      </c>
      <c r="J206" s="39" t="s">
        <v>1478</v>
      </c>
      <c r="K206" s="39" t="s">
        <v>2122</v>
      </c>
      <c r="L206" s="39" t="s">
        <v>7830</v>
      </c>
      <c r="M206" s="39" t="s">
        <v>7831</v>
      </c>
      <c r="N206" s="39" t="str">
        <f>("0387334")</f>
        <v>0387334</v>
      </c>
      <c r="P206" s="39" t="s">
        <v>11694</v>
      </c>
      <c r="Q206" s="39" t="s">
        <v>8568</v>
      </c>
      <c r="R206" s="39" t="s">
        <v>8569</v>
      </c>
      <c r="S206" s="39" t="s">
        <v>8570</v>
      </c>
      <c r="AA206" s="39" t="s">
        <v>2122</v>
      </c>
      <c r="AB206" s="39" t="s">
        <v>7830</v>
      </c>
      <c r="AC206" s="39" t="s">
        <v>7831</v>
      </c>
      <c r="AD206" s="39" t="str">
        <f>("0130554")</f>
        <v>0130554</v>
      </c>
      <c r="AE206" s="39" t="s">
        <v>1190</v>
      </c>
      <c r="AK206" s="39" t="str">
        <f>("2025/03/27")</f>
        <v>2025/03/27</v>
      </c>
      <c r="AL206" s="39" t="str">
        <f t="shared" si="16"/>
        <v>2025/04/01</v>
      </c>
    </row>
    <row r="207" spans="1:38" x14ac:dyDescent="0.25">
      <c r="A207" s="39" t="str">
        <f>("1307080027")</f>
        <v>1307080027</v>
      </c>
      <c r="B207" s="39" t="s">
        <v>8702</v>
      </c>
      <c r="C207" s="39"/>
      <c r="D207" s="39" t="s">
        <v>6064</v>
      </c>
      <c r="E207" s="371" t="str">
        <f t="shared" si="15"/>
        <v>まつおか　ひな</v>
      </c>
      <c r="F207" s="39" t="s">
        <v>2587</v>
      </c>
      <c r="G207" s="39" t="s">
        <v>7828</v>
      </c>
      <c r="H207" s="39" t="str">
        <f>("2013/07/08")</f>
        <v>2013/07/08</v>
      </c>
      <c r="I207" s="39">
        <v>6</v>
      </c>
      <c r="J207" s="39" t="s">
        <v>1480</v>
      </c>
      <c r="K207" s="39" t="s">
        <v>2122</v>
      </c>
      <c r="L207" s="39" t="s">
        <v>7830</v>
      </c>
      <c r="M207" s="39" t="s">
        <v>7831</v>
      </c>
      <c r="N207" s="39" t="str">
        <f>("0387334")</f>
        <v>0387334</v>
      </c>
      <c r="P207" s="39" t="s">
        <v>11695</v>
      </c>
      <c r="Q207" s="39" t="s">
        <v>8568</v>
      </c>
      <c r="R207" s="39" t="s">
        <v>8569</v>
      </c>
      <c r="S207" s="39" t="s">
        <v>8570</v>
      </c>
      <c r="AK207" s="39" t="str">
        <f>("2025/03/27")</f>
        <v>2025/03/27</v>
      </c>
      <c r="AL207" s="39" t="str">
        <f t="shared" si="16"/>
        <v>2025/04/01</v>
      </c>
    </row>
    <row r="208" spans="1:38" x14ac:dyDescent="0.25">
      <c r="A208" s="39" t="str">
        <f>("1307080112")</f>
        <v>1307080112</v>
      </c>
      <c r="C208" s="39"/>
      <c r="D208" s="39" t="s">
        <v>6124</v>
      </c>
      <c r="E208" s="371" t="str">
        <f t="shared" si="15"/>
        <v>じつもと　けいと</v>
      </c>
      <c r="F208" s="39" t="s">
        <v>413</v>
      </c>
      <c r="G208" s="39" t="s">
        <v>7828</v>
      </c>
      <c r="H208" s="39" t="str">
        <f>("2013/07/08")</f>
        <v>2013/07/08</v>
      </c>
      <c r="I208" s="39">
        <v>6</v>
      </c>
      <c r="J208" s="39" t="s">
        <v>1478</v>
      </c>
      <c r="K208" s="39" t="s">
        <v>2122</v>
      </c>
      <c r="L208" s="39" t="s">
        <v>7830</v>
      </c>
      <c r="M208" s="39" t="s">
        <v>7831</v>
      </c>
      <c r="N208" s="39" t="str">
        <f>("0436902")</f>
        <v>0436902</v>
      </c>
      <c r="P208" s="39" t="s">
        <v>11696</v>
      </c>
      <c r="Q208" s="39" t="s">
        <v>8568</v>
      </c>
      <c r="R208" s="39" t="s">
        <v>8569</v>
      </c>
      <c r="S208" s="39" t="s">
        <v>8570</v>
      </c>
      <c r="AK208" s="39" t="str">
        <f>("2025/03/24")</f>
        <v>2025/03/24</v>
      </c>
      <c r="AL208" s="39" t="str">
        <f t="shared" si="16"/>
        <v>2025/04/01</v>
      </c>
    </row>
    <row r="209" spans="1:38" x14ac:dyDescent="0.25">
      <c r="A209" s="39" t="str">
        <f>("1307080174")</f>
        <v>1307080174</v>
      </c>
      <c r="C209" s="39"/>
      <c r="D209" s="39" t="s">
        <v>6053</v>
      </c>
      <c r="E209" s="371" t="str">
        <f t="shared" si="15"/>
        <v>ひろまつ　ようじろう</v>
      </c>
      <c r="F209" s="39" t="s">
        <v>1207</v>
      </c>
      <c r="G209" s="39" t="s">
        <v>7828</v>
      </c>
      <c r="H209" s="39" t="str">
        <f>("2013/07/08")</f>
        <v>2013/07/08</v>
      </c>
      <c r="I209" s="39">
        <v>6</v>
      </c>
      <c r="J209" s="39" t="s">
        <v>1478</v>
      </c>
      <c r="K209" s="39" t="s">
        <v>2122</v>
      </c>
      <c r="L209" s="39" t="s">
        <v>7830</v>
      </c>
      <c r="M209" s="39" t="s">
        <v>7831</v>
      </c>
      <c r="N209" s="39" t="str">
        <f>("0381608")</f>
        <v>0381608</v>
      </c>
      <c r="P209" s="39" t="s">
        <v>11697</v>
      </c>
      <c r="Q209" s="39" t="s">
        <v>8568</v>
      </c>
      <c r="R209" s="39" t="s">
        <v>8569</v>
      </c>
      <c r="S209" s="39" t="s">
        <v>8570</v>
      </c>
      <c r="AK209" s="39" t="str">
        <f>("2025/03/21")</f>
        <v>2025/03/21</v>
      </c>
      <c r="AL209" s="39" t="str">
        <f t="shared" si="16"/>
        <v>2025/04/01</v>
      </c>
    </row>
    <row r="210" spans="1:38" x14ac:dyDescent="0.25">
      <c r="A210" s="39" t="str">
        <f>("1307090084")</f>
        <v>1307090084</v>
      </c>
      <c r="C210" s="39"/>
      <c r="D210" s="39" t="s">
        <v>6200</v>
      </c>
      <c r="E210" s="371" t="str">
        <f t="shared" si="15"/>
        <v>あそう　まさと</v>
      </c>
      <c r="F210" s="39" t="s">
        <v>5621</v>
      </c>
      <c r="G210" s="39" t="s">
        <v>7828</v>
      </c>
      <c r="H210" s="39" t="str">
        <f>("2013/07/09")</f>
        <v>2013/07/09</v>
      </c>
      <c r="I210" s="39">
        <v>6</v>
      </c>
      <c r="J210" s="39" t="s">
        <v>1478</v>
      </c>
      <c r="K210" s="39" t="s">
        <v>2122</v>
      </c>
      <c r="L210" s="39" t="s">
        <v>7830</v>
      </c>
      <c r="M210" s="39" t="s">
        <v>7831</v>
      </c>
      <c r="N210" s="39" t="str">
        <f>("1110654")</f>
        <v>1110654</v>
      </c>
      <c r="P210" s="39" t="s">
        <v>11698</v>
      </c>
      <c r="Q210" s="39" t="s">
        <v>8568</v>
      </c>
      <c r="R210" s="39" t="s">
        <v>8569</v>
      </c>
      <c r="S210" s="39" t="s">
        <v>8570</v>
      </c>
      <c r="AA210" s="39" t="s">
        <v>2122</v>
      </c>
      <c r="AB210" s="39" t="s">
        <v>7830</v>
      </c>
      <c r="AC210" s="39" t="s">
        <v>7831</v>
      </c>
      <c r="AD210" s="39" t="str">
        <f>("1032161")</f>
        <v>1032161</v>
      </c>
      <c r="AE210" s="39" t="s">
        <v>1917</v>
      </c>
      <c r="AK210" s="39" t="str">
        <f>("2025/03/03")</f>
        <v>2025/03/03</v>
      </c>
      <c r="AL210" s="39" t="str">
        <f t="shared" si="16"/>
        <v>2025/04/01</v>
      </c>
    </row>
    <row r="211" spans="1:38" x14ac:dyDescent="0.25">
      <c r="A211" s="39" t="str">
        <f>("1307090096")</f>
        <v>1307090096</v>
      </c>
      <c r="B211" s="39" t="s">
        <v>8703</v>
      </c>
      <c r="C211" s="39"/>
      <c r="D211" s="39" t="s">
        <v>4873</v>
      </c>
      <c r="E211" s="371" t="str">
        <f t="shared" si="15"/>
        <v>いわさき　しょうた</v>
      </c>
      <c r="F211" s="39" t="s">
        <v>3870</v>
      </c>
      <c r="G211" s="39" t="s">
        <v>7828</v>
      </c>
      <c r="H211" s="39" t="str">
        <f>("2013/07/09")</f>
        <v>2013/07/09</v>
      </c>
      <c r="I211" s="39">
        <v>6</v>
      </c>
      <c r="J211" s="39" t="s">
        <v>1478</v>
      </c>
      <c r="K211" s="39" t="s">
        <v>2122</v>
      </c>
      <c r="L211" s="39" t="s">
        <v>7830</v>
      </c>
      <c r="M211" s="39" t="s">
        <v>7831</v>
      </c>
      <c r="N211" s="39" t="str">
        <f>("1094183")</f>
        <v>1094183</v>
      </c>
      <c r="P211" s="39" t="s">
        <v>11699</v>
      </c>
      <c r="Q211" s="39" t="s">
        <v>8568</v>
      </c>
      <c r="R211" s="39" t="s">
        <v>8569</v>
      </c>
      <c r="S211" s="39" t="s">
        <v>8570</v>
      </c>
      <c r="AK211" s="39" t="str">
        <f>("2025/03/27")</f>
        <v>2025/03/27</v>
      </c>
      <c r="AL211" s="39" t="str">
        <f t="shared" si="16"/>
        <v>2025/04/01</v>
      </c>
    </row>
    <row r="212" spans="1:38" x14ac:dyDescent="0.25">
      <c r="A212" s="39" t="str">
        <f>("1307100144")</f>
        <v>1307100144</v>
      </c>
      <c r="B212" s="39" t="s">
        <v>8704</v>
      </c>
      <c r="C212" s="39"/>
      <c r="D212" s="39" t="s">
        <v>4251</v>
      </c>
      <c r="E212" s="371" t="str">
        <f t="shared" si="15"/>
        <v>りょうざん　よしむね</v>
      </c>
      <c r="F212" s="39" t="s">
        <v>5615</v>
      </c>
      <c r="G212" s="39" t="s">
        <v>7828</v>
      </c>
      <c r="H212" s="39" t="str">
        <f>("2013/07/10")</f>
        <v>2013/07/10</v>
      </c>
      <c r="I212" s="39">
        <v>6</v>
      </c>
      <c r="J212" s="39" t="s">
        <v>1478</v>
      </c>
      <c r="K212" s="39" t="s">
        <v>2122</v>
      </c>
      <c r="L212" s="39" t="s">
        <v>7830</v>
      </c>
      <c r="M212" s="39" t="s">
        <v>7831</v>
      </c>
      <c r="N212" s="39" t="str">
        <f>("0129642")</f>
        <v>0129642</v>
      </c>
      <c r="P212" s="39" t="s">
        <v>11700</v>
      </c>
      <c r="Q212" s="39" t="s">
        <v>8568</v>
      </c>
      <c r="R212" s="39" t="s">
        <v>8569</v>
      </c>
      <c r="S212" s="39" t="s">
        <v>8570</v>
      </c>
      <c r="AK212" s="39" t="str">
        <f>("2025/03/24")</f>
        <v>2025/03/24</v>
      </c>
      <c r="AL212" s="39" t="str">
        <f t="shared" si="16"/>
        <v>2025/04/01</v>
      </c>
    </row>
    <row r="213" spans="1:38" x14ac:dyDescent="0.25">
      <c r="A213" s="39" t="str">
        <f>("1307100234")</f>
        <v>1307100234</v>
      </c>
      <c r="C213" s="39"/>
      <c r="D213" s="39" t="s">
        <v>6162</v>
      </c>
      <c r="E213" s="371" t="str">
        <f t="shared" si="15"/>
        <v>おおぞの　ともき</v>
      </c>
      <c r="F213" s="39" t="s">
        <v>1095</v>
      </c>
      <c r="G213" s="39" t="s">
        <v>7828</v>
      </c>
      <c r="H213" s="39" t="str">
        <f>("2013/07/10")</f>
        <v>2013/07/10</v>
      </c>
      <c r="I213" s="39">
        <v>6</v>
      </c>
      <c r="J213" s="39" t="s">
        <v>1478</v>
      </c>
      <c r="K213" s="39" t="s">
        <v>2122</v>
      </c>
      <c r="L213" s="39" t="s">
        <v>7830</v>
      </c>
      <c r="M213" s="39" t="s">
        <v>7831</v>
      </c>
      <c r="N213" s="39" t="str">
        <f>("0487492")</f>
        <v>0487492</v>
      </c>
      <c r="P213" s="39" t="s">
        <v>11701</v>
      </c>
      <c r="Q213" s="39" t="s">
        <v>8568</v>
      </c>
      <c r="R213" s="39" t="s">
        <v>8569</v>
      </c>
      <c r="S213" s="39" t="s">
        <v>8570</v>
      </c>
      <c r="AK213" s="39" t="str">
        <f>("2025/03/21")</f>
        <v>2025/03/21</v>
      </c>
      <c r="AL213" s="39" t="str">
        <f t="shared" si="16"/>
        <v>2025/04/01</v>
      </c>
    </row>
    <row r="214" spans="1:38" x14ac:dyDescent="0.25">
      <c r="A214" s="39" t="str">
        <f>("1307110013")</f>
        <v>1307110013</v>
      </c>
      <c r="C214" s="39"/>
      <c r="D214" s="39" t="s">
        <v>4405</v>
      </c>
      <c r="E214" s="371" t="str">
        <f t="shared" si="15"/>
        <v>かんざき　はるき</v>
      </c>
      <c r="F214" s="39" t="s">
        <v>856</v>
      </c>
      <c r="G214" s="39" t="s">
        <v>7828</v>
      </c>
      <c r="H214" s="39" t="str">
        <f>("2013/07/11")</f>
        <v>2013/07/11</v>
      </c>
      <c r="I214" s="39">
        <v>6</v>
      </c>
      <c r="J214" s="39" t="s">
        <v>1478</v>
      </c>
      <c r="K214" s="39" t="s">
        <v>2122</v>
      </c>
      <c r="L214" s="39" t="s">
        <v>7830</v>
      </c>
      <c r="M214" s="39" t="s">
        <v>7831</v>
      </c>
      <c r="N214" s="39" t="str">
        <f>("0130149")</f>
        <v>0130149</v>
      </c>
      <c r="P214" s="39" t="s">
        <v>11702</v>
      </c>
      <c r="Q214" s="39" t="s">
        <v>8568</v>
      </c>
      <c r="R214" s="39" t="s">
        <v>8569</v>
      </c>
      <c r="S214" s="39" t="s">
        <v>8570</v>
      </c>
      <c r="AA214" s="39" t="s">
        <v>2122</v>
      </c>
      <c r="AB214" s="39" t="s">
        <v>7830</v>
      </c>
      <c r="AC214" s="39" t="s">
        <v>7831</v>
      </c>
      <c r="AD214" s="39" t="str">
        <f>("0130082")</f>
        <v>0130082</v>
      </c>
      <c r="AE214" s="39" t="s">
        <v>2138</v>
      </c>
      <c r="AK214" s="39" t="str">
        <f>("2025/03/17")</f>
        <v>2025/03/17</v>
      </c>
      <c r="AL214" s="39" t="str">
        <f t="shared" si="16"/>
        <v>2025/04/01</v>
      </c>
    </row>
    <row r="215" spans="1:38" x14ac:dyDescent="0.25">
      <c r="A215" s="39" t="str">
        <f>("1307110102")</f>
        <v>1307110102</v>
      </c>
      <c r="C215" s="39"/>
      <c r="D215" s="39" t="s">
        <v>4365</v>
      </c>
      <c r="E215" s="371" t="str">
        <f t="shared" si="15"/>
        <v>うと　あおば</v>
      </c>
      <c r="F215" s="39" t="s">
        <v>1446</v>
      </c>
      <c r="G215" s="39" t="s">
        <v>7828</v>
      </c>
      <c r="H215" s="39" t="str">
        <f>("2013/07/11")</f>
        <v>2013/07/11</v>
      </c>
      <c r="I215" s="39">
        <v>6</v>
      </c>
      <c r="J215" s="39" t="s">
        <v>1478</v>
      </c>
      <c r="K215" s="39" t="s">
        <v>2122</v>
      </c>
      <c r="L215" s="39" t="s">
        <v>7830</v>
      </c>
      <c r="M215" s="39" t="s">
        <v>7831</v>
      </c>
      <c r="N215" s="39" t="str">
        <f>("0478807")</f>
        <v>0478807</v>
      </c>
      <c r="P215" s="39" t="s">
        <v>11703</v>
      </c>
      <c r="Q215" s="39" t="s">
        <v>8568</v>
      </c>
      <c r="R215" s="39" t="s">
        <v>8569</v>
      </c>
      <c r="S215" s="39" t="s">
        <v>8570</v>
      </c>
      <c r="AA215" s="39" t="s">
        <v>2122</v>
      </c>
      <c r="AB215" s="39" t="s">
        <v>7830</v>
      </c>
      <c r="AC215" s="39" t="s">
        <v>7831</v>
      </c>
      <c r="AD215" s="39" t="str">
        <f>("0129990")</f>
        <v>0129990</v>
      </c>
      <c r="AE215" s="39" t="s">
        <v>3867</v>
      </c>
      <c r="AK215" s="39" t="str">
        <f>("2025/03/21")</f>
        <v>2025/03/21</v>
      </c>
      <c r="AL215" s="39" t="str">
        <f t="shared" si="16"/>
        <v>2025/04/01</v>
      </c>
    </row>
    <row r="216" spans="1:38" x14ac:dyDescent="0.25">
      <c r="A216" s="39" t="str">
        <f>("1307110206")</f>
        <v>1307110206</v>
      </c>
      <c r="C216" s="39"/>
      <c r="D216" s="39" t="s">
        <v>6003</v>
      </c>
      <c r="E216" s="371" t="str">
        <f t="shared" si="15"/>
        <v>きくち　かなた</v>
      </c>
      <c r="F216" s="39" t="s">
        <v>2575</v>
      </c>
      <c r="G216" s="39" t="s">
        <v>7828</v>
      </c>
      <c r="H216" s="39" t="str">
        <f>("2013/07/11")</f>
        <v>2013/07/11</v>
      </c>
      <c r="I216" s="39">
        <v>6</v>
      </c>
      <c r="J216" s="39" t="s">
        <v>1478</v>
      </c>
      <c r="K216" s="39" t="s">
        <v>2122</v>
      </c>
      <c r="L216" s="39" t="s">
        <v>7830</v>
      </c>
      <c r="M216" s="39" t="s">
        <v>7831</v>
      </c>
      <c r="N216" s="39" t="str">
        <f>("0303040")</f>
        <v>0303040</v>
      </c>
      <c r="P216" s="39" t="s">
        <v>11704</v>
      </c>
      <c r="Q216" s="39" t="s">
        <v>8568</v>
      </c>
      <c r="R216" s="39" t="s">
        <v>8569</v>
      </c>
      <c r="S216" s="39" t="s">
        <v>8570</v>
      </c>
      <c r="AK216" s="39" t="str">
        <f t="shared" ref="AK216:AK222" si="17">("2025/03/17")</f>
        <v>2025/03/17</v>
      </c>
      <c r="AL216" s="39" t="str">
        <f t="shared" si="16"/>
        <v>2025/04/01</v>
      </c>
    </row>
    <row r="217" spans="1:38" x14ac:dyDescent="0.25">
      <c r="A217" s="39" t="str">
        <f>("1307120141")</f>
        <v>1307120141</v>
      </c>
      <c r="B217" s="39" t="s">
        <v>8705</v>
      </c>
      <c r="C217" s="39"/>
      <c r="D217" s="39" t="s">
        <v>4717</v>
      </c>
      <c r="E217" s="371" t="str">
        <f t="shared" si="15"/>
        <v>さだ　ゆうしん</v>
      </c>
      <c r="F217" s="39" t="s">
        <v>2594</v>
      </c>
      <c r="G217" s="39" t="s">
        <v>7828</v>
      </c>
      <c r="H217" s="39" t="str">
        <f>("2013/07/12")</f>
        <v>2013/07/12</v>
      </c>
      <c r="I217" s="39">
        <v>6</v>
      </c>
      <c r="J217" s="39" t="s">
        <v>1478</v>
      </c>
      <c r="K217" s="39" t="s">
        <v>2122</v>
      </c>
      <c r="L217" s="39" t="s">
        <v>7830</v>
      </c>
      <c r="M217" s="39" t="s">
        <v>7831</v>
      </c>
      <c r="N217" s="39" t="str">
        <f>("0424583")</f>
        <v>0424583</v>
      </c>
      <c r="P217" s="39" t="s">
        <v>11705</v>
      </c>
      <c r="Q217" s="39" t="s">
        <v>8568</v>
      </c>
      <c r="R217" s="39" t="s">
        <v>8569</v>
      </c>
      <c r="S217" s="39" t="s">
        <v>8570</v>
      </c>
      <c r="AK217" s="39" t="str">
        <f t="shared" si="17"/>
        <v>2025/03/17</v>
      </c>
      <c r="AL217" s="39" t="str">
        <f t="shared" si="16"/>
        <v>2025/04/01</v>
      </c>
    </row>
    <row r="218" spans="1:38" x14ac:dyDescent="0.25">
      <c r="A218" s="39" t="str">
        <f>("1307120196")</f>
        <v>1307120196</v>
      </c>
      <c r="C218" s="39"/>
      <c r="D218" s="39" t="s">
        <v>5754</v>
      </c>
      <c r="E218" s="371" t="str">
        <f t="shared" si="15"/>
        <v>ひろはた　ねね</v>
      </c>
      <c r="F218" s="39" t="s">
        <v>2023</v>
      </c>
      <c r="G218" s="39" t="s">
        <v>7828</v>
      </c>
      <c r="H218" s="39" t="str">
        <f>("2013/07/12")</f>
        <v>2013/07/12</v>
      </c>
      <c r="I218" s="39">
        <v>6</v>
      </c>
      <c r="J218" s="39" t="s">
        <v>1480</v>
      </c>
      <c r="K218" s="39" t="s">
        <v>2122</v>
      </c>
      <c r="L218" s="39" t="s">
        <v>7830</v>
      </c>
      <c r="M218" s="39" t="s">
        <v>7831</v>
      </c>
      <c r="N218" s="39" t="str">
        <f>("0129967")</f>
        <v>0129967</v>
      </c>
      <c r="P218" s="39" t="s">
        <v>11706</v>
      </c>
      <c r="Q218" s="39" t="s">
        <v>8568</v>
      </c>
      <c r="R218" s="39" t="s">
        <v>8569</v>
      </c>
      <c r="S218" s="39" t="s">
        <v>8570</v>
      </c>
      <c r="AK218" s="39" t="str">
        <f t="shared" si="17"/>
        <v>2025/03/17</v>
      </c>
      <c r="AL218" s="39" t="str">
        <f t="shared" si="16"/>
        <v>2025/04/01</v>
      </c>
    </row>
    <row r="219" spans="1:38" x14ac:dyDescent="0.25">
      <c r="A219" s="39" t="str">
        <f>("1307120199")</f>
        <v>1307120199</v>
      </c>
      <c r="C219" s="39"/>
      <c r="D219" s="39" t="s">
        <v>8706</v>
      </c>
      <c r="E219" s="371" t="str">
        <f t="shared" si="15"/>
        <v>さとう　はるま</v>
      </c>
      <c r="F219" s="39" t="s">
        <v>2619</v>
      </c>
      <c r="G219" s="39" t="s">
        <v>7828</v>
      </c>
      <c r="H219" s="39" t="str">
        <f>("2013/07/12")</f>
        <v>2013/07/12</v>
      </c>
      <c r="I219" s="39">
        <v>6</v>
      </c>
      <c r="J219" s="39" t="s">
        <v>1478</v>
      </c>
      <c r="K219" s="39" t="s">
        <v>2122</v>
      </c>
      <c r="L219" s="39" t="s">
        <v>7830</v>
      </c>
      <c r="M219" s="39" t="s">
        <v>7831</v>
      </c>
      <c r="N219" s="39" t="str">
        <f>("0472823")</f>
        <v>0472823</v>
      </c>
      <c r="P219" s="39" t="s">
        <v>11707</v>
      </c>
      <c r="Q219" s="39" t="s">
        <v>8568</v>
      </c>
      <c r="R219" s="39" t="s">
        <v>8569</v>
      </c>
      <c r="S219" s="39" t="s">
        <v>8570</v>
      </c>
      <c r="AK219" s="39" t="str">
        <f t="shared" si="17"/>
        <v>2025/03/17</v>
      </c>
      <c r="AL219" s="39" t="str">
        <f t="shared" si="16"/>
        <v>2025/04/01</v>
      </c>
    </row>
    <row r="220" spans="1:38" x14ac:dyDescent="0.25">
      <c r="A220" s="39" t="str">
        <f>("1307120212")</f>
        <v>1307120212</v>
      </c>
      <c r="C220" s="39"/>
      <c r="D220" s="39" t="s">
        <v>4245</v>
      </c>
      <c r="E220" s="371" t="str">
        <f t="shared" si="15"/>
        <v>いまに　ももな</v>
      </c>
      <c r="F220" s="39" t="s">
        <v>2274</v>
      </c>
      <c r="G220" s="39" t="s">
        <v>7828</v>
      </c>
      <c r="H220" s="39" t="str">
        <f>("2013/07/12")</f>
        <v>2013/07/12</v>
      </c>
      <c r="I220" s="39">
        <v>6</v>
      </c>
      <c r="J220" s="39" t="s">
        <v>1480</v>
      </c>
      <c r="K220" s="39" t="s">
        <v>2122</v>
      </c>
      <c r="L220" s="39" t="s">
        <v>7830</v>
      </c>
      <c r="M220" s="39" t="s">
        <v>7831</v>
      </c>
      <c r="N220" s="39" t="str">
        <f>("0129563")</f>
        <v>0129563</v>
      </c>
      <c r="P220" s="39" t="s">
        <v>11708</v>
      </c>
      <c r="Q220" s="39" t="s">
        <v>8568</v>
      </c>
      <c r="R220" s="39" t="s">
        <v>8569</v>
      </c>
      <c r="S220" s="39" t="s">
        <v>8570</v>
      </c>
      <c r="AK220" s="39" t="str">
        <f t="shared" si="17"/>
        <v>2025/03/17</v>
      </c>
      <c r="AL220" s="39" t="str">
        <f t="shared" si="16"/>
        <v>2025/04/01</v>
      </c>
    </row>
    <row r="221" spans="1:38" x14ac:dyDescent="0.25">
      <c r="A221" s="39" t="str">
        <f>("1307130014")</f>
        <v>1307130014</v>
      </c>
      <c r="B221" s="39" t="s">
        <v>8707</v>
      </c>
      <c r="C221" s="39"/>
      <c r="D221" s="39" t="s">
        <v>4567</v>
      </c>
      <c r="E221" s="371" t="str">
        <f t="shared" si="15"/>
        <v>よしうら　しゅんすけ</v>
      </c>
      <c r="F221" s="39" t="s">
        <v>1344</v>
      </c>
      <c r="G221" s="39" t="s">
        <v>7828</v>
      </c>
      <c r="H221" s="39" t="str">
        <f>("2013/07/13")</f>
        <v>2013/07/13</v>
      </c>
      <c r="I221" s="39">
        <v>6</v>
      </c>
      <c r="J221" s="39" t="s">
        <v>1478</v>
      </c>
      <c r="K221" s="39" t="s">
        <v>2122</v>
      </c>
      <c r="L221" s="39" t="s">
        <v>7830</v>
      </c>
      <c r="M221" s="39" t="s">
        <v>7831</v>
      </c>
      <c r="N221" s="39" t="str">
        <f>("0130587")</f>
        <v>0130587</v>
      </c>
      <c r="P221" s="39" t="s">
        <v>11709</v>
      </c>
      <c r="Q221" s="39" t="s">
        <v>8568</v>
      </c>
      <c r="R221" s="39" t="s">
        <v>8569</v>
      </c>
      <c r="S221" s="39" t="s">
        <v>8570</v>
      </c>
      <c r="AK221" s="39" t="str">
        <f t="shared" si="17"/>
        <v>2025/03/17</v>
      </c>
      <c r="AL221" s="39" t="str">
        <f t="shared" si="16"/>
        <v>2025/04/01</v>
      </c>
    </row>
    <row r="222" spans="1:38" x14ac:dyDescent="0.25">
      <c r="A222" s="39" t="str">
        <f>("1307130198")</f>
        <v>1307130198</v>
      </c>
      <c r="B222" s="39" t="s">
        <v>8708</v>
      </c>
      <c r="C222" s="39"/>
      <c r="D222" s="39" t="s">
        <v>8709</v>
      </c>
      <c r="E222" s="371" t="str">
        <f t="shared" si="15"/>
        <v>ひらの　ゆりあ</v>
      </c>
      <c r="F222" s="39" t="s">
        <v>8050</v>
      </c>
      <c r="G222" s="39" t="s">
        <v>7828</v>
      </c>
      <c r="H222" s="39" t="str">
        <f>("2013/07/13")</f>
        <v>2013/07/13</v>
      </c>
      <c r="I222" s="39">
        <v>6</v>
      </c>
      <c r="J222" s="39" t="s">
        <v>1480</v>
      </c>
      <c r="K222" s="39" t="s">
        <v>2122</v>
      </c>
      <c r="L222" s="39" t="s">
        <v>7830</v>
      </c>
      <c r="M222" s="39" t="s">
        <v>7831</v>
      </c>
      <c r="N222" s="39" t="str">
        <f>("0130015")</f>
        <v>0130015</v>
      </c>
      <c r="P222" s="39" t="s">
        <v>11710</v>
      </c>
      <c r="Q222" s="39" t="s">
        <v>8568</v>
      </c>
      <c r="R222" s="39" t="s">
        <v>8569</v>
      </c>
      <c r="S222" s="39" t="s">
        <v>8570</v>
      </c>
      <c r="AK222" s="39" t="str">
        <f t="shared" si="17"/>
        <v>2025/03/17</v>
      </c>
      <c r="AL222" s="39" t="str">
        <f t="shared" si="16"/>
        <v>2025/04/01</v>
      </c>
    </row>
    <row r="223" spans="1:38" x14ac:dyDescent="0.25">
      <c r="A223" s="39" t="str">
        <f>("1307140132")</f>
        <v>1307140132</v>
      </c>
      <c r="C223" s="39"/>
      <c r="D223" s="39" t="s">
        <v>6079</v>
      </c>
      <c r="E223" s="371" t="str">
        <f t="shared" si="15"/>
        <v>やまもと　なおと</v>
      </c>
      <c r="F223" s="39" t="s">
        <v>829</v>
      </c>
      <c r="G223" s="39" t="s">
        <v>7828</v>
      </c>
      <c r="H223" s="39" t="str">
        <f>("2013/07/14")</f>
        <v>2013/07/14</v>
      </c>
      <c r="I223" s="39">
        <v>6</v>
      </c>
      <c r="J223" s="39" t="s">
        <v>1478</v>
      </c>
      <c r="K223" s="39" t="s">
        <v>2122</v>
      </c>
      <c r="L223" s="39" t="s">
        <v>7830</v>
      </c>
      <c r="M223" s="39" t="s">
        <v>7831</v>
      </c>
      <c r="N223" s="39" t="str">
        <f>("0426631")</f>
        <v>0426631</v>
      </c>
      <c r="P223" s="39" t="s">
        <v>11711</v>
      </c>
      <c r="Q223" s="39" t="s">
        <v>8568</v>
      </c>
      <c r="R223" s="39" t="s">
        <v>8569</v>
      </c>
      <c r="S223" s="39" t="s">
        <v>8570</v>
      </c>
      <c r="AK223" s="39" t="str">
        <f>("2025/03/21")</f>
        <v>2025/03/21</v>
      </c>
      <c r="AL223" s="39" t="str">
        <f t="shared" si="16"/>
        <v>2025/04/01</v>
      </c>
    </row>
    <row r="224" spans="1:38" x14ac:dyDescent="0.25">
      <c r="A224" s="39" t="str">
        <f>("1307150121")</f>
        <v>1307150121</v>
      </c>
      <c r="C224" s="39"/>
      <c r="D224" s="39" t="s">
        <v>6027</v>
      </c>
      <c r="E224" s="371" t="str">
        <f t="shared" si="15"/>
        <v>おぎの　こうた</v>
      </c>
      <c r="F224" s="39" t="s">
        <v>2350</v>
      </c>
      <c r="G224" s="39" t="s">
        <v>7828</v>
      </c>
      <c r="H224" s="39" t="str">
        <f>("2013/07/15")</f>
        <v>2013/07/15</v>
      </c>
      <c r="I224" s="39">
        <v>6</v>
      </c>
      <c r="J224" s="39" t="s">
        <v>1478</v>
      </c>
      <c r="K224" s="39" t="s">
        <v>2122</v>
      </c>
      <c r="L224" s="39" t="s">
        <v>7830</v>
      </c>
      <c r="M224" s="39" t="s">
        <v>7831</v>
      </c>
      <c r="N224" s="39" t="str">
        <f>("0360032")</f>
        <v>0360032</v>
      </c>
      <c r="P224" s="39" t="s">
        <v>11712</v>
      </c>
      <c r="Q224" s="39" t="s">
        <v>8568</v>
      </c>
      <c r="R224" s="39" t="s">
        <v>8569</v>
      </c>
      <c r="S224" s="39" t="s">
        <v>8570</v>
      </c>
      <c r="AK224" s="39" t="str">
        <f t="shared" ref="AK224:AK232" si="18">("2025/03/17")</f>
        <v>2025/03/17</v>
      </c>
      <c r="AL224" s="39" t="str">
        <f t="shared" si="16"/>
        <v>2025/04/01</v>
      </c>
    </row>
    <row r="225" spans="1:38" x14ac:dyDescent="0.25">
      <c r="A225" s="39" t="str">
        <f>("1307150146")</f>
        <v>1307150146</v>
      </c>
      <c r="C225" s="39"/>
      <c r="D225" s="39" t="s">
        <v>6097</v>
      </c>
      <c r="E225" s="371" t="str">
        <f t="shared" si="15"/>
        <v>やまだ　ようしん</v>
      </c>
      <c r="F225" s="39" t="s">
        <v>2602</v>
      </c>
      <c r="G225" s="39" t="s">
        <v>7828</v>
      </c>
      <c r="H225" s="39" t="str">
        <f>("2013/07/15")</f>
        <v>2013/07/15</v>
      </c>
      <c r="I225" s="39">
        <v>6</v>
      </c>
      <c r="J225" s="39" t="s">
        <v>1478</v>
      </c>
      <c r="K225" s="39" t="s">
        <v>2122</v>
      </c>
      <c r="L225" s="39" t="s">
        <v>7830</v>
      </c>
      <c r="M225" s="39" t="s">
        <v>7831</v>
      </c>
      <c r="N225" s="39" t="str">
        <f>("0430119")</f>
        <v>0430119</v>
      </c>
      <c r="P225" s="39" t="s">
        <v>11713</v>
      </c>
      <c r="Q225" s="39" t="s">
        <v>8568</v>
      </c>
      <c r="R225" s="39" t="s">
        <v>8569</v>
      </c>
      <c r="S225" s="39" t="s">
        <v>8570</v>
      </c>
      <c r="AK225" s="39" t="str">
        <f t="shared" si="18"/>
        <v>2025/03/17</v>
      </c>
      <c r="AL225" s="39" t="str">
        <f t="shared" si="16"/>
        <v>2025/04/01</v>
      </c>
    </row>
    <row r="226" spans="1:38" x14ac:dyDescent="0.25">
      <c r="A226" s="39" t="str">
        <f>("1307160108")</f>
        <v>1307160108</v>
      </c>
      <c r="B226" s="39" t="s">
        <v>8710</v>
      </c>
      <c r="C226" s="39"/>
      <c r="D226" s="39" t="s">
        <v>8711</v>
      </c>
      <c r="E226" s="371" t="str">
        <f t="shared" si="15"/>
        <v>ふじの　ゆうま</v>
      </c>
      <c r="F226" s="39" t="s">
        <v>2619</v>
      </c>
      <c r="G226" s="39" t="s">
        <v>7828</v>
      </c>
      <c r="H226" s="39" t="str">
        <f>("2013/07/16")</f>
        <v>2013/07/16</v>
      </c>
      <c r="I226" s="39">
        <v>6</v>
      </c>
      <c r="J226" s="39" t="s">
        <v>1478</v>
      </c>
      <c r="K226" s="39" t="s">
        <v>2122</v>
      </c>
      <c r="L226" s="39" t="s">
        <v>7830</v>
      </c>
      <c r="M226" s="39" t="s">
        <v>7831</v>
      </c>
      <c r="N226" s="39" t="str">
        <f>("0472823")</f>
        <v>0472823</v>
      </c>
      <c r="P226" s="39" t="s">
        <v>11714</v>
      </c>
      <c r="Q226" s="39" t="s">
        <v>8568</v>
      </c>
      <c r="R226" s="39" t="s">
        <v>8569</v>
      </c>
      <c r="S226" s="39" t="s">
        <v>8570</v>
      </c>
      <c r="AK226" s="39" t="str">
        <f t="shared" si="18"/>
        <v>2025/03/17</v>
      </c>
      <c r="AL226" s="39" t="str">
        <f t="shared" si="16"/>
        <v>2025/04/01</v>
      </c>
    </row>
    <row r="227" spans="1:38" x14ac:dyDescent="0.25">
      <c r="A227" s="39" t="str">
        <f>("1307160161")</f>
        <v>1307160161</v>
      </c>
      <c r="C227" s="39"/>
      <c r="D227" s="39" t="s">
        <v>4304</v>
      </c>
      <c r="E227" s="371" t="str">
        <f t="shared" si="15"/>
        <v>はんじょう　りと</v>
      </c>
      <c r="F227" s="39" t="s">
        <v>2491</v>
      </c>
      <c r="G227" s="39" t="s">
        <v>7828</v>
      </c>
      <c r="H227" s="39" t="str">
        <f>("2013/07/16")</f>
        <v>2013/07/16</v>
      </c>
      <c r="I227" s="39">
        <v>6</v>
      </c>
      <c r="J227" s="39" t="s">
        <v>1478</v>
      </c>
      <c r="K227" s="39" t="s">
        <v>2122</v>
      </c>
      <c r="L227" s="39" t="s">
        <v>7830</v>
      </c>
      <c r="M227" s="39" t="s">
        <v>7831</v>
      </c>
      <c r="N227" s="39" t="str">
        <f>("0129822")</f>
        <v>0129822</v>
      </c>
      <c r="P227" s="39" t="s">
        <v>11715</v>
      </c>
      <c r="Q227" s="39" t="s">
        <v>8568</v>
      </c>
      <c r="R227" s="39" t="s">
        <v>8569</v>
      </c>
      <c r="S227" s="39" t="s">
        <v>8570</v>
      </c>
      <c r="AK227" s="39" t="str">
        <f t="shared" si="18"/>
        <v>2025/03/17</v>
      </c>
      <c r="AL227" s="39" t="str">
        <f t="shared" si="16"/>
        <v>2025/04/01</v>
      </c>
    </row>
    <row r="228" spans="1:38" x14ac:dyDescent="0.25">
      <c r="A228" s="39" t="str">
        <f>("1307160211")</f>
        <v>1307160211</v>
      </c>
      <c r="C228" s="39"/>
      <c r="D228" s="39" t="s">
        <v>6066</v>
      </c>
      <c r="E228" s="371" t="str">
        <f t="shared" si="15"/>
        <v>みまた　てる</v>
      </c>
      <c r="F228" s="39" t="s">
        <v>1977</v>
      </c>
      <c r="G228" s="39" t="s">
        <v>7828</v>
      </c>
      <c r="H228" s="39" t="str">
        <f>("2013/07/16")</f>
        <v>2013/07/16</v>
      </c>
      <c r="I228" s="39">
        <v>6</v>
      </c>
      <c r="J228" s="39" t="s">
        <v>1478</v>
      </c>
      <c r="K228" s="39" t="s">
        <v>2122</v>
      </c>
      <c r="L228" s="39" t="s">
        <v>7830</v>
      </c>
      <c r="M228" s="39" t="s">
        <v>7831</v>
      </c>
      <c r="N228" s="39" t="str">
        <f>("0395254")</f>
        <v>0395254</v>
      </c>
      <c r="P228" s="39" t="s">
        <v>11716</v>
      </c>
      <c r="Q228" s="39" t="s">
        <v>8568</v>
      </c>
      <c r="R228" s="39" t="s">
        <v>8569</v>
      </c>
      <c r="S228" s="39" t="s">
        <v>8570</v>
      </c>
      <c r="AK228" s="39" t="str">
        <f t="shared" si="18"/>
        <v>2025/03/17</v>
      </c>
      <c r="AL228" s="39" t="str">
        <f t="shared" si="16"/>
        <v>2025/04/01</v>
      </c>
    </row>
    <row r="229" spans="1:38" x14ac:dyDescent="0.25">
      <c r="A229" s="39" t="str">
        <f>("1307160216")</f>
        <v>1307160216</v>
      </c>
      <c r="C229" s="39"/>
      <c r="D229" s="39" t="s">
        <v>4747</v>
      </c>
      <c r="E229" s="371" t="str">
        <f t="shared" si="15"/>
        <v>たかまつ　こうすけ</v>
      </c>
      <c r="F229" s="39" t="s">
        <v>2256</v>
      </c>
      <c r="G229" s="39" t="s">
        <v>7828</v>
      </c>
      <c r="H229" s="39" t="str">
        <f>("2013/07/16")</f>
        <v>2013/07/16</v>
      </c>
      <c r="I229" s="39">
        <v>6</v>
      </c>
      <c r="J229" s="39" t="s">
        <v>1478</v>
      </c>
      <c r="K229" s="39" t="s">
        <v>2122</v>
      </c>
      <c r="L229" s="39" t="s">
        <v>7830</v>
      </c>
      <c r="M229" s="39" t="s">
        <v>7831</v>
      </c>
      <c r="N229" s="39" t="str">
        <f>("0449119")</f>
        <v>0449119</v>
      </c>
      <c r="P229" s="39" t="s">
        <v>11717</v>
      </c>
      <c r="Q229" s="39" t="s">
        <v>8568</v>
      </c>
      <c r="R229" s="39" t="s">
        <v>8569</v>
      </c>
      <c r="S229" s="39" t="s">
        <v>8570</v>
      </c>
      <c r="AK229" s="39" t="str">
        <f t="shared" si="18"/>
        <v>2025/03/17</v>
      </c>
      <c r="AL229" s="39" t="str">
        <f t="shared" si="16"/>
        <v>2025/04/01</v>
      </c>
    </row>
    <row r="230" spans="1:38" x14ac:dyDescent="0.25">
      <c r="A230" s="39" t="str">
        <f>("1307170121")</f>
        <v>1307170121</v>
      </c>
      <c r="B230" s="39" t="s">
        <v>8712</v>
      </c>
      <c r="C230" s="39"/>
      <c r="D230" s="39" t="s">
        <v>5947</v>
      </c>
      <c r="E230" s="371" t="str">
        <f t="shared" si="15"/>
        <v>きくち　ななみ</v>
      </c>
      <c r="F230" s="39" t="s">
        <v>188</v>
      </c>
      <c r="G230" s="39" t="s">
        <v>7828</v>
      </c>
      <c r="H230" s="39" t="str">
        <f>("2013/07/17")</f>
        <v>2013/07/17</v>
      </c>
      <c r="I230" s="39">
        <v>6</v>
      </c>
      <c r="J230" s="39" t="s">
        <v>1480</v>
      </c>
      <c r="K230" s="39" t="s">
        <v>2122</v>
      </c>
      <c r="L230" s="39" t="s">
        <v>7830</v>
      </c>
      <c r="M230" s="39" t="s">
        <v>7831</v>
      </c>
      <c r="N230" s="39" t="str">
        <f>("0130734")</f>
        <v>0130734</v>
      </c>
      <c r="P230" s="39" t="s">
        <v>11718</v>
      </c>
      <c r="Q230" s="39" t="s">
        <v>8568</v>
      </c>
      <c r="R230" s="39" t="s">
        <v>8569</v>
      </c>
      <c r="S230" s="39" t="s">
        <v>8570</v>
      </c>
      <c r="AK230" s="39" t="str">
        <f t="shared" si="18"/>
        <v>2025/03/17</v>
      </c>
      <c r="AL230" s="39" t="str">
        <f t="shared" si="16"/>
        <v>2025/04/01</v>
      </c>
    </row>
    <row r="231" spans="1:38" x14ac:dyDescent="0.25">
      <c r="A231" s="39" t="str">
        <f>("1307170154")</f>
        <v>1307170154</v>
      </c>
      <c r="C231" s="39"/>
      <c r="D231" s="39" t="s">
        <v>8713</v>
      </c>
      <c r="E231" s="371" t="str">
        <f t="shared" si="15"/>
        <v>いまいし　こうが</v>
      </c>
      <c r="F231" s="39" t="s">
        <v>8714</v>
      </c>
      <c r="G231" s="39" t="s">
        <v>7828</v>
      </c>
      <c r="H231" s="39" t="str">
        <f>("2013/07/17")</f>
        <v>2013/07/17</v>
      </c>
      <c r="I231" s="39">
        <v>6</v>
      </c>
      <c r="J231" s="39" t="s">
        <v>1478</v>
      </c>
      <c r="K231" s="39" t="s">
        <v>2122</v>
      </c>
      <c r="L231" s="39" t="s">
        <v>7830</v>
      </c>
      <c r="M231" s="39" t="s">
        <v>7831</v>
      </c>
      <c r="N231" s="39" t="str">
        <f>("1032147")</f>
        <v>1032147</v>
      </c>
      <c r="P231" s="39" t="s">
        <v>11719</v>
      </c>
      <c r="Q231" s="39" t="s">
        <v>8568</v>
      </c>
      <c r="R231" s="39" t="s">
        <v>8569</v>
      </c>
      <c r="S231" s="39" t="s">
        <v>8570</v>
      </c>
      <c r="AK231" s="39" t="str">
        <f t="shared" si="18"/>
        <v>2025/03/17</v>
      </c>
      <c r="AL231" s="39" t="str">
        <f t="shared" si="16"/>
        <v>2025/04/01</v>
      </c>
    </row>
    <row r="232" spans="1:38" x14ac:dyDescent="0.25">
      <c r="A232" s="39" t="str">
        <f>("1307180126")</f>
        <v>1307180126</v>
      </c>
      <c r="C232" s="39"/>
      <c r="D232" s="39" t="s">
        <v>6237</v>
      </c>
      <c r="E232" s="371" t="str">
        <f t="shared" si="15"/>
        <v>うちまる　しゅんたろう</v>
      </c>
      <c r="F232" s="39" t="s">
        <v>1692</v>
      </c>
      <c r="G232" s="39" t="s">
        <v>7828</v>
      </c>
      <c r="H232" s="39" t="str">
        <f>("2013/07/18")</f>
        <v>2013/07/18</v>
      </c>
      <c r="I232" s="39">
        <v>6</v>
      </c>
      <c r="J232" s="39" t="s">
        <v>1478</v>
      </c>
      <c r="K232" s="39" t="s">
        <v>2122</v>
      </c>
      <c r="L232" s="39" t="s">
        <v>7830</v>
      </c>
      <c r="M232" s="39" t="s">
        <v>7831</v>
      </c>
      <c r="N232" s="39" t="str">
        <f>("1052299")</f>
        <v>1052299</v>
      </c>
      <c r="P232" s="39" t="s">
        <v>11720</v>
      </c>
      <c r="Q232" s="39" t="s">
        <v>8568</v>
      </c>
      <c r="R232" s="39" t="s">
        <v>8569</v>
      </c>
      <c r="S232" s="39" t="s">
        <v>8570</v>
      </c>
      <c r="AK232" s="39" t="str">
        <f t="shared" si="18"/>
        <v>2025/03/17</v>
      </c>
      <c r="AL232" s="39" t="str">
        <f t="shared" si="16"/>
        <v>2025/04/01</v>
      </c>
    </row>
    <row r="233" spans="1:38" x14ac:dyDescent="0.25">
      <c r="A233" s="39" t="str">
        <f>("1307180143")</f>
        <v>1307180143</v>
      </c>
      <c r="C233" s="39"/>
      <c r="D233" s="39" t="s">
        <v>4793</v>
      </c>
      <c r="E233" s="371" t="str">
        <f t="shared" si="15"/>
        <v>そのだ　とあ</v>
      </c>
      <c r="F233" s="39" t="s">
        <v>1446</v>
      </c>
      <c r="G233" s="39" t="s">
        <v>7828</v>
      </c>
      <c r="H233" s="39" t="str">
        <f>("2013/07/18")</f>
        <v>2013/07/18</v>
      </c>
      <c r="I233" s="39">
        <v>6</v>
      </c>
      <c r="J233" s="39" t="s">
        <v>1478</v>
      </c>
      <c r="K233" s="39" t="s">
        <v>2122</v>
      </c>
      <c r="L233" s="39" t="s">
        <v>7830</v>
      </c>
      <c r="M233" s="39" t="s">
        <v>7831</v>
      </c>
      <c r="N233" s="39" t="str">
        <f>("0478807")</f>
        <v>0478807</v>
      </c>
      <c r="P233" s="39" t="s">
        <v>11721</v>
      </c>
      <c r="Q233" s="39" t="s">
        <v>8568</v>
      </c>
      <c r="R233" s="39" t="s">
        <v>8569</v>
      </c>
      <c r="S233" s="39" t="s">
        <v>8570</v>
      </c>
      <c r="AK233" s="39" t="str">
        <f>("2025/03/21")</f>
        <v>2025/03/21</v>
      </c>
      <c r="AL233" s="39" t="str">
        <f t="shared" si="16"/>
        <v>2025/04/01</v>
      </c>
    </row>
    <row r="234" spans="1:38" x14ac:dyDescent="0.25">
      <c r="A234" s="39" t="str">
        <f>("1307180199")</f>
        <v>1307180199</v>
      </c>
      <c r="C234" s="39"/>
      <c r="D234" s="39" t="s">
        <v>5758</v>
      </c>
      <c r="E234" s="371" t="str">
        <f t="shared" si="15"/>
        <v>あんどう　ひろと</v>
      </c>
      <c r="F234" s="39" t="s">
        <v>3867</v>
      </c>
      <c r="G234" s="39" t="s">
        <v>7828</v>
      </c>
      <c r="H234" s="39" t="str">
        <f>("2013/07/18")</f>
        <v>2013/07/18</v>
      </c>
      <c r="I234" s="39">
        <v>6</v>
      </c>
      <c r="J234" s="39" t="s">
        <v>1478</v>
      </c>
      <c r="K234" s="39" t="s">
        <v>2122</v>
      </c>
      <c r="L234" s="39" t="s">
        <v>7830</v>
      </c>
      <c r="M234" s="39" t="s">
        <v>7831</v>
      </c>
      <c r="N234" s="39" t="str">
        <f>("0129990")</f>
        <v>0129990</v>
      </c>
      <c r="P234" s="39" t="s">
        <v>11722</v>
      </c>
      <c r="Q234" s="39" t="s">
        <v>8568</v>
      </c>
      <c r="R234" s="39" t="s">
        <v>8569</v>
      </c>
      <c r="S234" s="39" t="s">
        <v>8570</v>
      </c>
      <c r="AK234" s="39" t="str">
        <f>("2025/04/01")</f>
        <v>2025/04/01</v>
      </c>
      <c r="AL234" s="39" t="str">
        <f t="shared" si="16"/>
        <v>2025/04/01</v>
      </c>
    </row>
    <row r="235" spans="1:38" x14ac:dyDescent="0.25">
      <c r="A235" s="39" t="str">
        <f>("1307180308")</f>
        <v>1307180308</v>
      </c>
      <c r="C235" s="39"/>
      <c r="D235" s="39" t="s">
        <v>8715</v>
      </c>
      <c r="E235" s="371" t="str">
        <f t="shared" si="15"/>
        <v>はたやま　ゆうか</v>
      </c>
      <c r="F235" s="39" t="s">
        <v>2651</v>
      </c>
      <c r="G235" s="39" t="s">
        <v>7828</v>
      </c>
      <c r="H235" s="39" t="str">
        <f>("2013/07/18")</f>
        <v>2013/07/18</v>
      </c>
      <c r="I235" s="39">
        <v>6</v>
      </c>
      <c r="J235" s="39" t="s">
        <v>1480</v>
      </c>
      <c r="K235" s="39" t="s">
        <v>2122</v>
      </c>
      <c r="L235" s="39" t="s">
        <v>7830</v>
      </c>
      <c r="M235" s="39" t="s">
        <v>7831</v>
      </c>
      <c r="N235" s="39" t="str">
        <f>("1067415")</f>
        <v>1067415</v>
      </c>
      <c r="P235" s="39" t="s">
        <v>11723</v>
      </c>
      <c r="Q235" s="39" t="s">
        <v>8568</v>
      </c>
      <c r="R235" s="39" t="s">
        <v>8569</v>
      </c>
      <c r="S235" s="39" t="s">
        <v>8570</v>
      </c>
      <c r="AK235" s="39" t="str">
        <f>("2025/03/24")</f>
        <v>2025/03/24</v>
      </c>
      <c r="AL235" s="39" t="str">
        <f t="shared" si="16"/>
        <v>2025/04/01</v>
      </c>
    </row>
    <row r="236" spans="1:38" x14ac:dyDescent="0.25">
      <c r="A236" s="39" t="str">
        <f>("1307190143")</f>
        <v>1307190143</v>
      </c>
      <c r="B236" s="39" t="s">
        <v>8716</v>
      </c>
      <c r="C236" s="39"/>
      <c r="D236" s="39" t="s">
        <v>8717</v>
      </c>
      <c r="E236" s="371" t="str">
        <f t="shared" si="15"/>
        <v>よこお　りくと</v>
      </c>
      <c r="F236" s="39" t="s">
        <v>2587</v>
      </c>
      <c r="G236" s="39" t="s">
        <v>7828</v>
      </c>
      <c r="H236" s="39" t="str">
        <f>("2013/07/19")</f>
        <v>2013/07/19</v>
      </c>
      <c r="I236" s="39">
        <v>6</v>
      </c>
      <c r="J236" s="39" t="s">
        <v>1478</v>
      </c>
      <c r="K236" s="39" t="s">
        <v>2122</v>
      </c>
      <c r="L236" s="39" t="s">
        <v>7830</v>
      </c>
      <c r="M236" s="39" t="s">
        <v>7831</v>
      </c>
      <c r="N236" s="39" t="str">
        <f>("0387334")</f>
        <v>0387334</v>
      </c>
      <c r="P236" s="39" t="s">
        <v>11724</v>
      </c>
      <c r="Q236" s="39" t="s">
        <v>8568</v>
      </c>
      <c r="R236" s="39" t="s">
        <v>8569</v>
      </c>
      <c r="S236" s="39" t="s">
        <v>8570</v>
      </c>
      <c r="AK236" s="39" t="str">
        <f>("2025/03/27")</f>
        <v>2025/03/27</v>
      </c>
      <c r="AL236" s="39" t="str">
        <f t="shared" si="16"/>
        <v>2025/04/01</v>
      </c>
    </row>
    <row r="237" spans="1:38" x14ac:dyDescent="0.25">
      <c r="A237" s="39" t="str">
        <f>("1307190148")</f>
        <v>1307190148</v>
      </c>
      <c r="C237" s="39"/>
      <c r="D237" s="39" t="s">
        <v>8718</v>
      </c>
      <c r="E237" s="371" t="str">
        <f t="shared" si="15"/>
        <v>いしい　れい</v>
      </c>
      <c r="F237" s="39" t="s">
        <v>2022</v>
      </c>
      <c r="G237" s="39" t="s">
        <v>7828</v>
      </c>
      <c r="H237" s="39" t="str">
        <f>("2013/07/19")</f>
        <v>2013/07/19</v>
      </c>
      <c r="I237" s="39">
        <v>6</v>
      </c>
      <c r="J237" s="39" t="s">
        <v>1478</v>
      </c>
      <c r="K237" s="39" t="s">
        <v>2122</v>
      </c>
      <c r="L237" s="39" t="s">
        <v>7830</v>
      </c>
      <c r="M237" s="39" t="s">
        <v>7831</v>
      </c>
      <c r="N237" s="39" t="str">
        <f>("0130329")</f>
        <v>0130329</v>
      </c>
      <c r="P237" s="39" t="s">
        <v>11725</v>
      </c>
      <c r="Q237" s="39" t="s">
        <v>8568</v>
      </c>
      <c r="R237" s="39" t="s">
        <v>8569</v>
      </c>
      <c r="S237" s="39" t="s">
        <v>8570</v>
      </c>
      <c r="AA237" s="39" t="s">
        <v>2122</v>
      </c>
      <c r="AB237" s="39" t="s">
        <v>7830</v>
      </c>
      <c r="AC237" s="39" t="s">
        <v>7831</v>
      </c>
      <c r="AD237" s="39" t="str">
        <f>("0426631")</f>
        <v>0426631</v>
      </c>
      <c r="AE237" s="39" t="s">
        <v>829</v>
      </c>
      <c r="AK237" s="39" t="str">
        <f>("2025/03/17")</f>
        <v>2025/03/17</v>
      </c>
      <c r="AL237" s="39" t="str">
        <f t="shared" si="16"/>
        <v>2025/04/01</v>
      </c>
    </row>
    <row r="238" spans="1:38" x14ac:dyDescent="0.25">
      <c r="A238" s="39" t="str">
        <f>("1307190278")</f>
        <v>1307190278</v>
      </c>
      <c r="C238" s="39"/>
      <c r="D238" s="39" t="s">
        <v>8719</v>
      </c>
      <c r="E238" s="371" t="str">
        <f t="shared" si="15"/>
        <v>いわした　ゆうき</v>
      </c>
      <c r="F238" s="39" t="s">
        <v>2544</v>
      </c>
      <c r="G238" s="39" t="s">
        <v>7828</v>
      </c>
      <c r="H238" s="39" t="str">
        <f>("2013/07/19")</f>
        <v>2013/07/19</v>
      </c>
      <c r="I238" s="39">
        <v>6</v>
      </c>
      <c r="J238" s="39" t="s">
        <v>1478</v>
      </c>
      <c r="K238" s="39" t="s">
        <v>2122</v>
      </c>
      <c r="L238" s="39" t="s">
        <v>7830</v>
      </c>
      <c r="M238" s="39" t="s">
        <v>7831</v>
      </c>
      <c r="N238" s="39" t="str">
        <f>("0130644")</f>
        <v>0130644</v>
      </c>
      <c r="P238" s="39" t="s">
        <v>11726</v>
      </c>
      <c r="Q238" s="39" t="s">
        <v>8568</v>
      </c>
      <c r="R238" s="39" t="s">
        <v>8569</v>
      </c>
      <c r="S238" s="39" t="s">
        <v>8570</v>
      </c>
      <c r="AK238" s="39" t="str">
        <f>("2025/03/17")</f>
        <v>2025/03/17</v>
      </c>
      <c r="AL238" s="39" t="str">
        <f t="shared" si="16"/>
        <v>2025/04/01</v>
      </c>
    </row>
    <row r="239" spans="1:38" x14ac:dyDescent="0.25">
      <c r="A239" s="39" t="str">
        <f>("1307200011")</f>
        <v>1307200011</v>
      </c>
      <c r="B239" s="39" t="s">
        <v>8720</v>
      </c>
      <c r="C239" s="39"/>
      <c r="D239" s="39" t="s">
        <v>8721</v>
      </c>
      <c r="E239" s="371" t="str">
        <f t="shared" si="15"/>
        <v>あべ　たいよう</v>
      </c>
      <c r="F239" s="39" t="s">
        <v>8135</v>
      </c>
      <c r="G239" s="39" t="s">
        <v>7828</v>
      </c>
      <c r="H239" s="39" t="str">
        <f>("2013/07/20")</f>
        <v>2013/07/20</v>
      </c>
      <c r="I239" s="39">
        <v>6</v>
      </c>
      <c r="J239" s="39" t="s">
        <v>1478</v>
      </c>
      <c r="K239" s="39" t="s">
        <v>2122</v>
      </c>
      <c r="L239" s="39" t="s">
        <v>7830</v>
      </c>
      <c r="M239" s="39" t="s">
        <v>7831</v>
      </c>
      <c r="N239" s="39" t="str">
        <f>("0475567")</f>
        <v>0475567</v>
      </c>
      <c r="P239" s="39" t="s">
        <v>11727</v>
      </c>
      <c r="Q239" s="39" t="s">
        <v>8568</v>
      </c>
      <c r="R239" s="39" t="s">
        <v>8569</v>
      </c>
      <c r="S239" s="39" t="s">
        <v>8570</v>
      </c>
      <c r="AK239" s="39" t="str">
        <f>("2025/03/24")</f>
        <v>2025/03/24</v>
      </c>
      <c r="AL239" s="39" t="str">
        <f t="shared" si="16"/>
        <v>2025/04/01</v>
      </c>
    </row>
    <row r="240" spans="1:38" x14ac:dyDescent="0.25">
      <c r="A240" s="39" t="str">
        <f>("1307210033")</f>
        <v>1307210033</v>
      </c>
      <c r="C240" s="39"/>
      <c r="D240" s="39" t="s">
        <v>4476</v>
      </c>
      <c r="E240" s="371" t="str">
        <f t="shared" si="15"/>
        <v>まつした　あらた</v>
      </c>
      <c r="F240" s="39" t="s">
        <v>2033</v>
      </c>
      <c r="G240" s="39" t="s">
        <v>7828</v>
      </c>
      <c r="H240" s="39" t="str">
        <f>("2013/07/21")</f>
        <v>2013/07/21</v>
      </c>
      <c r="I240" s="39">
        <v>6</v>
      </c>
      <c r="J240" s="39" t="s">
        <v>1478</v>
      </c>
      <c r="K240" s="39" t="s">
        <v>2122</v>
      </c>
      <c r="L240" s="39" t="s">
        <v>7830</v>
      </c>
      <c r="M240" s="39" t="s">
        <v>7831</v>
      </c>
      <c r="N240" s="39" t="str">
        <f>("0130442")</f>
        <v>0130442</v>
      </c>
      <c r="P240" s="39" t="s">
        <v>11728</v>
      </c>
      <c r="Q240" s="39" t="s">
        <v>8568</v>
      </c>
      <c r="R240" s="39" t="s">
        <v>8569</v>
      </c>
      <c r="S240" s="39" t="s">
        <v>8570</v>
      </c>
      <c r="AK240" s="39" t="str">
        <f>("2025/04/04")</f>
        <v>2025/04/04</v>
      </c>
      <c r="AL240" s="39" t="str">
        <f t="shared" si="16"/>
        <v>2025/04/01</v>
      </c>
    </row>
    <row r="241" spans="1:38" x14ac:dyDescent="0.25">
      <c r="A241" s="39" t="str">
        <f>("1307210188")</f>
        <v>1307210188</v>
      </c>
      <c r="C241" s="39"/>
      <c r="D241" s="39" t="s">
        <v>5992</v>
      </c>
      <c r="E241" s="371" t="str">
        <f t="shared" si="15"/>
        <v>さくらい　じん</v>
      </c>
      <c r="F241" s="39" t="s">
        <v>2349</v>
      </c>
      <c r="G241" s="39" t="s">
        <v>7828</v>
      </c>
      <c r="H241" s="39" t="str">
        <f>("2013/07/21")</f>
        <v>2013/07/21</v>
      </c>
      <c r="I241" s="39">
        <v>6</v>
      </c>
      <c r="J241" s="39" t="s">
        <v>1478</v>
      </c>
      <c r="K241" s="39" t="s">
        <v>2122</v>
      </c>
      <c r="L241" s="39" t="s">
        <v>7830</v>
      </c>
      <c r="M241" s="39" t="s">
        <v>7831</v>
      </c>
      <c r="N241" s="39" t="str">
        <f>("0292081")</f>
        <v>0292081</v>
      </c>
      <c r="P241" s="39" t="s">
        <v>11729</v>
      </c>
      <c r="Q241" s="39" t="s">
        <v>8568</v>
      </c>
      <c r="R241" s="39" t="s">
        <v>8569</v>
      </c>
      <c r="S241" s="39" t="s">
        <v>8570</v>
      </c>
      <c r="AK241" s="39" t="str">
        <f>("2025/03/24")</f>
        <v>2025/03/24</v>
      </c>
      <c r="AL241" s="39" t="str">
        <f t="shared" si="16"/>
        <v>2025/04/01</v>
      </c>
    </row>
    <row r="242" spans="1:38" x14ac:dyDescent="0.25">
      <c r="A242" s="39" t="str">
        <f>("1307220004")</f>
        <v>1307220004</v>
      </c>
      <c r="C242" s="39"/>
      <c r="D242" s="39" t="s">
        <v>2249</v>
      </c>
      <c r="E242" s="371" t="str">
        <f t="shared" si="15"/>
        <v>そのだ　みなと</v>
      </c>
      <c r="F242" s="39" t="s">
        <v>2299</v>
      </c>
      <c r="G242" s="39" t="s">
        <v>7828</v>
      </c>
      <c r="H242" s="39" t="str">
        <f>("2013/07/22")</f>
        <v>2013/07/22</v>
      </c>
      <c r="I242" s="39">
        <v>6</v>
      </c>
      <c r="J242" s="39" t="s">
        <v>1478</v>
      </c>
      <c r="K242" s="39" t="s">
        <v>2122</v>
      </c>
      <c r="L242" s="39" t="s">
        <v>7830</v>
      </c>
      <c r="M242" s="39" t="s">
        <v>7831</v>
      </c>
      <c r="N242" s="39" t="str">
        <f>("1066647")</f>
        <v>1066647</v>
      </c>
      <c r="P242" s="39" t="s">
        <v>11730</v>
      </c>
      <c r="Q242" s="39" t="s">
        <v>8568</v>
      </c>
      <c r="R242" s="39" t="s">
        <v>8569</v>
      </c>
      <c r="S242" s="39" t="s">
        <v>8570</v>
      </c>
      <c r="AK242" s="39" t="str">
        <f>("2025/03/21")</f>
        <v>2025/03/21</v>
      </c>
      <c r="AL242" s="39" t="str">
        <f t="shared" si="16"/>
        <v>2025/04/01</v>
      </c>
    </row>
    <row r="243" spans="1:38" x14ac:dyDescent="0.25">
      <c r="A243" s="39" t="str">
        <f>("1307220143")</f>
        <v>1307220143</v>
      </c>
      <c r="C243" s="39"/>
      <c r="D243" s="39" t="s">
        <v>4318</v>
      </c>
      <c r="E243" s="371" t="str">
        <f t="shared" si="15"/>
        <v>なかはら　いちか</v>
      </c>
      <c r="F243" s="39" t="s">
        <v>834</v>
      </c>
      <c r="G243" s="39" t="s">
        <v>7828</v>
      </c>
      <c r="H243" s="39" t="str">
        <f>("2013/07/22")</f>
        <v>2013/07/22</v>
      </c>
      <c r="I243" s="39">
        <v>6</v>
      </c>
      <c r="J243" s="39" t="s">
        <v>1480</v>
      </c>
      <c r="K243" s="39" t="s">
        <v>2122</v>
      </c>
      <c r="L243" s="39" t="s">
        <v>7830</v>
      </c>
      <c r="M243" s="39" t="s">
        <v>7831</v>
      </c>
      <c r="N243" s="39" t="str">
        <f>("0129844")</f>
        <v>0129844</v>
      </c>
      <c r="P243" s="39" t="s">
        <v>11731</v>
      </c>
      <c r="Q243" s="39" t="s">
        <v>8568</v>
      </c>
      <c r="R243" s="39" t="s">
        <v>8569</v>
      </c>
      <c r="S243" s="39" t="s">
        <v>8570</v>
      </c>
      <c r="AK243" s="39" t="str">
        <f>("2025/03/17")</f>
        <v>2025/03/17</v>
      </c>
      <c r="AL243" s="39" t="str">
        <f t="shared" si="16"/>
        <v>2025/04/01</v>
      </c>
    </row>
    <row r="244" spans="1:38" x14ac:dyDescent="0.25">
      <c r="A244" s="39" t="str">
        <f>("1307220159")</f>
        <v>1307220159</v>
      </c>
      <c r="C244" s="39"/>
      <c r="D244" s="39" t="s">
        <v>4265</v>
      </c>
      <c r="E244" s="371" t="str">
        <f t="shared" si="15"/>
        <v>いたい　つきの</v>
      </c>
      <c r="F244" s="39" t="s">
        <v>3866</v>
      </c>
      <c r="G244" s="39" t="s">
        <v>7828</v>
      </c>
      <c r="H244" s="39" t="str">
        <f>("2013/07/22")</f>
        <v>2013/07/22</v>
      </c>
      <c r="I244" s="39">
        <v>6</v>
      </c>
      <c r="J244" s="39" t="s">
        <v>1480</v>
      </c>
      <c r="K244" s="39" t="s">
        <v>2122</v>
      </c>
      <c r="L244" s="39" t="s">
        <v>7830</v>
      </c>
      <c r="M244" s="39" t="s">
        <v>7831</v>
      </c>
      <c r="N244" s="39" t="str">
        <f>("0129675")</f>
        <v>0129675</v>
      </c>
      <c r="P244" s="39" t="s">
        <v>11732</v>
      </c>
      <c r="Q244" s="39" t="s">
        <v>8568</v>
      </c>
      <c r="R244" s="39" t="s">
        <v>8569</v>
      </c>
      <c r="S244" s="39" t="s">
        <v>8570</v>
      </c>
      <c r="AK244" s="39" t="str">
        <f>("2025/04/01")</f>
        <v>2025/04/01</v>
      </c>
      <c r="AL244" s="39" t="str">
        <f t="shared" si="16"/>
        <v>2025/04/01</v>
      </c>
    </row>
    <row r="245" spans="1:38" x14ac:dyDescent="0.25">
      <c r="A245" s="39" t="str">
        <f>("1307220272")</f>
        <v>1307220272</v>
      </c>
      <c r="C245" s="39"/>
      <c r="D245" s="39" t="s">
        <v>8722</v>
      </c>
      <c r="E245" s="371" t="str">
        <f t="shared" si="15"/>
        <v>とよだ　かいり</v>
      </c>
      <c r="F245" s="39" t="s">
        <v>2556</v>
      </c>
      <c r="G245" s="39" t="s">
        <v>7828</v>
      </c>
      <c r="H245" s="39" t="str">
        <f>("2013/07/22")</f>
        <v>2013/07/22</v>
      </c>
      <c r="I245" s="39">
        <v>6</v>
      </c>
      <c r="J245" s="39" t="s">
        <v>1478</v>
      </c>
      <c r="K245" s="39" t="s">
        <v>2122</v>
      </c>
      <c r="L245" s="39" t="s">
        <v>7830</v>
      </c>
      <c r="M245" s="39" t="s">
        <v>7831</v>
      </c>
      <c r="N245" s="39" t="str">
        <f>("0130712")</f>
        <v>0130712</v>
      </c>
      <c r="P245" s="39" t="s">
        <v>11733</v>
      </c>
      <c r="Q245" s="39" t="s">
        <v>8568</v>
      </c>
      <c r="R245" s="39" t="s">
        <v>8569</v>
      </c>
      <c r="S245" s="39" t="s">
        <v>8570</v>
      </c>
      <c r="AK245" s="39" t="str">
        <f>("2025/07/01")</f>
        <v>2025/07/01</v>
      </c>
      <c r="AL245" s="39" t="str">
        <f>("2025/07/01")</f>
        <v>2025/07/01</v>
      </c>
    </row>
    <row r="246" spans="1:38" x14ac:dyDescent="0.25">
      <c r="A246" s="39" t="str">
        <f>("1307220273")</f>
        <v>1307220273</v>
      </c>
      <c r="C246" s="39"/>
      <c r="D246" s="39" t="s">
        <v>8723</v>
      </c>
      <c r="E246" s="371" t="str">
        <f t="shared" si="15"/>
        <v>わたべ　あれん</v>
      </c>
      <c r="F246" s="39" t="s">
        <v>7864</v>
      </c>
      <c r="G246" s="39" t="s">
        <v>7828</v>
      </c>
      <c r="H246" s="39" t="str">
        <f>("2013/07/22")</f>
        <v>2013/07/22</v>
      </c>
      <c r="I246" s="39">
        <v>6</v>
      </c>
      <c r="J246" s="39" t="s">
        <v>1478</v>
      </c>
      <c r="K246" s="39" t="s">
        <v>2122</v>
      </c>
      <c r="L246" s="39" t="s">
        <v>7830</v>
      </c>
      <c r="M246" s="39" t="s">
        <v>7831</v>
      </c>
      <c r="N246" s="39" t="str">
        <f>("1039801")</f>
        <v>1039801</v>
      </c>
      <c r="P246" s="39" t="s">
        <v>11734</v>
      </c>
      <c r="Q246" s="39" t="s">
        <v>8568</v>
      </c>
      <c r="R246" s="39" t="s">
        <v>8569</v>
      </c>
      <c r="S246" s="39" t="s">
        <v>8570</v>
      </c>
      <c r="AK246" s="39" t="str">
        <f>("2025/08/29")</f>
        <v>2025/08/29</v>
      </c>
      <c r="AL246" s="39" t="str">
        <f>("2025/08/29")</f>
        <v>2025/08/29</v>
      </c>
    </row>
    <row r="247" spans="1:38" x14ac:dyDescent="0.25">
      <c r="A247" s="39" t="str">
        <f>("1307240200")</f>
        <v>1307240200</v>
      </c>
      <c r="B247" s="39" t="s">
        <v>8724</v>
      </c>
      <c r="C247" s="39"/>
      <c r="D247" s="39" t="s">
        <v>8725</v>
      </c>
      <c r="E247" s="371" t="str">
        <f t="shared" si="15"/>
        <v>のりかわ　こうき</v>
      </c>
      <c r="F247" s="39" t="s">
        <v>1158</v>
      </c>
      <c r="G247" s="39" t="s">
        <v>7828</v>
      </c>
      <c r="H247" s="39" t="str">
        <f>("2013/07/24")</f>
        <v>2013/07/24</v>
      </c>
      <c r="I247" s="39">
        <v>6</v>
      </c>
      <c r="J247" s="39" t="s">
        <v>1478</v>
      </c>
      <c r="K247" s="39" t="s">
        <v>2122</v>
      </c>
      <c r="L247" s="39" t="s">
        <v>7830</v>
      </c>
      <c r="M247" s="39" t="s">
        <v>7831</v>
      </c>
      <c r="N247" s="39" t="str">
        <f>("0130318")</f>
        <v>0130318</v>
      </c>
      <c r="P247" s="39" t="s">
        <v>11735</v>
      </c>
      <c r="Q247" s="39" t="s">
        <v>8568</v>
      </c>
      <c r="R247" s="39" t="s">
        <v>8569</v>
      </c>
      <c r="S247" s="39" t="s">
        <v>8570</v>
      </c>
      <c r="AK247" s="39" t="str">
        <f>("2025/03/17")</f>
        <v>2025/03/17</v>
      </c>
      <c r="AL247" s="39" t="str">
        <f>("2025/04/01")</f>
        <v>2025/04/01</v>
      </c>
    </row>
    <row r="248" spans="1:38" x14ac:dyDescent="0.25">
      <c r="A248" s="39" t="str">
        <f>("1307240201")</f>
        <v>1307240201</v>
      </c>
      <c r="B248" s="39" t="s">
        <v>8726</v>
      </c>
      <c r="C248" s="39"/>
      <c r="D248" s="39" t="s">
        <v>8727</v>
      </c>
      <c r="E248" s="371" t="str">
        <f t="shared" si="15"/>
        <v>のりかわ　なるき</v>
      </c>
      <c r="F248" s="39" t="s">
        <v>1158</v>
      </c>
      <c r="G248" s="39" t="s">
        <v>7828</v>
      </c>
      <c r="H248" s="39" t="str">
        <f>("2013/07/24")</f>
        <v>2013/07/24</v>
      </c>
      <c r="I248" s="39">
        <v>6</v>
      </c>
      <c r="J248" s="39" t="s">
        <v>1478</v>
      </c>
      <c r="K248" s="39" t="s">
        <v>2122</v>
      </c>
      <c r="L248" s="39" t="s">
        <v>7830</v>
      </c>
      <c r="M248" s="39" t="s">
        <v>7831</v>
      </c>
      <c r="N248" s="39" t="str">
        <f>("0130318")</f>
        <v>0130318</v>
      </c>
      <c r="P248" s="39" t="s">
        <v>11736</v>
      </c>
      <c r="Q248" s="39" t="s">
        <v>8568</v>
      </c>
      <c r="R248" s="39" t="s">
        <v>8569</v>
      </c>
      <c r="S248" s="39" t="s">
        <v>8570</v>
      </c>
      <c r="AK248" s="39" t="str">
        <f>("2025/03/17")</f>
        <v>2025/03/17</v>
      </c>
      <c r="AL248" s="39" t="str">
        <f>("2025/04/01")</f>
        <v>2025/04/01</v>
      </c>
    </row>
    <row r="249" spans="1:38" x14ac:dyDescent="0.25">
      <c r="A249" s="39" t="str">
        <f>("1307260289")</f>
        <v>1307260289</v>
      </c>
      <c r="C249" s="39"/>
      <c r="D249" s="39" t="s">
        <v>8728</v>
      </c>
      <c r="E249" s="371" t="str">
        <f t="shared" si="15"/>
        <v>くぎまる　ゆいと</v>
      </c>
      <c r="F249" s="39" t="s">
        <v>1481</v>
      </c>
      <c r="G249" s="39" t="s">
        <v>7828</v>
      </c>
      <c r="H249" s="39" t="str">
        <f>("2013/07/26")</f>
        <v>2013/07/26</v>
      </c>
      <c r="I249" s="39">
        <v>6</v>
      </c>
      <c r="J249" s="39" t="s">
        <v>1478</v>
      </c>
      <c r="K249" s="39" t="s">
        <v>2122</v>
      </c>
      <c r="L249" s="39" t="s">
        <v>7830</v>
      </c>
      <c r="M249" s="39" t="s">
        <v>7831</v>
      </c>
      <c r="N249" s="39" t="str">
        <f>("0129866")</f>
        <v>0129866</v>
      </c>
      <c r="P249" s="39" t="s">
        <v>11737</v>
      </c>
      <c r="Q249" s="39" t="s">
        <v>8568</v>
      </c>
      <c r="R249" s="39" t="s">
        <v>8569</v>
      </c>
      <c r="S249" s="39" t="s">
        <v>8570</v>
      </c>
      <c r="AK249" s="39" t="str">
        <f>("2025/04/04")</f>
        <v>2025/04/04</v>
      </c>
      <c r="AL249" s="39" t="str">
        <f>("2025/04/04")</f>
        <v>2025/04/04</v>
      </c>
    </row>
    <row r="250" spans="1:38" x14ac:dyDescent="0.25">
      <c r="A250" s="39" t="str">
        <f>("1307270029")</f>
        <v>1307270029</v>
      </c>
      <c r="C250" s="39"/>
      <c r="D250" s="39" t="s">
        <v>4811</v>
      </c>
      <c r="E250" s="371" t="str">
        <f t="shared" si="15"/>
        <v>せき　そうし</v>
      </c>
      <c r="F250" s="39" t="s">
        <v>1446</v>
      </c>
      <c r="G250" s="39" t="s">
        <v>7828</v>
      </c>
      <c r="H250" s="39" t="str">
        <f>("2013/07/27")</f>
        <v>2013/07/27</v>
      </c>
      <c r="I250" s="39">
        <v>6</v>
      </c>
      <c r="J250" s="39" t="s">
        <v>1478</v>
      </c>
      <c r="K250" s="39" t="s">
        <v>2122</v>
      </c>
      <c r="L250" s="39" t="s">
        <v>7830</v>
      </c>
      <c r="M250" s="39" t="s">
        <v>7831</v>
      </c>
      <c r="N250" s="39" t="str">
        <f>("0478807")</f>
        <v>0478807</v>
      </c>
      <c r="P250" s="39" t="s">
        <v>11738</v>
      </c>
      <c r="Q250" s="39" t="s">
        <v>8568</v>
      </c>
      <c r="R250" s="39" t="s">
        <v>8569</v>
      </c>
      <c r="S250" s="39" t="s">
        <v>8570</v>
      </c>
      <c r="AA250" s="39" t="s">
        <v>2122</v>
      </c>
      <c r="AB250" s="39" t="s">
        <v>7830</v>
      </c>
      <c r="AC250" s="39" t="s">
        <v>7831</v>
      </c>
      <c r="AD250" s="39" t="str">
        <f>("0504908")</f>
        <v>0504908</v>
      </c>
      <c r="AE250" s="39" t="s">
        <v>827</v>
      </c>
      <c r="AK250" s="39" t="str">
        <f>("2025/07/29")</f>
        <v>2025/07/29</v>
      </c>
      <c r="AL250" s="39" t="str">
        <f>("2025/07/29")</f>
        <v>2025/07/29</v>
      </c>
    </row>
    <row r="251" spans="1:38" x14ac:dyDescent="0.25">
      <c r="A251" s="39" t="str">
        <f>("1307280063")</f>
        <v>1307280063</v>
      </c>
      <c r="C251" s="39"/>
      <c r="D251" s="39" t="s">
        <v>4401</v>
      </c>
      <c r="E251" s="371" t="str">
        <f t="shared" si="15"/>
        <v>ひよし　しおん</v>
      </c>
      <c r="F251" s="39" t="s">
        <v>856</v>
      </c>
      <c r="G251" s="39" t="s">
        <v>7828</v>
      </c>
      <c r="H251" s="39" t="str">
        <f>("2013/07/28")</f>
        <v>2013/07/28</v>
      </c>
      <c r="I251" s="39">
        <v>6</v>
      </c>
      <c r="J251" s="39" t="s">
        <v>1478</v>
      </c>
      <c r="K251" s="39" t="s">
        <v>2122</v>
      </c>
      <c r="L251" s="39" t="s">
        <v>7830</v>
      </c>
      <c r="M251" s="39" t="s">
        <v>7831</v>
      </c>
      <c r="N251" s="39" t="str">
        <f>("0130149")</f>
        <v>0130149</v>
      </c>
      <c r="P251" s="39" t="s">
        <v>11739</v>
      </c>
      <c r="Q251" s="39" t="s">
        <v>8568</v>
      </c>
      <c r="R251" s="39" t="s">
        <v>8569</v>
      </c>
      <c r="S251" s="39" t="s">
        <v>8570</v>
      </c>
      <c r="AK251" s="39" t="str">
        <f t="shared" ref="AK251:AK256" si="19">("2025/03/17")</f>
        <v>2025/03/17</v>
      </c>
      <c r="AL251" s="39" t="str">
        <f t="shared" ref="AL251:AL268" si="20">("2025/04/01")</f>
        <v>2025/04/01</v>
      </c>
    </row>
    <row r="252" spans="1:38" x14ac:dyDescent="0.25">
      <c r="A252" s="39" t="str">
        <f>("1307280078")</f>
        <v>1307280078</v>
      </c>
      <c r="B252" s="39" t="s">
        <v>8729</v>
      </c>
      <c r="C252" s="39"/>
      <c r="D252" s="39" t="s">
        <v>8730</v>
      </c>
      <c r="E252" s="371" t="str">
        <f t="shared" si="15"/>
        <v>こんどう　ようへい</v>
      </c>
      <c r="F252" s="39" t="s">
        <v>2619</v>
      </c>
      <c r="G252" s="39" t="s">
        <v>7828</v>
      </c>
      <c r="H252" s="39" t="str">
        <f>("2013/07/28")</f>
        <v>2013/07/28</v>
      </c>
      <c r="I252" s="39">
        <v>6</v>
      </c>
      <c r="J252" s="39" t="s">
        <v>1478</v>
      </c>
      <c r="K252" s="39" t="s">
        <v>2122</v>
      </c>
      <c r="L252" s="39" t="s">
        <v>7830</v>
      </c>
      <c r="M252" s="39" t="s">
        <v>7831</v>
      </c>
      <c r="N252" s="39" t="str">
        <f>("0472823")</f>
        <v>0472823</v>
      </c>
      <c r="P252" s="39" t="s">
        <v>11740</v>
      </c>
      <c r="Q252" s="39" t="s">
        <v>8568</v>
      </c>
      <c r="R252" s="39" t="s">
        <v>8569</v>
      </c>
      <c r="S252" s="39" t="s">
        <v>8570</v>
      </c>
      <c r="AK252" s="39" t="str">
        <f t="shared" si="19"/>
        <v>2025/03/17</v>
      </c>
      <c r="AL252" s="39" t="str">
        <f t="shared" si="20"/>
        <v>2025/04/01</v>
      </c>
    </row>
    <row r="253" spans="1:38" x14ac:dyDescent="0.25">
      <c r="A253" s="39" t="str">
        <f>("1307280173")</f>
        <v>1307280173</v>
      </c>
      <c r="C253" s="39"/>
      <c r="D253" s="39" t="s">
        <v>7829</v>
      </c>
      <c r="E253" s="371" t="str">
        <f t="shared" si="15"/>
        <v>なかの　りょうや</v>
      </c>
      <c r="F253" s="39" t="s">
        <v>2619</v>
      </c>
      <c r="G253" s="39" t="s">
        <v>7828</v>
      </c>
      <c r="H253" s="39" t="str">
        <f>("2014/07/28")</f>
        <v>2014/07/28</v>
      </c>
      <c r="I253" s="39">
        <v>5</v>
      </c>
      <c r="J253" s="39" t="s">
        <v>1478</v>
      </c>
      <c r="K253" s="39" t="s">
        <v>2122</v>
      </c>
      <c r="L253" s="39" t="s">
        <v>7830</v>
      </c>
      <c r="M253" s="39" t="s">
        <v>7831</v>
      </c>
      <c r="N253" s="39" t="str">
        <f>("0472823")</f>
        <v>0472823</v>
      </c>
      <c r="P253" s="39" t="s">
        <v>11741</v>
      </c>
      <c r="Q253" s="39" t="s">
        <v>8568</v>
      </c>
      <c r="R253" s="39" t="s">
        <v>8569</v>
      </c>
      <c r="S253" s="39" t="s">
        <v>8570</v>
      </c>
      <c r="AK253" s="39" t="str">
        <f t="shared" si="19"/>
        <v>2025/03/17</v>
      </c>
      <c r="AL253" s="39" t="str">
        <f t="shared" si="20"/>
        <v>2025/04/01</v>
      </c>
    </row>
    <row r="254" spans="1:38" x14ac:dyDescent="0.25">
      <c r="A254" s="39" t="str">
        <f>("1307280185")</f>
        <v>1307280185</v>
      </c>
      <c r="C254" s="39"/>
      <c r="D254" s="39" t="s">
        <v>5676</v>
      </c>
      <c r="E254" s="371" t="str">
        <f t="shared" si="15"/>
        <v>もとよし　ゆうた</v>
      </c>
      <c r="F254" s="39" t="s">
        <v>2479</v>
      </c>
      <c r="G254" s="39" t="s">
        <v>7828</v>
      </c>
      <c r="H254" s="39" t="str">
        <f>("2013/07/28")</f>
        <v>2013/07/28</v>
      </c>
      <c r="I254" s="39">
        <v>6</v>
      </c>
      <c r="J254" s="39" t="s">
        <v>1478</v>
      </c>
      <c r="K254" s="39" t="s">
        <v>2122</v>
      </c>
      <c r="L254" s="39" t="s">
        <v>7830</v>
      </c>
      <c r="M254" s="39" t="s">
        <v>7831</v>
      </c>
      <c r="N254" s="39" t="str">
        <f>("0129608")</f>
        <v>0129608</v>
      </c>
      <c r="P254" s="39" t="s">
        <v>11742</v>
      </c>
      <c r="Q254" s="39" t="s">
        <v>8568</v>
      </c>
      <c r="R254" s="39" t="s">
        <v>8569</v>
      </c>
      <c r="S254" s="39" t="s">
        <v>8570</v>
      </c>
      <c r="AK254" s="39" t="str">
        <f t="shared" si="19"/>
        <v>2025/03/17</v>
      </c>
      <c r="AL254" s="39" t="str">
        <f t="shared" si="20"/>
        <v>2025/04/01</v>
      </c>
    </row>
    <row r="255" spans="1:38" x14ac:dyDescent="0.25">
      <c r="A255" s="39" t="str">
        <f>("1307300136")</f>
        <v>1307300136</v>
      </c>
      <c r="C255" s="39"/>
      <c r="D255" s="39" t="s">
        <v>5976</v>
      </c>
      <c r="E255" s="371" t="str">
        <f t="shared" si="15"/>
        <v>ふじもと　たいき</v>
      </c>
      <c r="F255" s="39" t="s">
        <v>2574</v>
      </c>
      <c r="G255" s="39" t="s">
        <v>7828</v>
      </c>
      <c r="H255" s="39" t="str">
        <f>("2013/07/30")</f>
        <v>2013/07/30</v>
      </c>
      <c r="I255" s="39">
        <v>6</v>
      </c>
      <c r="J255" s="39" t="s">
        <v>1478</v>
      </c>
      <c r="K255" s="39" t="s">
        <v>2122</v>
      </c>
      <c r="L255" s="39" t="s">
        <v>7830</v>
      </c>
      <c r="M255" s="39" t="s">
        <v>7831</v>
      </c>
      <c r="N255" s="39" t="str">
        <f>("0237620")</f>
        <v>0237620</v>
      </c>
      <c r="P255" s="39" t="s">
        <v>11743</v>
      </c>
      <c r="Q255" s="39" t="s">
        <v>8568</v>
      </c>
      <c r="R255" s="39" t="s">
        <v>8569</v>
      </c>
      <c r="S255" s="39" t="s">
        <v>8570</v>
      </c>
      <c r="AA255" s="39" t="s">
        <v>2122</v>
      </c>
      <c r="AB255" s="39" t="s">
        <v>7830</v>
      </c>
      <c r="AC255" s="39" t="s">
        <v>7831</v>
      </c>
      <c r="AD255" s="39" t="str">
        <f>("0130149")</f>
        <v>0130149</v>
      </c>
      <c r="AE255" s="39" t="s">
        <v>856</v>
      </c>
      <c r="AK255" s="39" t="str">
        <f t="shared" si="19"/>
        <v>2025/03/17</v>
      </c>
      <c r="AL255" s="39" t="str">
        <f t="shared" si="20"/>
        <v>2025/04/01</v>
      </c>
    </row>
    <row r="256" spans="1:38" x14ac:dyDescent="0.25">
      <c r="A256" s="39" t="str">
        <f>("1307300140")</f>
        <v>1307300140</v>
      </c>
      <c r="B256" s="39" t="s">
        <v>8731</v>
      </c>
      <c r="C256" s="39"/>
      <c r="D256" s="39" t="s">
        <v>8732</v>
      </c>
      <c r="E256" s="371" t="str">
        <f t="shared" si="15"/>
        <v>とうない　しゅう</v>
      </c>
      <c r="F256" s="39" t="s">
        <v>2022</v>
      </c>
      <c r="G256" s="39" t="s">
        <v>7828</v>
      </c>
      <c r="H256" s="39" t="str">
        <f>("2013/07/30")</f>
        <v>2013/07/30</v>
      </c>
      <c r="I256" s="39">
        <v>6</v>
      </c>
      <c r="J256" s="39" t="s">
        <v>1478</v>
      </c>
      <c r="K256" s="39" t="s">
        <v>2122</v>
      </c>
      <c r="L256" s="39" t="s">
        <v>7830</v>
      </c>
      <c r="M256" s="39" t="s">
        <v>7831</v>
      </c>
      <c r="N256" s="39" t="str">
        <f>("0130329")</f>
        <v>0130329</v>
      </c>
      <c r="P256" s="39" t="s">
        <v>11744</v>
      </c>
      <c r="Q256" s="39" t="s">
        <v>8568</v>
      </c>
      <c r="R256" s="39" t="s">
        <v>8569</v>
      </c>
      <c r="S256" s="39" t="s">
        <v>8570</v>
      </c>
      <c r="AA256" s="39" t="s">
        <v>2122</v>
      </c>
      <c r="AB256" s="39" t="s">
        <v>7830</v>
      </c>
      <c r="AC256" s="39" t="s">
        <v>7831</v>
      </c>
      <c r="AD256" s="39" t="str">
        <f>("0436902")</f>
        <v>0436902</v>
      </c>
      <c r="AE256" s="39" t="s">
        <v>413</v>
      </c>
      <c r="AK256" s="39" t="str">
        <f t="shared" si="19"/>
        <v>2025/03/17</v>
      </c>
      <c r="AL256" s="39" t="str">
        <f t="shared" si="20"/>
        <v>2025/04/01</v>
      </c>
    </row>
    <row r="257" spans="1:39" x14ac:dyDescent="0.25">
      <c r="A257" s="39" t="str">
        <f>("1307300169")</f>
        <v>1307300169</v>
      </c>
      <c r="C257" s="39"/>
      <c r="D257" s="39" t="s">
        <v>8733</v>
      </c>
      <c r="E257" s="371" t="str">
        <f t="shared" si="15"/>
        <v>てらだ　たけし</v>
      </c>
      <c r="F257" s="39" t="s">
        <v>947</v>
      </c>
      <c r="G257" s="39" t="s">
        <v>7828</v>
      </c>
      <c r="H257" s="39" t="str">
        <f>("2013/07/30")</f>
        <v>2013/07/30</v>
      </c>
      <c r="I257" s="39">
        <v>6</v>
      </c>
      <c r="J257" s="39" t="s">
        <v>1478</v>
      </c>
      <c r="K257" s="39" t="s">
        <v>2122</v>
      </c>
      <c r="L257" s="39" t="s">
        <v>7830</v>
      </c>
      <c r="M257" s="39" t="s">
        <v>7831</v>
      </c>
      <c r="N257" s="39" t="str">
        <f>("0130183")</f>
        <v>0130183</v>
      </c>
      <c r="P257" s="39" t="s">
        <v>11745</v>
      </c>
      <c r="Q257" s="39" t="s">
        <v>8568</v>
      </c>
      <c r="R257" s="39" t="s">
        <v>8569</v>
      </c>
      <c r="S257" s="39" t="s">
        <v>8570</v>
      </c>
      <c r="AA257" s="39" t="s">
        <v>2122</v>
      </c>
      <c r="AB257" s="39" t="s">
        <v>7830</v>
      </c>
      <c r="AC257" s="39" t="s">
        <v>7831</v>
      </c>
      <c r="AD257" s="39" t="str">
        <f>("0129822")</f>
        <v>0129822</v>
      </c>
      <c r="AE257" s="39" t="s">
        <v>2491</v>
      </c>
      <c r="AK257" s="39" t="str">
        <f>("2025/03/27")</f>
        <v>2025/03/27</v>
      </c>
      <c r="AL257" s="39" t="str">
        <f t="shared" si="20"/>
        <v>2025/04/01</v>
      </c>
    </row>
    <row r="258" spans="1:39" x14ac:dyDescent="0.25">
      <c r="A258" s="39" t="str">
        <f>("1307300199")</f>
        <v>1307300199</v>
      </c>
      <c r="C258" s="39"/>
      <c r="D258" s="39" t="s">
        <v>5710</v>
      </c>
      <c r="E258" s="371" t="str">
        <f t="shared" si="15"/>
        <v>たななり　あおい</v>
      </c>
      <c r="F258" s="39" t="s">
        <v>520</v>
      </c>
      <c r="G258" s="39" t="s">
        <v>7828</v>
      </c>
      <c r="H258" s="39" t="str">
        <f>("2013/07/30")</f>
        <v>2013/07/30</v>
      </c>
      <c r="I258" s="39">
        <v>6</v>
      </c>
      <c r="J258" s="39" t="s">
        <v>1478</v>
      </c>
      <c r="K258" s="39" t="s">
        <v>2122</v>
      </c>
      <c r="L258" s="39" t="s">
        <v>7830</v>
      </c>
      <c r="M258" s="39" t="s">
        <v>7831</v>
      </c>
      <c r="N258" s="39" t="str">
        <f>("0129765")</f>
        <v>0129765</v>
      </c>
      <c r="P258" s="39" t="s">
        <v>11746</v>
      </c>
      <c r="Q258" s="39" t="s">
        <v>8568</v>
      </c>
      <c r="R258" s="39" t="s">
        <v>8569</v>
      </c>
      <c r="S258" s="39" t="s">
        <v>8570</v>
      </c>
      <c r="AK258" s="39" t="str">
        <f>("2025/03/17")</f>
        <v>2025/03/17</v>
      </c>
      <c r="AL258" s="39" t="str">
        <f t="shared" si="20"/>
        <v>2025/04/01</v>
      </c>
    </row>
    <row r="259" spans="1:39" x14ac:dyDescent="0.25">
      <c r="A259" s="39" t="str">
        <f>("1307300277")</f>
        <v>1307300277</v>
      </c>
      <c r="C259" s="39"/>
      <c r="D259" s="39" t="s">
        <v>6265</v>
      </c>
      <c r="E259" s="371" t="str">
        <f t="shared" ref="E259:E322" si="21">PHONETIC(P259)</f>
        <v>あらかね　こうや</v>
      </c>
      <c r="F259" s="39" t="s">
        <v>5619</v>
      </c>
      <c r="G259" s="39" t="s">
        <v>7828</v>
      </c>
      <c r="H259" s="39" t="str">
        <f>("2013/07/30")</f>
        <v>2013/07/30</v>
      </c>
      <c r="I259" s="39">
        <v>6</v>
      </c>
      <c r="J259" s="39" t="s">
        <v>1478</v>
      </c>
      <c r="K259" s="39" t="s">
        <v>2122</v>
      </c>
      <c r="L259" s="39" t="s">
        <v>7830</v>
      </c>
      <c r="M259" s="39" t="s">
        <v>7831</v>
      </c>
      <c r="N259" s="39" t="str">
        <f>("1089004")</f>
        <v>1089004</v>
      </c>
      <c r="P259" s="39" t="s">
        <v>11747</v>
      </c>
      <c r="Q259" s="39" t="s">
        <v>8568</v>
      </c>
      <c r="R259" s="39" t="s">
        <v>8569</v>
      </c>
      <c r="S259" s="39" t="s">
        <v>8570</v>
      </c>
      <c r="AK259" s="39" t="str">
        <f>("2025/03/27")</f>
        <v>2025/03/27</v>
      </c>
      <c r="AL259" s="39" t="str">
        <f t="shared" si="20"/>
        <v>2025/04/01</v>
      </c>
    </row>
    <row r="260" spans="1:39" x14ac:dyDescent="0.25">
      <c r="A260" s="39" t="str">
        <f>("1307310041")</f>
        <v>1307310041</v>
      </c>
      <c r="B260" s="39" t="s">
        <v>8734</v>
      </c>
      <c r="C260" s="39"/>
      <c r="D260" s="39" t="s">
        <v>4478</v>
      </c>
      <c r="E260" s="371" t="str">
        <f t="shared" si="21"/>
        <v>わだ　そうき</v>
      </c>
      <c r="F260" s="39" t="s">
        <v>2033</v>
      </c>
      <c r="G260" s="39" t="s">
        <v>7828</v>
      </c>
      <c r="H260" s="39" t="str">
        <f>("2013/07/31")</f>
        <v>2013/07/31</v>
      </c>
      <c r="I260" s="39">
        <v>6</v>
      </c>
      <c r="J260" s="39" t="s">
        <v>1478</v>
      </c>
      <c r="K260" s="39" t="s">
        <v>2122</v>
      </c>
      <c r="L260" s="39" t="s">
        <v>7830</v>
      </c>
      <c r="M260" s="39" t="s">
        <v>7831</v>
      </c>
      <c r="N260" s="39" t="str">
        <f>("0130442")</f>
        <v>0130442</v>
      </c>
      <c r="P260" s="39" t="s">
        <v>11748</v>
      </c>
      <c r="Q260" s="39" t="s">
        <v>8568</v>
      </c>
      <c r="R260" s="39" t="s">
        <v>8569</v>
      </c>
      <c r="S260" s="39" t="s">
        <v>8570</v>
      </c>
      <c r="AK260" s="39" t="str">
        <f>("2025/04/04")</f>
        <v>2025/04/04</v>
      </c>
      <c r="AL260" s="39" t="str">
        <f t="shared" si="20"/>
        <v>2025/04/01</v>
      </c>
    </row>
    <row r="261" spans="1:39" x14ac:dyDescent="0.25">
      <c r="A261" s="39" t="str">
        <f>("1307310078")</f>
        <v>1307310078</v>
      </c>
      <c r="C261" s="39"/>
      <c r="D261" s="39" t="s">
        <v>8735</v>
      </c>
      <c r="E261" s="371" t="str">
        <f t="shared" si="21"/>
        <v>しゅとう　げんじ</v>
      </c>
      <c r="F261" s="39" t="s">
        <v>947</v>
      </c>
      <c r="G261" s="39" t="s">
        <v>7828</v>
      </c>
      <c r="H261" s="39" t="str">
        <f>("2013/07/31")</f>
        <v>2013/07/31</v>
      </c>
      <c r="I261" s="39">
        <v>6</v>
      </c>
      <c r="J261" s="39" t="s">
        <v>1478</v>
      </c>
      <c r="K261" s="39" t="s">
        <v>2122</v>
      </c>
      <c r="L261" s="39" t="s">
        <v>7830</v>
      </c>
      <c r="M261" s="39" t="s">
        <v>7831</v>
      </c>
      <c r="N261" s="39" t="str">
        <f>("0130183")</f>
        <v>0130183</v>
      </c>
      <c r="P261" s="39" t="s">
        <v>11749</v>
      </c>
      <c r="Q261" s="39" t="s">
        <v>8568</v>
      </c>
      <c r="R261" s="39" t="s">
        <v>8569</v>
      </c>
      <c r="S261" s="39" t="s">
        <v>8570</v>
      </c>
      <c r="AK261" s="39" t="str">
        <f>("2025/03/27")</f>
        <v>2025/03/27</v>
      </c>
      <c r="AL261" s="39" t="str">
        <f t="shared" si="20"/>
        <v>2025/04/01</v>
      </c>
    </row>
    <row r="262" spans="1:39" x14ac:dyDescent="0.25">
      <c r="A262" s="39" t="str">
        <f>("1307310164")</f>
        <v>1307310164</v>
      </c>
      <c r="C262" s="39"/>
      <c r="D262" s="39" t="s">
        <v>8736</v>
      </c>
      <c r="E262" s="371" t="str">
        <f t="shared" si="21"/>
        <v>えぐち　さくま</v>
      </c>
      <c r="F262" s="39" t="s">
        <v>1481</v>
      </c>
      <c r="G262" s="39" t="s">
        <v>7828</v>
      </c>
      <c r="H262" s="39" t="str">
        <f>("2013/07/31")</f>
        <v>2013/07/31</v>
      </c>
      <c r="I262" s="39">
        <v>6</v>
      </c>
      <c r="J262" s="39" t="s">
        <v>1478</v>
      </c>
      <c r="K262" s="39" t="s">
        <v>2122</v>
      </c>
      <c r="L262" s="39" t="s">
        <v>7830</v>
      </c>
      <c r="M262" s="39" t="s">
        <v>7831</v>
      </c>
      <c r="N262" s="39" t="str">
        <f>("0129866")</f>
        <v>0129866</v>
      </c>
      <c r="P262" s="39" t="s">
        <v>11750</v>
      </c>
      <c r="Q262" s="39" t="s">
        <v>8568</v>
      </c>
      <c r="R262" s="39" t="s">
        <v>8569</v>
      </c>
      <c r="S262" s="39" t="s">
        <v>8570</v>
      </c>
      <c r="AK262" s="39" t="str">
        <f>("2025/03/19")</f>
        <v>2025/03/19</v>
      </c>
      <c r="AL262" s="39" t="str">
        <f t="shared" si="20"/>
        <v>2025/04/01</v>
      </c>
    </row>
    <row r="263" spans="1:39" x14ac:dyDescent="0.25">
      <c r="A263" s="39" t="str">
        <f>("1308010109")</f>
        <v>1308010109</v>
      </c>
      <c r="C263" s="39"/>
      <c r="D263" s="39" t="s">
        <v>5654</v>
      </c>
      <c r="E263" s="371" t="str">
        <f t="shared" si="21"/>
        <v>あない　きなり</v>
      </c>
      <c r="F263" s="39" t="s">
        <v>2477</v>
      </c>
      <c r="G263" s="39" t="s">
        <v>7828</v>
      </c>
      <c r="H263" s="39" t="str">
        <f>("2013/08/01")</f>
        <v>2013/08/01</v>
      </c>
      <c r="I263" s="39">
        <v>6</v>
      </c>
      <c r="J263" s="39" t="s">
        <v>1478</v>
      </c>
      <c r="K263" s="39" t="s">
        <v>2122</v>
      </c>
      <c r="L263" s="39" t="s">
        <v>7830</v>
      </c>
      <c r="M263" s="39" t="s">
        <v>7831</v>
      </c>
      <c r="N263" s="39" t="str">
        <f>("0129541")</f>
        <v>0129541</v>
      </c>
      <c r="P263" s="39" t="s">
        <v>11751</v>
      </c>
      <c r="Q263" s="39" t="s">
        <v>8568</v>
      </c>
      <c r="R263" s="39" t="s">
        <v>8569</v>
      </c>
      <c r="S263" s="39" t="s">
        <v>8570</v>
      </c>
      <c r="AK263" s="39" t="str">
        <f>("2025/03/27")</f>
        <v>2025/03/27</v>
      </c>
      <c r="AL263" s="39" t="str">
        <f t="shared" si="20"/>
        <v>2025/04/01</v>
      </c>
    </row>
    <row r="264" spans="1:39" x14ac:dyDescent="0.25">
      <c r="A264" s="39" t="str">
        <f>("1308010117")</f>
        <v>1308010117</v>
      </c>
      <c r="C264" s="39"/>
      <c r="D264" s="39" t="s">
        <v>6195</v>
      </c>
      <c r="E264" s="371" t="str">
        <f t="shared" si="21"/>
        <v>いけべ　こうが</v>
      </c>
      <c r="F264" s="39" t="s">
        <v>1917</v>
      </c>
      <c r="G264" s="39" t="s">
        <v>7876</v>
      </c>
      <c r="H264" s="39" t="str">
        <f>("2013/08/01")</f>
        <v>2013/08/01</v>
      </c>
      <c r="I264" s="39">
        <v>6</v>
      </c>
      <c r="J264" s="39" t="s">
        <v>1478</v>
      </c>
      <c r="K264" s="39" t="s">
        <v>2122</v>
      </c>
      <c r="L264" s="39" t="s">
        <v>7830</v>
      </c>
      <c r="M264" s="39" t="s">
        <v>7831</v>
      </c>
      <c r="N264" s="39" t="str">
        <f>("1032161")</f>
        <v>1032161</v>
      </c>
      <c r="P264" s="39" t="s">
        <v>11752</v>
      </c>
      <c r="Q264" s="39" t="s">
        <v>8568</v>
      </c>
      <c r="R264" s="39" t="s">
        <v>8569</v>
      </c>
      <c r="S264" s="39" t="s">
        <v>8570</v>
      </c>
      <c r="AA264" s="39" t="s">
        <v>2122</v>
      </c>
      <c r="AB264" s="39" t="s">
        <v>7830</v>
      </c>
      <c r="AC264" s="39" t="s">
        <v>7831</v>
      </c>
      <c r="AD264" s="39" t="str">
        <f>("0387334")</f>
        <v>0387334</v>
      </c>
      <c r="AE264" s="39" t="s">
        <v>2587</v>
      </c>
      <c r="AF264" s="39" t="s">
        <v>2122</v>
      </c>
      <c r="AG264" s="39" t="s">
        <v>7830</v>
      </c>
      <c r="AH264" s="39" t="s">
        <v>7831</v>
      </c>
      <c r="AI264" s="39" t="str">
        <f>("0472823")</f>
        <v>0472823</v>
      </c>
      <c r="AJ264" s="39" t="s">
        <v>2619</v>
      </c>
      <c r="AK264" s="39" t="str">
        <f>("2025/03/21")</f>
        <v>2025/03/21</v>
      </c>
      <c r="AL264" s="39" t="str">
        <f t="shared" si="20"/>
        <v>2025/04/01</v>
      </c>
      <c r="AM264" s="39" t="str">
        <f>("2025/12/02")</f>
        <v>2025/12/02</v>
      </c>
    </row>
    <row r="265" spans="1:39" x14ac:dyDescent="0.25">
      <c r="A265" s="39" t="str">
        <f>("1308010217")</f>
        <v>1308010217</v>
      </c>
      <c r="B265" s="39" t="s">
        <v>8737</v>
      </c>
      <c r="C265" s="39"/>
      <c r="D265" s="39" t="s">
        <v>8738</v>
      </c>
      <c r="E265" s="371" t="str">
        <f t="shared" si="21"/>
        <v>くろき　じんすけ</v>
      </c>
      <c r="F265" s="39" t="s">
        <v>2587</v>
      </c>
      <c r="G265" s="39" t="s">
        <v>7828</v>
      </c>
      <c r="H265" s="39" t="str">
        <f>("2013/08/01")</f>
        <v>2013/08/01</v>
      </c>
      <c r="I265" s="39">
        <v>6</v>
      </c>
      <c r="J265" s="39" t="s">
        <v>1478</v>
      </c>
      <c r="K265" s="39" t="s">
        <v>2122</v>
      </c>
      <c r="L265" s="39" t="s">
        <v>7830</v>
      </c>
      <c r="M265" s="39" t="s">
        <v>7831</v>
      </c>
      <c r="N265" s="39" t="str">
        <f>("0387334")</f>
        <v>0387334</v>
      </c>
      <c r="P265" s="39" t="s">
        <v>11753</v>
      </c>
      <c r="Q265" s="39" t="s">
        <v>8568</v>
      </c>
      <c r="R265" s="39" t="s">
        <v>8569</v>
      </c>
      <c r="S265" s="39" t="s">
        <v>8570</v>
      </c>
      <c r="AK265" s="39" t="str">
        <f>("2025/03/27")</f>
        <v>2025/03/27</v>
      </c>
      <c r="AL265" s="39" t="str">
        <f t="shared" si="20"/>
        <v>2025/04/01</v>
      </c>
    </row>
    <row r="266" spans="1:39" x14ac:dyDescent="0.25">
      <c r="A266" s="39" t="str">
        <f>("1308020010")</f>
        <v>1308020010</v>
      </c>
      <c r="B266" s="39" t="s">
        <v>8739</v>
      </c>
      <c r="C266" s="39"/>
      <c r="D266" s="39" t="s">
        <v>4655</v>
      </c>
      <c r="E266" s="371" t="str">
        <f t="shared" si="21"/>
        <v>はしざこ　たいが</v>
      </c>
      <c r="F266" s="39" t="s">
        <v>2574</v>
      </c>
      <c r="G266" s="39" t="s">
        <v>7828</v>
      </c>
      <c r="H266" s="39" t="str">
        <f>("2013/08/02")</f>
        <v>2013/08/02</v>
      </c>
      <c r="I266" s="39">
        <v>6</v>
      </c>
      <c r="J266" s="39" t="s">
        <v>1478</v>
      </c>
      <c r="K266" s="39" t="s">
        <v>2122</v>
      </c>
      <c r="L266" s="39" t="s">
        <v>7830</v>
      </c>
      <c r="M266" s="39" t="s">
        <v>7831</v>
      </c>
      <c r="N266" s="39" t="str">
        <f>("0237620")</f>
        <v>0237620</v>
      </c>
      <c r="P266" s="39" t="s">
        <v>11754</v>
      </c>
      <c r="Q266" s="39" t="s">
        <v>8568</v>
      </c>
      <c r="R266" s="39" t="s">
        <v>8569</v>
      </c>
      <c r="S266" s="39" t="s">
        <v>8570</v>
      </c>
      <c r="AK266" s="39" t="str">
        <f>("2025/03/17")</f>
        <v>2025/03/17</v>
      </c>
      <c r="AL266" s="39" t="str">
        <f t="shared" si="20"/>
        <v>2025/04/01</v>
      </c>
    </row>
    <row r="267" spans="1:39" x14ac:dyDescent="0.25">
      <c r="A267" s="39" t="str">
        <f>("1308020165")</f>
        <v>1308020165</v>
      </c>
      <c r="C267" s="39"/>
      <c r="D267" s="39" t="s">
        <v>4733</v>
      </c>
      <c r="E267" s="371" t="str">
        <f t="shared" si="21"/>
        <v>たちばな　たく</v>
      </c>
      <c r="F267" s="39" t="s">
        <v>2602</v>
      </c>
      <c r="G267" s="39" t="s">
        <v>7828</v>
      </c>
      <c r="H267" s="39" t="str">
        <f>("2013/08/02")</f>
        <v>2013/08/02</v>
      </c>
      <c r="I267" s="39">
        <v>6</v>
      </c>
      <c r="J267" s="39" t="s">
        <v>1478</v>
      </c>
      <c r="K267" s="39" t="s">
        <v>2122</v>
      </c>
      <c r="L267" s="39" t="s">
        <v>7830</v>
      </c>
      <c r="M267" s="39" t="s">
        <v>7831</v>
      </c>
      <c r="N267" s="39" t="str">
        <f>("0430119")</f>
        <v>0430119</v>
      </c>
      <c r="P267" s="39" t="s">
        <v>11755</v>
      </c>
      <c r="Q267" s="39" t="s">
        <v>8568</v>
      </c>
      <c r="R267" s="39" t="s">
        <v>8569</v>
      </c>
      <c r="S267" s="39" t="s">
        <v>8570</v>
      </c>
      <c r="AK267" s="39" t="str">
        <f>("2025/03/17")</f>
        <v>2025/03/17</v>
      </c>
      <c r="AL267" s="39" t="str">
        <f t="shared" si="20"/>
        <v>2025/04/01</v>
      </c>
    </row>
    <row r="268" spans="1:39" x14ac:dyDescent="0.25">
      <c r="A268" s="39" t="str">
        <f>("1308020175")</f>
        <v>1308020175</v>
      </c>
      <c r="B268" s="39" t="s">
        <v>8740</v>
      </c>
      <c r="C268" s="39"/>
      <c r="D268" s="39" t="s">
        <v>6044</v>
      </c>
      <c r="E268" s="371" t="str">
        <f t="shared" si="21"/>
        <v>さとみ　ゆうた</v>
      </c>
      <c r="F268" s="39" t="s">
        <v>1207</v>
      </c>
      <c r="G268" s="39" t="s">
        <v>7828</v>
      </c>
      <c r="H268" s="39" t="str">
        <f>("2013/08/02")</f>
        <v>2013/08/02</v>
      </c>
      <c r="I268" s="39">
        <v>6</v>
      </c>
      <c r="J268" s="39" t="s">
        <v>1478</v>
      </c>
      <c r="K268" s="39" t="s">
        <v>2122</v>
      </c>
      <c r="L268" s="39" t="s">
        <v>7830</v>
      </c>
      <c r="M268" s="39" t="s">
        <v>7831</v>
      </c>
      <c r="N268" s="39" t="str">
        <f>("0381608")</f>
        <v>0381608</v>
      </c>
      <c r="P268" s="39" t="s">
        <v>11756</v>
      </c>
      <c r="Q268" s="39" t="s">
        <v>8568</v>
      </c>
      <c r="R268" s="39" t="s">
        <v>8569</v>
      </c>
      <c r="S268" s="39" t="s">
        <v>8570</v>
      </c>
      <c r="AK268" s="39" t="str">
        <f>("2025/03/21")</f>
        <v>2025/03/21</v>
      </c>
      <c r="AL268" s="39" t="str">
        <f t="shared" si="20"/>
        <v>2025/04/01</v>
      </c>
    </row>
    <row r="269" spans="1:39" x14ac:dyDescent="0.25">
      <c r="A269" s="39" t="str">
        <f>("1308030146")</f>
        <v>1308030146</v>
      </c>
      <c r="B269" s="39" t="s">
        <v>8741</v>
      </c>
      <c r="C269" s="39"/>
      <c r="D269" s="39" t="s">
        <v>4420</v>
      </c>
      <c r="E269" s="371" t="str">
        <f t="shared" si="21"/>
        <v>なかみち　ゆうが</v>
      </c>
      <c r="F269" s="39" t="s">
        <v>1917</v>
      </c>
      <c r="G269" s="39" t="s">
        <v>7828</v>
      </c>
      <c r="H269" s="39" t="str">
        <f>("2013/08/03")</f>
        <v>2013/08/03</v>
      </c>
      <c r="I269" s="39">
        <v>6</v>
      </c>
      <c r="J269" s="39" t="s">
        <v>1478</v>
      </c>
      <c r="K269" s="39" t="s">
        <v>2122</v>
      </c>
      <c r="L269" s="39" t="s">
        <v>7830</v>
      </c>
      <c r="M269" s="39" t="s">
        <v>7831</v>
      </c>
      <c r="N269" s="39" t="str">
        <f>("1032161")</f>
        <v>1032161</v>
      </c>
      <c r="P269" s="39" t="s">
        <v>11757</v>
      </c>
      <c r="Q269" s="39" t="s">
        <v>8568</v>
      </c>
      <c r="R269" s="39" t="s">
        <v>8569</v>
      </c>
      <c r="S269" s="39" t="s">
        <v>8570</v>
      </c>
      <c r="AA269" s="39" t="s">
        <v>2122</v>
      </c>
      <c r="AB269" s="39" t="s">
        <v>7830</v>
      </c>
      <c r="AC269" s="39" t="s">
        <v>7831</v>
      </c>
      <c r="AD269" s="39" t="str">
        <f>("0338756")</f>
        <v>0338756</v>
      </c>
      <c r="AE269" s="39" t="s">
        <v>2530</v>
      </c>
      <c r="AF269" s="39" t="s">
        <v>2122</v>
      </c>
      <c r="AG269" s="39" t="s">
        <v>7830</v>
      </c>
      <c r="AH269" s="39" t="s">
        <v>7831</v>
      </c>
      <c r="AI269" s="39" t="str">
        <f>("0130475")</f>
        <v>0130475</v>
      </c>
      <c r="AJ269" s="39" t="s">
        <v>2024</v>
      </c>
      <c r="AK269" s="39" t="str">
        <f>("2025/09/02")</f>
        <v>2025/09/02</v>
      </c>
      <c r="AL269" s="39" t="str">
        <f>("2025/09/02")</f>
        <v>2025/09/02</v>
      </c>
    </row>
    <row r="270" spans="1:39" x14ac:dyDescent="0.25">
      <c r="A270" s="39" t="str">
        <f>("1308040070")</f>
        <v>1308040070</v>
      </c>
      <c r="B270" s="39" t="s">
        <v>8742</v>
      </c>
      <c r="C270" s="39"/>
      <c r="D270" s="39" t="s">
        <v>8743</v>
      </c>
      <c r="E270" s="371" t="str">
        <f t="shared" si="21"/>
        <v>のなか　あいり</v>
      </c>
      <c r="F270" s="39" t="s">
        <v>2587</v>
      </c>
      <c r="G270" s="39" t="s">
        <v>7828</v>
      </c>
      <c r="H270" s="39" t="str">
        <f>("2013/08/04")</f>
        <v>2013/08/04</v>
      </c>
      <c r="I270" s="39">
        <v>6</v>
      </c>
      <c r="J270" s="39" t="s">
        <v>1480</v>
      </c>
      <c r="K270" s="39" t="s">
        <v>2122</v>
      </c>
      <c r="L270" s="39" t="s">
        <v>7830</v>
      </c>
      <c r="M270" s="39" t="s">
        <v>7831</v>
      </c>
      <c r="N270" s="39" t="str">
        <f>("0387334")</f>
        <v>0387334</v>
      </c>
      <c r="P270" s="39" t="s">
        <v>11758</v>
      </c>
      <c r="Q270" s="39" t="s">
        <v>8568</v>
      </c>
      <c r="R270" s="39" t="s">
        <v>8569</v>
      </c>
      <c r="S270" s="39" t="s">
        <v>8570</v>
      </c>
      <c r="AK270" s="39" t="str">
        <f>("2025/03/27")</f>
        <v>2025/03/27</v>
      </c>
      <c r="AL270" s="39" t="str">
        <f t="shared" ref="AL270:AL307" si="22">("2025/04/01")</f>
        <v>2025/04/01</v>
      </c>
    </row>
    <row r="271" spans="1:39" x14ac:dyDescent="0.25">
      <c r="A271" s="39" t="str">
        <f>("1308040141")</f>
        <v>1308040141</v>
      </c>
      <c r="C271" s="39"/>
      <c r="D271" s="39" t="s">
        <v>5932</v>
      </c>
      <c r="E271" s="371" t="str">
        <f t="shared" si="21"/>
        <v>かじはら　そうた</v>
      </c>
      <c r="F271" s="39" t="s">
        <v>2556</v>
      </c>
      <c r="G271" s="39" t="s">
        <v>7828</v>
      </c>
      <c r="H271" s="39" t="str">
        <f>("2013/08/04")</f>
        <v>2013/08/04</v>
      </c>
      <c r="I271" s="39">
        <v>6</v>
      </c>
      <c r="J271" s="39" t="s">
        <v>1478</v>
      </c>
      <c r="K271" s="39" t="s">
        <v>2122</v>
      </c>
      <c r="L271" s="39" t="s">
        <v>7830</v>
      </c>
      <c r="M271" s="39" t="s">
        <v>7831</v>
      </c>
      <c r="N271" s="39" t="str">
        <f>("0130712")</f>
        <v>0130712</v>
      </c>
      <c r="P271" s="39" t="s">
        <v>11759</v>
      </c>
      <c r="Q271" s="39" t="s">
        <v>8568</v>
      </c>
      <c r="R271" s="39" t="s">
        <v>8569</v>
      </c>
      <c r="S271" s="39" t="s">
        <v>8570</v>
      </c>
      <c r="AK271" s="39" t="str">
        <f>("2025/03/27")</f>
        <v>2025/03/27</v>
      </c>
      <c r="AL271" s="39" t="str">
        <f t="shared" si="22"/>
        <v>2025/04/01</v>
      </c>
    </row>
    <row r="272" spans="1:39" x14ac:dyDescent="0.25">
      <c r="A272" s="39" t="str">
        <f>("1308050105")</f>
        <v>1308050105</v>
      </c>
      <c r="B272" s="39" t="s">
        <v>8744</v>
      </c>
      <c r="C272" s="39"/>
      <c r="D272" s="39" t="s">
        <v>4116</v>
      </c>
      <c r="E272" s="371" t="str">
        <f t="shared" si="21"/>
        <v>やまもと　きょうじろう</v>
      </c>
      <c r="F272" s="39" t="s">
        <v>838</v>
      </c>
      <c r="G272" s="39" t="s">
        <v>7828</v>
      </c>
      <c r="H272" s="39" t="str">
        <f>("2013/08/05")</f>
        <v>2013/08/05</v>
      </c>
      <c r="I272" s="39">
        <v>6</v>
      </c>
      <c r="J272" s="39" t="s">
        <v>1478</v>
      </c>
      <c r="K272" s="39" t="s">
        <v>2122</v>
      </c>
      <c r="L272" s="39" t="s">
        <v>7830</v>
      </c>
      <c r="M272" s="39" t="s">
        <v>7831</v>
      </c>
      <c r="N272" s="39" t="str">
        <f>("0360021")</f>
        <v>0360021</v>
      </c>
      <c r="P272" s="39" t="s">
        <v>11760</v>
      </c>
      <c r="Q272" s="39" t="s">
        <v>8568</v>
      </c>
      <c r="R272" s="39" t="s">
        <v>8569</v>
      </c>
      <c r="S272" s="39" t="s">
        <v>8570</v>
      </c>
      <c r="AK272" s="39" t="str">
        <f>("2025/03/17")</f>
        <v>2025/03/17</v>
      </c>
      <c r="AL272" s="39" t="str">
        <f t="shared" si="22"/>
        <v>2025/04/01</v>
      </c>
    </row>
    <row r="273" spans="1:39" x14ac:dyDescent="0.25">
      <c r="A273" s="39" t="str">
        <f>("1308050135")</f>
        <v>1308050135</v>
      </c>
      <c r="B273" s="39" t="s">
        <v>8745</v>
      </c>
      <c r="C273" s="39"/>
      <c r="D273" s="39" t="s">
        <v>4441</v>
      </c>
      <c r="E273" s="371" t="str">
        <f t="shared" si="21"/>
        <v>ひさとみ　かりん</v>
      </c>
      <c r="F273" s="39" t="s">
        <v>1912</v>
      </c>
      <c r="G273" s="39" t="s">
        <v>7828</v>
      </c>
      <c r="H273" s="39" t="str">
        <f>("2013/08/05")</f>
        <v>2013/08/05</v>
      </c>
      <c r="I273" s="39">
        <v>6</v>
      </c>
      <c r="J273" s="39" t="s">
        <v>1480</v>
      </c>
      <c r="K273" s="39" t="s">
        <v>2122</v>
      </c>
      <c r="L273" s="39" t="s">
        <v>7830</v>
      </c>
      <c r="M273" s="39" t="s">
        <v>7831</v>
      </c>
      <c r="N273" s="39" t="str">
        <f>("0130363")</f>
        <v>0130363</v>
      </c>
      <c r="P273" s="39" t="s">
        <v>11761</v>
      </c>
      <c r="Q273" s="39" t="s">
        <v>8568</v>
      </c>
      <c r="R273" s="39" t="s">
        <v>8569</v>
      </c>
      <c r="S273" s="39" t="s">
        <v>8570</v>
      </c>
      <c r="AK273" s="39" t="str">
        <f>("2025/03/17")</f>
        <v>2025/03/17</v>
      </c>
      <c r="AL273" s="39" t="str">
        <f t="shared" si="22"/>
        <v>2025/04/01</v>
      </c>
    </row>
    <row r="274" spans="1:39" x14ac:dyDescent="0.25">
      <c r="A274" s="39" t="str">
        <f>("1308050226")</f>
        <v>1308050226</v>
      </c>
      <c r="C274" s="39"/>
      <c r="D274" s="39" t="s">
        <v>8746</v>
      </c>
      <c r="E274" s="371" t="str">
        <f t="shared" si="21"/>
        <v>たかまつ　えいと</v>
      </c>
      <c r="F274" s="39" t="s">
        <v>520</v>
      </c>
      <c r="G274" s="39" t="s">
        <v>7828</v>
      </c>
      <c r="H274" s="39" t="str">
        <f>("2013/08/05")</f>
        <v>2013/08/05</v>
      </c>
      <c r="I274" s="39">
        <v>6</v>
      </c>
      <c r="J274" s="39" t="s">
        <v>1478</v>
      </c>
      <c r="K274" s="39" t="s">
        <v>2122</v>
      </c>
      <c r="L274" s="39" t="s">
        <v>7830</v>
      </c>
      <c r="M274" s="39" t="s">
        <v>7831</v>
      </c>
      <c r="N274" s="39" t="str">
        <f>("0129765")</f>
        <v>0129765</v>
      </c>
      <c r="P274" s="39" t="s">
        <v>11762</v>
      </c>
      <c r="Q274" s="39" t="s">
        <v>8568</v>
      </c>
      <c r="R274" s="39" t="s">
        <v>8569</v>
      </c>
      <c r="S274" s="39" t="s">
        <v>8570</v>
      </c>
      <c r="AK274" s="39" t="str">
        <f>("2025/03/17")</f>
        <v>2025/03/17</v>
      </c>
      <c r="AL274" s="39" t="str">
        <f t="shared" si="22"/>
        <v>2025/04/01</v>
      </c>
      <c r="AM274" s="39" t="str">
        <f>("2025/03/25")</f>
        <v>2025/03/25</v>
      </c>
    </row>
    <row r="275" spans="1:39" x14ac:dyDescent="0.25">
      <c r="A275" s="39" t="str">
        <f>("1308060125")</f>
        <v>1308060125</v>
      </c>
      <c r="B275" s="39" t="s">
        <v>8747</v>
      </c>
      <c r="C275" s="39"/>
      <c r="D275" s="39" t="s">
        <v>8748</v>
      </c>
      <c r="E275" s="371" t="str">
        <f t="shared" si="21"/>
        <v>ゆき　おうしろう</v>
      </c>
      <c r="F275" s="39" t="s">
        <v>7843</v>
      </c>
      <c r="G275" s="39" t="s">
        <v>7828</v>
      </c>
      <c r="H275" s="39" t="str">
        <f>("2013/08/06")</f>
        <v>2013/08/06</v>
      </c>
      <c r="I275" s="39">
        <v>6</v>
      </c>
      <c r="J275" s="39" t="s">
        <v>1478</v>
      </c>
      <c r="K275" s="39" t="s">
        <v>2122</v>
      </c>
      <c r="L275" s="39" t="s">
        <v>7830</v>
      </c>
      <c r="M275" s="39" t="s">
        <v>7831</v>
      </c>
      <c r="N275" s="39" t="str">
        <f>("1117332")</f>
        <v>1117332</v>
      </c>
      <c r="P275" s="39" t="s">
        <v>11763</v>
      </c>
      <c r="Q275" s="39" t="s">
        <v>8568</v>
      </c>
      <c r="R275" s="39" t="s">
        <v>8569</v>
      </c>
      <c r="S275" s="39" t="s">
        <v>8570</v>
      </c>
      <c r="AA275" s="39" t="s">
        <v>2122</v>
      </c>
      <c r="AB275" s="39" t="s">
        <v>7830</v>
      </c>
      <c r="AC275" s="39" t="s">
        <v>7831</v>
      </c>
      <c r="AD275" s="39" t="str">
        <f>("1073454")</f>
        <v>1073454</v>
      </c>
      <c r="AE275" s="39" t="s">
        <v>8749</v>
      </c>
      <c r="AK275" s="39" t="str">
        <f>("2025/03/17")</f>
        <v>2025/03/17</v>
      </c>
      <c r="AL275" s="39" t="str">
        <f t="shared" si="22"/>
        <v>2025/04/01</v>
      </c>
    </row>
    <row r="276" spans="1:39" x14ac:dyDescent="0.25">
      <c r="A276" s="39" t="str">
        <f>("1308060129")</f>
        <v>1308060129</v>
      </c>
      <c r="B276" s="39" t="s">
        <v>8750</v>
      </c>
      <c r="C276" s="39"/>
      <c r="D276" s="39" t="s">
        <v>4274</v>
      </c>
      <c r="E276" s="371" t="str">
        <f t="shared" si="21"/>
        <v>こやせ　ゆう</v>
      </c>
      <c r="F276" s="39" t="s">
        <v>2485</v>
      </c>
      <c r="G276" s="39" t="s">
        <v>7828</v>
      </c>
      <c r="H276" s="39" t="str">
        <f>("2013/08/06")</f>
        <v>2013/08/06</v>
      </c>
      <c r="I276" s="39">
        <v>6</v>
      </c>
      <c r="J276" s="39" t="s">
        <v>1478</v>
      </c>
      <c r="K276" s="39" t="s">
        <v>2122</v>
      </c>
      <c r="L276" s="39" t="s">
        <v>7830</v>
      </c>
      <c r="M276" s="39" t="s">
        <v>7831</v>
      </c>
      <c r="N276" s="39" t="str">
        <f>("0129754")</f>
        <v>0129754</v>
      </c>
      <c r="P276" s="39" t="s">
        <v>11764</v>
      </c>
      <c r="Q276" s="39" t="s">
        <v>8568</v>
      </c>
      <c r="R276" s="39" t="s">
        <v>8569</v>
      </c>
      <c r="S276" s="39" t="s">
        <v>8570</v>
      </c>
      <c r="AK276" s="39" t="str">
        <f>("2025/03/24")</f>
        <v>2025/03/24</v>
      </c>
      <c r="AL276" s="39" t="str">
        <f t="shared" si="22"/>
        <v>2025/04/01</v>
      </c>
    </row>
    <row r="277" spans="1:39" x14ac:dyDescent="0.25">
      <c r="A277" s="39" t="str">
        <f>("1308060286")</f>
        <v>1308060286</v>
      </c>
      <c r="C277" s="39"/>
      <c r="D277" s="39" t="s">
        <v>5747</v>
      </c>
      <c r="E277" s="371" t="str">
        <f t="shared" si="21"/>
        <v>ともまつ　りく</v>
      </c>
      <c r="F277" s="39" t="s">
        <v>2918</v>
      </c>
      <c r="G277" s="39" t="s">
        <v>7876</v>
      </c>
      <c r="H277" s="39" t="str">
        <f>("2013/08/06")</f>
        <v>2013/08/06</v>
      </c>
      <c r="I277" s="39">
        <v>6</v>
      </c>
      <c r="J277" s="39" t="s">
        <v>1478</v>
      </c>
      <c r="K277" s="39" t="s">
        <v>2122</v>
      </c>
      <c r="L277" s="39" t="s">
        <v>7830</v>
      </c>
      <c r="M277" s="39" t="s">
        <v>7831</v>
      </c>
      <c r="N277" s="39" t="str">
        <f>("0129912")</f>
        <v>0129912</v>
      </c>
      <c r="P277" s="39" t="s">
        <v>11765</v>
      </c>
      <c r="Q277" s="39" t="s">
        <v>8568</v>
      </c>
      <c r="R277" s="39" t="s">
        <v>8569</v>
      </c>
      <c r="S277" s="39" t="s">
        <v>8570</v>
      </c>
      <c r="AK277" s="39" t="str">
        <f>("2025/03/17")</f>
        <v>2025/03/17</v>
      </c>
      <c r="AL277" s="39" t="str">
        <f t="shared" si="22"/>
        <v>2025/04/01</v>
      </c>
      <c r="AM277" s="39" t="str">
        <f>("2025/10/10")</f>
        <v>2025/10/10</v>
      </c>
    </row>
    <row r="278" spans="1:39" x14ac:dyDescent="0.25">
      <c r="A278" s="39" t="str">
        <f>("1308070069")</f>
        <v>1308070069</v>
      </c>
      <c r="B278" s="39" t="s">
        <v>8751</v>
      </c>
      <c r="C278" s="39"/>
      <c r="D278" s="39" t="s">
        <v>4492</v>
      </c>
      <c r="E278" s="371" t="str">
        <f t="shared" si="21"/>
        <v>やまむら　なつき</v>
      </c>
      <c r="F278" s="39" t="s">
        <v>2024</v>
      </c>
      <c r="G278" s="39" t="s">
        <v>7828</v>
      </c>
      <c r="H278" s="39" t="str">
        <f>("2013/08/07")</f>
        <v>2013/08/07</v>
      </c>
      <c r="I278" s="39">
        <v>6</v>
      </c>
      <c r="J278" s="39" t="s">
        <v>1478</v>
      </c>
      <c r="K278" s="39" t="s">
        <v>2122</v>
      </c>
      <c r="L278" s="39" t="s">
        <v>7830</v>
      </c>
      <c r="M278" s="39" t="s">
        <v>7831</v>
      </c>
      <c r="N278" s="39" t="str">
        <f>("0130475")</f>
        <v>0130475</v>
      </c>
      <c r="P278" s="39" t="s">
        <v>11766</v>
      </c>
      <c r="Q278" s="39" t="s">
        <v>8568</v>
      </c>
      <c r="R278" s="39" t="s">
        <v>8569</v>
      </c>
      <c r="S278" s="39" t="s">
        <v>8570</v>
      </c>
      <c r="AK278" s="39" t="str">
        <f>("2025/04/04")</f>
        <v>2025/04/04</v>
      </c>
      <c r="AL278" s="39" t="str">
        <f t="shared" si="22"/>
        <v>2025/04/01</v>
      </c>
    </row>
    <row r="279" spans="1:39" x14ac:dyDescent="0.25">
      <c r="A279" s="39" t="str">
        <f>("1308070106")</f>
        <v>1308070106</v>
      </c>
      <c r="B279" s="39" t="s">
        <v>8752</v>
      </c>
      <c r="C279" s="39"/>
      <c r="D279" s="39" t="s">
        <v>8753</v>
      </c>
      <c r="E279" s="371" t="str">
        <f t="shared" si="21"/>
        <v>いわや　こうき</v>
      </c>
      <c r="F279" s="39" t="s">
        <v>2619</v>
      </c>
      <c r="G279" s="39" t="s">
        <v>7828</v>
      </c>
      <c r="H279" s="39" t="str">
        <f>("2013/08/07")</f>
        <v>2013/08/07</v>
      </c>
      <c r="I279" s="39">
        <v>6</v>
      </c>
      <c r="J279" s="39" t="s">
        <v>1478</v>
      </c>
      <c r="K279" s="39" t="s">
        <v>2122</v>
      </c>
      <c r="L279" s="39" t="s">
        <v>7830</v>
      </c>
      <c r="M279" s="39" t="s">
        <v>7831</v>
      </c>
      <c r="N279" s="39" t="str">
        <f>("0472823")</f>
        <v>0472823</v>
      </c>
      <c r="P279" s="39" t="s">
        <v>11767</v>
      </c>
      <c r="Q279" s="39" t="s">
        <v>8568</v>
      </c>
      <c r="R279" s="39" t="s">
        <v>8569</v>
      </c>
      <c r="S279" s="39" t="s">
        <v>8570</v>
      </c>
      <c r="AK279" s="39" t="str">
        <f>("2025/03/17")</f>
        <v>2025/03/17</v>
      </c>
      <c r="AL279" s="39" t="str">
        <f t="shared" si="22"/>
        <v>2025/04/01</v>
      </c>
    </row>
    <row r="280" spans="1:39" x14ac:dyDescent="0.25">
      <c r="A280" s="39" t="str">
        <f>("1308070107")</f>
        <v>1308070107</v>
      </c>
      <c r="C280" s="39"/>
      <c r="D280" s="39" t="s">
        <v>5797</v>
      </c>
      <c r="E280" s="371" t="str">
        <f t="shared" si="21"/>
        <v>たにがわ　ゆうた</v>
      </c>
      <c r="F280" s="39" t="s">
        <v>856</v>
      </c>
      <c r="G280" s="39" t="s">
        <v>7828</v>
      </c>
      <c r="H280" s="39" t="str">
        <f>("2013/08/07")</f>
        <v>2013/08/07</v>
      </c>
      <c r="I280" s="39">
        <v>6</v>
      </c>
      <c r="J280" s="39" t="s">
        <v>1478</v>
      </c>
      <c r="K280" s="39" t="s">
        <v>2122</v>
      </c>
      <c r="L280" s="39" t="s">
        <v>7830</v>
      </c>
      <c r="M280" s="39" t="s">
        <v>7831</v>
      </c>
      <c r="N280" s="39" t="str">
        <f>("0130149")</f>
        <v>0130149</v>
      </c>
      <c r="P280" s="39" t="s">
        <v>11768</v>
      </c>
      <c r="Q280" s="39" t="s">
        <v>8568</v>
      </c>
      <c r="R280" s="39" t="s">
        <v>8569</v>
      </c>
      <c r="S280" s="39" t="s">
        <v>8570</v>
      </c>
      <c r="AA280" s="39" t="s">
        <v>2122</v>
      </c>
      <c r="AB280" s="39" t="s">
        <v>7830</v>
      </c>
      <c r="AC280" s="39" t="s">
        <v>7831</v>
      </c>
      <c r="AD280" s="39" t="str">
        <f>("0472823")</f>
        <v>0472823</v>
      </c>
      <c r="AE280" s="39" t="s">
        <v>2619</v>
      </c>
      <c r="AK280" s="39" t="str">
        <f>("2025/03/17")</f>
        <v>2025/03/17</v>
      </c>
      <c r="AL280" s="39" t="str">
        <f t="shared" si="22"/>
        <v>2025/04/01</v>
      </c>
    </row>
    <row r="281" spans="1:39" x14ac:dyDescent="0.25">
      <c r="A281" s="39" t="str">
        <f>("1308070286")</f>
        <v>1308070286</v>
      </c>
      <c r="C281" s="39"/>
      <c r="D281" s="39" t="s">
        <v>5765</v>
      </c>
      <c r="E281" s="371" t="str">
        <f t="shared" si="21"/>
        <v>こやま　はづき</v>
      </c>
      <c r="F281" s="39" t="s">
        <v>156</v>
      </c>
      <c r="G281" s="39" t="s">
        <v>7828</v>
      </c>
      <c r="H281" s="39" t="str">
        <f>("2013/08/07")</f>
        <v>2013/08/07</v>
      </c>
      <c r="I281" s="39">
        <v>6</v>
      </c>
      <c r="J281" s="39" t="s">
        <v>1480</v>
      </c>
      <c r="K281" s="39" t="s">
        <v>2122</v>
      </c>
      <c r="L281" s="39" t="s">
        <v>7830</v>
      </c>
      <c r="M281" s="39" t="s">
        <v>7831</v>
      </c>
      <c r="N281" s="39" t="str">
        <f>("0130037")</f>
        <v>0130037</v>
      </c>
      <c r="P281" s="39" t="s">
        <v>11769</v>
      </c>
      <c r="Q281" s="39" t="s">
        <v>8568</v>
      </c>
      <c r="R281" s="39" t="s">
        <v>8569</v>
      </c>
      <c r="S281" s="39" t="s">
        <v>8570</v>
      </c>
      <c r="AK281" s="39" t="str">
        <f>("2025/03/17")</f>
        <v>2025/03/17</v>
      </c>
      <c r="AL281" s="39" t="str">
        <f t="shared" si="22"/>
        <v>2025/04/01</v>
      </c>
    </row>
    <row r="282" spans="1:39" x14ac:dyDescent="0.25">
      <c r="A282" s="39" t="str">
        <f>("1308080068")</f>
        <v>1308080068</v>
      </c>
      <c r="C282" s="39"/>
      <c r="D282" s="39" t="s">
        <v>4255</v>
      </c>
      <c r="E282" s="371" t="str">
        <f t="shared" si="21"/>
        <v>さかい　しゅうと</v>
      </c>
      <c r="F282" s="39" t="s">
        <v>5615</v>
      </c>
      <c r="G282" s="39" t="s">
        <v>7828</v>
      </c>
      <c r="H282" s="39" t="str">
        <f>("2013/08/08")</f>
        <v>2013/08/08</v>
      </c>
      <c r="I282" s="39">
        <v>6</v>
      </c>
      <c r="J282" s="39" t="s">
        <v>1478</v>
      </c>
      <c r="K282" s="39" t="s">
        <v>2122</v>
      </c>
      <c r="L282" s="39" t="s">
        <v>7830</v>
      </c>
      <c r="M282" s="39" t="s">
        <v>7831</v>
      </c>
      <c r="N282" s="39" t="str">
        <f>("0129642")</f>
        <v>0129642</v>
      </c>
      <c r="P282" s="39" t="s">
        <v>11770</v>
      </c>
      <c r="Q282" s="39" t="s">
        <v>8568</v>
      </c>
      <c r="R282" s="39" t="s">
        <v>8569</v>
      </c>
      <c r="S282" s="39" t="s">
        <v>8570</v>
      </c>
      <c r="AK282" s="39" t="str">
        <f>("2025/03/24")</f>
        <v>2025/03/24</v>
      </c>
      <c r="AL282" s="39" t="str">
        <f t="shared" si="22"/>
        <v>2025/04/01</v>
      </c>
    </row>
    <row r="283" spans="1:39" x14ac:dyDescent="0.25">
      <c r="A283" s="39" t="str">
        <f>("1308080092")</f>
        <v>1308080092</v>
      </c>
      <c r="B283" s="39" t="s">
        <v>8754</v>
      </c>
      <c r="C283" s="39"/>
      <c r="D283" s="39" t="s">
        <v>8755</v>
      </c>
      <c r="E283" s="371" t="str">
        <f t="shared" si="21"/>
        <v>とみた　かいと</v>
      </c>
      <c r="F283" s="39" t="s">
        <v>2619</v>
      </c>
      <c r="G283" s="39" t="s">
        <v>7828</v>
      </c>
      <c r="H283" s="39" t="str">
        <f>("2013/08/08")</f>
        <v>2013/08/08</v>
      </c>
      <c r="I283" s="39">
        <v>6</v>
      </c>
      <c r="J283" s="39" t="s">
        <v>1478</v>
      </c>
      <c r="K283" s="39" t="s">
        <v>2122</v>
      </c>
      <c r="L283" s="39" t="s">
        <v>7830</v>
      </c>
      <c r="M283" s="39" t="s">
        <v>7831</v>
      </c>
      <c r="N283" s="39" t="str">
        <f>("0472823")</f>
        <v>0472823</v>
      </c>
      <c r="P283" s="39" t="s">
        <v>11771</v>
      </c>
      <c r="Q283" s="39" t="s">
        <v>8568</v>
      </c>
      <c r="R283" s="39" t="s">
        <v>8569</v>
      </c>
      <c r="S283" s="39" t="s">
        <v>8570</v>
      </c>
      <c r="AK283" s="39" t="str">
        <f>("2025/03/17")</f>
        <v>2025/03/17</v>
      </c>
      <c r="AL283" s="39" t="str">
        <f t="shared" si="22"/>
        <v>2025/04/01</v>
      </c>
    </row>
    <row r="284" spans="1:39" x14ac:dyDescent="0.25">
      <c r="A284" s="39" t="str">
        <f>("1308080115")</f>
        <v>1308080115</v>
      </c>
      <c r="C284" s="39"/>
      <c r="D284" s="39" t="s">
        <v>3933</v>
      </c>
      <c r="E284" s="371" t="str">
        <f t="shared" si="21"/>
        <v>くろだ　りく</v>
      </c>
      <c r="F284" s="39" t="s">
        <v>2496</v>
      </c>
      <c r="G284" s="39" t="s">
        <v>7828</v>
      </c>
      <c r="H284" s="39" t="str">
        <f>("2013/08/08")</f>
        <v>2013/08/08</v>
      </c>
      <c r="I284" s="39">
        <v>6</v>
      </c>
      <c r="J284" s="39" t="s">
        <v>1478</v>
      </c>
      <c r="K284" s="39" t="s">
        <v>2122</v>
      </c>
      <c r="L284" s="39" t="s">
        <v>7830</v>
      </c>
      <c r="M284" s="39" t="s">
        <v>7831</v>
      </c>
      <c r="N284" s="39" t="str">
        <f>("0129855")</f>
        <v>0129855</v>
      </c>
      <c r="P284" s="39" t="s">
        <v>11772</v>
      </c>
      <c r="Q284" s="39" t="s">
        <v>8568</v>
      </c>
      <c r="R284" s="39" t="s">
        <v>8569</v>
      </c>
      <c r="S284" s="39" t="s">
        <v>8570</v>
      </c>
      <c r="AK284" s="39" t="str">
        <f>("2025/03/24")</f>
        <v>2025/03/24</v>
      </c>
      <c r="AL284" s="39" t="str">
        <f t="shared" si="22"/>
        <v>2025/04/01</v>
      </c>
    </row>
    <row r="285" spans="1:39" x14ac:dyDescent="0.25">
      <c r="A285" s="39" t="str">
        <f>("1308080157")</f>
        <v>1308080157</v>
      </c>
      <c r="C285" s="39"/>
      <c r="D285" s="39" t="s">
        <v>4526</v>
      </c>
      <c r="E285" s="371" t="str">
        <f t="shared" si="21"/>
        <v>さいとう　たける</v>
      </c>
      <c r="F285" s="39" t="s">
        <v>2533</v>
      </c>
      <c r="G285" s="39" t="s">
        <v>7828</v>
      </c>
      <c r="H285" s="39" t="str">
        <f>("2013/08/08")</f>
        <v>2013/08/08</v>
      </c>
      <c r="I285" s="39">
        <v>6</v>
      </c>
      <c r="J285" s="39" t="s">
        <v>1478</v>
      </c>
      <c r="K285" s="39" t="s">
        <v>2122</v>
      </c>
      <c r="L285" s="39" t="s">
        <v>7830</v>
      </c>
      <c r="M285" s="39" t="s">
        <v>7831</v>
      </c>
      <c r="N285" s="39" t="str">
        <f>("0130497")</f>
        <v>0130497</v>
      </c>
      <c r="P285" s="39" t="s">
        <v>11773</v>
      </c>
      <c r="Q285" s="39" t="s">
        <v>8568</v>
      </c>
      <c r="R285" s="39" t="s">
        <v>8569</v>
      </c>
      <c r="S285" s="39" t="s">
        <v>8570</v>
      </c>
      <c r="AK285" s="39" t="str">
        <f>("2025/03/17")</f>
        <v>2025/03/17</v>
      </c>
      <c r="AL285" s="39" t="str">
        <f t="shared" si="22"/>
        <v>2025/04/01</v>
      </c>
    </row>
    <row r="286" spans="1:39" x14ac:dyDescent="0.25">
      <c r="A286" s="39" t="str">
        <f>("1308080165")</f>
        <v>1308080165</v>
      </c>
      <c r="C286" s="39"/>
      <c r="D286" s="39" t="s">
        <v>4831</v>
      </c>
      <c r="E286" s="371" t="str">
        <f t="shared" si="21"/>
        <v>きづき　しゅうと</v>
      </c>
      <c r="F286" s="39" t="s">
        <v>2647</v>
      </c>
      <c r="G286" s="39" t="s">
        <v>7828</v>
      </c>
      <c r="H286" s="39" t="str">
        <f>("2013/08/08")</f>
        <v>2013/08/08</v>
      </c>
      <c r="I286" s="39">
        <v>6</v>
      </c>
      <c r="J286" s="39" t="s">
        <v>1478</v>
      </c>
      <c r="K286" s="39" t="s">
        <v>2122</v>
      </c>
      <c r="L286" s="39" t="s">
        <v>7830</v>
      </c>
      <c r="M286" s="39" t="s">
        <v>7831</v>
      </c>
      <c r="N286" s="39" t="str">
        <f>("1036817")</f>
        <v>1036817</v>
      </c>
      <c r="P286" s="39" t="s">
        <v>11774</v>
      </c>
      <c r="Q286" s="39" t="s">
        <v>8568</v>
      </c>
      <c r="R286" s="39" t="s">
        <v>8569</v>
      </c>
      <c r="S286" s="39" t="s">
        <v>8570</v>
      </c>
      <c r="AK286" s="39" t="str">
        <f>("2025/03/17")</f>
        <v>2025/03/17</v>
      </c>
      <c r="AL286" s="39" t="str">
        <f t="shared" si="22"/>
        <v>2025/04/01</v>
      </c>
    </row>
    <row r="287" spans="1:39" x14ac:dyDescent="0.25">
      <c r="A287" s="39" t="str">
        <f>("1308090035")</f>
        <v>1308090035</v>
      </c>
      <c r="C287" s="39"/>
      <c r="D287" s="39" t="s">
        <v>6175</v>
      </c>
      <c r="E287" s="371" t="str">
        <f t="shared" si="21"/>
        <v>たかくら　けいご</v>
      </c>
      <c r="F287" s="39" t="s">
        <v>827</v>
      </c>
      <c r="G287" s="39" t="s">
        <v>7828</v>
      </c>
      <c r="H287" s="39" t="str">
        <f t="shared" ref="H287:H292" si="23">("2013/08/09")</f>
        <v>2013/08/09</v>
      </c>
      <c r="I287" s="39">
        <v>6</v>
      </c>
      <c r="J287" s="39" t="s">
        <v>1478</v>
      </c>
      <c r="K287" s="39" t="s">
        <v>2122</v>
      </c>
      <c r="L287" s="39" t="s">
        <v>7830</v>
      </c>
      <c r="M287" s="39" t="s">
        <v>7831</v>
      </c>
      <c r="N287" s="39" t="str">
        <f>("0504908")</f>
        <v>0504908</v>
      </c>
      <c r="P287" s="39" t="s">
        <v>11775</v>
      </c>
      <c r="Q287" s="39" t="s">
        <v>8568</v>
      </c>
      <c r="R287" s="39" t="s">
        <v>8569</v>
      </c>
      <c r="S287" s="39" t="s">
        <v>8570</v>
      </c>
      <c r="AK287" s="39" t="str">
        <f>("2025/03/21")</f>
        <v>2025/03/21</v>
      </c>
      <c r="AL287" s="39" t="str">
        <f t="shared" si="22"/>
        <v>2025/04/01</v>
      </c>
    </row>
    <row r="288" spans="1:39" x14ac:dyDescent="0.25">
      <c r="A288" s="39" t="str">
        <f>("1308090073")</f>
        <v>1308090073</v>
      </c>
      <c r="B288" s="39" t="s">
        <v>8756</v>
      </c>
      <c r="C288" s="39"/>
      <c r="D288" s="39" t="s">
        <v>4485</v>
      </c>
      <c r="E288" s="371" t="str">
        <f t="shared" si="21"/>
        <v>いしぐろ　だいち</v>
      </c>
      <c r="F288" s="39" t="s">
        <v>2025</v>
      </c>
      <c r="G288" s="39" t="s">
        <v>7876</v>
      </c>
      <c r="H288" s="39" t="str">
        <f t="shared" si="23"/>
        <v>2013/08/09</v>
      </c>
      <c r="I288" s="39">
        <v>6</v>
      </c>
      <c r="J288" s="39" t="s">
        <v>1478</v>
      </c>
      <c r="K288" s="39" t="s">
        <v>2122</v>
      </c>
      <c r="L288" s="39" t="s">
        <v>7830</v>
      </c>
      <c r="M288" s="39" t="s">
        <v>7831</v>
      </c>
      <c r="N288" s="39" t="str">
        <f>("0354901")</f>
        <v>0354901</v>
      </c>
      <c r="P288" s="39" t="s">
        <v>11776</v>
      </c>
      <c r="Q288" s="39" t="s">
        <v>8568</v>
      </c>
      <c r="R288" s="39" t="s">
        <v>8569</v>
      </c>
      <c r="S288" s="39" t="s">
        <v>8570</v>
      </c>
      <c r="AA288" s="39" t="s">
        <v>2122</v>
      </c>
      <c r="AB288" s="39" t="s">
        <v>7830</v>
      </c>
      <c r="AC288" s="39" t="s">
        <v>7831</v>
      </c>
      <c r="AD288" s="39" t="str">
        <f>("0130475")</f>
        <v>0130475</v>
      </c>
      <c r="AE288" s="39" t="s">
        <v>2024</v>
      </c>
      <c r="AK288" s="39" t="str">
        <f>("2025/03/19")</f>
        <v>2025/03/19</v>
      </c>
      <c r="AL288" s="39" t="str">
        <f t="shared" si="22"/>
        <v>2025/04/01</v>
      </c>
      <c r="AM288" s="39" t="str">
        <f>("2025/07/01")</f>
        <v>2025/07/01</v>
      </c>
    </row>
    <row r="289" spans="1:38" x14ac:dyDescent="0.25">
      <c r="A289" s="39" t="str">
        <f>("1308090097")</f>
        <v>1308090097</v>
      </c>
      <c r="B289" s="39" t="s">
        <v>8757</v>
      </c>
      <c r="C289" s="39"/>
      <c r="D289" s="39" t="s">
        <v>4871</v>
      </c>
      <c r="E289" s="371" t="str">
        <f t="shared" si="21"/>
        <v>そめや　れお</v>
      </c>
      <c r="F289" s="39" t="s">
        <v>3870</v>
      </c>
      <c r="G289" s="39" t="s">
        <v>7828</v>
      </c>
      <c r="H289" s="39" t="str">
        <f t="shared" si="23"/>
        <v>2013/08/09</v>
      </c>
      <c r="I289" s="39">
        <v>6</v>
      </c>
      <c r="J289" s="39" t="s">
        <v>1478</v>
      </c>
      <c r="K289" s="39" t="s">
        <v>2122</v>
      </c>
      <c r="L289" s="39" t="s">
        <v>7830</v>
      </c>
      <c r="M289" s="39" t="s">
        <v>7831</v>
      </c>
      <c r="N289" s="39" t="str">
        <f>("1094183")</f>
        <v>1094183</v>
      </c>
      <c r="P289" s="39" t="s">
        <v>11777</v>
      </c>
      <c r="Q289" s="39" t="s">
        <v>8568</v>
      </c>
      <c r="R289" s="39" t="s">
        <v>8569</v>
      </c>
      <c r="S289" s="39" t="s">
        <v>8570</v>
      </c>
      <c r="AK289" s="39" t="str">
        <f>("2025/03/27")</f>
        <v>2025/03/27</v>
      </c>
      <c r="AL289" s="39" t="str">
        <f t="shared" si="22"/>
        <v>2025/04/01</v>
      </c>
    </row>
    <row r="290" spans="1:38" x14ac:dyDescent="0.25">
      <c r="A290" s="39" t="str">
        <f>("1308090124")</f>
        <v>1308090124</v>
      </c>
      <c r="B290" s="39" t="s">
        <v>8758</v>
      </c>
      <c r="C290" s="39"/>
      <c r="D290" s="39" t="s">
        <v>6054</v>
      </c>
      <c r="E290" s="371" t="str">
        <f t="shared" si="21"/>
        <v>さいとう　れんたろう</v>
      </c>
      <c r="F290" s="39" t="s">
        <v>2587</v>
      </c>
      <c r="G290" s="39" t="s">
        <v>7828</v>
      </c>
      <c r="H290" s="39" t="str">
        <f t="shared" si="23"/>
        <v>2013/08/09</v>
      </c>
      <c r="I290" s="39">
        <v>6</v>
      </c>
      <c r="J290" s="39" t="s">
        <v>1478</v>
      </c>
      <c r="K290" s="39" t="s">
        <v>2122</v>
      </c>
      <c r="L290" s="39" t="s">
        <v>7830</v>
      </c>
      <c r="M290" s="39" t="s">
        <v>7831</v>
      </c>
      <c r="N290" s="39" t="str">
        <f>("0387334")</f>
        <v>0387334</v>
      </c>
      <c r="P290" s="39" t="s">
        <v>11778</v>
      </c>
      <c r="Q290" s="39" t="s">
        <v>8568</v>
      </c>
      <c r="R290" s="39" t="s">
        <v>8569</v>
      </c>
      <c r="S290" s="39" t="s">
        <v>8570</v>
      </c>
      <c r="AK290" s="39" t="str">
        <f>("2025/03/27")</f>
        <v>2025/03/27</v>
      </c>
      <c r="AL290" s="39" t="str">
        <f t="shared" si="22"/>
        <v>2025/04/01</v>
      </c>
    </row>
    <row r="291" spans="1:38" x14ac:dyDescent="0.25">
      <c r="A291" s="39" t="str">
        <f>("1308090222")</f>
        <v>1308090222</v>
      </c>
      <c r="C291" s="39"/>
      <c r="D291" s="39" t="s">
        <v>6000</v>
      </c>
      <c r="E291" s="371" t="str">
        <f t="shared" si="21"/>
        <v>こん　おうすけ</v>
      </c>
      <c r="F291" s="39" t="s">
        <v>2575</v>
      </c>
      <c r="G291" s="39" t="s">
        <v>7828</v>
      </c>
      <c r="H291" s="39" t="str">
        <f t="shared" si="23"/>
        <v>2013/08/09</v>
      </c>
      <c r="I291" s="39">
        <v>6</v>
      </c>
      <c r="J291" s="39" t="s">
        <v>1478</v>
      </c>
      <c r="K291" s="39" t="s">
        <v>2122</v>
      </c>
      <c r="L291" s="39" t="s">
        <v>7830</v>
      </c>
      <c r="M291" s="39" t="s">
        <v>7831</v>
      </c>
      <c r="N291" s="39" t="str">
        <f>("0303040")</f>
        <v>0303040</v>
      </c>
      <c r="P291" s="39" t="s">
        <v>11779</v>
      </c>
      <c r="Q291" s="39" t="s">
        <v>8568</v>
      </c>
      <c r="R291" s="39" t="s">
        <v>8569</v>
      </c>
      <c r="S291" s="39" t="s">
        <v>8570</v>
      </c>
      <c r="AK291" s="39" t="str">
        <f>("2025/03/17")</f>
        <v>2025/03/17</v>
      </c>
      <c r="AL291" s="39" t="str">
        <f t="shared" si="22"/>
        <v>2025/04/01</v>
      </c>
    </row>
    <row r="292" spans="1:38" x14ac:dyDescent="0.25">
      <c r="A292" s="39" t="str">
        <f>("1308090223")</f>
        <v>1308090223</v>
      </c>
      <c r="C292" s="39"/>
      <c r="D292" s="39" t="s">
        <v>8759</v>
      </c>
      <c r="E292" s="371" t="str">
        <f t="shared" si="21"/>
        <v>かやしま　はると</v>
      </c>
      <c r="F292" s="39" t="s">
        <v>413</v>
      </c>
      <c r="G292" s="39" t="s">
        <v>7828</v>
      </c>
      <c r="H292" s="39" t="str">
        <f t="shared" si="23"/>
        <v>2013/08/09</v>
      </c>
      <c r="I292" s="39">
        <v>6</v>
      </c>
      <c r="J292" s="39" t="s">
        <v>1478</v>
      </c>
      <c r="K292" s="39" t="s">
        <v>2122</v>
      </c>
      <c r="L292" s="39" t="s">
        <v>7830</v>
      </c>
      <c r="M292" s="39" t="s">
        <v>7831</v>
      </c>
      <c r="N292" s="39" t="str">
        <f>("0436902")</f>
        <v>0436902</v>
      </c>
      <c r="P292" s="39" t="s">
        <v>11780</v>
      </c>
      <c r="Q292" s="39" t="s">
        <v>8568</v>
      </c>
      <c r="R292" s="39" t="s">
        <v>8569</v>
      </c>
      <c r="S292" s="39" t="s">
        <v>8570</v>
      </c>
      <c r="AK292" s="39" t="str">
        <f>("2025/03/24")</f>
        <v>2025/03/24</v>
      </c>
      <c r="AL292" s="39" t="str">
        <f t="shared" si="22"/>
        <v>2025/04/01</v>
      </c>
    </row>
    <row r="293" spans="1:38" x14ac:dyDescent="0.25">
      <c r="A293" s="39" t="str">
        <f>("1308100057")</f>
        <v>1308100057</v>
      </c>
      <c r="C293" s="39"/>
      <c r="D293" s="39" t="s">
        <v>6056</v>
      </c>
      <c r="E293" s="371" t="str">
        <f t="shared" si="21"/>
        <v>たかはし　えいと</v>
      </c>
      <c r="F293" s="39" t="s">
        <v>2587</v>
      </c>
      <c r="G293" s="39" t="s">
        <v>7828</v>
      </c>
      <c r="H293" s="39" t="str">
        <f>("2013/08/10")</f>
        <v>2013/08/10</v>
      </c>
      <c r="I293" s="39">
        <v>6</v>
      </c>
      <c r="J293" s="39" t="s">
        <v>1478</v>
      </c>
      <c r="K293" s="39" t="s">
        <v>2122</v>
      </c>
      <c r="L293" s="39" t="s">
        <v>7830</v>
      </c>
      <c r="M293" s="39" t="s">
        <v>7831</v>
      </c>
      <c r="N293" s="39" t="str">
        <f>("0387334")</f>
        <v>0387334</v>
      </c>
      <c r="P293" s="39" t="s">
        <v>11781</v>
      </c>
      <c r="Q293" s="39" t="s">
        <v>8568</v>
      </c>
      <c r="R293" s="39" t="s">
        <v>8569</v>
      </c>
      <c r="S293" s="39" t="s">
        <v>8570</v>
      </c>
      <c r="AA293" s="39" t="s">
        <v>2122</v>
      </c>
      <c r="AB293" s="39" t="s">
        <v>7830</v>
      </c>
      <c r="AC293" s="39" t="s">
        <v>7831</v>
      </c>
      <c r="AD293" s="39" t="str">
        <f>("0130475")</f>
        <v>0130475</v>
      </c>
      <c r="AE293" s="39" t="s">
        <v>2024</v>
      </c>
      <c r="AK293" s="39" t="str">
        <f>("2025/03/27")</f>
        <v>2025/03/27</v>
      </c>
      <c r="AL293" s="39" t="str">
        <f t="shared" si="22"/>
        <v>2025/04/01</v>
      </c>
    </row>
    <row r="294" spans="1:38" x14ac:dyDescent="0.25">
      <c r="A294" s="39" t="str">
        <f>("1308100170")</f>
        <v>1308100170</v>
      </c>
      <c r="C294" s="39"/>
      <c r="D294" s="39" t="s">
        <v>6050</v>
      </c>
      <c r="E294" s="371" t="str">
        <f t="shared" si="21"/>
        <v>なかしま　たいすけ</v>
      </c>
      <c r="F294" s="39" t="s">
        <v>1207</v>
      </c>
      <c r="G294" s="39" t="s">
        <v>7828</v>
      </c>
      <c r="H294" s="39" t="str">
        <f>("2013/08/10")</f>
        <v>2013/08/10</v>
      </c>
      <c r="I294" s="39">
        <v>6</v>
      </c>
      <c r="J294" s="39" t="s">
        <v>1478</v>
      </c>
      <c r="K294" s="39" t="s">
        <v>2122</v>
      </c>
      <c r="L294" s="39" t="s">
        <v>7830</v>
      </c>
      <c r="M294" s="39" t="s">
        <v>7831</v>
      </c>
      <c r="N294" s="39" t="str">
        <f>("0381608")</f>
        <v>0381608</v>
      </c>
      <c r="P294" s="39" t="s">
        <v>11782</v>
      </c>
      <c r="Q294" s="39" t="s">
        <v>8568</v>
      </c>
      <c r="R294" s="39" t="s">
        <v>8569</v>
      </c>
      <c r="S294" s="39" t="s">
        <v>8570</v>
      </c>
      <c r="AK294" s="39" t="str">
        <f>("2025/03/21")</f>
        <v>2025/03/21</v>
      </c>
      <c r="AL294" s="39" t="str">
        <f t="shared" si="22"/>
        <v>2025/04/01</v>
      </c>
    </row>
    <row r="295" spans="1:38" x14ac:dyDescent="0.25">
      <c r="A295" s="39" t="str">
        <f>("1308100177")</f>
        <v>1308100177</v>
      </c>
      <c r="B295" s="39" t="s">
        <v>8760</v>
      </c>
      <c r="C295" s="39"/>
      <c r="D295" s="39" t="s">
        <v>5766</v>
      </c>
      <c r="E295" s="371" t="str">
        <f t="shared" si="21"/>
        <v>やまだ　かりん</v>
      </c>
      <c r="F295" s="39" t="s">
        <v>156</v>
      </c>
      <c r="G295" s="39" t="s">
        <v>7828</v>
      </c>
      <c r="H295" s="39" t="str">
        <f>("2013/08/30")</f>
        <v>2013/08/30</v>
      </c>
      <c r="I295" s="39">
        <v>6</v>
      </c>
      <c r="J295" s="39" t="s">
        <v>1480</v>
      </c>
      <c r="K295" s="39" t="s">
        <v>2122</v>
      </c>
      <c r="L295" s="39" t="s">
        <v>7830</v>
      </c>
      <c r="M295" s="39" t="s">
        <v>7831</v>
      </c>
      <c r="N295" s="39" t="str">
        <f>("0130037")</f>
        <v>0130037</v>
      </c>
      <c r="P295" s="39" t="s">
        <v>11783</v>
      </c>
      <c r="Q295" s="39" t="s">
        <v>8568</v>
      </c>
      <c r="R295" s="39" t="s">
        <v>8569</v>
      </c>
      <c r="S295" s="39" t="s">
        <v>8570</v>
      </c>
      <c r="AK295" s="39" t="str">
        <f>("2025/03/17")</f>
        <v>2025/03/17</v>
      </c>
      <c r="AL295" s="39" t="str">
        <f t="shared" si="22"/>
        <v>2025/04/01</v>
      </c>
    </row>
    <row r="296" spans="1:38" x14ac:dyDescent="0.25">
      <c r="A296" s="39" t="str">
        <f>("1308110041")</f>
        <v>1308110041</v>
      </c>
      <c r="B296" s="39" t="s">
        <v>8761</v>
      </c>
      <c r="C296" s="39"/>
      <c r="D296" s="39" t="s">
        <v>8762</v>
      </c>
      <c r="E296" s="371" t="str">
        <f t="shared" si="21"/>
        <v>かねたか　こうき</v>
      </c>
      <c r="F296" s="39" t="s">
        <v>1330</v>
      </c>
      <c r="G296" s="39" t="s">
        <v>7828</v>
      </c>
      <c r="H296" s="39" t="str">
        <f>("2013/08/11")</f>
        <v>2013/08/11</v>
      </c>
      <c r="I296" s="39">
        <v>6</v>
      </c>
      <c r="J296" s="39" t="s">
        <v>1478</v>
      </c>
      <c r="K296" s="39" t="s">
        <v>2122</v>
      </c>
      <c r="L296" s="39" t="s">
        <v>7830</v>
      </c>
      <c r="M296" s="39" t="s">
        <v>7831</v>
      </c>
      <c r="N296" s="39" t="str">
        <f>("0130598")</f>
        <v>0130598</v>
      </c>
      <c r="P296" s="39" t="s">
        <v>11784</v>
      </c>
      <c r="Q296" s="39" t="s">
        <v>8568</v>
      </c>
      <c r="R296" s="39" t="s">
        <v>8569</v>
      </c>
      <c r="S296" s="39" t="s">
        <v>8570</v>
      </c>
      <c r="AK296" s="39" t="str">
        <f>("2025/03/17")</f>
        <v>2025/03/17</v>
      </c>
      <c r="AL296" s="39" t="str">
        <f t="shared" si="22"/>
        <v>2025/04/01</v>
      </c>
    </row>
    <row r="297" spans="1:38" x14ac:dyDescent="0.25">
      <c r="A297" s="39" t="str">
        <f>("1308120051")</f>
        <v>1308120051</v>
      </c>
      <c r="C297" s="39"/>
      <c r="D297" s="39" t="s">
        <v>8763</v>
      </c>
      <c r="E297" s="371" t="str">
        <f t="shared" si="21"/>
        <v>いのうえ　りょうた</v>
      </c>
      <c r="F297" s="39" t="s">
        <v>2619</v>
      </c>
      <c r="G297" s="39" t="s">
        <v>7828</v>
      </c>
      <c r="H297" s="39" t="str">
        <f>("2013/08/12")</f>
        <v>2013/08/12</v>
      </c>
      <c r="I297" s="39">
        <v>6</v>
      </c>
      <c r="J297" s="39" t="s">
        <v>1478</v>
      </c>
      <c r="K297" s="39" t="s">
        <v>2122</v>
      </c>
      <c r="L297" s="39" t="s">
        <v>7830</v>
      </c>
      <c r="M297" s="39" t="s">
        <v>7831</v>
      </c>
      <c r="N297" s="39" t="str">
        <f>("0472823")</f>
        <v>0472823</v>
      </c>
      <c r="P297" s="39" t="s">
        <v>11785</v>
      </c>
      <c r="Q297" s="39" t="s">
        <v>8568</v>
      </c>
      <c r="R297" s="39" t="s">
        <v>8569</v>
      </c>
      <c r="S297" s="39" t="s">
        <v>8570</v>
      </c>
      <c r="AA297" s="39" t="s">
        <v>2122</v>
      </c>
      <c r="AB297" s="39" t="s">
        <v>7830</v>
      </c>
      <c r="AC297" s="39" t="s">
        <v>7831</v>
      </c>
      <c r="AD297" s="39" t="str">
        <f>("0130475")</f>
        <v>0130475</v>
      </c>
      <c r="AE297" s="39" t="s">
        <v>2024</v>
      </c>
      <c r="AK297" s="39" t="str">
        <f>("2025/03/17")</f>
        <v>2025/03/17</v>
      </c>
      <c r="AL297" s="39" t="str">
        <f t="shared" si="22"/>
        <v>2025/04/01</v>
      </c>
    </row>
    <row r="298" spans="1:38" x14ac:dyDescent="0.25">
      <c r="A298" s="39" t="str">
        <f>("1308130115")</f>
        <v>1308130115</v>
      </c>
      <c r="C298" s="39"/>
      <c r="D298" s="39" t="s">
        <v>3924</v>
      </c>
      <c r="E298" s="371" t="str">
        <f t="shared" si="21"/>
        <v>ひろせ　けんし</v>
      </c>
      <c r="F298" s="39" t="s">
        <v>2139</v>
      </c>
      <c r="G298" s="39" t="s">
        <v>7828</v>
      </c>
      <c r="H298" s="39" t="str">
        <f>("2013/08/13")</f>
        <v>2013/08/13</v>
      </c>
      <c r="I298" s="39">
        <v>6</v>
      </c>
      <c r="J298" s="39" t="s">
        <v>1478</v>
      </c>
      <c r="K298" s="39" t="s">
        <v>2122</v>
      </c>
      <c r="L298" s="39" t="s">
        <v>7830</v>
      </c>
      <c r="M298" s="39" t="s">
        <v>7831</v>
      </c>
      <c r="N298" s="39" t="str">
        <f>("0129798")</f>
        <v>0129798</v>
      </c>
      <c r="P298" s="39" t="s">
        <v>11786</v>
      </c>
      <c r="Q298" s="39" t="s">
        <v>8568</v>
      </c>
      <c r="R298" s="39" t="s">
        <v>8569</v>
      </c>
      <c r="S298" s="39" t="s">
        <v>8570</v>
      </c>
      <c r="AK298" s="39" t="str">
        <f>("2025/03/27")</f>
        <v>2025/03/27</v>
      </c>
      <c r="AL298" s="39" t="str">
        <f t="shared" si="22"/>
        <v>2025/04/01</v>
      </c>
    </row>
    <row r="299" spans="1:38" x14ac:dyDescent="0.25">
      <c r="A299" s="39" t="str">
        <f>("1308130197")</f>
        <v>1308130197</v>
      </c>
      <c r="C299" s="39"/>
      <c r="D299" s="39" t="s">
        <v>8764</v>
      </c>
      <c r="E299" s="371" t="str">
        <f t="shared" si="21"/>
        <v>いけみや　あらた</v>
      </c>
      <c r="F299" s="39" t="s">
        <v>947</v>
      </c>
      <c r="G299" s="39" t="s">
        <v>7828</v>
      </c>
      <c r="H299" s="39" t="str">
        <f>("2013/08/13")</f>
        <v>2013/08/13</v>
      </c>
      <c r="I299" s="39">
        <v>6</v>
      </c>
      <c r="J299" s="39" t="s">
        <v>1478</v>
      </c>
      <c r="K299" s="39" t="s">
        <v>2122</v>
      </c>
      <c r="L299" s="39" t="s">
        <v>7830</v>
      </c>
      <c r="M299" s="39" t="s">
        <v>7831</v>
      </c>
      <c r="N299" s="39" t="str">
        <f>("0130183")</f>
        <v>0130183</v>
      </c>
      <c r="P299" s="39" t="s">
        <v>11787</v>
      </c>
      <c r="Q299" s="39" t="s">
        <v>8568</v>
      </c>
      <c r="R299" s="39" t="s">
        <v>8569</v>
      </c>
      <c r="S299" s="39" t="s">
        <v>8570</v>
      </c>
      <c r="AK299" s="39" t="str">
        <f>("2025/03/27")</f>
        <v>2025/03/27</v>
      </c>
      <c r="AL299" s="39" t="str">
        <f t="shared" si="22"/>
        <v>2025/04/01</v>
      </c>
    </row>
    <row r="300" spans="1:38" x14ac:dyDescent="0.25">
      <c r="A300" s="39" t="str">
        <f>("1308140118")</f>
        <v>1308140118</v>
      </c>
      <c r="C300" s="39"/>
      <c r="D300" s="39" t="s">
        <v>6244</v>
      </c>
      <c r="E300" s="371" t="str">
        <f t="shared" si="21"/>
        <v>ごとう　まなと</v>
      </c>
      <c r="F300" s="39" t="s">
        <v>1692</v>
      </c>
      <c r="G300" s="39" t="s">
        <v>7828</v>
      </c>
      <c r="H300" s="39" t="str">
        <f>("2013/08/14")</f>
        <v>2013/08/14</v>
      </c>
      <c r="I300" s="39">
        <v>6</v>
      </c>
      <c r="J300" s="39" t="s">
        <v>1478</v>
      </c>
      <c r="K300" s="39" t="s">
        <v>2122</v>
      </c>
      <c r="L300" s="39" t="s">
        <v>7830</v>
      </c>
      <c r="M300" s="39" t="s">
        <v>7831</v>
      </c>
      <c r="N300" s="39" t="str">
        <f>("1052299")</f>
        <v>1052299</v>
      </c>
      <c r="P300" s="39" t="s">
        <v>11788</v>
      </c>
      <c r="Q300" s="39" t="s">
        <v>8568</v>
      </c>
      <c r="R300" s="39" t="s">
        <v>8569</v>
      </c>
      <c r="S300" s="39" t="s">
        <v>8570</v>
      </c>
      <c r="AK300" s="39" t="str">
        <f>("2025/03/17")</f>
        <v>2025/03/17</v>
      </c>
      <c r="AL300" s="39" t="str">
        <f t="shared" si="22"/>
        <v>2025/04/01</v>
      </c>
    </row>
    <row r="301" spans="1:38" x14ac:dyDescent="0.25">
      <c r="A301" s="39" t="str">
        <f>("1308160037")</f>
        <v>1308160037</v>
      </c>
      <c r="C301" s="39"/>
      <c r="D301" s="39" t="s">
        <v>5721</v>
      </c>
      <c r="E301" s="371" t="str">
        <f t="shared" si="21"/>
        <v>のじ　はづき</v>
      </c>
      <c r="F301" s="39" t="s">
        <v>834</v>
      </c>
      <c r="G301" s="39" t="s">
        <v>7828</v>
      </c>
      <c r="H301" s="39" t="str">
        <f>("2013/08/16")</f>
        <v>2013/08/16</v>
      </c>
      <c r="I301" s="39">
        <v>6</v>
      </c>
      <c r="J301" s="39" t="s">
        <v>1478</v>
      </c>
      <c r="K301" s="39" t="s">
        <v>2122</v>
      </c>
      <c r="L301" s="39" t="s">
        <v>7830</v>
      </c>
      <c r="M301" s="39" t="s">
        <v>7831</v>
      </c>
      <c r="N301" s="39" t="str">
        <f>("0129844")</f>
        <v>0129844</v>
      </c>
      <c r="P301" s="39" t="s">
        <v>11789</v>
      </c>
      <c r="Q301" s="39" t="s">
        <v>8568</v>
      </c>
      <c r="R301" s="39" t="s">
        <v>8569</v>
      </c>
      <c r="S301" s="39" t="s">
        <v>8570</v>
      </c>
      <c r="AA301" s="39" t="s">
        <v>8765</v>
      </c>
      <c r="AB301" s="39" t="s">
        <v>7830</v>
      </c>
      <c r="AC301" s="39" t="s">
        <v>7831</v>
      </c>
      <c r="AD301" s="39" t="str">
        <f>("0160827")</f>
        <v>0160827</v>
      </c>
      <c r="AE301" s="39" t="s">
        <v>8766</v>
      </c>
      <c r="AK301" s="39" t="str">
        <f>("2025/03/17")</f>
        <v>2025/03/17</v>
      </c>
      <c r="AL301" s="39" t="str">
        <f t="shared" si="22"/>
        <v>2025/04/01</v>
      </c>
    </row>
    <row r="302" spans="1:38" x14ac:dyDescent="0.25">
      <c r="A302" s="39" t="str">
        <f>("1308160078")</f>
        <v>1308160078</v>
      </c>
      <c r="B302" s="39" t="s">
        <v>8767</v>
      </c>
      <c r="C302" s="39"/>
      <c r="D302" s="39" t="s">
        <v>5865</v>
      </c>
      <c r="E302" s="371" t="str">
        <f t="shared" si="21"/>
        <v>おの　おうしろう</v>
      </c>
      <c r="F302" s="39" t="s">
        <v>2324</v>
      </c>
      <c r="G302" s="39" t="s">
        <v>7828</v>
      </c>
      <c r="H302" s="39" t="str">
        <f>("2013/08/16")</f>
        <v>2013/08/16</v>
      </c>
      <c r="I302" s="39">
        <v>6</v>
      </c>
      <c r="J302" s="39" t="s">
        <v>1478</v>
      </c>
      <c r="K302" s="39" t="s">
        <v>2122</v>
      </c>
      <c r="L302" s="39" t="s">
        <v>7830</v>
      </c>
      <c r="M302" s="39" t="s">
        <v>7831</v>
      </c>
      <c r="N302" s="39" t="str">
        <f>("0130486")</f>
        <v>0130486</v>
      </c>
      <c r="P302" s="39" t="s">
        <v>11790</v>
      </c>
      <c r="Q302" s="39" t="s">
        <v>8568</v>
      </c>
      <c r="R302" s="39" t="s">
        <v>8569</v>
      </c>
      <c r="S302" s="39" t="s">
        <v>8570</v>
      </c>
      <c r="AK302" s="39" t="str">
        <f>("2025/03/24")</f>
        <v>2025/03/24</v>
      </c>
      <c r="AL302" s="39" t="str">
        <f t="shared" si="22"/>
        <v>2025/04/01</v>
      </c>
    </row>
    <row r="303" spans="1:38" x14ac:dyDescent="0.25">
      <c r="A303" s="39" t="str">
        <f>("1308170010")</f>
        <v>1308170010</v>
      </c>
      <c r="B303" s="39" t="s">
        <v>8768</v>
      </c>
      <c r="C303" s="39"/>
      <c r="D303" s="39" t="s">
        <v>4530</v>
      </c>
      <c r="E303" s="371" t="str">
        <f t="shared" si="21"/>
        <v>にのみや　わたる</v>
      </c>
      <c r="F303" s="39" t="s">
        <v>2137</v>
      </c>
      <c r="G303" s="39" t="s">
        <v>7828</v>
      </c>
      <c r="H303" s="39" t="str">
        <f>("2013/08/17")</f>
        <v>2013/08/17</v>
      </c>
      <c r="I303" s="39">
        <v>6</v>
      </c>
      <c r="J303" s="39" t="s">
        <v>1478</v>
      </c>
      <c r="K303" s="39" t="s">
        <v>2122</v>
      </c>
      <c r="L303" s="39" t="s">
        <v>7830</v>
      </c>
      <c r="M303" s="39" t="s">
        <v>7831</v>
      </c>
      <c r="N303" s="39" t="str">
        <f>("0130510")</f>
        <v>0130510</v>
      </c>
      <c r="P303" s="39" t="s">
        <v>11791</v>
      </c>
      <c r="Q303" s="39" t="s">
        <v>8568</v>
      </c>
      <c r="R303" s="39" t="s">
        <v>8569</v>
      </c>
      <c r="S303" s="39" t="s">
        <v>8570</v>
      </c>
      <c r="AK303" s="39" t="str">
        <f>("2025/03/21")</f>
        <v>2025/03/21</v>
      </c>
      <c r="AL303" s="39" t="str">
        <f t="shared" si="22"/>
        <v>2025/04/01</v>
      </c>
    </row>
    <row r="304" spans="1:38" x14ac:dyDescent="0.25">
      <c r="A304" s="39" t="str">
        <f>("1308180099")</f>
        <v>1308180099</v>
      </c>
      <c r="B304" s="39" t="s">
        <v>8769</v>
      </c>
      <c r="C304" s="39"/>
      <c r="D304" s="39" t="s">
        <v>6277</v>
      </c>
      <c r="E304" s="371" t="str">
        <f t="shared" si="21"/>
        <v>ことう　しおん</v>
      </c>
      <c r="F304" s="39" t="s">
        <v>5620</v>
      </c>
      <c r="G304" s="39" t="s">
        <v>7828</v>
      </c>
      <c r="H304" s="39" t="str">
        <f>("2013/08/18")</f>
        <v>2013/08/18</v>
      </c>
      <c r="I304" s="39">
        <v>6</v>
      </c>
      <c r="J304" s="39" t="s">
        <v>1478</v>
      </c>
      <c r="K304" s="39" t="s">
        <v>2122</v>
      </c>
      <c r="L304" s="39" t="s">
        <v>7830</v>
      </c>
      <c r="M304" s="39" t="s">
        <v>7831</v>
      </c>
      <c r="N304" s="39" t="str">
        <f>("1101553")</f>
        <v>1101553</v>
      </c>
      <c r="P304" s="39" t="s">
        <v>11792</v>
      </c>
      <c r="Q304" s="39" t="s">
        <v>8568</v>
      </c>
      <c r="R304" s="39" t="s">
        <v>8569</v>
      </c>
      <c r="S304" s="39" t="s">
        <v>8570</v>
      </c>
      <c r="AK304" s="39" t="str">
        <f>("2025/03/19")</f>
        <v>2025/03/19</v>
      </c>
      <c r="AL304" s="39" t="str">
        <f t="shared" si="22"/>
        <v>2025/04/01</v>
      </c>
    </row>
    <row r="305" spans="1:38" x14ac:dyDescent="0.25">
      <c r="A305" s="39" t="str">
        <f>("1308190020")</f>
        <v>1308190020</v>
      </c>
      <c r="B305" s="39" t="s">
        <v>8770</v>
      </c>
      <c r="C305" s="39"/>
      <c r="D305" s="39" t="s">
        <v>4451</v>
      </c>
      <c r="E305" s="371" t="str">
        <f t="shared" si="21"/>
        <v>えとう　つばさ</v>
      </c>
      <c r="F305" s="39" t="s">
        <v>1912</v>
      </c>
      <c r="G305" s="39" t="s">
        <v>7828</v>
      </c>
      <c r="H305" s="39" t="str">
        <f>("2013/08/19")</f>
        <v>2013/08/19</v>
      </c>
      <c r="I305" s="39">
        <v>6</v>
      </c>
      <c r="J305" s="39" t="s">
        <v>1478</v>
      </c>
      <c r="K305" s="39" t="s">
        <v>2122</v>
      </c>
      <c r="L305" s="39" t="s">
        <v>7830</v>
      </c>
      <c r="M305" s="39" t="s">
        <v>7831</v>
      </c>
      <c r="N305" s="39" t="str">
        <f>("0130363")</f>
        <v>0130363</v>
      </c>
      <c r="P305" s="39" t="s">
        <v>11793</v>
      </c>
      <c r="Q305" s="39" t="s">
        <v>8568</v>
      </c>
      <c r="R305" s="39" t="s">
        <v>8569</v>
      </c>
      <c r="S305" s="39" t="s">
        <v>8570</v>
      </c>
      <c r="AK305" s="39" t="str">
        <f>("2025/03/17")</f>
        <v>2025/03/17</v>
      </c>
      <c r="AL305" s="39" t="str">
        <f t="shared" si="22"/>
        <v>2025/04/01</v>
      </c>
    </row>
    <row r="306" spans="1:38" x14ac:dyDescent="0.25">
      <c r="A306" s="39" t="str">
        <f>("1308190202")</f>
        <v>1308190202</v>
      </c>
      <c r="C306" s="39"/>
      <c r="D306" s="39" t="s">
        <v>4787</v>
      </c>
      <c r="E306" s="371" t="str">
        <f t="shared" si="21"/>
        <v>しが　ひろみ</v>
      </c>
      <c r="F306" s="39" t="s">
        <v>1446</v>
      </c>
      <c r="G306" s="39" t="s">
        <v>7828</v>
      </c>
      <c r="H306" s="39" t="str">
        <f>("2013/08/19")</f>
        <v>2013/08/19</v>
      </c>
      <c r="I306" s="39">
        <v>6</v>
      </c>
      <c r="J306" s="39" t="s">
        <v>1478</v>
      </c>
      <c r="K306" s="39" t="s">
        <v>2122</v>
      </c>
      <c r="L306" s="39" t="s">
        <v>7830</v>
      </c>
      <c r="M306" s="39" t="s">
        <v>7831</v>
      </c>
      <c r="N306" s="39" t="str">
        <f>("0478807")</f>
        <v>0478807</v>
      </c>
      <c r="P306" s="39" t="s">
        <v>11794</v>
      </c>
      <c r="Q306" s="39" t="s">
        <v>8568</v>
      </c>
      <c r="R306" s="39" t="s">
        <v>8569</v>
      </c>
      <c r="S306" s="39" t="s">
        <v>8570</v>
      </c>
      <c r="AK306" s="39" t="str">
        <f>("2025/03/21")</f>
        <v>2025/03/21</v>
      </c>
      <c r="AL306" s="39" t="str">
        <f t="shared" si="22"/>
        <v>2025/04/01</v>
      </c>
    </row>
    <row r="307" spans="1:38" x14ac:dyDescent="0.25">
      <c r="A307" s="39" t="str">
        <f>("1308200010")</f>
        <v>1308200010</v>
      </c>
      <c r="C307" s="39"/>
      <c r="D307" s="39" t="s">
        <v>8771</v>
      </c>
      <c r="E307" s="371" t="str">
        <f t="shared" si="21"/>
        <v>やまさき　たん</v>
      </c>
      <c r="F307" s="39" t="s">
        <v>8135</v>
      </c>
      <c r="G307" s="39" t="s">
        <v>7828</v>
      </c>
      <c r="H307" s="39" t="str">
        <f>("2013/08/20")</f>
        <v>2013/08/20</v>
      </c>
      <c r="I307" s="39">
        <v>6</v>
      </c>
      <c r="J307" s="39" t="s">
        <v>1478</v>
      </c>
      <c r="K307" s="39" t="s">
        <v>2122</v>
      </c>
      <c r="L307" s="39" t="s">
        <v>7830</v>
      </c>
      <c r="M307" s="39" t="s">
        <v>7831</v>
      </c>
      <c r="N307" s="39" t="str">
        <f>("0475567")</f>
        <v>0475567</v>
      </c>
      <c r="P307" s="39" t="s">
        <v>11795</v>
      </c>
      <c r="Q307" s="39" t="s">
        <v>8568</v>
      </c>
      <c r="R307" s="39" t="s">
        <v>8569</v>
      </c>
      <c r="S307" s="39" t="s">
        <v>8570</v>
      </c>
      <c r="AK307" s="39" t="str">
        <f>("2025/03/24")</f>
        <v>2025/03/24</v>
      </c>
      <c r="AL307" s="39" t="str">
        <f t="shared" si="22"/>
        <v>2025/04/01</v>
      </c>
    </row>
    <row r="308" spans="1:38" x14ac:dyDescent="0.25">
      <c r="A308" s="39" t="str">
        <f>("1308200026")</f>
        <v>1308200026</v>
      </c>
      <c r="B308" s="39" t="s">
        <v>8772</v>
      </c>
      <c r="C308" s="39"/>
      <c r="D308" s="39" t="s">
        <v>8773</v>
      </c>
      <c r="E308" s="371" t="str">
        <f t="shared" si="21"/>
        <v>もり　ゆうた</v>
      </c>
      <c r="F308" s="39" t="s">
        <v>1344</v>
      </c>
      <c r="G308" s="39" t="s">
        <v>7828</v>
      </c>
      <c r="H308" s="39" t="str">
        <f>("2013/08/20")</f>
        <v>2013/08/20</v>
      </c>
      <c r="I308" s="39">
        <v>6</v>
      </c>
      <c r="J308" s="39" t="s">
        <v>1478</v>
      </c>
      <c r="K308" s="39" t="s">
        <v>2122</v>
      </c>
      <c r="L308" s="39" t="s">
        <v>7830</v>
      </c>
      <c r="M308" s="39" t="s">
        <v>7831</v>
      </c>
      <c r="N308" s="39" t="str">
        <f>("0130587")</f>
        <v>0130587</v>
      </c>
      <c r="P308" s="39" t="s">
        <v>11796</v>
      </c>
      <c r="Q308" s="39" t="s">
        <v>8568</v>
      </c>
      <c r="R308" s="39" t="s">
        <v>8569</v>
      </c>
      <c r="S308" s="39" t="s">
        <v>8570</v>
      </c>
      <c r="AA308" s="39" t="s">
        <v>2035</v>
      </c>
      <c r="AB308" s="39" t="s">
        <v>7830</v>
      </c>
      <c r="AC308" s="39" t="s">
        <v>7831</v>
      </c>
      <c r="AD308" s="39" t="str">
        <f>("0284149")</f>
        <v>0284149</v>
      </c>
      <c r="AE308" s="39" t="s">
        <v>8774</v>
      </c>
      <c r="AF308" s="39" t="s">
        <v>2122</v>
      </c>
      <c r="AG308" s="39" t="s">
        <v>7830</v>
      </c>
      <c r="AH308" s="39" t="s">
        <v>7831</v>
      </c>
      <c r="AI308" s="39" t="str">
        <f>("0130587")</f>
        <v>0130587</v>
      </c>
      <c r="AJ308" s="39" t="s">
        <v>1344</v>
      </c>
      <c r="AK308" s="39" t="str">
        <f>("2025/08/29")</f>
        <v>2025/08/29</v>
      </c>
      <c r="AL308" s="39" t="str">
        <f>("2025/08/29")</f>
        <v>2025/08/29</v>
      </c>
    </row>
    <row r="309" spans="1:38" x14ac:dyDescent="0.25">
      <c r="A309" s="39" t="str">
        <f>("1308210080")</f>
        <v>1308210080</v>
      </c>
      <c r="C309" s="39"/>
      <c r="D309" s="39" t="s">
        <v>5667</v>
      </c>
      <c r="E309" s="371" t="str">
        <f t="shared" si="21"/>
        <v>ふじわら　こうき</v>
      </c>
      <c r="F309" s="39" t="s">
        <v>1239</v>
      </c>
      <c r="G309" s="39" t="s">
        <v>7828</v>
      </c>
      <c r="H309" s="39" t="str">
        <f>("2013/08/21")</f>
        <v>2013/08/21</v>
      </c>
      <c r="I309" s="39">
        <v>6</v>
      </c>
      <c r="J309" s="39" t="s">
        <v>1478</v>
      </c>
      <c r="K309" s="39" t="s">
        <v>2122</v>
      </c>
      <c r="L309" s="39" t="s">
        <v>7830</v>
      </c>
      <c r="M309" s="39" t="s">
        <v>7831</v>
      </c>
      <c r="N309" s="39" t="str">
        <f>("0129585")</f>
        <v>0129585</v>
      </c>
      <c r="P309" s="39" t="s">
        <v>11797</v>
      </c>
      <c r="Q309" s="39" t="s">
        <v>8568</v>
      </c>
      <c r="R309" s="39" t="s">
        <v>8569</v>
      </c>
      <c r="S309" s="39" t="s">
        <v>8570</v>
      </c>
      <c r="AA309" s="39" t="s">
        <v>2122</v>
      </c>
      <c r="AB309" s="39" t="s">
        <v>7830</v>
      </c>
      <c r="AC309" s="39" t="s">
        <v>7831</v>
      </c>
      <c r="AD309" s="39" t="str">
        <f>("1032147")</f>
        <v>1032147</v>
      </c>
      <c r="AE309" s="39" t="s">
        <v>8714</v>
      </c>
      <c r="AK309" s="39" t="str">
        <f>("2025/03/17")</f>
        <v>2025/03/17</v>
      </c>
      <c r="AL309" s="39" t="str">
        <f t="shared" ref="AL309:AL356" si="24">("2025/04/01")</f>
        <v>2025/04/01</v>
      </c>
    </row>
    <row r="310" spans="1:38" x14ac:dyDescent="0.25">
      <c r="A310" s="39" t="str">
        <f>("1308210167")</f>
        <v>1308210167</v>
      </c>
      <c r="C310" s="39"/>
      <c r="D310" s="39" t="s">
        <v>6252</v>
      </c>
      <c r="E310" s="371" t="str">
        <f t="shared" si="21"/>
        <v>てらかわ　たいと</v>
      </c>
      <c r="F310" s="39" t="s">
        <v>2651</v>
      </c>
      <c r="G310" s="39" t="s">
        <v>7828</v>
      </c>
      <c r="H310" s="39" t="str">
        <f>("2013/08/21")</f>
        <v>2013/08/21</v>
      </c>
      <c r="I310" s="39">
        <v>6</v>
      </c>
      <c r="J310" s="39" t="s">
        <v>1478</v>
      </c>
      <c r="K310" s="39" t="s">
        <v>2122</v>
      </c>
      <c r="L310" s="39" t="s">
        <v>7830</v>
      </c>
      <c r="M310" s="39" t="s">
        <v>7831</v>
      </c>
      <c r="N310" s="39" t="str">
        <f>("1067415")</f>
        <v>1067415</v>
      </c>
      <c r="P310" s="39" t="s">
        <v>11798</v>
      </c>
      <c r="Q310" s="39" t="s">
        <v>8568</v>
      </c>
      <c r="R310" s="39" t="s">
        <v>8569</v>
      </c>
      <c r="S310" s="39" t="s">
        <v>8570</v>
      </c>
      <c r="AK310" s="39" t="str">
        <f>("2025/03/21")</f>
        <v>2025/03/21</v>
      </c>
      <c r="AL310" s="39" t="str">
        <f t="shared" si="24"/>
        <v>2025/04/01</v>
      </c>
    </row>
    <row r="311" spans="1:38" x14ac:dyDescent="0.25">
      <c r="A311" s="39" t="str">
        <f>("1308220034")</f>
        <v>1308220034</v>
      </c>
      <c r="C311" s="39"/>
      <c r="D311" s="39" t="s">
        <v>5959</v>
      </c>
      <c r="E311" s="371" t="str">
        <f t="shared" si="21"/>
        <v>わだ　むねはる</v>
      </c>
      <c r="F311" s="39" t="s">
        <v>5617</v>
      </c>
      <c r="G311" s="39" t="s">
        <v>7828</v>
      </c>
      <c r="H311" s="39" t="str">
        <f>("2013/08/22")</f>
        <v>2013/08/22</v>
      </c>
      <c r="I311" s="39">
        <v>6</v>
      </c>
      <c r="J311" s="39" t="s">
        <v>1478</v>
      </c>
      <c r="K311" s="39" t="s">
        <v>2122</v>
      </c>
      <c r="L311" s="39" t="s">
        <v>7830</v>
      </c>
      <c r="M311" s="39" t="s">
        <v>7831</v>
      </c>
      <c r="N311" s="39" t="str">
        <f>("0130756")</f>
        <v>0130756</v>
      </c>
      <c r="P311" s="39" t="s">
        <v>11799</v>
      </c>
      <c r="Q311" s="39" t="s">
        <v>8568</v>
      </c>
      <c r="R311" s="39" t="s">
        <v>8569</v>
      </c>
      <c r="S311" s="39" t="s">
        <v>8570</v>
      </c>
      <c r="AK311" s="39" t="str">
        <f>("2025/03/17")</f>
        <v>2025/03/17</v>
      </c>
      <c r="AL311" s="39" t="str">
        <f t="shared" si="24"/>
        <v>2025/04/01</v>
      </c>
    </row>
    <row r="312" spans="1:38" x14ac:dyDescent="0.25">
      <c r="A312" s="39" t="str">
        <f>("1308220189")</f>
        <v>1308220189</v>
      </c>
      <c r="B312" s="39" t="s">
        <v>8775</v>
      </c>
      <c r="C312" s="39"/>
      <c r="D312" s="39" t="s">
        <v>6063</v>
      </c>
      <c r="E312" s="371" t="str">
        <f t="shared" si="21"/>
        <v>はまさき　たすく</v>
      </c>
      <c r="F312" s="39" t="s">
        <v>2587</v>
      </c>
      <c r="G312" s="39" t="s">
        <v>7828</v>
      </c>
      <c r="H312" s="39" t="str">
        <f>("2013/08/22")</f>
        <v>2013/08/22</v>
      </c>
      <c r="I312" s="39">
        <v>6</v>
      </c>
      <c r="J312" s="39" t="s">
        <v>1478</v>
      </c>
      <c r="K312" s="39" t="s">
        <v>2122</v>
      </c>
      <c r="L312" s="39" t="s">
        <v>7830</v>
      </c>
      <c r="M312" s="39" t="s">
        <v>7831</v>
      </c>
      <c r="N312" s="39" t="str">
        <f>("0387334")</f>
        <v>0387334</v>
      </c>
      <c r="P312" s="39" t="s">
        <v>11800</v>
      </c>
      <c r="Q312" s="39" t="s">
        <v>8568</v>
      </c>
      <c r="R312" s="39" t="s">
        <v>8569</v>
      </c>
      <c r="S312" s="39" t="s">
        <v>8570</v>
      </c>
      <c r="AK312" s="39" t="str">
        <f>("2025/03/27")</f>
        <v>2025/03/27</v>
      </c>
      <c r="AL312" s="39" t="str">
        <f t="shared" si="24"/>
        <v>2025/04/01</v>
      </c>
    </row>
    <row r="313" spans="1:38" x14ac:dyDescent="0.25">
      <c r="A313" s="39" t="str">
        <f>("1308230005")</f>
        <v>1308230005</v>
      </c>
      <c r="B313" s="39" t="s">
        <v>8776</v>
      </c>
      <c r="C313" s="39"/>
      <c r="D313" s="39" t="s">
        <v>4334</v>
      </c>
      <c r="E313" s="371" t="str">
        <f t="shared" si="21"/>
        <v>ふるまじ　ゆうあ</v>
      </c>
      <c r="F313" s="39" t="s">
        <v>2918</v>
      </c>
      <c r="G313" s="39" t="s">
        <v>7828</v>
      </c>
      <c r="H313" s="39" t="str">
        <f>("2013/08/23")</f>
        <v>2013/08/23</v>
      </c>
      <c r="I313" s="39">
        <v>6</v>
      </c>
      <c r="J313" s="39" t="s">
        <v>1480</v>
      </c>
      <c r="K313" s="39" t="s">
        <v>2122</v>
      </c>
      <c r="L313" s="39" t="s">
        <v>7830</v>
      </c>
      <c r="M313" s="39" t="s">
        <v>7831</v>
      </c>
      <c r="N313" s="39" t="str">
        <f>("0129912")</f>
        <v>0129912</v>
      </c>
      <c r="P313" s="39" t="s">
        <v>11801</v>
      </c>
      <c r="Q313" s="39" t="s">
        <v>8568</v>
      </c>
      <c r="R313" s="39" t="s">
        <v>8569</v>
      </c>
      <c r="S313" s="39" t="s">
        <v>8570</v>
      </c>
      <c r="AK313" s="39" t="str">
        <f>("2025/03/17")</f>
        <v>2025/03/17</v>
      </c>
      <c r="AL313" s="39" t="str">
        <f t="shared" si="24"/>
        <v>2025/04/01</v>
      </c>
    </row>
    <row r="314" spans="1:38" x14ac:dyDescent="0.25">
      <c r="A314" s="39" t="str">
        <f>("1308230116")</f>
        <v>1308230116</v>
      </c>
      <c r="B314" s="39" t="s">
        <v>8777</v>
      </c>
      <c r="C314" s="39"/>
      <c r="D314" s="39" t="s">
        <v>6199</v>
      </c>
      <c r="E314" s="371" t="str">
        <f t="shared" si="21"/>
        <v>わかばやし　こうめい</v>
      </c>
      <c r="F314" s="39" t="s">
        <v>1917</v>
      </c>
      <c r="G314" s="39" t="s">
        <v>7828</v>
      </c>
      <c r="H314" s="39" t="str">
        <f>("2013/08/23")</f>
        <v>2013/08/23</v>
      </c>
      <c r="I314" s="39">
        <v>6</v>
      </c>
      <c r="J314" s="39" t="s">
        <v>1478</v>
      </c>
      <c r="K314" s="39" t="s">
        <v>2122</v>
      </c>
      <c r="L314" s="39" t="s">
        <v>7830</v>
      </c>
      <c r="M314" s="39" t="s">
        <v>7831</v>
      </c>
      <c r="N314" s="39" t="str">
        <f>("1032161")</f>
        <v>1032161</v>
      </c>
      <c r="P314" s="39" t="s">
        <v>11802</v>
      </c>
      <c r="Q314" s="39" t="s">
        <v>8568</v>
      </c>
      <c r="R314" s="39" t="s">
        <v>8569</v>
      </c>
      <c r="S314" s="39" t="s">
        <v>8570</v>
      </c>
      <c r="AA314" s="39" t="s">
        <v>2122</v>
      </c>
      <c r="AB314" s="39" t="s">
        <v>7830</v>
      </c>
      <c r="AC314" s="39" t="s">
        <v>7831</v>
      </c>
      <c r="AD314" s="39" t="str">
        <f>("0472823")</f>
        <v>0472823</v>
      </c>
      <c r="AE314" s="39" t="s">
        <v>2619</v>
      </c>
      <c r="AK314" s="39" t="str">
        <f>("2025/03/21")</f>
        <v>2025/03/21</v>
      </c>
      <c r="AL314" s="39" t="str">
        <f t="shared" si="24"/>
        <v>2025/04/01</v>
      </c>
    </row>
    <row r="315" spans="1:38" x14ac:dyDescent="0.25">
      <c r="A315" s="39" t="str">
        <f>("1308230217")</f>
        <v>1308230217</v>
      </c>
      <c r="C315" s="39"/>
      <c r="D315" s="39" t="s">
        <v>6157</v>
      </c>
      <c r="E315" s="371" t="str">
        <f t="shared" si="21"/>
        <v>なかやま　かける</v>
      </c>
      <c r="F315" s="39" t="s">
        <v>1446</v>
      </c>
      <c r="G315" s="39" t="s">
        <v>7828</v>
      </c>
      <c r="H315" s="39" t="str">
        <f>("2013/08/23")</f>
        <v>2013/08/23</v>
      </c>
      <c r="I315" s="39">
        <v>6</v>
      </c>
      <c r="J315" s="39" t="s">
        <v>1478</v>
      </c>
      <c r="K315" s="39" t="s">
        <v>2122</v>
      </c>
      <c r="L315" s="39" t="s">
        <v>7830</v>
      </c>
      <c r="M315" s="39" t="s">
        <v>7831</v>
      </c>
      <c r="N315" s="39" t="str">
        <f>("0478807")</f>
        <v>0478807</v>
      </c>
      <c r="P315" s="39" t="s">
        <v>11803</v>
      </c>
      <c r="Q315" s="39" t="s">
        <v>8568</v>
      </c>
      <c r="R315" s="39" t="s">
        <v>8569</v>
      </c>
      <c r="S315" s="39" t="s">
        <v>8570</v>
      </c>
      <c r="AK315" s="39" t="str">
        <f>("2025/03/21")</f>
        <v>2025/03/21</v>
      </c>
      <c r="AL315" s="39" t="str">
        <f t="shared" si="24"/>
        <v>2025/04/01</v>
      </c>
    </row>
    <row r="316" spans="1:38" x14ac:dyDescent="0.25">
      <c r="A316" s="39" t="str">
        <f>("1308250133")</f>
        <v>1308250133</v>
      </c>
      <c r="B316" s="39" t="s">
        <v>8778</v>
      </c>
      <c r="C316" s="39"/>
      <c r="D316" s="39" t="s">
        <v>4282</v>
      </c>
      <c r="E316" s="371" t="str">
        <f t="shared" si="21"/>
        <v>まつもと　そうすけ</v>
      </c>
      <c r="F316" s="39" t="s">
        <v>2485</v>
      </c>
      <c r="G316" s="39" t="s">
        <v>7828</v>
      </c>
      <c r="H316" s="39" t="str">
        <f>("2013/08/25")</f>
        <v>2013/08/25</v>
      </c>
      <c r="I316" s="39">
        <v>6</v>
      </c>
      <c r="J316" s="39" t="s">
        <v>1478</v>
      </c>
      <c r="K316" s="39" t="s">
        <v>2122</v>
      </c>
      <c r="L316" s="39" t="s">
        <v>7830</v>
      </c>
      <c r="M316" s="39" t="s">
        <v>7831</v>
      </c>
      <c r="N316" s="39" t="str">
        <f>("0129754")</f>
        <v>0129754</v>
      </c>
      <c r="P316" s="39" t="s">
        <v>11804</v>
      </c>
      <c r="Q316" s="39" t="s">
        <v>8568</v>
      </c>
      <c r="R316" s="39" t="s">
        <v>8569</v>
      </c>
      <c r="S316" s="39" t="s">
        <v>8570</v>
      </c>
      <c r="AK316" s="39" t="str">
        <f>("2025/03/24")</f>
        <v>2025/03/24</v>
      </c>
      <c r="AL316" s="39" t="str">
        <f t="shared" si="24"/>
        <v>2025/04/01</v>
      </c>
    </row>
    <row r="317" spans="1:38" x14ac:dyDescent="0.25">
      <c r="A317" s="39" t="str">
        <f>("1308250185")</f>
        <v>1308250185</v>
      </c>
      <c r="C317" s="39"/>
      <c r="D317" s="39" t="s">
        <v>8779</v>
      </c>
      <c r="E317" s="371" t="str">
        <f t="shared" si="21"/>
        <v>にいの　れい</v>
      </c>
      <c r="F317" s="39" t="s">
        <v>2350</v>
      </c>
      <c r="G317" s="39" t="s">
        <v>7828</v>
      </c>
      <c r="H317" s="39" t="str">
        <f>("2013/08/25")</f>
        <v>2013/08/25</v>
      </c>
      <c r="I317" s="39">
        <v>6</v>
      </c>
      <c r="J317" s="39" t="s">
        <v>1478</v>
      </c>
      <c r="K317" s="39" t="s">
        <v>2122</v>
      </c>
      <c r="L317" s="39" t="s">
        <v>7830</v>
      </c>
      <c r="M317" s="39" t="s">
        <v>7831</v>
      </c>
      <c r="N317" s="39" t="str">
        <f>("0360032")</f>
        <v>0360032</v>
      </c>
      <c r="P317" s="39" t="s">
        <v>11805</v>
      </c>
      <c r="Q317" s="39" t="s">
        <v>8568</v>
      </c>
      <c r="R317" s="39" t="s">
        <v>8569</v>
      </c>
      <c r="S317" s="39" t="s">
        <v>8570</v>
      </c>
      <c r="AK317" s="39" t="str">
        <f>("2025/03/17")</f>
        <v>2025/03/17</v>
      </c>
      <c r="AL317" s="39" t="str">
        <f t="shared" si="24"/>
        <v>2025/04/01</v>
      </c>
    </row>
    <row r="318" spans="1:38" x14ac:dyDescent="0.25">
      <c r="A318" s="39" t="str">
        <f>("1308270057")</f>
        <v>1308270057</v>
      </c>
      <c r="B318" s="39" t="s">
        <v>8780</v>
      </c>
      <c r="C318" s="39"/>
      <c r="D318" s="39" t="s">
        <v>4472</v>
      </c>
      <c r="E318" s="371" t="str">
        <f t="shared" si="21"/>
        <v>わたなべ　こうた</v>
      </c>
      <c r="F318" s="39" t="s">
        <v>2033</v>
      </c>
      <c r="G318" s="39" t="s">
        <v>7828</v>
      </c>
      <c r="H318" s="39" t="str">
        <f>("2013/08/27")</f>
        <v>2013/08/27</v>
      </c>
      <c r="I318" s="39">
        <v>6</v>
      </c>
      <c r="J318" s="39" t="s">
        <v>1478</v>
      </c>
      <c r="K318" s="39" t="s">
        <v>2122</v>
      </c>
      <c r="L318" s="39" t="s">
        <v>7830</v>
      </c>
      <c r="M318" s="39" t="s">
        <v>7831</v>
      </c>
      <c r="N318" s="39" t="str">
        <f>("0130442")</f>
        <v>0130442</v>
      </c>
      <c r="P318" s="39" t="s">
        <v>11806</v>
      </c>
      <c r="Q318" s="39" t="s">
        <v>8568</v>
      </c>
      <c r="R318" s="39" t="s">
        <v>8569</v>
      </c>
      <c r="S318" s="39" t="s">
        <v>8570</v>
      </c>
      <c r="AK318" s="39" t="str">
        <f>("2025/04/04")</f>
        <v>2025/04/04</v>
      </c>
      <c r="AL318" s="39" t="str">
        <f t="shared" si="24"/>
        <v>2025/04/01</v>
      </c>
    </row>
    <row r="319" spans="1:38" x14ac:dyDescent="0.25">
      <c r="A319" s="39" t="str">
        <f>("1308280032")</f>
        <v>1308280032</v>
      </c>
      <c r="B319" s="39" t="s">
        <v>8781</v>
      </c>
      <c r="C319" s="39"/>
      <c r="D319" s="39" t="s">
        <v>4397</v>
      </c>
      <c r="E319" s="371" t="str">
        <f t="shared" si="21"/>
        <v>よしのうち　あゆま</v>
      </c>
      <c r="F319" s="39" t="s">
        <v>2516</v>
      </c>
      <c r="G319" s="39" t="s">
        <v>7828</v>
      </c>
      <c r="H319" s="39" t="str">
        <f>("2013/08/28")</f>
        <v>2013/08/28</v>
      </c>
      <c r="I319" s="39">
        <v>6</v>
      </c>
      <c r="J319" s="39" t="s">
        <v>1478</v>
      </c>
      <c r="K319" s="39" t="s">
        <v>2122</v>
      </c>
      <c r="L319" s="39" t="s">
        <v>7830</v>
      </c>
      <c r="M319" s="39" t="s">
        <v>7831</v>
      </c>
      <c r="N319" s="39" t="str">
        <f>("0130116")</f>
        <v>0130116</v>
      </c>
      <c r="P319" s="39" t="s">
        <v>11807</v>
      </c>
      <c r="Q319" s="39" t="s">
        <v>8568</v>
      </c>
      <c r="R319" s="39" t="s">
        <v>8569</v>
      </c>
      <c r="S319" s="39" t="s">
        <v>8570</v>
      </c>
      <c r="AK319" s="39" t="str">
        <f>("2025/03/25")</f>
        <v>2025/03/25</v>
      </c>
      <c r="AL319" s="39" t="str">
        <f t="shared" si="24"/>
        <v>2025/04/01</v>
      </c>
    </row>
    <row r="320" spans="1:38" x14ac:dyDescent="0.25">
      <c r="A320" s="39" t="str">
        <f>("1308280242")</f>
        <v>1308280242</v>
      </c>
      <c r="C320" s="39"/>
      <c r="D320" s="39" t="s">
        <v>8782</v>
      </c>
      <c r="E320" s="371" t="str">
        <f t="shared" si="21"/>
        <v>くまがい　るいと</v>
      </c>
      <c r="F320" s="39" t="s">
        <v>2648</v>
      </c>
      <c r="G320" s="39" t="s">
        <v>7828</v>
      </c>
      <c r="H320" s="39" t="str">
        <f>("2013/08/28")</f>
        <v>2013/08/28</v>
      </c>
      <c r="I320" s="39">
        <v>6</v>
      </c>
      <c r="J320" s="39" t="s">
        <v>1478</v>
      </c>
      <c r="K320" s="39" t="s">
        <v>2122</v>
      </c>
      <c r="L320" s="39" t="s">
        <v>7830</v>
      </c>
      <c r="M320" s="39" t="s">
        <v>7831</v>
      </c>
      <c r="N320" s="39" t="str">
        <f>("1050097")</f>
        <v>1050097</v>
      </c>
      <c r="P320" s="39" t="s">
        <v>11808</v>
      </c>
      <c r="Q320" s="39" t="s">
        <v>8568</v>
      </c>
      <c r="R320" s="39" t="s">
        <v>8569</v>
      </c>
      <c r="S320" s="39" t="s">
        <v>8570</v>
      </c>
      <c r="AK320" s="39" t="str">
        <f>("2025/03/25")</f>
        <v>2025/03/25</v>
      </c>
      <c r="AL320" s="39" t="str">
        <f t="shared" si="24"/>
        <v>2025/04/01</v>
      </c>
    </row>
    <row r="321" spans="1:38" x14ac:dyDescent="0.25">
      <c r="A321" s="39" t="str">
        <f>("1308290108")</f>
        <v>1308290108</v>
      </c>
      <c r="B321" s="39" t="s">
        <v>8783</v>
      </c>
      <c r="C321" s="39"/>
      <c r="D321" s="39" t="s">
        <v>6055</v>
      </c>
      <c r="E321" s="371" t="str">
        <f t="shared" si="21"/>
        <v>すえなが　あおと</v>
      </c>
      <c r="F321" s="39" t="s">
        <v>2587</v>
      </c>
      <c r="G321" s="39" t="s">
        <v>7828</v>
      </c>
      <c r="H321" s="39" t="str">
        <f>("2013/08/29")</f>
        <v>2013/08/29</v>
      </c>
      <c r="I321" s="39">
        <v>6</v>
      </c>
      <c r="J321" s="39" t="s">
        <v>1478</v>
      </c>
      <c r="K321" s="39" t="s">
        <v>2122</v>
      </c>
      <c r="L321" s="39" t="s">
        <v>7830</v>
      </c>
      <c r="M321" s="39" t="s">
        <v>7831</v>
      </c>
      <c r="N321" s="39" t="str">
        <f>("0387334")</f>
        <v>0387334</v>
      </c>
      <c r="P321" s="39" t="s">
        <v>11809</v>
      </c>
      <c r="Q321" s="39" t="s">
        <v>8568</v>
      </c>
      <c r="R321" s="39" t="s">
        <v>8569</v>
      </c>
      <c r="S321" s="39" t="s">
        <v>8570</v>
      </c>
      <c r="AK321" s="39" t="str">
        <f>("2025/03/27")</f>
        <v>2025/03/27</v>
      </c>
      <c r="AL321" s="39" t="str">
        <f t="shared" si="24"/>
        <v>2025/04/01</v>
      </c>
    </row>
    <row r="322" spans="1:38" x14ac:dyDescent="0.25">
      <c r="A322" s="39" t="str">
        <f>("1308300019")</f>
        <v>1308300019</v>
      </c>
      <c r="C322" s="39"/>
      <c r="D322" s="39" t="s">
        <v>4080</v>
      </c>
      <c r="E322" s="371" t="str">
        <f t="shared" si="21"/>
        <v>あきよし　かんた</v>
      </c>
      <c r="F322" s="39" t="s">
        <v>2821</v>
      </c>
      <c r="G322" s="39" t="s">
        <v>7828</v>
      </c>
      <c r="H322" s="39" t="str">
        <f>("2013/08/30")</f>
        <v>2013/08/30</v>
      </c>
      <c r="I322" s="39">
        <v>6</v>
      </c>
      <c r="J322" s="39" t="s">
        <v>1478</v>
      </c>
      <c r="K322" s="39" t="s">
        <v>2122</v>
      </c>
      <c r="L322" s="39" t="s">
        <v>7830</v>
      </c>
      <c r="M322" s="39" t="s">
        <v>7831</v>
      </c>
      <c r="N322" s="39" t="str">
        <f>("0237631")</f>
        <v>0237631</v>
      </c>
      <c r="P322" s="39" t="s">
        <v>11810</v>
      </c>
      <c r="Q322" s="39" t="s">
        <v>8568</v>
      </c>
      <c r="R322" s="39" t="s">
        <v>8569</v>
      </c>
      <c r="S322" s="39" t="s">
        <v>8570</v>
      </c>
      <c r="AK322" s="39" t="str">
        <f>("2025/03/17")</f>
        <v>2025/03/17</v>
      </c>
      <c r="AL322" s="39" t="str">
        <f t="shared" si="24"/>
        <v>2025/04/01</v>
      </c>
    </row>
    <row r="323" spans="1:38" x14ac:dyDescent="0.25">
      <c r="A323" s="39" t="str">
        <f>("1308300047")</f>
        <v>1308300047</v>
      </c>
      <c r="C323" s="39"/>
      <c r="D323" s="39" t="s">
        <v>4667</v>
      </c>
      <c r="E323" s="371" t="str">
        <f t="shared" ref="E323:E386" si="25">PHONETIC(P323)</f>
        <v>つちや　すみれ</v>
      </c>
      <c r="F323" s="39" t="s">
        <v>2575</v>
      </c>
      <c r="G323" s="39" t="s">
        <v>7828</v>
      </c>
      <c r="H323" s="39" t="str">
        <f>("2013/08/30")</f>
        <v>2013/08/30</v>
      </c>
      <c r="I323" s="39">
        <v>6</v>
      </c>
      <c r="J323" s="39" t="s">
        <v>1480</v>
      </c>
      <c r="K323" s="39" t="s">
        <v>2122</v>
      </c>
      <c r="L323" s="39" t="s">
        <v>7830</v>
      </c>
      <c r="M323" s="39" t="s">
        <v>7831</v>
      </c>
      <c r="N323" s="39" t="str">
        <f>("0303040")</f>
        <v>0303040</v>
      </c>
      <c r="P323" s="39" t="s">
        <v>11811</v>
      </c>
      <c r="Q323" s="39" t="s">
        <v>8568</v>
      </c>
      <c r="R323" s="39" t="s">
        <v>8569</v>
      </c>
      <c r="S323" s="39" t="s">
        <v>8570</v>
      </c>
      <c r="AK323" s="39" t="str">
        <f>("2025/03/17")</f>
        <v>2025/03/17</v>
      </c>
      <c r="AL323" s="39" t="str">
        <f t="shared" si="24"/>
        <v>2025/04/01</v>
      </c>
    </row>
    <row r="324" spans="1:38" x14ac:dyDescent="0.25">
      <c r="A324" s="39" t="str">
        <f>("1308310010")</f>
        <v>1308310010</v>
      </c>
      <c r="B324" s="39" t="s">
        <v>8784</v>
      </c>
      <c r="C324" s="39"/>
      <c r="D324" s="39" t="s">
        <v>3871</v>
      </c>
      <c r="E324" s="371" t="str">
        <f t="shared" si="25"/>
        <v>たて　らいと</v>
      </c>
      <c r="F324" s="39" t="s">
        <v>1968</v>
      </c>
      <c r="G324" s="39" t="s">
        <v>7828</v>
      </c>
      <c r="H324" s="39" t="str">
        <f>("2013/08/31")</f>
        <v>2013/08/31</v>
      </c>
      <c r="I324" s="39">
        <v>6</v>
      </c>
      <c r="J324" s="39" t="s">
        <v>1478</v>
      </c>
      <c r="K324" s="39" t="s">
        <v>2122</v>
      </c>
      <c r="L324" s="39" t="s">
        <v>7830</v>
      </c>
      <c r="M324" s="39" t="s">
        <v>7831</v>
      </c>
      <c r="N324" s="39" t="str">
        <f>("0129507")</f>
        <v>0129507</v>
      </c>
      <c r="P324" s="39" t="s">
        <v>11812</v>
      </c>
      <c r="Q324" s="39" t="s">
        <v>8568</v>
      </c>
      <c r="R324" s="39" t="s">
        <v>8569</v>
      </c>
      <c r="S324" s="39" t="s">
        <v>8570</v>
      </c>
      <c r="AA324" s="39" t="s">
        <v>2122</v>
      </c>
      <c r="AB324" s="39" t="s">
        <v>7830</v>
      </c>
      <c r="AC324" s="39" t="s">
        <v>7831</v>
      </c>
      <c r="AD324" s="39" t="str">
        <f>("0129462")</f>
        <v>0129462</v>
      </c>
      <c r="AE324" s="39" t="s">
        <v>2469</v>
      </c>
      <c r="AK324" s="39" t="str">
        <f>("2025/03/17")</f>
        <v>2025/03/17</v>
      </c>
      <c r="AL324" s="39" t="str">
        <f t="shared" si="24"/>
        <v>2025/04/01</v>
      </c>
    </row>
    <row r="325" spans="1:38" x14ac:dyDescent="0.25">
      <c r="A325" s="39" t="str">
        <f>("1309010058")</f>
        <v>1309010058</v>
      </c>
      <c r="C325" s="39"/>
      <c r="D325" s="39" t="s">
        <v>8785</v>
      </c>
      <c r="E325" s="371" t="str">
        <f t="shared" si="25"/>
        <v>たにがわ　かい</v>
      </c>
      <c r="F325" s="39" t="s">
        <v>2619</v>
      </c>
      <c r="G325" s="39" t="s">
        <v>7828</v>
      </c>
      <c r="H325" s="39" t="str">
        <f>("2013/09/01")</f>
        <v>2013/09/01</v>
      </c>
      <c r="I325" s="39">
        <v>6</v>
      </c>
      <c r="J325" s="39" t="s">
        <v>1478</v>
      </c>
      <c r="K325" s="39" t="s">
        <v>2122</v>
      </c>
      <c r="L325" s="39" t="s">
        <v>7830</v>
      </c>
      <c r="M325" s="39" t="s">
        <v>7831</v>
      </c>
      <c r="N325" s="39" t="str">
        <f>("0472823")</f>
        <v>0472823</v>
      </c>
      <c r="P325" s="39" t="s">
        <v>11813</v>
      </c>
      <c r="Q325" s="39" t="s">
        <v>8568</v>
      </c>
      <c r="R325" s="39" t="s">
        <v>8569</v>
      </c>
      <c r="S325" s="39" t="s">
        <v>8570</v>
      </c>
      <c r="AK325" s="39" t="str">
        <f>("2025/03/17")</f>
        <v>2025/03/17</v>
      </c>
      <c r="AL325" s="39" t="str">
        <f t="shared" si="24"/>
        <v>2025/04/01</v>
      </c>
    </row>
    <row r="326" spans="1:38" x14ac:dyDescent="0.25">
      <c r="A326" s="39" t="str">
        <f>("1309020127")</f>
        <v>1309020127</v>
      </c>
      <c r="B326" s="39" t="s">
        <v>8786</v>
      </c>
      <c r="C326" s="39"/>
      <c r="D326" s="39" t="s">
        <v>4606</v>
      </c>
      <c r="E326" s="371" t="str">
        <f t="shared" si="25"/>
        <v>かとう　しょうや</v>
      </c>
      <c r="F326" s="39" t="s">
        <v>2549</v>
      </c>
      <c r="G326" s="39" t="s">
        <v>7828</v>
      </c>
      <c r="H326" s="39" t="str">
        <f>("2013/09/02")</f>
        <v>2013/09/02</v>
      </c>
      <c r="I326" s="39">
        <v>6</v>
      </c>
      <c r="J326" s="39" t="s">
        <v>1478</v>
      </c>
      <c r="K326" s="39" t="s">
        <v>2122</v>
      </c>
      <c r="L326" s="39" t="s">
        <v>7830</v>
      </c>
      <c r="M326" s="39" t="s">
        <v>7831</v>
      </c>
      <c r="N326" s="39" t="str">
        <f>("0130688")</f>
        <v>0130688</v>
      </c>
      <c r="P326" s="39" t="s">
        <v>11814</v>
      </c>
      <c r="Q326" s="39" t="s">
        <v>8568</v>
      </c>
      <c r="R326" s="39" t="s">
        <v>8569</v>
      </c>
      <c r="S326" s="39" t="s">
        <v>8570</v>
      </c>
      <c r="AK326" s="39" t="str">
        <f>("2025/03/17")</f>
        <v>2025/03/17</v>
      </c>
      <c r="AL326" s="39" t="str">
        <f t="shared" si="24"/>
        <v>2025/04/01</v>
      </c>
    </row>
    <row r="327" spans="1:38" x14ac:dyDescent="0.25">
      <c r="A327" s="39" t="str">
        <f>("1309020185")</f>
        <v>1309020185</v>
      </c>
      <c r="B327" s="39" t="s">
        <v>8787</v>
      </c>
      <c r="C327" s="39"/>
      <c r="D327" s="39" t="s">
        <v>6049</v>
      </c>
      <c r="E327" s="371" t="str">
        <f t="shared" si="25"/>
        <v>あおやま　たくま</v>
      </c>
      <c r="F327" s="39" t="s">
        <v>1207</v>
      </c>
      <c r="G327" s="39" t="s">
        <v>7828</v>
      </c>
      <c r="H327" s="39" t="str">
        <f>("2013/09/02")</f>
        <v>2013/09/02</v>
      </c>
      <c r="I327" s="39">
        <v>6</v>
      </c>
      <c r="J327" s="39" t="s">
        <v>1478</v>
      </c>
      <c r="K327" s="39" t="s">
        <v>2122</v>
      </c>
      <c r="L327" s="39" t="s">
        <v>7830</v>
      </c>
      <c r="M327" s="39" t="s">
        <v>7831</v>
      </c>
      <c r="N327" s="39" t="str">
        <f>("0381608")</f>
        <v>0381608</v>
      </c>
      <c r="P327" s="39" t="s">
        <v>11815</v>
      </c>
      <c r="Q327" s="39" t="s">
        <v>8568</v>
      </c>
      <c r="R327" s="39" t="s">
        <v>8569</v>
      </c>
      <c r="S327" s="39" t="s">
        <v>8570</v>
      </c>
      <c r="AK327" s="39" t="str">
        <f>("2025/03/21")</f>
        <v>2025/03/21</v>
      </c>
      <c r="AL327" s="39" t="str">
        <f t="shared" si="24"/>
        <v>2025/04/01</v>
      </c>
    </row>
    <row r="328" spans="1:38" x14ac:dyDescent="0.25">
      <c r="A328" s="39" t="str">
        <f>("1309030103")</f>
        <v>1309030103</v>
      </c>
      <c r="C328" s="39"/>
      <c r="D328" s="39" t="s">
        <v>6239</v>
      </c>
      <c r="E328" s="371" t="str">
        <f t="shared" si="25"/>
        <v>だん　あおい</v>
      </c>
      <c r="F328" s="39" t="s">
        <v>1692</v>
      </c>
      <c r="G328" s="39" t="s">
        <v>7828</v>
      </c>
      <c r="H328" s="39" t="str">
        <f>("2013/09/03")</f>
        <v>2013/09/03</v>
      </c>
      <c r="I328" s="39">
        <v>6</v>
      </c>
      <c r="J328" s="39" t="s">
        <v>1478</v>
      </c>
      <c r="K328" s="39" t="s">
        <v>2122</v>
      </c>
      <c r="L328" s="39" t="s">
        <v>7830</v>
      </c>
      <c r="M328" s="39" t="s">
        <v>7831</v>
      </c>
      <c r="N328" s="39" t="str">
        <f>("1052299")</f>
        <v>1052299</v>
      </c>
      <c r="P328" s="39" t="s">
        <v>11816</v>
      </c>
      <c r="Q328" s="39" t="s">
        <v>8568</v>
      </c>
      <c r="R328" s="39" t="s">
        <v>8569</v>
      </c>
      <c r="S328" s="39" t="s">
        <v>8570</v>
      </c>
      <c r="AK328" s="39" t="str">
        <f>("2025/03/17")</f>
        <v>2025/03/17</v>
      </c>
      <c r="AL328" s="39" t="str">
        <f t="shared" si="24"/>
        <v>2025/04/01</v>
      </c>
    </row>
    <row r="329" spans="1:38" x14ac:dyDescent="0.25">
      <c r="A329" s="39" t="str">
        <f>("1309030129")</f>
        <v>1309030129</v>
      </c>
      <c r="B329" s="39" t="s">
        <v>8788</v>
      </c>
      <c r="C329" s="39"/>
      <c r="D329" s="39" t="s">
        <v>6017</v>
      </c>
      <c r="E329" s="371" t="str">
        <f t="shared" si="25"/>
        <v>きくかわ　ひかる</v>
      </c>
      <c r="F329" s="39" t="s">
        <v>2530</v>
      </c>
      <c r="G329" s="39" t="s">
        <v>7828</v>
      </c>
      <c r="H329" s="39" t="str">
        <f>("2013/09/03")</f>
        <v>2013/09/03</v>
      </c>
      <c r="I329" s="39">
        <v>6</v>
      </c>
      <c r="J329" s="39" t="s">
        <v>1478</v>
      </c>
      <c r="K329" s="39" t="s">
        <v>2122</v>
      </c>
      <c r="L329" s="39" t="s">
        <v>7830</v>
      </c>
      <c r="M329" s="39" t="s">
        <v>7831</v>
      </c>
      <c r="N329" s="39" t="str">
        <f>("0338756")</f>
        <v>0338756</v>
      </c>
      <c r="P329" s="39" t="s">
        <v>11817</v>
      </c>
      <c r="Q329" s="39" t="s">
        <v>8568</v>
      </c>
      <c r="R329" s="39" t="s">
        <v>8569</v>
      </c>
      <c r="S329" s="39" t="s">
        <v>8570</v>
      </c>
      <c r="AK329" s="39" t="str">
        <f>("2025/04/01")</f>
        <v>2025/04/01</v>
      </c>
      <c r="AL329" s="39" t="str">
        <f t="shared" si="24"/>
        <v>2025/04/01</v>
      </c>
    </row>
    <row r="330" spans="1:38" x14ac:dyDescent="0.25">
      <c r="A330" s="39" t="str">
        <f>("1309040210")</f>
        <v>1309040210</v>
      </c>
      <c r="C330" s="39"/>
      <c r="D330" s="39" t="s">
        <v>5987</v>
      </c>
      <c r="E330" s="371" t="str">
        <f t="shared" si="25"/>
        <v>ゆす　りょうた</v>
      </c>
      <c r="F330" s="39" t="s">
        <v>2821</v>
      </c>
      <c r="G330" s="39" t="s">
        <v>7828</v>
      </c>
      <c r="H330" s="39" t="str">
        <f>("2013/09/04")</f>
        <v>2013/09/04</v>
      </c>
      <c r="I330" s="39">
        <v>6</v>
      </c>
      <c r="J330" s="39" t="s">
        <v>1478</v>
      </c>
      <c r="K330" s="39" t="s">
        <v>2122</v>
      </c>
      <c r="L330" s="39" t="s">
        <v>7830</v>
      </c>
      <c r="M330" s="39" t="s">
        <v>7831</v>
      </c>
      <c r="N330" s="39" t="str">
        <f>("0237631")</f>
        <v>0237631</v>
      </c>
      <c r="P330" s="39" t="s">
        <v>11818</v>
      </c>
      <c r="Q330" s="39" t="s">
        <v>8568</v>
      </c>
      <c r="R330" s="39" t="s">
        <v>8569</v>
      </c>
      <c r="S330" s="39" t="s">
        <v>8570</v>
      </c>
      <c r="AK330" s="39" t="str">
        <f>("2025/03/17")</f>
        <v>2025/03/17</v>
      </c>
      <c r="AL330" s="39" t="str">
        <f t="shared" si="24"/>
        <v>2025/04/01</v>
      </c>
    </row>
    <row r="331" spans="1:38" x14ac:dyDescent="0.25">
      <c r="A331" s="39" t="str">
        <f>("1309050027")</f>
        <v>1309050027</v>
      </c>
      <c r="B331" s="39" t="s">
        <v>8789</v>
      </c>
      <c r="C331" s="39"/>
      <c r="D331" s="39" t="s">
        <v>8790</v>
      </c>
      <c r="E331" s="371" t="str">
        <f t="shared" si="25"/>
        <v>ごとう　かいり</v>
      </c>
      <c r="F331" s="39" t="s">
        <v>8485</v>
      </c>
      <c r="G331" s="39" t="s">
        <v>7828</v>
      </c>
      <c r="H331" s="39" t="str">
        <f>("2013/09/05")</f>
        <v>2013/09/05</v>
      </c>
      <c r="I331" s="39">
        <v>6</v>
      </c>
      <c r="J331" s="39" t="s">
        <v>1478</v>
      </c>
      <c r="K331" s="39" t="s">
        <v>2122</v>
      </c>
      <c r="L331" s="39" t="s">
        <v>7830</v>
      </c>
      <c r="M331" s="39" t="s">
        <v>7831</v>
      </c>
      <c r="N331" s="39" t="str">
        <f>("0130666")</f>
        <v>0130666</v>
      </c>
      <c r="P331" s="39" t="s">
        <v>11819</v>
      </c>
      <c r="Q331" s="39" t="s">
        <v>8568</v>
      </c>
      <c r="R331" s="39" t="s">
        <v>8569</v>
      </c>
      <c r="S331" s="39" t="s">
        <v>8570</v>
      </c>
      <c r="AK331" s="39" t="str">
        <f>("2025/03/24")</f>
        <v>2025/03/24</v>
      </c>
      <c r="AL331" s="39" t="str">
        <f t="shared" si="24"/>
        <v>2025/04/01</v>
      </c>
    </row>
    <row r="332" spans="1:38" x14ac:dyDescent="0.25">
      <c r="A332" s="39" t="str">
        <f>("1309050083")</f>
        <v>1309050083</v>
      </c>
      <c r="B332" s="39" t="s">
        <v>8791</v>
      </c>
      <c r="C332" s="39"/>
      <c r="D332" s="39" t="s">
        <v>6268</v>
      </c>
      <c r="E332" s="371" t="str">
        <f t="shared" si="25"/>
        <v>かめい　あかり</v>
      </c>
      <c r="F332" s="39" t="s">
        <v>3870</v>
      </c>
      <c r="G332" s="39" t="s">
        <v>7828</v>
      </c>
      <c r="H332" s="39" t="str">
        <f>("2013/09/05")</f>
        <v>2013/09/05</v>
      </c>
      <c r="I332" s="39">
        <v>6</v>
      </c>
      <c r="J332" s="39" t="s">
        <v>1480</v>
      </c>
      <c r="K332" s="39" t="s">
        <v>2122</v>
      </c>
      <c r="L332" s="39" t="s">
        <v>7830</v>
      </c>
      <c r="M332" s="39" t="s">
        <v>7831</v>
      </c>
      <c r="N332" s="39" t="str">
        <f>("1094183")</f>
        <v>1094183</v>
      </c>
      <c r="P332" s="39" t="s">
        <v>11820</v>
      </c>
      <c r="Q332" s="39" t="s">
        <v>8568</v>
      </c>
      <c r="R332" s="39" t="s">
        <v>8569</v>
      </c>
      <c r="S332" s="39" t="s">
        <v>8570</v>
      </c>
      <c r="AK332" s="39" t="str">
        <f>("2025/03/27")</f>
        <v>2025/03/27</v>
      </c>
      <c r="AL332" s="39" t="str">
        <f t="shared" si="24"/>
        <v>2025/04/01</v>
      </c>
    </row>
    <row r="333" spans="1:38" x14ac:dyDescent="0.25">
      <c r="A333" s="39" t="str">
        <f>("1309060015")</f>
        <v>1309060015</v>
      </c>
      <c r="C333" s="39"/>
      <c r="D333" s="39" t="s">
        <v>4597</v>
      </c>
      <c r="E333" s="371" t="str">
        <f t="shared" si="25"/>
        <v>まるた　けいや</v>
      </c>
      <c r="F333" s="39" t="s">
        <v>2033</v>
      </c>
      <c r="G333" s="39" t="s">
        <v>7828</v>
      </c>
      <c r="H333" s="39" t="str">
        <f>("2013/09/06")</f>
        <v>2013/09/06</v>
      </c>
      <c r="I333" s="39">
        <v>6</v>
      </c>
      <c r="J333" s="39" t="s">
        <v>1478</v>
      </c>
      <c r="K333" s="39" t="s">
        <v>2122</v>
      </c>
      <c r="L333" s="39" t="s">
        <v>7830</v>
      </c>
      <c r="M333" s="39" t="s">
        <v>7831</v>
      </c>
      <c r="N333" s="39" t="str">
        <f>("0130442")</f>
        <v>0130442</v>
      </c>
      <c r="P333" s="39" t="s">
        <v>11821</v>
      </c>
      <c r="Q333" s="39" t="s">
        <v>8568</v>
      </c>
      <c r="R333" s="39" t="s">
        <v>8569</v>
      </c>
      <c r="S333" s="39" t="s">
        <v>8570</v>
      </c>
      <c r="AA333" s="39" t="s">
        <v>2122</v>
      </c>
      <c r="AB333" s="39" t="s">
        <v>7830</v>
      </c>
      <c r="AC333" s="39" t="s">
        <v>7831</v>
      </c>
      <c r="AD333" s="39" t="str">
        <f>("0130644")</f>
        <v>0130644</v>
      </c>
      <c r="AE333" s="39" t="s">
        <v>2544</v>
      </c>
      <c r="AK333" s="39" t="str">
        <f>("2025/04/04")</f>
        <v>2025/04/04</v>
      </c>
      <c r="AL333" s="39" t="str">
        <f t="shared" si="24"/>
        <v>2025/04/01</v>
      </c>
    </row>
    <row r="334" spans="1:38" x14ac:dyDescent="0.25">
      <c r="A334" s="39" t="str">
        <f>("1309060141")</f>
        <v>1309060141</v>
      </c>
      <c r="B334" s="39" t="s">
        <v>8792</v>
      </c>
      <c r="C334" s="39"/>
      <c r="D334" s="39" t="s">
        <v>4449</v>
      </c>
      <c r="E334" s="371" t="str">
        <f t="shared" si="25"/>
        <v>ならはし　こはね</v>
      </c>
      <c r="F334" s="39" t="s">
        <v>1912</v>
      </c>
      <c r="G334" s="39" t="s">
        <v>7828</v>
      </c>
      <c r="H334" s="39" t="str">
        <f>("2013/09/06")</f>
        <v>2013/09/06</v>
      </c>
      <c r="I334" s="39">
        <v>6</v>
      </c>
      <c r="J334" s="39" t="s">
        <v>1480</v>
      </c>
      <c r="K334" s="39" t="s">
        <v>2122</v>
      </c>
      <c r="L334" s="39" t="s">
        <v>7830</v>
      </c>
      <c r="M334" s="39" t="s">
        <v>7831</v>
      </c>
      <c r="N334" s="39" t="str">
        <f>("0130363")</f>
        <v>0130363</v>
      </c>
      <c r="P334" s="39" t="s">
        <v>11822</v>
      </c>
      <c r="Q334" s="39" t="s">
        <v>8568</v>
      </c>
      <c r="R334" s="39" t="s">
        <v>8569</v>
      </c>
      <c r="S334" s="39" t="s">
        <v>8570</v>
      </c>
      <c r="AK334" s="39" t="str">
        <f>("2025/03/17")</f>
        <v>2025/03/17</v>
      </c>
      <c r="AL334" s="39" t="str">
        <f t="shared" si="24"/>
        <v>2025/04/01</v>
      </c>
    </row>
    <row r="335" spans="1:38" x14ac:dyDescent="0.25">
      <c r="A335" s="39" t="str">
        <f>("1309060200")</f>
        <v>1309060200</v>
      </c>
      <c r="C335" s="39"/>
      <c r="D335" s="39" t="s">
        <v>8793</v>
      </c>
      <c r="E335" s="371" t="str">
        <f t="shared" si="25"/>
        <v>からしま　ほなみ</v>
      </c>
      <c r="F335" s="39" t="s">
        <v>7864</v>
      </c>
      <c r="G335" s="39" t="s">
        <v>7828</v>
      </c>
      <c r="H335" s="39" t="str">
        <f>("2013/09/06")</f>
        <v>2013/09/06</v>
      </c>
      <c r="I335" s="39">
        <v>6</v>
      </c>
      <c r="J335" s="39" t="s">
        <v>1480</v>
      </c>
      <c r="K335" s="39" t="s">
        <v>2122</v>
      </c>
      <c r="L335" s="39" t="s">
        <v>7830</v>
      </c>
      <c r="M335" s="39" t="s">
        <v>7831</v>
      </c>
      <c r="N335" s="39" t="str">
        <f>("1039801")</f>
        <v>1039801</v>
      </c>
      <c r="P335" s="39" t="s">
        <v>11823</v>
      </c>
      <c r="Q335" s="39" t="s">
        <v>8568</v>
      </c>
      <c r="R335" s="39" t="s">
        <v>8569</v>
      </c>
      <c r="S335" s="39" t="s">
        <v>8570</v>
      </c>
      <c r="AK335" s="39" t="str">
        <f>("2025/03/24")</f>
        <v>2025/03/24</v>
      </c>
      <c r="AL335" s="39" t="str">
        <f t="shared" si="24"/>
        <v>2025/04/01</v>
      </c>
    </row>
    <row r="336" spans="1:38" x14ac:dyDescent="0.25">
      <c r="A336" s="39" t="str">
        <f>("1309070138")</f>
        <v>1309070138</v>
      </c>
      <c r="B336" s="39" t="s">
        <v>8794</v>
      </c>
      <c r="C336" s="39"/>
      <c r="D336" s="39" t="s">
        <v>6275</v>
      </c>
      <c r="E336" s="371" t="str">
        <f t="shared" si="25"/>
        <v>いしかけ　まさき</v>
      </c>
      <c r="F336" s="39" t="s">
        <v>5620</v>
      </c>
      <c r="G336" s="39" t="s">
        <v>7828</v>
      </c>
      <c r="H336" s="39" t="str">
        <f>("2013/09/07")</f>
        <v>2013/09/07</v>
      </c>
      <c r="I336" s="39">
        <v>6</v>
      </c>
      <c r="J336" s="39" t="s">
        <v>1478</v>
      </c>
      <c r="K336" s="39" t="s">
        <v>2122</v>
      </c>
      <c r="L336" s="39" t="s">
        <v>7830</v>
      </c>
      <c r="M336" s="39" t="s">
        <v>7831</v>
      </c>
      <c r="N336" s="39" t="str">
        <f>("1101553")</f>
        <v>1101553</v>
      </c>
      <c r="P336" s="39" t="s">
        <v>11824</v>
      </c>
      <c r="Q336" s="39" t="s">
        <v>8568</v>
      </c>
      <c r="R336" s="39" t="s">
        <v>8569</v>
      </c>
      <c r="S336" s="39" t="s">
        <v>8570</v>
      </c>
      <c r="AK336" s="39" t="str">
        <f>("2025/03/19")</f>
        <v>2025/03/19</v>
      </c>
      <c r="AL336" s="39" t="str">
        <f t="shared" si="24"/>
        <v>2025/04/01</v>
      </c>
    </row>
    <row r="337" spans="1:39" x14ac:dyDescent="0.25">
      <c r="A337" s="39" t="str">
        <f>("1309070144")</f>
        <v>1309070144</v>
      </c>
      <c r="B337" s="39" t="s">
        <v>8795</v>
      </c>
      <c r="C337" s="39"/>
      <c r="D337" s="39" t="s">
        <v>5968</v>
      </c>
      <c r="E337" s="371" t="str">
        <f t="shared" si="25"/>
        <v>はだの　しょうき</v>
      </c>
      <c r="F337" s="39" t="s">
        <v>2325</v>
      </c>
      <c r="G337" s="39" t="s">
        <v>7828</v>
      </c>
      <c r="H337" s="39" t="str">
        <f>("2013/09/07")</f>
        <v>2013/09/07</v>
      </c>
      <c r="I337" s="39">
        <v>6</v>
      </c>
      <c r="J337" s="39" t="s">
        <v>1478</v>
      </c>
      <c r="K337" s="39" t="s">
        <v>2122</v>
      </c>
      <c r="L337" s="39" t="s">
        <v>7830</v>
      </c>
      <c r="M337" s="39" t="s">
        <v>7831</v>
      </c>
      <c r="N337" s="39" t="str">
        <f>("0155034")</f>
        <v>0155034</v>
      </c>
      <c r="P337" s="39" t="s">
        <v>11825</v>
      </c>
      <c r="Q337" s="39" t="s">
        <v>8568</v>
      </c>
      <c r="R337" s="39" t="s">
        <v>8569</v>
      </c>
      <c r="S337" s="39" t="s">
        <v>8570</v>
      </c>
      <c r="AK337" s="39" t="str">
        <f>("2025/03/17")</f>
        <v>2025/03/17</v>
      </c>
      <c r="AL337" s="39" t="str">
        <f t="shared" si="24"/>
        <v>2025/04/01</v>
      </c>
    </row>
    <row r="338" spans="1:39" x14ac:dyDescent="0.25">
      <c r="A338" s="39" t="str">
        <f>("1309070154")</f>
        <v>1309070154</v>
      </c>
      <c r="B338" s="39" t="s">
        <v>8796</v>
      </c>
      <c r="C338" s="39"/>
      <c r="D338" s="39" t="s">
        <v>5986</v>
      </c>
      <c r="E338" s="371" t="str">
        <f t="shared" si="25"/>
        <v>はなきた　あさひ</v>
      </c>
      <c r="F338" s="39" t="s">
        <v>2821</v>
      </c>
      <c r="G338" s="39" t="s">
        <v>7828</v>
      </c>
      <c r="H338" s="39" t="str">
        <f>("2013/09/07")</f>
        <v>2013/09/07</v>
      </c>
      <c r="I338" s="39">
        <v>6</v>
      </c>
      <c r="J338" s="39" t="s">
        <v>1478</v>
      </c>
      <c r="K338" s="39" t="s">
        <v>2122</v>
      </c>
      <c r="L338" s="39" t="s">
        <v>7830</v>
      </c>
      <c r="M338" s="39" t="s">
        <v>7831</v>
      </c>
      <c r="N338" s="39" t="str">
        <f>("0237631")</f>
        <v>0237631</v>
      </c>
      <c r="P338" s="39" t="s">
        <v>11826</v>
      </c>
      <c r="Q338" s="39" t="s">
        <v>8568</v>
      </c>
      <c r="R338" s="39" t="s">
        <v>8569</v>
      </c>
      <c r="S338" s="39" t="s">
        <v>8570</v>
      </c>
      <c r="AK338" s="39" t="str">
        <f>("2025/03/17")</f>
        <v>2025/03/17</v>
      </c>
      <c r="AL338" s="39" t="str">
        <f t="shared" si="24"/>
        <v>2025/04/01</v>
      </c>
    </row>
    <row r="339" spans="1:39" x14ac:dyDescent="0.25">
      <c r="A339" s="39" t="str">
        <f>("1309070159")</f>
        <v>1309070159</v>
      </c>
      <c r="C339" s="39"/>
      <c r="D339" s="39" t="s">
        <v>5892</v>
      </c>
      <c r="E339" s="371" t="str">
        <f t="shared" si="25"/>
        <v>あんどう　じんり</v>
      </c>
      <c r="F339" s="39" t="s">
        <v>1190</v>
      </c>
      <c r="G339" s="39" t="s">
        <v>7876</v>
      </c>
      <c r="H339" s="39" t="str">
        <f>("2013/09/07")</f>
        <v>2013/09/07</v>
      </c>
      <c r="I339" s="39">
        <v>6</v>
      </c>
      <c r="J339" s="39" t="s">
        <v>1478</v>
      </c>
      <c r="K339" s="39" t="s">
        <v>2122</v>
      </c>
      <c r="L339" s="39" t="s">
        <v>7830</v>
      </c>
      <c r="M339" s="39" t="s">
        <v>7831</v>
      </c>
      <c r="N339" s="39" t="str">
        <f>("0130554")</f>
        <v>0130554</v>
      </c>
      <c r="P339" s="39" t="s">
        <v>11827</v>
      </c>
      <c r="Q339" s="39" t="s">
        <v>8568</v>
      </c>
      <c r="R339" s="39" t="s">
        <v>8569</v>
      </c>
      <c r="S339" s="39" t="s">
        <v>8570</v>
      </c>
      <c r="AK339" s="39" t="str">
        <f>("2025/03/17")</f>
        <v>2025/03/17</v>
      </c>
      <c r="AL339" s="39" t="str">
        <f t="shared" si="24"/>
        <v>2025/04/01</v>
      </c>
      <c r="AM339" s="39" t="str">
        <f>("2025/12/15")</f>
        <v>2025/12/15</v>
      </c>
    </row>
    <row r="340" spans="1:39" x14ac:dyDescent="0.25">
      <c r="A340" s="39" t="str">
        <f>("1309080090")</f>
        <v>1309080090</v>
      </c>
      <c r="B340" s="39" t="s">
        <v>8797</v>
      </c>
      <c r="C340" s="39"/>
      <c r="D340" s="39" t="s">
        <v>6016</v>
      </c>
      <c r="E340" s="371" t="str">
        <f t="shared" si="25"/>
        <v>うえの　そうすけ</v>
      </c>
      <c r="F340" s="39" t="s">
        <v>2530</v>
      </c>
      <c r="G340" s="39" t="s">
        <v>7828</v>
      </c>
      <c r="H340" s="39" t="str">
        <f>("2013/09/08")</f>
        <v>2013/09/08</v>
      </c>
      <c r="I340" s="39">
        <v>6</v>
      </c>
      <c r="J340" s="39" t="s">
        <v>1478</v>
      </c>
      <c r="K340" s="39" t="s">
        <v>2122</v>
      </c>
      <c r="L340" s="39" t="s">
        <v>7830</v>
      </c>
      <c r="M340" s="39" t="s">
        <v>7831</v>
      </c>
      <c r="N340" s="39" t="str">
        <f>("0338756")</f>
        <v>0338756</v>
      </c>
      <c r="P340" s="39" t="s">
        <v>11828</v>
      </c>
      <c r="Q340" s="39" t="s">
        <v>8568</v>
      </c>
      <c r="R340" s="39" t="s">
        <v>8569</v>
      </c>
      <c r="S340" s="39" t="s">
        <v>8570</v>
      </c>
      <c r="AK340" s="39" t="str">
        <f>("2025/04/01")</f>
        <v>2025/04/01</v>
      </c>
      <c r="AL340" s="39" t="str">
        <f t="shared" si="24"/>
        <v>2025/04/01</v>
      </c>
    </row>
    <row r="341" spans="1:39" x14ac:dyDescent="0.25">
      <c r="A341" s="39" t="str">
        <f>("1309090082")</f>
        <v>1309090082</v>
      </c>
      <c r="B341" s="39" t="s">
        <v>8798</v>
      </c>
      <c r="C341" s="39"/>
      <c r="D341" s="39" t="s">
        <v>4689</v>
      </c>
      <c r="E341" s="371" t="str">
        <f t="shared" si="25"/>
        <v>こまつ　なおき</v>
      </c>
      <c r="F341" s="39" t="s">
        <v>838</v>
      </c>
      <c r="G341" s="39" t="s">
        <v>7828</v>
      </c>
      <c r="H341" s="39" t="str">
        <f>("2013/09/09")</f>
        <v>2013/09/09</v>
      </c>
      <c r="I341" s="39">
        <v>6</v>
      </c>
      <c r="J341" s="39" t="s">
        <v>1478</v>
      </c>
      <c r="K341" s="39" t="s">
        <v>2122</v>
      </c>
      <c r="L341" s="39" t="s">
        <v>7830</v>
      </c>
      <c r="M341" s="39" t="s">
        <v>7831</v>
      </c>
      <c r="N341" s="39" t="str">
        <f>("0360021")</f>
        <v>0360021</v>
      </c>
      <c r="P341" s="39" t="s">
        <v>11829</v>
      </c>
      <c r="Q341" s="39" t="s">
        <v>8568</v>
      </c>
      <c r="R341" s="39" t="s">
        <v>8569</v>
      </c>
      <c r="S341" s="39" t="s">
        <v>8570</v>
      </c>
      <c r="AK341" s="39" t="str">
        <f>("2025/03/17")</f>
        <v>2025/03/17</v>
      </c>
      <c r="AL341" s="39" t="str">
        <f t="shared" si="24"/>
        <v>2025/04/01</v>
      </c>
    </row>
    <row r="342" spans="1:39" x14ac:dyDescent="0.25">
      <c r="A342" s="39" t="str">
        <f>("1309090176")</f>
        <v>1309090176</v>
      </c>
      <c r="C342" s="39"/>
      <c r="D342" s="39" t="s">
        <v>6127</v>
      </c>
      <c r="E342" s="371" t="str">
        <f t="shared" si="25"/>
        <v>かい　こうが</v>
      </c>
      <c r="F342" s="39" t="s">
        <v>413</v>
      </c>
      <c r="G342" s="39" t="s">
        <v>7828</v>
      </c>
      <c r="H342" s="39" t="str">
        <f>("2013/09/09")</f>
        <v>2013/09/09</v>
      </c>
      <c r="I342" s="39">
        <v>6</v>
      </c>
      <c r="J342" s="39" t="s">
        <v>1478</v>
      </c>
      <c r="K342" s="39" t="s">
        <v>2122</v>
      </c>
      <c r="L342" s="39" t="s">
        <v>7830</v>
      </c>
      <c r="M342" s="39" t="s">
        <v>7831</v>
      </c>
      <c r="N342" s="39" t="str">
        <f>("0436902")</f>
        <v>0436902</v>
      </c>
      <c r="P342" s="39" t="s">
        <v>11830</v>
      </c>
      <c r="Q342" s="39" t="s">
        <v>8568</v>
      </c>
      <c r="R342" s="39" t="s">
        <v>8569</v>
      </c>
      <c r="S342" s="39" t="s">
        <v>8570</v>
      </c>
      <c r="AK342" s="39" t="str">
        <f>("2025/03/24")</f>
        <v>2025/03/24</v>
      </c>
      <c r="AL342" s="39" t="str">
        <f t="shared" si="24"/>
        <v>2025/04/01</v>
      </c>
    </row>
    <row r="343" spans="1:39" x14ac:dyDescent="0.25">
      <c r="A343" s="39" t="str">
        <f>("1309100020")</f>
        <v>1309100020</v>
      </c>
      <c r="C343" s="39"/>
      <c r="D343" s="39" t="s">
        <v>3049</v>
      </c>
      <c r="E343" s="371" t="str">
        <f t="shared" si="25"/>
        <v>さわい　つかさ</v>
      </c>
      <c r="F343" s="39" t="s">
        <v>1865</v>
      </c>
      <c r="G343" s="39" t="s">
        <v>7828</v>
      </c>
      <c r="H343" s="39" t="str">
        <f>("2013/09/10")</f>
        <v>2013/09/10</v>
      </c>
      <c r="I343" s="39">
        <v>6</v>
      </c>
      <c r="J343" s="39" t="s">
        <v>1478</v>
      </c>
      <c r="K343" s="39" t="s">
        <v>2122</v>
      </c>
      <c r="L343" s="39" t="s">
        <v>7830</v>
      </c>
      <c r="M343" s="39" t="s">
        <v>7831</v>
      </c>
      <c r="N343" s="39" t="str">
        <f>("0310565")</f>
        <v>0310565</v>
      </c>
      <c r="P343" s="39" t="s">
        <v>11831</v>
      </c>
      <c r="Q343" s="39" t="s">
        <v>8568</v>
      </c>
      <c r="R343" s="39" t="s">
        <v>8569</v>
      </c>
      <c r="S343" s="39" t="s">
        <v>8570</v>
      </c>
      <c r="AK343" s="39" t="str">
        <f>("2025/03/17")</f>
        <v>2025/03/17</v>
      </c>
      <c r="AL343" s="39" t="str">
        <f t="shared" si="24"/>
        <v>2025/04/01</v>
      </c>
    </row>
    <row r="344" spans="1:39" x14ac:dyDescent="0.25">
      <c r="A344" s="39" t="str">
        <f>("1309100063")</f>
        <v>1309100063</v>
      </c>
      <c r="C344" s="39"/>
      <c r="D344" s="39" t="s">
        <v>3881</v>
      </c>
      <c r="E344" s="371" t="str">
        <f t="shared" si="25"/>
        <v>ざいつ　こうき</v>
      </c>
      <c r="F344" s="39" t="s">
        <v>684</v>
      </c>
      <c r="G344" s="39" t="s">
        <v>7828</v>
      </c>
      <c r="H344" s="39" t="str">
        <f>("2013/09/10")</f>
        <v>2013/09/10</v>
      </c>
      <c r="I344" s="39">
        <v>6</v>
      </c>
      <c r="J344" s="39" t="s">
        <v>1478</v>
      </c>
      <c r="K344" s="39" t="s">
        <v>2122</v>
      </c>
      <c r="L344" s="39" t="s">
        <v>7830</v>
      </c>
      <c r="M344" s="39" t="s">
        <v>7831</v>
      </c>
      <c r="N344" s="39" t="str">
        <f>("0129518")</f>
        <v>0129518</v>
      </c>
      <c r="P344" s="39" t="s">
        <v>11832</v>
      </c>
      <c r="Q344" s="39" t="s">
        <v>8568</v>
      </c>
      <c r="R344" s="39" t="s">
        <v>8569</v>
      </c>
      <c r="S344" s="39" t="s">
        <v>8570</v>
      </c>
      <c r="AA344" s="39" t="s">
        <v>2122</v>
      </c>
      <c r="AB344" s="39" t="s">
        <v>7830</v>
      </c>
      <c r="AC344" s="39" t="s">
        <v>7831</v>
      </c>
      <c r="AD344" s="39" t="str">
        <f>("0129495")</f>
        <v>0129495</v>
      </c>
      <c r="AE344" s="39" t="s">
        <v>8799</v>
      </c>
      <c r="AK344" s="39" t="str">
        <f>("2025/03/17")</f>
        <v>2025/03/17</v>
      </c>
      <c r="AL344" s="39" t="str">
        <f t="shared" si="24"/>
        <v>2025/04/01</v>
      </c>
    </row>
    <row r="345" spans="1:39" x14ac:dyDescent="0.25">
      <c r="A345" s="39" t="str">
        <f>("1309100110")</f>
        <v>1309100110</v>
      </c>
      <c r="B345" s="39" t="s">
        <v>8800</v>
      </c>
      <c r="C345" s="39"/>
      <c r="D345" s="39" t="s">
        <v>4239</v>
      </c>
      <c r="E345" s="371" t="str">
        <f t="shared" si="25"/>
        <v>えとう　しん</v>
      </c>
      <c r="F345" s="39" t="s">
        <v>2477</v>
      </c>
      <c r="G345" s="39" t="s">
        <v>7828</v>
      </c>
      <c r="H345" s="39" t="str">
        <f>("2013/09/10")</f>
        <v>2013/09/10</v>
      </c>
      <c r="I345" s="39">
        <v>6</v>
      </c>
      <c r="J345" s="39" t="s">
        <v>1478</v>
      </c>
      <c r="K345" s="39" t="s">
        <v>2122</v>
      </c>
      <c r="L345" s="39" t="s">
        <v>7830</v>
      </c>
      <c r="M345" s="39" t="s">
        <v>7831</v>
      </c>
      <c r="N345" s="39" t="str">
        <f>("0129541")</f>
        <v>0129541</v>
      </c>
      <c r="P345" s="39" t="s">
        <v>11833</v>
      </c>
      <c r="Q345" s="39" t="s">
        <v>8568</v>
      </c>
      <c r="R345" s="39" t="s">
        <v>8569</v>
      </c>
      <c r="S345" s="39" t="s">
        <v>8570</v>
      </c>
      <c r="AK345" s="39" t="str">
        <f>("2025/03/27")</f>
        <v>2025/03/27</v>
      </c>
      <c r="AL345" s="39" t="str">
        <f t="shared" si="24"/>
        <v>2025/04/01</v>
      </c>
    </row>
    <row r="346" spans="1:39" x14ac:dyDescent="0.25">
      <c r="A346" s="39" t="str">
        <f>("1309110154")</f>
        <v>1309110154</v>
      </c>
      <c r="B346" s="39" t="s">
        <v>8801</v>
      </c>
      <c r="C346" s="39"/>
      <c r="D346" s="39" t="s">
        <v>4384</v>
      </c>
      <c r="E346" s="371" t="str">
        <f t="shared" si="25"/>
        <v>やいし　こうせい</v>
      </c>
      <c r="F346" s="39" t="s">
        <v>856</v>
      </c>
      <c r="G346" s="39" t="s">
        <v>7828</v>
      </c>
      <c r="H346" s="39" t="str">
        <f>("2013/09/11")</f>
        <v>2013/09/11</v>
      </c>
      <c r="I346" s="39">
        <v>6</v>
      </c>
      <c r="J346" s="39" t="s">
        <v>1478</v>
      </c>
      <c r="K346" s="39" t="s">
        <v>2122</v>
      </c>
      <c r="L346" s="39" t="s">
        <v>7830</v>
      </c>
      <c r="M346" s="39" t="s">
        <v>7831</v>
      </c>
      <c r="N346" s="39" t="str">
        <f>("0130149")</f>
        <v>0130149</v>
      </c>
      <c r="P346" s="39" t="s">
        <v>11834</v>
      </c>
      <c r="Q346" s="39" t="s">
        <v>8568</v>
      </c>
      <c r="R346" s="39" t="s">
        <v>8569</v>
      </c>
      <c r="S346" s="39" t="s">
        <v>8570</v>
      </c>
      <c r="AA346" s="39" t="s">
        <v>2122</v>
      </c>
      <c r="AB346" s="39" t="s">
        <v>7830</v>
      </c>
      <c r="AC346" s="39" t="s">
        <v>7831</v>
      </c>
      <c r="AD346" s="39" t="str">
        <f>("0130071")</f>
        <v>0130071</v>
      </c>
      <c r="AE346" s="39" t="s">
        <v>2173</v>
      </c>
      <c r="AK346" s="39" t="str">
        <f>("2025/03/25")</f>
        <v>2025/03/25</v>
      </c>
      <c r="AL346" s="39" t="str">
        <f t="shared" si="24"/>
        <v>2025/04/01</v>
      </c>
    </row>
    <row r="347" spans="1:39" x14ac:dyDescent="0.25">
      <c r="A347" s="39" t="str">
        <f>("1309110159")</f>
        <v>1309110159</v>
      </c>
      <c r="C347" s="39"/>
      <c r="D347" s="39" t="s">
        <v>6025</v>
      </c>
      <c r="E347" s="371" t="str">
        <f t="shared" si="25"/>
        <v>たかの　みずき</v>
      </c>
      <c r="F347" s="39" t="s">
        <v>2350</v>
      </c>
      <c r="G347" s="39" t="s">
        <v>7828</v>
      </c>
      <c r="H347" s="39" t="str">
        <f>("2013/09/11")</f>
        <v>2013/09/11</v>
      </c>
      <c r="I347" s="39">
        <v>6</v>
      </c>
      <c r="J347" s="39" t="s">
        <v>1478</v>
      </c>
      <c r="K347" s="39" t="s">
        <v>2122</v>
      </c>
      <c r="L347" s="39" t="s">
        <v>7830</v>
      </c>
      <c r="M347" s="39" t="s">
        <v>7831</v>
      </c>
      <c r="N347" s="39" t="str">
        <f>("0360032")</f>
        <v>0360032</v>
      </c>
      <c r="P347" s="39" t="s">
        <v>11835</v>
      </c>
      <c r="Q347" s="39" t="s">
        <v>8568</v>
      </c>
      <c r="R347" s="39" t="s">
        <v>8569</v>
      </c>
      <c r="S347" s="39" t="s">
        <v>8570</v>
      </c>
      <c r="AK347" s="39" t="str">
        <f>("2025/03/17")</f>
        <v>2025/03/17</v>
      </c>
      <c r="AL347" s="39" t="str">
        <f t="shared" si="24"/>
        <v>2025/04/01</v>
      </c>
    </row>
    <row r="348" spans="1:39" x14ac:dyDescent="0.25">
      <c r="A348" s="39" t="str">
        <f>("1309120006")</f>
        <v>1309120006</v>
      </c>
      <c r="C348" s="39"/>
      <c r="D348" s="39" t="s">
        <v>3877</v>
      </c>
      <c r="E348" s="371" t="str">
        <f t="shared" si="25"/>
        <v>ちはら　れんご</v>
      </c>
      <c r="F348" s="39" t="s">
        <v>2878</v>
      </c>
      <c r="G348" s="39" t="s">
        <v>7828</v>
      </c>
      <c r="H348" s="39" t="str">
        <f>("2013/09/12")</f>
        <v>2013/09/12</v>
      </c>
      <c r="I348" s="39">
        <v>6</v>
      </c>
      <c r="J348" s="39" t="s">
        <v>1478</v>
      </c>
      <c r="K348" s="39" t="s">
        <v>2122</v>
      </c>
      <c r="L348" s="39" t="s">
        <v>7830</v>
      </c>
      <c r="M348" s="39" t="s">
        <v>7831</v>
      </c>
      <c r="N348" s="39" t="str">
        <f>("0129484")</f>
        <v>0129484</v>
      </c>
      <c r="P348" s="39" t="s">
        <v>11836</v>
      </c>
      <c r="Q348" s="39" t="s">
        <v>8568</v>
      </c>
      <c r="R348" s="39" t="s">
        <v>8569</v>
      </c>
      <c r="S348" s="39" t="s">
        <v>8570</v>
      </c>
      <c r="AK348" s="39" t="str">
        <f>("2025/03/17")</f>
        <v>2025/03/17</v>
      </c>
      <c r="AL348" s="39" t="str">
        <f t="shared" si="24"/>
        <v>2025/04/01</v>
      </c>
    </row>
    <row r="349" spans="1:39" x14ac:dyDescent="0.25">
      <c r="A349" s="39" t="str">
        <f>("1309120070")</f>
        <v>1309120070</v>
      </c>
      <c r="C349" s="39"/>
      <c r="D349" s="39" t="s">
        <v>4510</v>
      </c>
      <c r="E349" s="371" t="str">
        <f t="shared" si="25"/>
        <v>やまだ　せな</v>
      </c>
      <c r="F349" s="39" t="s">
        <v>2324</v>
      </c>
      <c r="G349" s="39" t="s">
        <v>7828</v>
      </c>
      <c r="H349" s="39" t="str">
        <f>("2013/09/12")</f>
        <v>2013/09/12</v>
      </c>
      <c r="I349" s="39">
        <v>6</v>
      </c>
      <c r="J349" s="39" t="s">
        <v>1480</v>
      </c>
      <c r="K349" s="39" t="s">
        <v>2122</v>
      </c>
      <c r="L349" s="39" t="s">
        <v>7830</v>
      </c>
      <c r="M349" s="39" t="s">
        <v>7831</v>
      </c>
      <c r="N349" s="39" t="str">
        <f>("0130486")</f>
        <v>0130486</v>
      </c>
      <c r="P349" s="39" t="s">
        <v>11837</v>
      </c>
      <c r="Q349" s="39" t="s">
        <v>8568</v>
      </c>
      <c r="R349" s="39" t="s">
        <v>8569</v>
      </c>
      <c r="S349" s="39" t="s">
        <v>8570</v>
      </c>
      <c r="AK349" s="39" t="str">
        <f>("2025/03/24")</f>
        <v>2025/03/24</v>
      </c>
      <c r="AL349" s="39" t="str">
        <f t="shared" si="24"/>
        <v>2025/04/01</v>
      </c>
    </row>
    <row r="350" spans="1:39" x14ac:dyDescent="0.25">
      <c r="A350" s="39" t="str">
        <f>("1309120231")</f>
        <v>1309120231</v>
      </c>
      <c r="C350" s="39"/>
      <c r="D350" s="39" t="s">
        <v>6145</v>
      </c>
      <c r="E350" s="371" t="str">
        <f t="shared" si="25"/>
        <v>しゅとう　えいた</v>
      </c>
      <c r="F350" s="39" t="s">
        <v>2323</v>
      </c>
      <c r="G350" s="39" t="s">
        <v>7828</v>
      </c>
      <c r="H350" s="39" t="str">
        <f>("2013/09/12")</f>
        <v>2013/09/12</v>
      </c>
      <c r="I350" s="39">
        <v>6</v>
      </c>
      <c r="J350" s="39" t="s">
        <v>1478</v>
      </c>
      <c r="K350" s="39" t="s">
        <v>2122</v>
      </c>
      <c r="L350" s="39" t="s">
        <v>7830</v>
      </c>
      <c r="M350" s="39" t="s">
        <v>7831</v>
      </c>
      <c r="N350" s="39" t="str">
        <f>("0472722")</f>
        <v>0472722</v>
      </c>
      <c r="P350" s="39" t="s">
        <v>11838</v>
      </c>
      <c r="Q350" s="39" t="s">
        <v>8568</v>
      </c>
      <c r="R350" s="39" t="s">
        <v>8569</v>
      </c>
      <c r="S350" s="39" t="s">
        <v>8570</v>
      </c>
      <c r="AK350" s="39" t="str">
        <f>("2025/03/17")</f>
        <v>2025/03/17</v>
      </c>
      <c r="AL350" s="39" t="str">
        <f t="shared" si="24"/>
        <v>2025/04/01</v>
      </c>
    </row>
    <row r="351" spans="1:39" x14ac:dyDescent="0.25">
      <c r="A351" s="39" t="str">
        <f>("1309120236")</f>
        <v>1309120236</v>
      </c>
      <c r="C351" s="39"/>
      <c r="D351" s="39" t="s">
        <v>5648</v>
      </c>
      <c r="E351" s="371" t="str">
        <f t="shared" si="25"/>
        <v>なかしま　りゅうしん</v>
      </c>
      <c r="F351" s="39" t="s">
        <v>684</v>
      </c>
      <c r="G351" s="39" t="s">
        <v>7828</v>
      </c>
      <c r="H351" s="39" t="str">
        <f>("2013/09/12")</f>
        <v>2013/09/12</v>
      </c>
      <c r="I351" s="39">
        <v>6</v>
      </c>
      <c r="J351" s="39" t="s">
        <v>1478</v>
      </c>
      <c r="K351" s="39" t="s">
        <v>2122</v>
      </c>
      <c r="L351" s="39" t="s">
        <v>7830</v>
      </c>
      <c r="M351" s="39" t="s">
        <v>7831</v>
      </c>
      <c r="N351" s="39" t="str">
        <f>("0129518")</f>
        <v>0129518</v>
      </c>
      <c r="P351" s="39" t="s">
        <v>11839</v>
      </c>
      <c r="Q351" s="39" t="s">
        <v>8568</v>
      </c>
      <c r="R351" s="39" t="s">
        <v>8569</v>
      </c>
      <c r="S351" s="39" t="s">
        <v>8570</v>
      </c>
      <c r="AK351" s="39" t="str">
        <f>("2025/03/17")</f>
        <v>2025/03/17</v>
      </c>
      <c r="AL351" s="39" t="str">
        <f t="shared" si="24"/>
        <v>2025/04/01</v>
      </c>
    </row>
    <row r="352" spans="1:39" x14ac:dyDescent="0.25">
      <c r="A352" s="39" t="str">
        <f>("1309130001")</f>
        <v>1309130001</v>
      </c>
      <c r="C352" s="39"/>
      <c r="D352" s="39" t="s">
        <v>6248</v>
      </c>
      <c r="E352" s="371" t="str">
        <f t="shared" si="25"/>
        <v>しまだ　おうた</v>
      </c>
      <c r="F352" s="39" t="s">
        <v>2299</v>
      </c>
      <c r="G352" s="39" t="s">
        <v>7828</v>
      </c>
      <c r="H352" s="39" t="str">
        <f t="shared" ref="H352:H357" si="26">("2013/09/13")</f>
        <v>2013/09/13</v>
      </c>
      <c r="I352" s="39">
        <v>6</v>
      </c>
      <c r="J352" s="39" t="s">
        <v>1478</v>
      </c>
      <c r="K352" s="39" t="s">
        <v>2122</v>
      </c>
      <c r="L352" s="39" t="s">
        <v>7830</v>
      </c>
      <c r="M352" s="39" t="s">
        <v>7831</v>
      </c>
      <c r="N352" s="39" t="str">
        <f>("1066647")</f>
        <v>1066647</v>
      </c>
      <c r="P352" s="39" t="s">
        <v>11840</v>
      </c>
      <c r="Q352" s="39" t="s">
        <v>8568</v>
      </c>
      <c r="R352" s="39" t="s">
        <v>8569</v>
      </c>
      <c r="S352" s="39" t="s">
        <v>8570</v>
      </c>
      <c r="AK352" s="39" t="str">
        <f>("2025/03/21")</f>
        <v>2025/03/21</v>
      </c>
      <c r="AL352" s="39" t="str">
        <f t="shared" si="24"/>
        <v>2025/04/01</v>
      </c>
    </row>
    <row r="353" spans="1:38" x14ac:dyDescent="0.25">
      <c r="A353" s="39" t="str">
        <f>("1309130017")</f>
        <v>1309130017</v>
      </c>
      <c r="C353" s="39"/>
      <c r="D353" s="39" t="s">
        <v>4818</v>
      </c>
      <c r="E353" s="371" t="str">
        <f t="shared" si="25"/>
        <v>ごとう　りゅうせい</v>
      </c>
      <c r="F353" s="39" t="s">
        <v>2630</v>
      </c>
      <c r="G353" s="39" t="s">
        <v>7828</v>
      </c>
      <c r="H353" s="39" t="str">
        <f t="shared" si="26"/>
        <v>2013/09/13</v>
      </c>
      <c r="I353" s="39">
        <v>6</v>
      </c>
      <c r="J353" s="39" t="s">
        <v>1478</v>
      </c>
      <c r="K353" s="39" t="s">
        <v>2122</v>
      </c>
      <c r="L353" s="39" t="s">
        <v>7830</v>
      </c>
      <c r="M353" s="39" t="s">
        <v>7831</v>
      </c>
      <c r="N353" s="39" t="str">
        <f>("0506269")</f>
        <v>0506269</v>
      </c>
      <c r="P353" s="39" t="s">
        <v>11841</v>
      </c>
      <c r="Q353" s="39" t="s">
        <v>8568</v>
      </c>
      <c r="R353" s="39" t="s">
        <v>8569</v>
      </c>
      <c r="S353" s="39" t="s">
        <v>8570</v>
      </c>
      <c r="AK353" s="39" t="str">
        <f>("2025/03/17")</f>
        <v>2025/03/17</v>
      </c>
      <c r="AL353" s="39" t="str">
        <f t="shared" si="24"/>
        <v>2025/04/01</v>
      </c>
    </row>
    <row r="354" spans="1:38" x14ac:dyDescent="0.25">
      <c r="A354" s="39" t="str">
        <f>("1309130054")</f>
        <v>1309130054</v>
      </c>
      <c r="C354" s="39"/>
      <c r="D354" s="39" t="s">
        <v>5958</v>
      </c>
      <c r="E354" s="371" t="str">
        <f t="shared" si="25"/>
        <v>ゆげ　そうま</v>
      </c>
      <c r="F354" s="39" t="s">
        <v>5617</v>
      </c>
      <c r="G354" s="39" t="s">
        <v>7828</v>
      </c>
      <c r="H354" s="39" t="str">
        <f t="shared" si="26"/>
        <v>2013/09/13</v>
      </c>
      <c r="I354" s="39">
        <v>6</v>
      </c>
      <c r="J354" s="39" t="s">
        <v>1478</v>
      </c>
      <c r="K354" s="39" t="s">
        <v>2122</v>
      </c>
      <c r="L354" s="39" t="s">
        <v>7830</v>
      </c>
      <c r="M354" s="39" t="s">
        <v>7831</v>
      </c>
      <c r="N354" s="39" t="str">
        <f>("0130756")</f>
        <v>0130756</v>
      </c>
      <c r="P354" s="39" t="s">
        <v>11842</v>
      </c>
      <c r="Q354" s="39" t="s">
        <v>8568</v>
      </c>
      <c r="R354" s="39" t="s">
        <v>8569</v>
      </c>
      <c r="S354" s="39" t="s">
        <v>8570</v>
      </c>
      <c r="AK354" s="39" t="str">
        <f>("2025/03/17")</f>
        <v>2025/03/17</v>
      </c>
      <c r="AL354" s="39" t="str">
        <f t="shared" si="24"/>
        <v>2025/04/01</v>
      </c>
    </row>
    <row r="355" spans="1:38" x14ac:dyDescent="0.25">
      <c r="A355" s="39" t="str">
        <f>("1309130116")</f>
        <v>1309130116</v>
      </c>
      <c r="C355" s="39"/>
      <c r="D355" s="39" t="s">
        <v>8802</v>
      </c>
      <c r="E355" s="371" t="str">
        <f t="shared" si="25"/>
        <v>はしもと　たいり</v>
      </c>
      <c r="F355" s="39" t="s">
        <v>2022</v>
      </c>
      <c r="G355" s="39" t="s">
        <v>7828</v>
      </c>
      <c r="H355" s="39" t="str">
        <f t="shared" si="26"/>
        <v>2013/09/13</v>
      </c>
      <c r="I355" s="39">
        <v>6</v>
      </c>
      <c r="J355" s="39" t="s">
        <v>1478</v>
      </c>
      <c r="K355" s="39" t="s">
        <v>2122</v>
      </c>
      <c r="L355" s="39" t="s">
        <v>7830</v>
      </c>
      <c r="M355" s="39" t="s">
        <v>7831</v>
      </c>
      <c r="N355" s="39" t="str">
        <f>("0130329")</f>
        <v>0130329</v>
      </c>
      <c r="P355" s="39" t="s">
        <v>11843</v>
      </c>
      <c r="Q355" s="39" t="s">
        <v>8568</v>
      </c>
      <c r="R355" s="39" t="s">
        <v>8569</v>
      </c>
      <c r="S355" s="39" t="s">
        <v>8570</v>
      </c>
      <c r="AA355" s="39" t="s">
        <v>2122</v>
      </c>
      <c r="AB355" s="39" t="s">
        <v>7830</v>
      </c>
      <c r="AC355" s="39" t="s">
        <v>7831</v>
      </c>
      <c r="AD355" s="39" t="str">
        <f>("0472823")</f>
        <v>0472823</v>
      </c>
      <c r="AE355" s="39" t="s">
        <v>2619</v>
      </c>
      <c r="AK355" s="39" t="str">
        <f>("2025/03/17")</f>
        <v>2025/03/17</v>
      </c>
      <c r="AL355" s="39" t="str">
        <f t="shared" si="24"/>
        <v>2025/04/01</v>
      </c>
    </row>
    <row r="356" spans="1:38" x14ac:dyDescent="0.25">
      <c r="A356" s="39" t="str">
        <f>("1309130292")</f>
        <v>1309130292</v>
      </c>
      <c r="C356" s="39"/>
      <c r="D356" s="39" t="s">
        <v>8803</v>
      </c>
      <c r="E356" s="371" t="str">
        <f t="shared" si="25"/>
        <v>やの　まさむね</v>
      </c>
      <c r="F356" s="39" t="s">
        <v>7864</v>
      </c>
      <c r="G356" s="39" t="s">
        <v>7828</v>
      </c>
      <c r="H356" s="39" t="str">
        <f t="shared" si="26"/>
        <v>2013/09/13</v>
      </c>
      <c r="I356" s="39">
        <v>6</v>
      </c>
      <c r="J356" s="39" t="s">
        <v>1478</v>
      </c>
      <c r="K356" s="39" t="s">
        <v>2122</v>
      </c>
      <c r="L356" s="39" t="s">
        <v>7830</v>
      </c>
      <c r="M356" s="39" t="s">
        <v>7831</v>
      </c>
      <c r="N356" s="39" t="str">
        <f>("1039801")</f>
        <v>1039801</v>
      </c>
      <c r="P356" s="39" t="s">
        <v>11844</v>
      </c>
      <c r="Q356" s="39" t="s">
        <v>8568</v>
      </c>
      <c r="R356" s="39" t="s">
        <v>8569</v>
      </c>
      <c r="S356" s="39" t="s">
        <v>8570</v>
      </c>
      <c r="AK356" s="39" t="str">
        <f>("2025/03/24")</f>
        <v>2025/03/24</v>
      </c>
      <c r="AL356" s="39" t="str">
        <f t="shared" si="24"/>
        <v>2025/04/01</v>
      </c>
    </row>
    <row r="357" spans="1:38" x14ac:dyDescent="0.25">
      <c r="A357" s="39" t="str">
        <f>("1309130311")</f>
        <v>1309130311</v>
      </c>
      <c r="C357" s="39"/>
      <c r="D357" s="39" t="s">
        <v>8804</v>
      </c>
      <c r="E357" s="371" t="str">
        <f t="shared" si="25"/>
        <v>はづく　ゆうま</v>
      </c>
      <c r="F357" s="39" t="s">
        <v>2323</v>
      </c>
      <c r="G357" s="39" t="s">
        <v>7828</v>
      </c>
      <c r="H357" s="39" t="str">
        <f t="shared" si="26"/>
        <v>2013/09/13</v>
      </c>
      <c r="I357" s="39">
        <v>6</v>
      </c>
      <c r="J357" s="39" t="s">
        <v>1478</v>
      </c>
      <c r="K357" s="39" t="s">
        <v>2122</v>
      </c>
      <c r="L357" s="39" t="s">
        <v>7830</v>
      </c>
      <c r="M357" s="39" t="s">
        <v>7831</v>
      </c>
      <c r="N357" s="39" t="str">
        <f>("0472722")</f>
        <v>0472722</v>
      </c>
      <c r="P357" s="39" t="s">
        <v>11845</v>
      </c>
      <c r="Q357" s="39" t="s">
        <v>8568</v>
      </c>
      <c r="R357" s="39" t="s">
        <v>8569</v>
      </c>
      <c r="S357" s="39" t="s">
        <v>8570</v>
      </c>
      <c r="AK357" s="39" t="str">
        <f>("2025/04/16")</f>
        <v>2025/04/16</v>
      </c>
      <c r="AL357" s="39" t="str">
        <f>("2025/04/16")</f>
        <v>2025/04/16</v>
      </c>
    </row>
    <row r="358" spans="1:38" x14ac:dyDescent="0.25">
      <c r="A358" s="39" t="str">
        <f>("1309140111")</f>
        <v>1309140111</v>
      </c>
      <c r="B358" s="39" t="s">
        <v>8805</v>
      </c>
      <c r="C358" s="39"/>
      <c r="D358" s="39" t="s">
        <v>6186</v>
      </c>
      <c r="E358" s="371" t="str">
        <f t="shared" si="25"/>
        <v>よしたけ　とうき</v>
      </c>
      <c r="F358" s="39" t="s">
        <v>1917</v>
      </c>
      <c r="G358" s="39" t="s">
        <v>7828</v>
      </c>
      <c r="H358" s="39" t="str">
        <f>("2013/09/14")</f>
        <v>2013/09/14</v>
      </c>
      <c r="I358" s="39">
        <v>6</v>
      </c>
      <c r="J358" s="39" t="s">
        <v>1478</v>
      </c>
      <c r="K358" s="39" t="s">
        <v>2122</v>
      </c>
      <c r="L358" s="39" t="s">
        <v>7830</v>
      </c>
      <c r="M358" s="39" t="s">
        <v>7831</v>
      </c>
      <c r="N358" s="39" t="str">
        <f>("1032161")</f>
        <v>1032161</v>
      </c>
      <c r="P358" s="39" t="s">
        <v>11846</v>
      </c>
      <c r="Q358" s="39" t="s">
        <v>8568</v>
      </c>
      <c r="R358" s="39" t="s">
        <v>8569</v>
      </c>
      <c r="S358" s="39" t="s">
        <v>8570</v>
      </c>
      <c r="AA358" s="39" t="s">
        <v>2122</v>
      </c>
      <c r="AB358" s="39" t="s">
        <v>7830</v>
      </c>
      <c r="AC358" s="39" t="s">
        <v>7831</v>
      </c>
      <c r="AD358" s="39" t="str">
        <f>("0513313")</f>
        <v>0513313</v>
      </c>
      <c r="AE358" s="39" t="s">
        <v>1014</v>
      </c>
      <c r="AK358" s="39" t="str">
        <f>("2025/09/24")</f>
        <v>2025/09/24</v>
      </c>
      <c r="AL358" s="39" t="str">
        <f>("2025/09/24")</f>
        <v>2025/09/24</v>
      </c>
    </row>
    <row r="359" spans="1:38" x14ac:dyDescent="0.25">
      <c r="A359" s="39" t="str">
        <f>("1309140173")</f>
        <v>1309140173</v>
      </c>
      <c r="C359" s="39"/>
      <c r="D359" s="39" t="s">
        <v>5662</v>
      </c>
      <c r="E359" s="371" t="str">
        <f t="shared" si="25"/>
        <v>かわの　せいた</v>
      </c>
      <c r="F359" s="39" t="s">
        <v>2477</v>
      </c>
      <c r="G359" s="39" t="s">
        <v>7828</v>
      </c>
      <c r="H359" s="39" t="str">
        <f>("2013/09/14")</f>
        <v>2013/09/14</v>
      </c>
      <c r="I359" s="39">
        <v>6</v>
      </c>
      <c r="J359" s="39" t="s">
        <v>1478</v>
      </c>
      <c r="K359" s="39" t="s">
        <v>2122</v>
      </c>
      <c r="L359" s="39" t="s">
        <v>7830</v>
      </c>
      <c r="M359" s="39" t="s">
        <v>7831</v>
      </c>
      <c r="N359" s="39" t="str">
        <f>("0129541")</f>
        <v>0129541</v>
      </c>
      <c r="P359" s="39" t="s">
        <v>11847</v>
      </c>
      <c r="Q359" s="39" t="s">
        <v>8568</v>
      </c>
      <c r="R359" s="39" t="s">
        <v>8569</v>
      </c>
      <c r="S359" s="39" t="s">
        <v>8570</v>
      </c>
      <c r="AK359" s="39" t="str">
        <f>("2025/03/27")</f>
        <v>2025/03/27</v>
      </c>
      <c r="AL359" s="39" t="str">
        <f>("2025/04/01")</f>
        <v>2025/04/01</v>
      </c>
    </row>
    <row r="360" spans="1:38" x14ac:dyDescent="0.25">
      <c r="A360" s="39" t="str">
        <f>("1309150043")</f>
        <v>1309150043</v>
      </c>
      <c r="B360" s="39" t="s">
        <v>8806</v>
      </c>
      <c r="C360" s="39"/>
      <c r="D360" s="39" t="s">
        <v>8807</v>
      </c>
      <c r="E360" s="371" t="str">
        <f t="shared" si="25"/>
        <v>かい　やまと</v>
      </c>
      <c r="F360" s="39" t="s">
        <v>1158</v>
      </c>
      <c r="G360" s="39" t="s">
        <v>7828</v>
      </c>
      <c r="H360" s="39" t="str">
        <f>("2013/09/15")</f>
        <v>2013/09/15</v>
      </c>
      <c r="I360" s="39">
        <v>6</v>
      </c>
      <c r="J360" s="39" t="s">
        <v>1478</v>
      </c>
      <c r="K360" s="39" t="s">
        <v>2122</v>
      </c>
      <c r="L360" s="39" t="s">
        <v>7830</v>
      </c>
      <c r="M360" s="39" t="s">
        <v>7831</v>
      </c>
      <c r="N360" s="39" t="str">
        <f>("0130318")</f>
        <v>0130318</v>
      </c>
      <c r="P360" s="39" t="s">
        <v>11848</v>
      </c>
      <c r="Q360" s="39" t="s">
        <v>8568</v>
      </c>
      <c r="R360" s="39" t="s">
        <v>8569</v>
      </c>
      <c r="S360" s="39" t="s">
        <v>8570</v>
      </c>
      <c r="AK360" s="39" t="str">
        <f>("2025/03/17")</f>
        <v>2025/03/17</v>
      </c>
      <c r="AL360" s="39" t="str">
        <f>("2025/04/01")</f>
        <v>2025/04/01</v>
      </c>
    </row>
    <row r="361" spans="1:38" x14ac:dyDescent="0.25">
      <c r="A361" s="39" t="str">
        <f>("1309150064")</f>
        <v>1309150064</v>
      </c>
      <c r="C361" s="39"/>
      <c r="D361" s="39" t="s">
        <v>3942</v>
      </c>
      <c r="E361" s="371" t="str">
        <f t="shared" si="25"/>
        <v>おかやま　ぎんじ</v>
      </c>
      <c r="F361" s="39" t="s">
        <v>2505</v>
      </c>
      <c r="G361" s="39" t="s">
        <v>7828</v>
      </c>
      <c r="H361" s="39" t="str">
        <f>("2013/09/15")</f>
        <v>2013/09/15</v>
      </c>
      <c r="I361" s="39">
        <v>6</v>
      </c>
      <c r="J361" s="39" t="s">
        <v>1478</v>
      </c>
      <c r="K361" s="39" t="s">
        <v>2122</v>
      </c>
      <c r="L361" s="39" t="s">
        <v>7830</v>
      </c>
      <c r="M361" s="39" t="s">
        <v>7831</v>
      </c>
      <c r="N361" s="39" t="str">
        <f>("0129923")</f>
        <v>0129923</v>
      </c>
      <c r="P361" s="39" t="s">
        <v>11849</v>
      </c>
      <c r="Q361" s="39" t="s">
        <v>8568</v>
      </c>
      <c r="R361" s="39" t="s">
        <v>8569</v>
      </c>
      <c r="S361" s="39" t="s">
        <v>8570</v>
      </c>
      <c r="AK361" s="39" t="str">
        <f>("2025/03/17")</f>
        <v>2025/03/17</v>
      </c>
      <c r="AL361" s="39" t="str">
        <f>("2025/04/01")</f>
        <v>2025/04/01</v>
      </c>
    </row>
    <row r="362" spans="1:38" x14ac:dyDescent="0.25">
      <c r="A362" s="39" t="str">
        <f>("1309150092")</f>
        <v>1309150092</v>
      </c>
      <c r="C362" s="39"/>
      <c r="D362" s="39" t="s">
        <v>4647</v>
      </c>
      <c r="E362" s="371" t="str">
        <f t="shared" si="25"/>
        <v>いとう　みゆ</v>
      </c>
      <c r="F362" s="39" t="s">
        <v>2573</v>
      </c>
      <c r="G362" s="39" t="s">
        <v>7828</v>
      </c>
      <c r="H362" s="39" t="str">
        <f>("2013/09/15")</f>
        <v>2013/09/15</v>
      </c>
      <c r="I362" s="39">
        <v>6</v>
      </c>
      <c r="J362" s="39" t="s">
        <v>1480</v>
      </c>
      <c r="K362" s="39" t="s">
        <v>2122</v>
      </c>
      <c r="L362" s="39" t="s">
        <v>7830</v>
      </c>
      <c r="M362" s="39" t="s">
        <v>7831</v>
      </c>
      <c r="N362" s="39" t="str">
        <f>("0230982")</f>
        <v>0230982</v>
      </c>
      <c r="P362" s="39" t="s">
        <v>11850</v>
      </c>
      <c r="Q362" s="39" t="s">
        <v>8568</v>
      </c>
      <c r="R362" s="39" t="s">
        <v>8569</v>
      </c>
      <c r="S362" s="39" t="s">
        <v>8570</v>
      </c>
      <c r="AK362" s="39" t="str">
        <f>("2025/03/17")</f>
        <v>2025/03/17</v>
      </c>
      <c r="AL362" s="39" t="str">
        <f>("2025/04/01")</f>
        <v>2025/04/01</v>
      </c>
    </row>
    <row r="363" spans="1:38" x14ac:dyDescent="0.25">
      <c r="A363" s="39" t="str">
        <f>("1309150093")</f>
        <v>1309150093</v>
      </c>
      <c r="B363" s="39" t="s">
        <v>8808</v>
      </c>
      <c r="C363" s="39"/>
      <c r="D363" s="39" t="s">
        <v>4799</v>
      </c>
      <c r="E363" s="371" t="str">
        <f t="shared" si="25"/>
        <v>こだいら　せあ</v>
      </c>
      <c r="F363" s="39" t="s">
        <v>1095</v>
      </c>
      <c r="G363" s="39" t="s">
        <v>7828</v>
      </c>
      <c r="H363" s="39" t="str">
        <f>("2013/09/15")</f>
        <v>2013/09/15</v>
      </c>
      <c r="I363" s="39">
        <v>6</v>
      </c>
      <c r="J363" s="39" t="s">
        <v>1478</v>
      </c>
      <c r="K363" s="39" t="s">
        <v>2122</v>
      </c>
      <c r="L363" s="39" t="s">
        <v>7830</v>
      </c>
      <c r="M363" s="39" t="s">
        <v>7831</v>
      </c>
      <c r="N363" s="39" t="str">
        <f>("0487492")</f>
        <v>0487492</v>
      </c>
      <c r="P363" s="39" t="s">
        <v>11851</v>
      </c>
      <c r="Q363" s="39" t="s">
        <v>8568</v>
      </c>
      <c r="R363" s="39" t="s">
        <v>8569</v>
      </c>
      <c r="S363" s="39" t="s">
        <v>8570</v>
      </c>
      <c r="AK363" s="39" t="str">
        <f>("2025/03/21")</f>
        <v>2025/03/21</v>
      </c>
      <c r="AL363" s="39" t="str">
        <f>("2025/04/01")</f>
        <v>2025/04/01</v>
      </c>
    </row>
    <row r="364" spans="1:38" x14ac:dyDescent="0.25">
      <c r="A364" s="39" t="str">
        <f>("1309170025")</f>
        <v>1309170025</v>
      </c>
      <c r="C364" s="39"/>
      <c r="D364" s="39" t="s">
        <v>6176</v>
      </c>
      <c r="E364" s="371" t="str">
        <f t="shared" si="25"/>
        <v>ふじもと　はやと</v>
      </c>
      <c r="F364" s="39" t="s">
        <v>1446</v>
      </c>
      <c r="G364" s="39" t="s">
        <v>7828</v>
      </c>
      <c r="H364" s="39" t="str">
        <f>("2013/09/17")</f>
        <v>2013/09/17</v>
      </c>
      <c r="I364" s="39">
        <v>6</v>
      </c>
      <c r="J364" s="39" t="s">
        <v>1478</v>
      </c>
      <c r="K364" s="39" t="s">
        <v>2122</v>
      </c>
      <c r="L364" s="39" t="s">
        <v>7830</v>
      </c>
      <c r="M364" s="39" t="s">
        <v>7831</v>
      </c>
      <c r="N364" s="39" t="str">
        <f>("0478807")</f>
        <v>0478807</v>
      </c>
      <c r="P364" s="39" t="s">
        <v>11852</v>
      </c>
      <c r="Q364" s="39" t="s">
        <v>8568</v>
      </c>
      <c r="R364" s="39" t="s">
        <v>8569</v>
      </c>
      <c r="S364" s="39" t="s">
        <v>8570</v>
      </c>
      <c r="AA364" s="39" t="s">
        <v>2122</v>
      </c>
      <c r="AB364" s="39" t="s">
        <v>7830</v>
      </c>
      <c r="AC364" s="39" t="s">
        <v>7831</v>
      </c>
      <c r="AD364" s="39" t="str">
        <f>("0504908")</f>
        <v>0504908</v>
      </c>
      <c r="AE364" s="39" t="s">
        <v>827</v>
      </c>
      <c r="AK364" s="39" t="str">
        <f>("2025/07/29")</f>
        <v>2025/07/29</v>
      </c>
      <c r="AL364" s="39" t="str">
        <f>("2025/07/29")</f>
        <v>2025/07/29</v>
      </c>
    </row>
    <row r="365" spans="1:38" x14ac:dyDescent="0.25">
      <c r="A365" s="39" t="str">
        <f>("1309170091")</f>
        <v>1309170091</v>
      </c>
      <c r="C365" s="39"/>
      <c r="D365" s="39" t="s">
        <v>4163</v>
      </c>
      <c r="E365" s="371" t="str">
        <f t="shared" si="25"/>
        <v>ごとう　えいと</v>
      </c>
      <c r="F365" s="39" t="s">
        <v>2323</v>
      </c>
      <c r="G365" s="39" t="s">
        <v>7828</v>
      </c>
      <c r="H365" s="39" t="str">
        <f>("2013/09/17")</f>
        <v>2013/09/17</v>
      </c>
      <c r="I365" s="39">
        <v>6</v>
      </c>
      <c r="J365" s="39" t="s">
        <v>1478</v>
      </c>
      <c r="K365" s="39" t="s">
        <v>2122</v>
      </c>
      <c r="L365" s="39" t="s">
        <v>7830</v>
      </c>
      <c r="M365" s="39" t="s">
        <v>7831</v>
      </c>
      <c r="N365" s="39" t="str">
        <f>("0472722")</f>
        <v>0472722</v>
      </c>
      <c r="P365" s="39" t="s">
        <v>11853</v>
      </c>
      <c r="Q365" s="39" t="s">
        <v>8568</v>
      </c>
      <c r="R365" s="39" t="s">
        <v>8569</v>
      </c>
      <c r="S365" s="39" t="s">
        <v>8570</v>
      </c>
      <c r="AK365" s="39" t="str">
        <f>("2025/03/17")</f>
        <v>2025/03/17</v>
      </c>
      <c r="AL365" s="39" t="str">
        <f t="shared" ref="AL365:AL384" si="27">("2025/04/01")</f>
        <v>2025/04/01</v>
      </c>
    </row>
    <row r="366" spans="1:38" x14ac:dyDescent="0.25">
      <c r="A366" s="39" t="str">
        <f>("1309190022")</f>
        <v>1309190022</v>
      </c>
      <c r="C366" s="39"/>
      <c r="D366" s="39" t="s">
        <v>5891</v>
      </c>
      <c r="E366" s="371" t="str">
        <f t="shared" si="25"/>
        <v>あだち　たくみ</v>
      </c>
      <c r="F366" s="39" t="s">
        <v>1190</v>
      </c>
      <c r="G366" s="39" t="s">
        <v>7828</v>
      </c>
      <c r="H366" s="39" t="str">
        <f>("2013/09/19")</f>
        <v>2013/09/19</v>
      </c>
      <c r="I366" s="39">
        <v>6</v>
      </c>
      <c r="J366" s="39" t="s">
        <v>1478</v>
      </c>
      <c r="K366" s="39" t="s">
        <v>2122</v>
      </c>
      <c r="L366" s="39" t="s">
        <v>7830</v>
      </c>
      <c r="M366" s="39" t="s">
        <v>7831</v>
      </c>
      <c r="N366" s="39" t="str">
        <f>("0130554")</f>
        <v>0130554</v>
      </c>
      <c r="P366" s="39" t="s">
        <v>11854</v>
      </c>
      <c r="Q366" s="39" t="s">
        <v>8568</v>
      </c>
      <c r="R366" s="39" t="s">
        <v>8569</v>
      </c>
      <c r="S366" s="39" t="s">
        <v>8570</v>
      </c>
      <c r="AK366" s="39" t="str">
        <f>("2025/03/17")</f>
        <v>2025/03/17</v>
      </c>
      <c r="AL366" s="39" t="str">
        <f t="shared" si="27"/>
        <v>2025/04/01</v>
      </c>
    </row>
    <row r="367" spans="1:38" x14ac:dyDescent="0.25">
      <c r="A367" s="39" t="str">
        <f>("1309190050")</f>
        <v>1309190050</v>
      </c>
      <c r="C367" s="39"/>
      <c r="D367" s="39" t="s">
        <v>4089</v>
      </c>
      <c r="E367" s="371" t="str">
        <f t="shared" si="25"/>
        <v>ひろた　るい</v>
      </c>
      <c r="F367" s="39" t="s">
        <v>1865</v>
      </c>
      <c r="G367" s="39" t="s">
        <v>7828</v>
      </c>
      <c r="H367" s="39" t="str">
        <f>("2013/09/19")</f>
        <v>2013/09/19</v>
      </c>
      <c r="I367" s="39">
        <v>6</v>
      </c>
      <c r="J367" s="39" t="s">
        <v>1478</v>
      </c>
      <c r="K367" s="39" t="s">
        <v>2122</v>
      </c>
      <c r="L367" s="39" t="s">
        <v>7830</v>
      </c>
      <c r="M367" s="39" t="s">
        <v>7831</v>
      </c>
      <c r="N367" s="39" t="str">
        <f>("0310565")</f>
        <v>0310565</v>
      </c>
      <c r="P367" s="39" t="s">
        <v>11855</v>
      </c>
      <c r="Q367" s="39" t="s">
        <v>8568</v>
      </c>
      <c r="R367" s="39" t="s">
        <v>8569</v>
      </c>
      <c r="S367" s="39" t="s">
        <v>8570</v>
      </c>
      <c r="AK367" s="39" t="str">
        <f>("2025/03/17")</f>
        <v>2025/03/17</v>
      </c>
      <c r="AL367" s="39" t="str">
        <f t="shared" si="27"/>
        <v>2025/04/01</v>
      </c>
    </row>
    <row r="368" spans="1:38" x14ac:dyDescent="0.25">
      <c r="A368" s="39" t="str">
        <f>("1309190165")</f>
        <v>1309190165</v>
      </c>
      <c r="B368" s="39" t="s">
        <v>8809</v>
      </c>
      <c r="C368" s="39"/>
      <c r="D368" s="39" t="s">
        <v>5684</v>
      </c>
      <c r="E368" s="371" t="str">
        <f t="shared" si="25"/>
        <v>すなみ　まさと</v>
      </c>
      <c r="F368" s="39" t="s">
        <v>5615</v>
      </c>
      <c r="G368" s="39" t="s">
        <v>7828</v>
      </c>
      <c r="H368" s="39" t="str">
        <f>("2013/09/19")</f>
        <v>2013/09/19</v>
      </c>
      <c r="I368" s="39">
        <v>6</v>
      </c>
      <c r="J368" s="39" t="s">
        <v>1478</v>
      </c>
      <c r="K368" s="39" t="s">
        <v>2122</v>
      </c>
      <c r="L368" s="39" t="s">
        <v>7830</v>
      </c>
      <c r="M368" s="39" t="s">
        <v>7831</v>
      </c>
      <c r="N368" s="39" t="str">
        <f>("0129642")</f>
        <v>0129642</v>
      </c>
      <c r="P368" s="39" t="s">
        <v>11856</v>
      </c>
      <c r="Q368" s="39" t="s">
        <v>8568</v>
      </c>
      <c r="R368" s="39" t="s">
        <v>8569</v>
      </c>
      <c r="S368" s="39" t="s">
        <v>8570</v>
      </c>
      <c r="AK368" s="39" t="str">
        <f>("2025/03/24")</f>
        <v>2025/03/24</v>
      </c>
      <c r="AL368" s="39" t="str">
        <f t="shared" si="27"/>
        <v>2025/04/01</v>
      </c>
    </row>
    <row r="369" spans="1:38" x14ac:dyDescent="0.25">
      <c r="A369" s="39" t="str">
        <f>("1309190191")</f>
        <v>1309190191</v>
      </c>
      <c r="C369" s="39"/>
      <c r="D369" s="39" t="s">
        <v>6023</v>
      </c>
      <c r="E369" s="371" t="str">
        <f t="shared" si="25"/>
        <v>やまさき　そら</v>
      </c>
      <c r="F369" s="39" t="s">
        <v>838</v>
      </c>
      <c r="G369" s="39" t="s">
        <v>7828</v>
      </c>
      <c r="H369" s="39" t="str">
        <f>("2013/09/19")</f>
        <v>2013/09/19</v>
      </c>
      <c r="I369" s="39">
        <v>6</v>
      </c>
      <c r="J369" s="39" t="s">
        <v>1478</v>
      </c>
      <c r="K369" s="39" t="s">
        <v>2122</v>
      </c>
      <c r="L369" s="39" t="s">
        <v>7830</v>
      </c>
      <c r="M369" s="39" t="s">
        <v>7831</v>
      </c>
      <c r="N369" s="39" t="str">
        <f>("0360021")</f>
        <v>0360021</v>
      </c>
      <c r="P369" s="39" t="s">
        <v>11857</v>
      </c>
      <c r="Q369" s="39" t="s">
        <v>8568</v>
      </c>
      <c r="R369" s="39" t="s">
        <v>8569</v>
      </c>
      <c r="S369" s="39" t="s">
        <v>8570</v>
      </c>
      <c r="AK369" s="39" t="str">
        <f>("2025/03/17")</f>
        <v>2025/03/17</v>
      </c>
      <c r="AL369" s="39" t="str">
        <f t="shared" si="27"/>
        <v>2025/04/01</v>
      </c>
    </row>
    <row r="370" spans="1:38" x14ac:dyDescent="0.25">
      <c r="A370" s="39" t="str">
        <f>("1309190203")</f>
        <v>1309190203</v>
      </c>
      <c r="B370" s="39" t="s">
        <v>8810</v>
      </c>
      <c r="C370" s="39"/>
      <c r="D370" s="39" t="s">
        <v>8811</v>
      </c>
      <c r="E370" s="371" t="str">
        <f t="shared" si="25"/>
        <v>やまもと　ゆうが</v>
      </c>
      <c r="F370" s="39" t="s">
        <v>2022</v>
      </c>
      <c r="G370" s="39" t="s">
        <v>7828</v>
      </c>
      <c r="H370" s="39" t="str">
        <f>("2013/09/19")</f>
        <v>2013/09/19</v>
      </c>
      <c r="I370" s="39">
        <v>6</v>
      </c>
      <c r="J370" s="39" t="s">
        <v>1478</v>
      </c>
      <c r="K370" s="39" t="s">
        <v>2122</v>
      </c>
      <c r="L370" s="39" t="s">
        <v>7830</v>
      </c>
      <c r="M370" s="39" t="s">
        <v>7831</v>
      </c>
      <c r="N370" s="39" t="str">
        <f>("0130329")</f>
        <v>0130329</v>
      </c>
      <c r="P370" s="39" t="s">
        <v>11858</v>
      </c>
      <c r="Q370" s="39" t="s">
        <v>8568</v>
      </c>
      <c r="R370" s="39" t="s">
        <v>8569</v>
      </c>
      <c r="S370" s="39" t="s">
        <v>8570</v>
      </c>
      <c r="AA370" s="39" t="s">
        <v>2122</v>
      </c>
      <c r="AB370" s="39" t="s">
        <v>7830</v>
      </c>
      <c r="AC370" s="39" t="s">
        <v>7831</v>
      </c>
      <c r="AD370" s="39" t="str">
        <f>("0381608")</f>
        <v>0381608</v>
      </c>
      <c r="AE370" s="39" t="s">
        <v>1207</v>
      </c>
      <c r="AK370" s="39" t="str">
        <f>("2025/03/17")</f>
        <v>2025/03/17</v>
      </c>
      <c r="AL370" s="39" t="str">
        <f t="shared" si="27"/>
        <v>2025/04/01</v>
      </c>
    </row>
    <row r="371" spans="1:38" x14ac:dyDescent="0.25">
      <c r="A371" s="39" t="str">
        <f>("1309200016")</f>
        <v>1309200016</v>
      </c>
      <c r="C371" s="39"/>
      <c r="D371" s="39" t="s">
        <v>5774</v>
      </c>
      <c r="E371" s="371" t="str">
        <f t="shared" si="25"/>
        <v>あだち　まさと</v>
      </c>
      <c r="F371" s="39" t="s">
        <v>2138</v>
      </c>
      <c r="G371" s="39" t="s">
        <v>7828</v>
      </c>
      <c r="H371" s="39" t="str">
        <f>("2013/09/20")</f>
        <v>2013/09/20</v>
      </c>
      <c r="I371" s="39">
        <v>6</v>
      </c>
      <c r="J371" s="39" t="s">
        <v>1478</v>
      </c>
      <c r="K371" s="39" t="s">
        <v>2122</v>
      </c>
      <c r="L371" s="39" t="s">
        <v>7830</v>
      </c>
      <c r="M371" s="39" t="s">
        <v>7831</v>
      </c>
      <c r="N371" s="39" t="str">
        <f>("0130082")</f>
        <v>0130082</v>
      </c>
      <c r="P371" s="39" t="s">
        <v>11859</v>
      </c>
      <c r="Q371" s="39" t="s">
        <v>8568</v>
      </c>
      <c r="R371" s="39" t="s">
        <v>8569</v>
      </c>
      <c r="S371" s="39" t="s">
        <v>8570</v>
      </c>
      <c r="AK371" s="39" t="str">
        <f>("2025/03/17")</f>
        <v>2025/03/17</v>
      </c>
      <c r="AL371" s="39" t="str">
        <f t="shared" si="27"/>
        <v>2025/04/01</v>
      </c>
    </row>
    <row r="372" spans="1:38" x14ac:dyDescent="0.25">
      <c r="A372" s="39" t="str">
        <f>("1309200106")</f>
        <v>1309200106</v>
      </c>
      <c r="B372" s="39" t="s">
        <v>8812</v>
      </c>
      <c r="C372" s="39"/>
      <c r="D372" s="39" t="s">
        <v>5655</v>
      </c>
      <c r="E372" s="371" t="str">
        <f t="shared" si="25"/>
        <v>よしたけ　こうみ</v>
      </c>
      <c r="F372" s="39" t="s">
        <v>2477</v>
      </c>
      <c r="G372" s="39" t="s">
        <v>7828</v>
      </c>
      <c r="H372" s="39" t="str">
        <f>("2013/09/20")</f>
        <v>2013/09/20</v>
      </c>
      <c r="I372" s="39">
        <v>6</v>
      </c>
      <c r="J372" s="39" t="s">
        <v>1480</v>
      </c>
      <c r="K372" s="39" t="s">
        <v>2122</v>
      </c>
      <c r="L372" s="39" t="s">
        <v>7830</v>
      </c>
      <c r="M372" s="39" t="s">
        <v>7831</v>
      </c>
      <c r="N372" s="39" t="str">
        <f>("0129541")</f>
        <v>0129541</v>
      </c>
      <c r="P372" s="39" t="s">
        <v>11860</v>
      </c>
      <c r="Q372" s="39" t="s">
        <v>8568</v>
      </c>
      <c r="R372" s="39" t="s">
        <v>8569</v>
      </c>
      <c r="S372" s="39" t="s">
        <v>8570</v>
      </c>
      <c r="AK372" s="39" t="str">
        <f>("2025/03/27")</f>
        <v>2025/03/27</v>
      </c>
      <c r="AL372" s="39" t="str">
        <f t="shared" si="27"/>
        <v>2025/04/01</v>
      </c>
    </row>
    <row r="373" spans="1:38" x14ac:dyDescent="0.25">
      <c r="A373" s="39" t="str">
        <f>("1309200108")</f>
        <v>1309200108</v>
      </c>
      <c r="C373" s="39"/>
      <c r="D373" s="39" t="s">
        <v>4367</v>
      </c>
      <c r="E373" s="371" t="str">
        <f t="shared" si="25"/>
        <v>たなか　ゆうご</v>
      </c>
      <c r="F373" s="39" t="s">
        <v>3867</v>
      </c>
      <c r="G373" s="39" t="s">
        <v>7828</v>
      </c>
      <c r="H373" s="39" t="str">
        <f>("2013/09/20")</f>
        <v>2013/09/20</v>
      </c>
      <c r="I373" s="39">
        <v>6</v>
      </c>
      <c r="J373" s="39" t="s">
        <v>1478</v>
      </c>
      <c r="K373" s="39" t="s">
        <v>2122</v>
      </c>
      <c r="L373" s="39" t="s">
        <v>7830</v>
      </c>
      <c r="M373" s="39" t="s">
        <v>7831</v>
      </c>
      <c r="N373" s="39" t="str">
        <f>("0129990")</f>
        <v>0129990</v>
      </c>
      <c r="P373" s="39" t="s">
        <v>11861</v>
      </c>
      <c r="Q373" s="39" t="s">
        <v>8568</v>
      </c>
      <c r="R373" s="39" t="s">
        <v>8569</v>
      </c>
      <c r="S373" s="39" t="s">
        <v>8570</v>
      </c>
      <c r="AK373" s="39" t="str">
        <f>("2025/04/01")</f>
        <v>2025/04/01</v>
      </c>
      <c r="AL373" s="39" t="str">
        <f t="shared" si="27"/>
        <v>2025/04/01</v>
      </c>
    </row>
    <row r="374" spans="1:38" x14ac:dyDescent="0.25">
      <c r="A374" s="39" t="str">
        <f>("1309200138")</f>
        <v>1309200138</v>
      </c>
      <c r="C374" s="39"/>
      <c r="D374" s="39" t="s">
        <v>4496</v>
      </c>
      <c r="E374" s="371" t="str">
        <f t="shared" si="25"/>
        <v>おがた　ゆうと</v>
      </c>
      <c r="F374" s="39" t="s">
        <v>2024</v>
      </c>
      <c r="G374" s="39" t="s">
        <v>7828</v>
      </c>
      <c r="H374" s="39" t="str">
        <f>("2013/09/20")</f>
        <v>2013/09/20</v>
      </c>
      <c r="I374" s="39">
        <v>6</v>
      </c>
      <c r="J374" s="39" t="s">
        <v>1478</v>
      </c>
      <c r="K374" s="39" t="s">
        <v>2122</v>
      </c>
      <c r="L374" s="39" t="s">
        <v>7830</v>
      </c>
      <c r="M374" s="39" t="s">
        <v>7831</v>
      </c>
      <c r="N374" s="39" t="str">
        <f>("0130475")</f>
        <v>0130475</v>
      </c>
      <c r="P374" s="39" t="s">
        <v>11862</v>
      </c>
      <c r="Q374" s="39" t="s">
        <v>8568</v>
      </c>
      <c r="R374" s="39" t="s">
        <v>8569</v>
      </c>
      <c r="S374" s="39" t="s">
        <v>8570</v>
      </c>
      <c r="AK374" s="39" t="str">
        <f>("2025/04/04")</f>
        <v>2025/04/04</v>
      </c>
      <c r="AL374" s="39" t="str">
        <f t="shared" si="27"/>
        <v>2025/04/01</v>
      </c>
    </row>
    <row r="375" spans="1:38" x14ac:dyDescent="0.25">
      <c r="A375" s="39" t="str">
        <f>("1309210157")</f>
        <v>1309210157</v>
      </c>
      <c r="B375" s="39" t="s">
        <v>8813</v>
      </c>
      <c r="C375" s="39"/>
      <c r="D375" s="39" t="s">
        <v>8814</v>
      </c>
      <c r="E375" s="371" t="str">
        <f t="shared" si="25"/>
        <v>とみた　ゆきと</v>
      </c>
      <c r="F375" s="39" t="s">
        <v>2619</v>
      </c>
      <c r="G375" s="39" t="s">
        <v>7828</v>
      </c>
      <c r="H375" s="39" t="str">
        <f>("2013/09/21")</f>
        <v>2013/09/21</v>
      </c>
      <c r="I375" s="39">
        <v>6</v>
      </c>
      <c r="J375" s="39" t="s">
        <v>1478</v>
      </c>
      <c r="K375" s="39" t="s">
        <v>2122</v>
      </c>
      <c r="L375" s="39" t="s">
        <v>7830</v>
      </c>
      <c r="M375" s="39" t="s">
        <v>7831</v>
      </c>
      <c r="N375" s="39" t="str">
        <f>("0472823")</f>
        <v>0472823</v>
      </c>
      <c r="P375" s="39" t="s">
        <v>11863</v>
      </c>
      <c r="Q375" s="39" t="s">
        <v>8568</v>
      </c>
      <c r="R375" s="39" t="s">
        <v>8569</v>
      </c>
      <c r="S375" s="39" t="s">
        <v>8570</v>
      </c>
      <c r="AK375" s="39" t="str">
        <f>("2025/03/17")</f>
        <v>2025/03/17</v>
      </c>
      <c r="AL375" s="39" t="str">
        <f t="shared" si="27"/>
        <v>2025/04/01</v>
      </c>
    </row>
    <row r="376" spans="1:38" x14ac:dyDescent="0.25">
      <c r="A376" s="39" t="str">
        <f>("1309210212")</f>
        <v>1309210212</v>
      </c>
      <c r="C376" s="39"/>
      <c r="D376" s="39" t="s">
        <v>8815</v>
      </c>
      <c r="E376" s="371" t="str">
        <f t="shared" si="25"/>
        <v>なかの　かいと</v>
      </c>
      <c r="F376" s="39" t="s">
        <v>2648</v>
      </c>
      <c r="G376" s="39" t="s">
        <v>7828</v>
      </c>
      <c r="H376" s="39" t="str">
        <f>("2013/09/21")</f>
        <v>2013/09/21</v>
      </c>
      <c r="I376" s="39">
        <v>6</v>
      </c>
      <c r="J376" s="39" t="s">
        <v>1478</v>
      </c>
      <c r="K376" s="39" t="s">
        <v>2122</v>
      </c>
      <c r="L376" s="39" t="s">
        <v>7830</v>
      </c>
      <c r="M376" s="39" t="s">
        <v>7831</v>
      </c>
      <c r="N376" s="39" t="str">
        <f>("1050097")</f>
        <v>1050097</v>
      </c>
      <c r="P376" s="39" t="s">
        <v>11864</v>
      </c>
      <c r="Q376" s="39" t="s">
        <v>8568</v>
      </c>
      <c r="R376" s="39" t="s">
        <v>8569</v>
      </c>
      <c r="S376" s="39" t="s">
        <v>8570</v>
      </c>
      <c r="AK376" s="39" t="str">
        <f>("2025/03/25")</f>
        <v>2025/03/25</v>
      </c>
      <c r="AL376" s="39" t="str">
        <f t="shared" si="27"/>
        <v>2025/04/01</v>
      </c>
    </row>
    <row r="377" spans="1:38" x14ac:dyDescent="0.25">
      <c r="A377" s="39" t="str">
        <f>("1309210213")</f>
        <v>1309210213</v>
      </c>
      <c r="C377" s="39"/>
      <c r="D377" s="39" t="s">
        <v>8816</v>
      </c>
      <c r="E377" s="371" t="str">
        <f t="shared" si="25"/>
        <v>やました　さき</v>
      </c>
      <c r="F377" s="39" t="s">
        <v>2648</v>
      </c>
      <c r="G377" s="39" t="s">
        <v>7828</v>
      </c>
      <c r="H377" s="39" t="str">
        <f>("2013/09/21")</f>
        <v>2013/09/21</v>
      </c>
      <c r="I377" s="39">
        <v>6</v>
      </c>
      <c r="J377" s="39" t="s">
        <v>1480</v>
      </c>
      <c r="K377" s="39" t="s">
        <v>2122</v>
      </c>
      <c r="L377" s="39" t="s">
        <v>7830</v>
      </c>
      <c r="M377" s="39" t="s">
        <v>7831</v>
      </c>
      <c r="N377" s="39" t="str">
        <f>("1050097")</f>
        <v>1050097</v>
      </c>
      <c r="P377" s="39" t="s">
        <v>11865</v>
      </c>
      <c r="Q377" s="39" t="s">
        <v>8568</v>
      </c>
      <c r="R377" s="39" t="s">
        <v>8569</v>
      </c>
      <c r="S377" s="39" t="s">
        <v>8570</v>
      </c>
      <c r="AK377" s="39" t="str">
        <f>("2025/03/25")</f>
        <v>2025/03/25</v>
      </c>
      <c r="AL377" s="39" t="str">
        <f t="shared" si="27"/>
        <v>2025/04/01</v>
      </c>
    </row>
    <row r="378" spans="1:38" x14ac:dyDescent="0.25">
      <c r="A378" s="39" t="str">
        <f>("1309220131")</f>
        <v>1309220131</v>
      </c>
      <c r="C378" s="39"/>
      <c r="D378" s="39" t="s">
        <v>8817</v>
      </c>
      <c r="E378" s="371" t="str">
        <f t="shared" si="25"/>
        <v>ふすまだ　えいと</v>
      </c>
      <c r="F378" s="39" t="s">
        <v>1917</v>
      </c>
      <c r="G378" s="39" t="s">
        <v>7828</v>
      </c>
      <c r="H378" s="39" t="str">
        <f>("2013/09/22")</f>
        <v>2013/09/22</v>
      </c>
      <c r="I378" s="39">
        <v>6</v>
      </c>
      <c r="J378" s="39" t="s">
        <v>1478</v>
      </c>
      <c r="K378" s="39" t="s">
        <v>2122</v>
      </c>
      <c r="L378" s="39" t="s">
        <v>7830</v>
      </c>
      <c r="M378" s="39" t="s">
        <v>7831</v>
      </c>
      <c r="N378" s="39" t="str">
        <f>("1032161")</f>
        <v>1032161</v>
      </c>
      <c r="P378" s="39" t="s">
        <v>11866</v>
      </c>
      <c r="Q378" s="39" t="s">
        <v>8568</v>
      </c>
      <c r="R378" s="39" t="s">
        <v>8569</v>
      </c>
      <c r="S378" s="39" t="s">
        <v>8570</v>
      </c>
      <c r="AA378" s="39" t="s">
        <v>2122</v>
      </c>
      <c r="AB378" s="39" t="s">
        <v>7830</v>
      </c>
      <c r="AC378" s="39" t="s">
        <v>7831</v>
      </c>
      <c r="AD378" s="39" t="str">
        <f>("0130699")</f>
        <v>0130699</v>
      </c>
      <c r="AE378" s="39" t="s">
        <v>2422</v>
      </c>
      <c r="AF378" s="39" t="s">
        <v>2122</v>
      </c>
      <c r="AG378" s="39" t="s">
        <v>7830</v>
      </c>
      <c r="AH378" s="39" t="s">
        <v>7831</v>
      </c>
      <c r="AI378" s="39" t="str">
        <f>("0130701")</f>
        <v>0130701</v>
      </c>
      <c r="AJ378" s="39" t="s">
        <v>8818</v>
      </c>
      <c r="AK378" s="39" t="str">
        <f>("2025/03/21")</f>
        <v>2025/03/21</v>
      </c>
      <c r="AL378" s="39" t="str">
        <f t="shared" si="27"/>
        <v>2025/04/01</v>
      </c>
    </row>
    <row r="379" spans="1:38" x14ac:dyDescent="0.25">
      <c r="A379" s="39" t="str">
        <f>("1309220159")</f>
        <v>1309220159</v>
      </c>
      <c r="B379" s="39" t="s">
        <v>8819</v>
      </c>
      <c r="C379" s="39"/>
      <c r="D379" s="39" t="s">
        <v>4561</v>
      </c>
      <c r="E379" s="371" t="str">
        <f t="shared" si="25"/>
        <v>こむら　はる</v>
      </c>
      <c r="F379" s="39" t="s">
        <v>1344</v>
      </c>
      <c r="G379" s="39" t="s">
        <v>7828</v>
      </c>
      <c r="H379" s="39" t="str">
        <f>("2013/09/22")</f>
        <v>2013/09/22</v>
      </c>
      <c r="I379" s="39">
        <v>6</v>
      </c>
      <c r="J379" s="39" t="s">
        <v>1478</v>
      </c>
      <c r="K379" s="39" t="s">
        <v>2122</v>
      </c>
      <c r="L379" s="39" t="s">
        <v>7830</v>
      </c>
      <c r="M379" s="39" t="s">
        <v>7831</v>
      </c>
      <c r="N379" s="39" t="str">
        <f>("0130587")</f>
        <v>0130587</v>
      </c>
      <c r="P379" s="39" t="s">
        <v>11867</v>
      </c>
      <c r="Q379" s="39" t="s">
        <v>8568</v>
      </c>
      <c r="R379" s="39" t="s">
        <v>8569</v>
      </c>
      <c r="S379" s="39" t="s">
        <v>8570</v>
      </c>
      <c r="AK379" s="39" t="str">
        <f>("2025/03/17")</f>
        <v>2025/03/17</v>
      </c>
      <c r="AL379" s="39" t="str">
        <f t="shared" si="27"/>
        <v>2025/04/01</v>
      </c>
    </row>
    <row r="380" spans="1:38" x14ac:dyDescent="0.25">
      <c r="A380" s="39" t="str">
        <f>("1309230004")</f>
        <v>1309230004</v>
      </c>
      <c r="C380" s="39"/>
      <c r="D380" s="39" t="s">
        <v>6018</v>
      </c>
      <c r="E380" s="371" t="str">
        <f t="shared" si="25"/>
        <v>くわはら　しょうた</v>
      </c>
      <c r="F380" s="39" t="s">
        <v>2530</v>
      </c>
      <c r="G380" s="39" t="s">
        <v>7828</v>
      </c>
      <c r="H380" s="39" t="str">
        <f>("2013/09/23")</f>
        <v>2013/09/23</v>
      </c>
      <c r="I380" s="39">
        <v>6</v>
      </c>
      <c r="J380" s="39" t="s">
        <v>1478</v>
      </c>
      <c r="K380" s="39" t="s">
        <v>2122</v>
      </c>
      <c r="L380" s="39" t="s">
        <v>7830</v>
      </c>
      <c r="M380" s="39" t="s">
        <v>7831</v>
      </c>
      <c r="N380" s="39" t="str">
        <f>("0338756")</f>
        <v>0338756</v>
      </c>
      <c r="P380" s="39" t="s">
        <v>11868</v>
      </c>
      <c r="Q380" s="39" t="s">
        <v>8568</v>
      </c>
      <c r="R380" s="39" t="s">
        <v>8569</v>
      </c>
      <c r="S380" s="39" t="s">
        <v>8570</v>
      </c>
      <c r="AA380" s="39" t="s">
        <v>2122</v>
      </c>
      <c r="AB380" s="39" t="s">
        <v>7830</v>
      </c>
      <c r="AC380" s="39" t="s">
        <v>7831</v>
      </c>
      <c r="AD380" s="39" t="str">
        <f>("0381608")</f>
        <v>0381608</v>
      </c>
      <c r="AE380" s="39" t="s">
        <v>1207</v>
      </c>
      <c r="AF380" s="39" t="s">
        <v>2122</v>
      </c>
      <c r="AG380" s="39" t="s">
        <v>7830</v>
      </c>
      <c r="AH380" s="39" t="s">
        <v>7831</v>
      </c>
      <c r="AI380" s="39" t="str">
        <f>("0130510")</f>
        <v>0130510</v>
      </c>
      <c r="AJ380" s="39" t="s">
        <v>2137</v>
      </c>
      <c r="AK380" s="39" t="str">
        <f>("2025/04/01")</f>
        <v>2025/04/01</v>
      </c>
      <c r="AL380" s="39" t="str">
        <f t="shared" si="27"/>
        <v>2025/04/01</v>
      </c>
    </row>
    <row r="381" spans="1:38" x14ac:dyDescent="0.25">
      <c r="A381" s="39" t="str">
        <f>("1309230009")</f>
        <v>1309230009</v>
      </c>
      <c r="B381" s="39" t="s">
        <v>8820</v>
      </c>
      <c r="C381" s="39"/>
      <c r="D381" s="39" t="s">
        <v>5911</v>
      </c>
      <c r="E381" s="371" t="str">
        <f t="shared" si="25"/>
        <v>たかなみ　りょうま</v>
      </c>
      <c r="F381" s="39" t="s">
        <v>639</v>
      </c>
      <c r="G381" s="39" t="s">
        <v>7828</v>
      </c>
      <c r="H381" s="39" t="str">
        <f>("2013/09/23")</f>
        <v>2013/09/23</v>
      </c>
      <c r="I381" s="39">
        <v>6</v>
      </c>
      <c r="J381" s="39" t="s">
        <v>1478</v>
      </c>
      <c r="K381" s="39" t="s">
        <v>2122</v>
      </c>
      <c r="L381" s="39" t="s">
        <v>7830</v>
      </c>
      <c r="M381" s="39" t="s">
        <v>7831</v>
      </c>
      <c r="N381" s="39" t="str">
        <f>("0130633")</f>
        <v>0130633</v>
      </c>
      <c r="P381" s="39" t="s">
        <v>11869</v>
      </c>
      <c r="Q381" s="39" t="s">
        <v>8568</v>
      </c>
      <c r="R381" s="39" t="s">
        <v>8569</v>
      </c>
      <c r="S381" s="39" t="s">
        <v>8570</v>
      </c>
      <c r="AK381" s="39" t="str">
        <f>("2025/03/17")</f>
        <v>2025/03/17</v>
      </c>
      <c r="AL381" s="39" t="str">
        <f t="shared" si="27"/>
        <v>2025/04/01</v>
      </c>
    </row>
    <row r="382" spans="1:38" x14ac:dyDescent="0.25">
      <c r="A382" s="39" t="str">
        <f>("1309230058")</f>
        <v>1309230058</v>
      </c>
      <c r="C382" s="39"/>
      <c r="D382" s="39" t="s">
        <v>6198</v>
      </c>
      <c r="E382" s="371" t="str">
        <f t="shared" si="25"/>
        <v>こうの　ひろき</v>
      </c>
      <c r="F382" s="39" t="s">
        <v>5621</v>
      </c>
      <c r="G382" s="39" t="s">
        <v>7828</v>
      </c>
      <c r="H382" s="39" t="str">
        <f>("2013/09/23")</f>
        <v>2013/09/23</v>
      </c>
      <c r="I382" s="39">
        <v>6</v>
      </c>
      <c r="J382" s="39" t="s">
        <v>1478</v>
      </c>
      <c r="K382" s="39" t="s">
        <v>2122</v>
      </c>
      <c r="L382" s="39" t="s">
        <v>7830</v>
      </c>
      <c r="M382" s="39" t="s">
        <v>7831</v>
      </c>
      <c r="N382" s="39" t="str">
        <f>("1110654")</f>
        <v>1110654</v>
      </c>
      <c r="P382" s="39" t="s">
        <v>11870</v>
      </c>
      <c r="Q382" s="39" t="s">
        <v>8568</v>
      </c>
      <c r="R382" s="39" t="s">
        <v>8569</v>
      </c>
      <c r="S382" s="39" t="s">
        <v>8570</v>
      </c>
      <c r="AA382" s="39" t="s">
        <v>2122</v>
      </c>
      <c r="AB382" s="39" t="s">
        <v>7830</v>
      </c>
      <c r="AC382" s="39" t="s">
        <v>7831</v>
      </c>
      <c r="AD382" s="39" t="str">
        <f>("1032161")</f>
        <v>1032161</v>
      </c>
      <c r="AE382" s="39" t="s">
        <v>1917</v>
      </c>
      <c r="AK382" s="39" t="str">
        <f>("2025/03/03")</f>
        <v>2025/03/03</v>
      </c>
      <c r="AL382" s="39" t="str">
        <f t="shared" si="27"/>
        <v>2025/04/01</v>
      </c>
    </row>
    <row r="383" spans="1:38" x14ac:dyDescent="0.25">
      <c r="A383" s="39" t="str">
        <f>("1309240107")</f>
        <v>1309240107</v>
      </c>
      <c r="C383" s="39"/>
      <c r="D383" s="39" t="s">
        <v>5651</v>
      </c>
      <c r="E383" s="371" t="str">
        <f t="shared" si="25"/>
        <v>おの　まさき</v>
      </c>
      <c r="F383" s="39" t="s">
        <v>2477</v>
      </c>
      <c r="G383" s="39" t="s">
        <v>7828</v>
      </c>
      <c r="H383" s="39" t="str">
        <f>("2013/09/24")</f>
        <v>2013/09/24</v>
      </c>
      <c r="I383" s="39">
        <v>6</v>
      </c>
      <c r="J383" s="39" t="s">
        <v>1478</v>
      </c>
      <c r="K383" s="39" t="s">
        <v>2122</v>
      </c>
      <c r="L383" s="39" t="s">
        <v>7830</v>
      </c>
      <c r="M383" s="39" t="s">
        <v>7831</v>
      </c>
      <c r="N383" s="39" t="str">
        <f>("0129541")</f>
        <v>0129541</v>
      </c>
      <c r="P383" s="39" t="s">
        <v>11871</v>
      </c>
      <c r="Q383" s="39" t="s">
        <v>8568</v>
      </c>
      <c r="R383" s="39" t="s">
        <v>8569</v>
      </c>
      <c r="S383" s="39" t="s">
        <v>8570</v>
      </c>
      <c r="AK383" s="39" t="str">
        <f>("2025/03/27")</f>
        <v>2025/03/27</v>
      </c>
      <c r="AL383" s="39" t="str">
        <f t="shared" si="27"/>
        <v>2025/04/01</v>
      </c>
    </row>
    <row r="384" spans="1:38" x14ac:dyDescent="0.25">
      <c r="A384" s="39" t="str">
        <f>("1309250073")</f>
        <v>1309250073</v>
      </c>
      <c r="C384" s="39"/>
      <c r="D384" s="39" t="s">
        <v>3911</v>
      </c>
      <c r="E384" s="371" t="str">
        <f t="shared" si="25"/>
        <v>あおの　りょうせい</v>
      </c>
      <c r="F384" s="39" t="s">
        <v>334</v>
      </c>
      <c r="G384" s="39" t="s">
        <v>7828</v>
      </c>
      <c r="H384" s="39" t="str">
        <f>("2013/09/25")</f>
        <v>2013/09/25</v>
      </c>
      <c r="I384" s="39">
        <v>6</v>
      </c>
      <c r="J384" s="39" t="s">
        <v>1478</v>
      </c>
      <c r="K384" s="39" t="s">
        <v>2122</v>
      </c>
      <c r="L384" s="39" t="s">
        <v>7830</v>
      </c>
      <c r="M384" s="39" t="s">
        <v>7831</v>
      </c>
      <c r="N384" s="39" t="str">
        <f>("0129664")</f>
        <v>0129664</v>
      </c>
      <c r="P384" s="39" t="s">
        <v>11872</v>
      </c>
      <c r="Q384" s="39" t="s">
        <v>8568</v>
      </c>
      <c r="R384" s="39" t="s">
        <v>8569</v>
      </c>
      <c r="S384" s="39" t="s">
        <v>8570</v>
      </c>
      <c r="AK384" s="39" t="str">
        <f>("2025/03/17")</f>
        <v>2025/03/17</v>
      </c>
      <c r="AL384" s="39" t="str">
        <f t="shared" si="27"/>
        <v>2025/04/01</v>
      </c>
    </row>
    <row r="385" spans="1:39" x14ac:dyDescent="0.25">
      <c r="A385" s="39" t="str">
        <f>("1309250102")</f>
        <v>1309250102</v>
      </c>
      <c r="C385" s="39"/>
      <c r="D385" s="39" t="s">
        <v>5759</v>
      </c>
      <c r="E385" s="371" t="str">
        <f t="shared" si="25"/>
        <v>はしもと　ゆうき</v>
      </c>
      <c r="F385" s="39" t="s">
        <v>1446</v>
      </c>
      <c r="G385" s="39" t="s">
        <v>7828</v>
      </c>
      <c r="H385" s="39" t="str">
        <f>("2013/09/25")</f>
        <v>2013/09/25</v>
      </c>
      <c r="I385" s="39">
        <v>6</v>
      </c>
      <c r="J385" s="39" t="s">
        <v>1478</v>
      </c>
      <c r="K385" s="39" t="s">
        <v>2122</v>
      </c>
      <c r="L385" s="39" t="s">
        <v>7830</v>
      </c>
      <c r="M385" s="39" t="s">
        <v>7831</v>
      </c>
      <c r="N385" s="39" t="str">
        <f>("0478807")</f>
        <v>0478807</v>
      </c>
      <c r="P385" s="39" t="s">
        <v>11873</v>
      </c>
      <c r="Q385" s="39" t="s">
        <v>8568</v>
      </c>
      <c r="R385" s="39" t="s">
        <v>8569</v>
      </c>
      <c r="S385" s="39" t="s">
        <v>8570</v>
      </c>
      <c r="AA385" s="39" t="s">
        <v>2122</v>
      </c>
      <c r="AB385" s="39" t="s">
        <v>7830</v>
      </c>
      <c r="AC385" s="39" t="s">
        <v>7831</v>
      </c>
      <c r="AD385" s="39" t="str">
        <f>("0129990")</f>
        <v>0129990</v>
      </c>
      <c r="AE385" s="39" t="s">
        <v>3867</v>
      </c>
      <c r="AK385" s="39" t="str">
        <f>("2025/04/05")</f>
        <v>2025/04/05</v>
      </c>
      <c r="AL385" s="39" t="str">
        <f>("2025/04/05")</f>
        <v>2025/04/05</v>
      </c>
      <c r="AM385" s="39" t="str">
        <f>("2025/04/08")</f>
        <v>2025/04/08</v>
      </c>
    </row>
    <row r="386" spans="1:39" x14ac:dyDescent="0.25">
      <c r="A386" s="39" t="str">
        <f>("1309250131")</f>
        <v>1309250131</v>
      </c>
      <c r="C386" s="39"/>
      <c r="D386" s="39" t="s">
        <v>4399</v>
      </c>
      <c r="E386" s="371" t="str">
        <f t="shared" si="25"/>
        <v>うえの　あんり</v>
      </c>
      <c r="F386" s="39" t="s">
        <v>856</v>
      </c>
      <c r="G386" s="39" t="s">
        <v>7828</v>
      </c>
      <c r="H386" s="39" t="str">
        <f>("2013/09/25")</f>
        <v>2013/09/25</v>
      </c>
      <c r="I386" s="39">
        <v>6</v>
      </c>
      <c r="J386" s="39" t="s">
        <v>1480</v>
      </c>
      <c r="K386" s="39" t="s">
        <v>2122</v>
      </c>
      <c r="L386" s="39" t="s">
        <v>7830</v>
      </c>
      <c r="M386" s="39" t="s">
        <v>7831</v>
      </c>
      <c r="N386" s="39" t="str">
        <f>("0130149")</f>
        <v>0130149</v>
      </c>
      <c r="P386" s="39" t="s">
        <v>11874</v>
      </c>
      <c r="Q386" s="39" t="s">
        <v>8568</v>
      </c>
      <c r="R386" s="39" t="s">
        <v>8569</v>
      </c>
      <c r="S386" s="39" t="s">
        <v>8570</v>
      </c>
      <c r="AK386" s="39" t="str">
        <f>("2025/03/17")</f>
        <v>2025/03/17</v>
      </c>
      <c r="AL386" s="39" t="str">
        <f t="shared" ref="AL386:AL396" si="28">("2025/04/01")</f>
        <v>2025/04/01</v>
      </c>
    </row>
    <row r="387" spans="1:39" x14ac:dyDescent="0.25">
      <c r="A387" s="39" t="str">
        <f>("1309260096")</f>
        <v>1309260096</v>
      </c>
      <c r="B387" s="39" t="s">
        <v>8821</v>
      </c>
      <c r="C387" s="39"/>
      <c r="D387" s="39" t="s">
        <v>8822</v>
      </c>
      <c r="E387" s="371" t="str">
        <f t="shared" ref="E387:E450" si="29">PHONETIC(P387)</f>
        <v>さとう　ゆうま</v>
      </c>
      <c r="F387" s="39" t="s">
        <v>2022</v>
      </c>
      <c r="G387" s="39" t="s">
        <v>7828</v>
      </c>
      <c r="H387" s="39" t="str">
        <f>("2013/09/26")</f>
        <v>2013/09/26</v>
      </c>
      <c r="I387" s="39">
        <v>6</v>
      </c>
      <c r="J387" s="39" t="s">
        <v>1478</v>
      </c>
      <c r="K387" s="39" t="s">
        <v>2122</v>
      </c>
      <c r="L387" s="39" t="s">
        <v>7830</v>
      </c>
      <c r="M387" s="39" t="s">
        <v>7831</v>
      </c>
      <c r="N387" s="39" t="str">
        <f>("0130329")</f>
        <v>0130329</v>
      </c>
      <c r="P387" s="39" t="s">
        <v>11875</v>
      </c>
      <c r="Q387" s="39" t="s">
        <v>8568</v>
      </c>
      <c r="R387" s="39" t="s">
        <v>8569</v>
      </c>
      <c r="S387" s="39" t="s">
        <v>8570</v>
      </c>
      <c r="AA387" s="39" t="s">
        <v>2122</v>
      </c>
      <c r="AB387" s="39" t="s">
        <v>7830</v>
      </c>
      <c r="AC387" s="39" t="s">
        <v>7831</v>
      </c>
      <c r="AD387" s="39" t="str">
        <f>("0472823")</f>
        <v>0472823</v>
      </c>
      <c r="AE387" s="39" t="s">
        <v>2619</v>
      </c>
      <c r="AK387" s="39" t="str">
        <f>("2025/03/17")</f>
        <v>2025/03/17</v>
      </c>
      <c r="AL387" s="39" t="str">
        <f t="shared" si="28"/>
        <v>2025/04/01</v>
      </c>
    </row>
    <row r="388" spans="1:39" x14ac:dyDescent="0.25">
      <c r="A388" s="39" t="str">
        <f>("1309260148")</f>
        <v>1309260148</v>
      </c>
      <c r="C388" s="39"/>
      <c r="D388" s="39" t="s">
        <v>4316</v>
      </c>
      <c r="E388" s="371" t="str">
        <f t="shared" si="29"/>
        <v>いぬづか　てっしょう</v>
      </c>
      <c r="F388" s="39" t="s">
        <v>834</v>
      </c>
      <c r="G388" s="39" t="s">
        <v>7828</v>
      </c>
      <c r="H388" s="39" t="str">
        <f>("2013/09/26")</f>
        <v>2013/09/26</v>
      </c>
      <c r="I388" s="39">
        <v>6</v>
      </c>
      <c r="J388" s="39" t="s">
        <v>1478</v>
      </c>
      <c r="K388" s="39" t="s">
        <v>2122</v>
      </c>
      <c r="L388" s="39" t="s">
        <v>7830</v>
      </c>
      <c r="M388" s="39" t="s">
        <v>7831</v>
      </c>
      <c r="N388" s="39" t="str">
        <f>("0129844")</f>
        <v>0129844</v>
      </c>
      <c r="P388" s="39" t="s">
        <v>11876</v>
      </c>
      <c r="Q388" s="39" t="s">
        <v>8568</v>
      </c>
      <c r="R388" s="39" t="s">
        <v>8569</v>
      </c>
      <c r="S388" s="39" t="s">
        <v>8570</v>
      </c>
      <c r="AK388" s="39" t="str">
        <f>("2025/03/17")</f>
        <v>2025/03/17</v>
      </c>
      <c r="AL388" s="39" t="str">
        <f t="shared" si="28"/>
        <v>2025/04/01</v>
      </c>
    </row>
    <row r="389" spans="1:39" x14ac:dyDescent="0.25">
      <c r="A389" s="39" t="str">
        <f>("1309260229")</f>
        <v>1309260229</v>
      </c>
      <c r="C389" s="39"/>
      <c r="D389" s="39" t="s">
        <v>4675</v>
      </c>
      <c r="E389" s="371" t="str">
        <f t="shared" si="29"/>
        <v>あなん　けいた</v>
      </c>
      <c r="F389" s="39" t="s">
        <v>2575</v>
      </c>
      <c r="G389" s="39" t="s">
        <v>7828</v>
      </c>
      <c r="H389" s="39" t="str">
        <f>("2013/09/26")</f>
        <v>2013/09/26</v>
      </c>
      <c r="I389" s="39">
        <v>6</v>
      </c>
      <c r="J389" s="39" t="s">
        <v>1478</v>
      </c>
      <c r="K389" s="39" t="s">
        <v>2122</v>
      </c>
      <c r="L389" s="39" t="s">
        <v>7830</v>
      </c>
      <c r="M389" s="39" t="s">
        <v>7831</v>
      </c>
      <c r="N389" s="39" t="str">
        <f>("0303040")</f>
        <v>0303040</v>
      </c>
      <c r="P389" s="39" t="s">
        <v>11877</v>
      </c>
      <c r="Q389" s="39" t="s">
        <v>8568</v>
      </c>
      <c r="R389" s="39" t="s">
        <v>8569</v>
      </c>
      <c r="S389" s="39" t="s">
        <v>8570</v>
      </c>
      <c r="AK389" s="39" t="str">
        <f>("2025/03/17")</f>
        <v>2025/03/17</v>
      </c>
      <c r="AL389" s="39" t="str">
        <f t="shared" si="28"/>
        <v>2025/04/01</v>
      </c>
    </row>
    <row r="390" spans="1:39" x14ac:dyDescent="0.25">
      <c r="A390" s="39" t="str">
        <f>("1309260231")</f>
        <v>1309260231</v>
      </c>
      <c r="C390" s="39"/>
      <c r="D390" s="39" t="s">
        <v>6125</v>
      </c>
      <c r="E390" s="371" t="str">
        <f t="shared" si="29"/>
        <v>わたなべ　かずし</v>
      </c>
      <c r="F390" s="39" t="s">
        <v>413</v>
      </c>
      <c r="G390" s="39" t="s">
        <v>7828</v>
      </c>
      <c r="H390" s="39" t="str">
        <f>("2013/09/26")</f>
        <v>2013/09/26</v>
      </c>
      <c r="I390" s="39">
        <v>6</v>
      </c>
      <c r="J390" s="39" t="s">
        <v>1478</v>
      </c>
      <c r="K390" s="39" t="s">
        <v>2122</v>
      </c>
      <c r="L390" s="39" t="s">
        <v>7830</v>
      </c>
      <c r="M390" s="39" t="s">
        <v>7831</v>
      </c>
      <c r="N390" s="39" t="str">
        <f>("0436902")</f>
        <v>0436902</v>
      </c>
      <c r="P390" s="39" t="s">
        <v>11878</v>
      </c>
      <c r="Q390" s="39" t="s">
        <v>8568</v>
      </c>
      <c r="R390" s="39" t="s">
        <v>8569</v>
      </c>
      <c r="S390" s="39" t="s">
        <v>8570</v>
      </c>
      <c r="AK390" s="39" t="str">
        <f>("2025/03/24")</f>
        <v>2025/03/24</v>
      </c>
      <c r="AL390" s="39" t="str">
        <f t="shared" si="28"/>
        <v>2025/04/01</v>
      </c>
    </row>
    <row r="391" spans="1:39" x14ac:dyDescent="0.25">
      <c r="A391" s="39" t="str">
        <f>("1309280045")</f>
        <v>1309280045</v>
      </c>
      <c r="B391" s="39" t="s">
        <v>8823</v>
      </c>
      <c r="C391" s="39"/>
      <c r="D391" s="39" t="s">
        <v>4126</v>
      </c>
      <c r="E391" s="371" t="str">
        <f t="shared" si="29"/>
        <v>やまもと　やすひと</v>
      </c>
      <c r="F391" s="39" t="s">
        <v>2395</v>
      </c>
      <c r="G391" s="39" t="s">
        <v>7828</v>
      </c>
      <c r="H391" s="39" t="str">
        <f>("2013/09/28")</f>
        <v>2013/09/28</v>
      </c>
      <c r="I391" s="39">
        <v>6</v>
      </c>
      <c r="J391" s="39" t="s">
        <v>1478</v>
      </c>
      <c r="K391" s="39" t="s">
        <v>2122</v>
      </c>
      <c r="L391" s="39" t="s">
        <v>7830</v>
      </c>
      <c r="M391" s="39" t="s">
        <v>7831</v>
      </c>
      <c r="N391" s="39" t="str">
        <f>("0366735")</f>
        <v>0366735</v>
      </c>
      <c r="P391" s="39" t="s">
        <v>11879</v>
      </c>
      <c r="Q391" s="39" t="s">
        <v>8568</v>
      </c>
      <c r="R391" s="39" t="s">
        <v>8569</v>
      </c>
      <c r="S391" s="39" t="s">
        <v>8570</v>
      </c>
      <c r="AK391" s="39" t="str">
        <f>("2025/03/17")</f>
        <v>2025/03/17</v>
      </c>
      <c r="AL391" s="39" t="str">
        <f t="shared" si="28"/>
        <v>2025/04/01</v>
      </c>
    </row>
    <row r="392" spans="1:39" x14ac:dyDescent="0.25">
      <c r="A392" s="39" t="str">
        <f>("1309280113")</f>
        <v>1309280113</v>
      </c>
      <c r="B392" s="39" t="s">
        <v>8824</v>
      </c>
      <c r="C392" s="39"/>
      <c r="D392" s="39" t="s">
        <v>4771</v>
      </c>
      <c r="E392" s="371" t="str">
        <f t="shared" si="29"/>
        <v>うえの　らいと</v>
      </c>
      <c r="F392" s="39" t="s">
        <v>5621</v>
      </c>
      <c r="G392" s="39" t="s">
        <v>7828</v>
      </c>
      <c r="H392" s="39" t="str">
        <f>("2013/09/28")</f>
        <v>2013/09/28</v>
      </c>
      <c r="I392" s="39">
        <v>6</v>
      </c>
      <c r="J392" s="39" t="s">
        <v>1478</v>
      </c>
      <c r="K392" s="39" t="s">
        <v>2122</v>
      </c>
      <c r="L392" s="39" t="s">
        <v>7830</v>
      </c>
      <c r="M392" s="39" t="s">
        <v>7831</v>
      </c>
      <c r="N392" s="39" t="str">
        <f>("1110654")</f>
        <v>1110654</v>
      </c>
      <c r="P392" s="39" t="s">
        <v>11880</v>
      </c>
      <c r="Q392" s="39" t="s">
        <v>8568</v>
      </c>
      <c r="R392" s="39" t="s">
        <v>8569</v>
      </c>
      <c r="S392" s="39" t="s">
        <v>8570</v>
      </c>
      <c r="AA392" s="39" t="s">
        <v>2122</v>
      </c>
      <c r="AB392" s="39" t="s">
        <v>7830</v>
      </c>
      <c r="AC392" s="39" t="s">
        <v>7831</v>
      </c>
      <c r="AD392" s="39" t="str">
        <f>("0456892")</f>
        <v>0456892</v>
      </c>
      <c r="AE392" s="39" t="s">
        <v>2615</v>
      </c>
      <c r="AK392" s="39" t="str">
        <f>("2025/03/03")</f>
        <v>2025/03/03</v>
      </c>
      <c r="AL392" s="39" t="str">
        <f t="shared" si="28"/>
        <v>2025/04/01</v>
      </c>
    </row>
    <row r="393" spans="1:39" x14ac:dyDescent="0.25">
      <c r="A393" s="39" t="str">
        <f>("1309290115")</f>
        <v>1309290115</v>
      </c>
      <c r="B393" s="39" t="s">
        <v>8825</v>
      </c>
      <c r="C393" s="39"/>
      <c r="D393" s="39" t="s">
        <v>4721</v>
      </c>
      <c r="E393" s="371" t="str">
        <f t="shared" si="29"/>
        <v>さとう　ゆうと</v>
      </c>
      <c r="F393" s="39" t="s">
        <v>2594</v>
      </c>
      <c r="G393" s="39" t="s">
        <v>7828</v>
      </c>
      <c r="H393" s="39" t="str">
        <f>("2013/09/29")</f>
        <v>2013/09/29</v>
      </c>
      <c r="I393" s="39">
        <v>6</v>
      </c>
      <c r="J393" s="39" t="s">
        <v>1478</v>
      </c>
      <c r="K393" s="39" t="s">
        <v>2122</v>
      </c>
      <c r="L393" s="39" t="s">
        <v>7830</v>
      </c>
      <c r="M393" s="39" t="s">
        <v>7831</v>
      </c>
      <c r="N393" s="39" t="str">
        <f>("0424583")</f>
        <v>0424583</v>
      </c>
      <c r="P393" s="39" t="s">
        <v>11881</v>
      </c>
      <c r="Q393" s="39" t="s">
        <v>8568</v>
      </c>
      <c r="R393" s="39" t="s">
        <v>8569</v>
      </c>
      <c r="S393" s="39" t="s">
        <v>8570</v>
      </c>
      <c r="AK393" s="39" t="str">
        <f>("2025/03/17")</f>
        <v>2025/03/17</v>
      </c>
      <c r="AL393" s="39" t="str">
        <f t="shared" si="28"/>
        <v>2025/04/01</v>
      </c>
    </row>
    <row r="394" spans="1:39" x14ac:dyDescent="0.25">
      <c r="A394" s="39" t="str">
        <f>("1309290167")</f>
        <v>1309290167</v>
      </c>
      <c r="C394" s="39"/>
      <c r="D394" s="39" t="s">
        <v>6059</v>
      </c>
      <c r="E394" s="371" t="str">
        <f t="shared" si="29"/>
        <v>さとう　けい</v>
      </c>
      <c r="F394" s="39" t="s">
        <v>7864</v>
      </c>
      <c r="G394" s="39" t="s">
        <v>7876</v>
      </c>
      <c r="H394" s="39" t="str">
        <f>("2013/09/29")</f>
        <v>2013/09/29</v>
      </c>
      <c r="I394" s="39">
        <v>6</v>
      </c>
      <c r="J394" s="39" t="s">
        <v>1478</v>
      </c>
      <c r="K394" s="39" t="s">
        <v>2122</v>
      </c>
      <c r="L394" s="39" t="s">
        <v>7830</v>
      </c>
      <c r="M394" s="39" t="s">
        <v>7831</v>
      </c>
      <c r="N394" s="39" t="str">
        <f>("1039801")</f>
        <v>1039801</v>
      </c>
      <c r="P394" s="39" t="s">
        <v>11882</v>
      </c>
      <c r="Q394" s="39" t="s">
        <v>8568</v>
      </c>
      <c r="R394" s="39" t="s">
        <v>8569</v>
      </c>
      <c r="S394" s="39" t="s">
        <v>8570</v>
      </c>
      <c r="AK394" s="39" t="str">
        <f>("2025/03/24")</f>
        <v>2025/03/24</v>
      </c>
      <c r="AL394" s="39" t="str">
        <f t="shared" si="28"/>
        <v>2025/04/01</v>
      </c>
      <c r="AM394" s="39" t="str">
        <f>("2025/04/10")</f>
        <v>2025/04/10</v>
      </c>
    </row>
    <row r="395" spans="1:39" x14ac:dyDescent="0.25">
      <c r="A395" s="39" t="str">
        <f>("1309300095")</f>
        <v>1309300095</v>
      </c>
      <c r="C395" s="39"/>
      <c r="D395" s="39" t="s">
        <v>4466</v>
      </c>
      <c r="E395" s="371" t="str">
        <f t="shared" si="29"/>
        <v>にのみや　そうた</v>
      </c>
      <c r="F395" s="39" t="s">
        <v>2531</v>
      </c>
      <c r="G395" s="39" t="s">
        <v>7828</v>
      </c>
      <c r="H395" s="39" t="str">
        <f>("2013/09/30")</f>
        <v>2013/09/30</v>
      </c>
      <c r="I395" s="39">
        <v>6</v>
      </c>
      <c r="J395" s="39" t="s">
        <v>1478</v>
      </c>
      <c r="K395" s="39" t="s">
        <v>2122</v>
      </c>
      <c r="L395" s="39" t="s">
        <v>7830</v>
      </c>
      <c r="M395" s="39" t="s">
        <v>7831</v>
      </c>
      <c r="N395" s="39" t="str">
        <f>("0130419")</f>
        <v>0130419</v>
      </c>
      <c r="P395" s="39" t="s">
        <v>11883</v>
      </c>
      <c r="Q395" s="39" t="s">
        <v>8568</v>
      </c>
      <c r="R395" s="39" t="s">
        <v>8569</v>
      </c>
      <c r="S395" s="39" t="s">
        <v>8570</v>
      </c>
      <c r="AK395" s="39" t="str">
        <f>("2025/03/17")</f>
        <v>2025/03/17</v>
      </c>
      <c r="AL395" s="39" t="str">
        <f t="shared" si="28"/>
        <v>2025/04/01</v>
      </c>
    </row>
    <row r="396" spans="1:39" x14ac:dyDescent="0.25">
      <c r="A396" s="39" t="str">
        <f>("1309300199")</f>
        <v>1309300199</v>
      </c>
      <c r="C396" s="39"/>
      <c r="D396" s="39" t="s">
        <v>5985</v>
      </c>
      <c r="E396" s="371" t="str">
        <f t="shared" si="29"/>
        <v>しばた　はくすけ</v>
      </c>
      <c r="F396" s="39" t="s">
        <v>2821</v>
      </c>
      <c r="G396" s="39" t="s">
        <v>7828</v>
      </c>
      <c r="H396" s="39" t="str">
        <f>("2013/09/30")</f>
        <v>2013/09/30</v>
      </c>
      <c r="I396" s="39">
        <v>6</v>
      </c>
      <c r="J396" s="39" t="s">
        <v>1478</v>
      </c>
      <c r="K396" s="39" t="s">
        <v>2122</v>
      </c>
      <c r="L396" s="39" t="s">
        <v>7830</v>
      </c>
      <c r="M396" s="39" t="s">
        <v>7831</v>
      </c>
      <c r="N396" s="39" t="str">
        <f>("0237631")</f>
        <v>0237631</v>
      </c>
      <c r="P396" s="39" t="s">
        <v>11884</v>
      </c>
      <c r="Q396" s="39" t="s">
        <v>8568</v>
      </c>
      <c r="R396" s="39" t="s">
        <v>8569</v>
      </c>
      <c r="S396" s="39" t="s">
        <v>8570</v>
      </c>
      <c r="AK396" s="39" t="str">
        <f>("2025/03/17")</f>
        <v>2025/03/17</v>
      </c>
      <c r="AL396" s="39" t="str">
        <f t="shared" si="28"/>
        <v>2025/04/01</v>
      </c>
    </row>
    <row r="397" spans="1:39" x14ac:dyDescent="0.25">
      <c r="A397" s="39" t="str">
        <f>("1309300243")</f>
        <v>1309300243</v>
      </c>
      <c r="C397" s="39"/>
      <c r="D397" s="39" t="s">
        <v>8826</v>
      </c>
      <c r="E397" s="371" t="str">
        <f t="shared" si="29"/>
        <v>きよすえ　ひろき</v>
      </c>
      <c r="F397" s="39" t="s">
        <v>2556</v>
      </c>
      <c r="G397" s="39" t="s">
        <v>7828</v>
      </c>
      <c r="H397" s="39" t="str">
        <f>("2013/09/30")</f>
        <v>2013/09/30</v>
      </c>
      <c r="I397" s="39">
        <v>6</v>
      </c>
      <c r="J397" s="39" t="s">
        <v>1478</v>
      </c>
      <c r="K397" s="39" t="s">
        <v>2122</v>
      </c>
      <c r="L397" s="39" t="s">
        <v>7830</v>
      </c>
      <c r="M397" s="39" t="s">
        <v>7831</v>
      </c>
      <c r="N397" s="39" t="str">
        <f>("0130712")</f>
        <v>0130712</v>
      </c>
      <c r="P397" s="39" t="s">
        <v>11885</v>
      </c>
      <c r="Q397" s="39" t="s">
        <v>8568</v>
      </c>
      <c r="R397" s="39" t="s">
        <v>8569</v>
      </c>
      <c r="S397" s="39" t="s">
        <v>8570</v>
      </c>
      <c r="AK397" s="39" t="str">
        <f>("2025/04/04")</f>
        <v>2025/04/04</v>
      </c>
      <c r="AL397" s="39" t="str">
        <f>("2025/04/04")</f>
        <v>2025/04/04</v>
      </c>
    </row>
    <row r="398" spans="1:39" x14ac:dyDescent="0.25">
      <c r="A398" s="39" t="str">
        <f>("1310010080")</f>
        <v>1310010080</v>
      </c>
      <c r="B398" s="39" t="s">
        <v>8827</v>
      </c>
      <c r="C398" s="39"/>
      <c r="D398" s="39" t="s">
        <v>8828</v>
      </c>
      <c r="E398" s="371" t="str">
        <f t="shared" si="29"/>
        <v>たかの　えいき</v>
      </c>
      <c r="F398" s="39" t="s">
        <v>5619</v>
      </c>
      <c r="G398" s="39" t="s">
        <v>7828</v>
      </c>
      <c r="H398" s="39" t="str">
        <f>("2013/10/01")</f>
        <v>2013/10/01</v>
      </c>
      <c r="I398" s="39">
        <v>6</v>
      </c>
      <c r="J398" s="39" t="s">
        <v>1478</v>
      </c>
      <c r="K398" s="39" t="s">
        <v>2122</v>
      </c>
      <c r="L398" s="39" t="s">
        <v>7830</v>
      </c>
      <c r="M398" s="39" t="s">
        <v>7831</v>
      </c>
      <c r="N398" s="39" t="str">
        <f>("1089004")</f>
        <v>1089004</v>
      </c>
      <c r="P398" s="39" t="s">
        <v>11886</v>
      </c>
      <c r="Q398" s="39" t="s">
        <v>8568</v>
      </c>
      <c r="R398" s="39" t="s">
        <v>8569</v>
      </c>
      <c r="S398" s="39" t="s">
        <v>8570</v>
      </c>
      <c r="AA398" s="39" t="s">
        <v>2122</v>
      </c>
      <c r="AB398" s="39" t="s">
        <v>7830</v>
      </c>
      <c r="AC398" s="39" t="s">
        <v>7831</v>
      </c>
      <c r="AD398" s="39" t="str">
        <f>("0130453")</f>
        <v>0130453</v>
      </c>
      <c r="AE398" s="39" t="s">
        <v>1751</v>
      </c>
      <c r="AF398" s="39" t="s">
        <v>2122</v>
      </c>
      <c r="AG398" s="39" t="s">
        <v>7830</v>
      </c>
      <c r="AH398" s="39" t="s">
        <v>7831</v>
      </c>
      <c r="AI398" s="39" t="str">
        <f>("1089004")</f>
        <v>1089004</v>
      </c>
      <c r="AJ398" s="39" t="s">
        <v>5619</v>
      </c>
      <c r="AK398" s="39" t="str">
        <f>("2025/03/27")</f>
        <v>2025/03/27</v>
      </c>
      <c r="AL398" s="39" t="str">
        <f>("2025/04/01")</f>
        <v>2025/04/01</v>
      </c>
    </row>
    <row r="399" spans="1:39" x14ac:dyDescent="0.25">
      <c r="A399" s="39" t="str">
        <f>("1310010154")</f>
        <v>1310010154</v>
      </c>
      <c r="B399" s="39" t="s">
        <v>8829</v>
      </c>
      <c r="C399" s="39"/>
      <c r="D399" s="39" t="s">
        <v>6015</v>
      </c>
      <c r="E399" s="371" t="str">
        <f t="shared" si="29"/>
        <v>きら　りんたろう</v>
      </c>
      <c r="F399" s="39" t="s">
        <v>413</v>
      </c>
      <c r="G399" s="39" t="s">
        <v>7828</v>
      </c>
      <c r="H399" s="39" t="str">
        <f>("2013/10/01")</f>
        <v>2013/10/01</v>
      </c>
      <c r="I399" s="39">
        <v>6</v>
      </c>
      <c r="J399" s="39" t="s">
        <v>1478</v>
      </c>
      <c r="K399" s="39" t="s">
        <v>2122</v>
      </c>
      <c r="L399" s="39" t="s">
        <v>7830</v>
      </c>
      <c r="M399" s="39" t="s">
        <v>7831</v>
      </c>
      <c r="N399" s="39" t="str">
        <f>("0436902")</f>
        <v>0436902</v>
      </c>
      <c r="P399" s="39" t="s">
        <v>11887</v>
      </c>
      <c r="Q399" s="39" t="s">
        <v>8568</v>
      </c>
      <c r="R399" s="39" t="s">
        <v>8569</v>
      </c>
      <c r="S399" s="39" t="s">
        <v>8570</v>
      </c>
      <c r="AA399" s="39" t="s">
        <v>2122</v>
      </c>
      <c r="AB399" s="39" t="s">
        <v>7830</v>
      </c>
      <c r="AC399" s="39" t="s">
        <v>7831</v>
      </c>
      <c r="AD399" s="39" t="str">
        <f>("0338756")</f>
        <v>0338756</v>
      </c>
      <c r="AE399" s="39" t="s">
        <v>2530</v>
      </c>
      <c r="AK399" s="39" t="str">
        <f>("2025/12/05")</f>
        <v>2025/12/05</v>
      </c>
      <c r="AL399" s="39" t="str">
        <f>("2025/12/05")</f>
        <v>2025/12/05</v>
      </c>
    </row>
    <row r="400" spans="1:39" x14ac:dyDescent="0.25">
      <c r="A400" s="39" t="str">
        <f>("1310010232")</f>
        <v>1310010232</v>
      </c>
      <c r="C400" s="39"/>
      <c r="D400" s="39" t="s">
        <v>4729</v>
      </c>
      <c r="E400" s="371" t="str">
        <f t="shared" si="29"/>
        <v>しみず　げんたろう</v>
      </c>
      <c r="F400" s="39" t="s">
        <v>2600</v>
      </c>
      <c r="G400" s="39" t="s">
        <v>7828</v>
      </c>
      <c r="H400" s="39" t="str">
        <f>("2013/10/01")</f>
        <v>2013/10/01</v>
      </c>
      <c r="I400" s="39">
        <v>6</v>
      </c>
      <c r="J400" s="39" t="s">
        <v>1478</v>
      </c>
      <c r="K400" s="39" t="s">
        <v>2122</v>
      </c>
      <c r="L400" s="39" t="s">
        <v>7830</v>
      </c>
      <c r="M400" s="39" t="s">
        <v>7831</v>
      </c>
      <c r="N400" s="39" t="str">
        <f>("0429757")</f>
        <v>0429757</v>
      </c>
      <c r="P400" s="39" t="s">
        <v>11888</v>
      </c>
      <c r="Q400" s="39" t="s">
        <v>8568</v>
      </c>
      <c r="R400" s="39" t="s">
        <v>8569</v>
      </c>
      <c r="S400" s="39" t="s">
        <v>8570</v>
      </c>
      <c r="AK400" s="39" t="str">
        <f>("2025/03/24")</f>
        <v>2025/03/24</v>
      </c>
      <c r="AL400" s="39" t="str">
        <f t="shared" ref="AL400:AL409" si="30">("2025/04/01")</f>
        <v>2025/04/01</v>
      </c>
    </row>
    <row r="401" spans="1:39" x14ac:dyDescent="0.25">
      <c r="A401" s="39" t="str">
        <f>("1310020018")</f>
        <v>1310020018</v>
      </c>
      <c r="B401" s="39" t="s">
        <v>8830</v>
      </c>
      <c r="C401" s="39"/>
      <c r="D401" s="39" t="s">
        <v>3949</v>
      </c>
      <c r="E401" s="371" t="str">
        <f t="shared" si="29"/>
        <v>いがうえ　ちはや</v>
      </c>
      <c r="F401" s="39" t="s">
        <v>156</v>
      </c>
      <c r="G401" s="39" t="s">
        <v>7828</v>
      </c>
      <c r="H401" s="39" t="str">
        <f>("2013/10/02")</f>
        <v>2013/10/02</v>
      </c>
      <c r="I401" s="39">
        <v>6</v>
      </c>
      <c r="J401" s="39" t="s">
        <v>1478</v>
      </c>
      <c r="K401" s="39" t="s">
        <v>2122</v>
      </c>
      <c r="L401" s="39" t="s">
        <v>7830</v>
      </c>
      <c r="M401" s="39" t="s">
        <v>7831</v>
      </c>
      <c r="N401" s="39" t="str">
        <f>("0130037")</f>
        <v>0130037</v>
      </c>
      <c r="P401" s="39" t="s">
        <v>11889</v>
      </c>
      <c r="Q401" s="39" t="s">
        <v>8568</v>
      </c>
      <c r="R401" s="39" t="s">
        <v>8569</v>
      </c>
      <c r="S401" s="39" t="s">
        <v>8570</v>
      </c>
      <c r="AK401" s="39" t="str">
        <f>("2025/03/17")</f>
        <v>2025/03/17</v>
      </c>
      <c r="AL401" s="39" t="str">
        <f t="shared" si="30"/>
        <v>2025/04/01</v>
      </c>
    </row>
    <row r="402" spans="1:39" x14ac:dyDescent="0.25">
      <c r="A402" s="39" t="str">
        <f>("1310020068")</f>
        <v>1310020068</v>
      </c>
      <c r="C402" s="39"/>
      <c r="D402" s="39" t="s">
        <v>5861</v>
      </c>
      <c r="E402" s="371" t="str">
        <f t="shared" si="29"/>
        <v>かい　いっぺい</v>
      </c>
      <c r="F402" s="39" t="s">
        <v>2024</v>
      </c>
      <c r="G402" s="39" t="s">
        <v>7828</v>
      </c>
      <c r="H402" s="39" t="str">
        <f>("2013/10/02")</f>
        <v>2013/10/02</v>
      </c>
      <c r="I402" s="39">
        <v>6</v>
      </c>
      <c r="J402" s="39" t="s">
        <v>1478</v>
      </c>
      <c r="K402" s="39" t="s">
        <v>2122</v>
      </c>
      <c r="L402" s="39" t="s">
        <v>7830</v>
      </c>
      <c r="M402" s="39" t="s">
        <v>7831</v>
      </c>
      <c r="N402" s="39" t="str">
        <f>("0130475")</f>
        <v>0130475</v>
      </c>
      <c r="P402" s="39" t="s">
        <v>11890</v>
      </c>
      <c r="Q402" s="39" t="s">
        <v>8568</v>
      </c>
      <c r="R402" s="39" t="s">
        <v>8569</v>
      </c>
      <c r="S402" s="39" t="s">
        <v>8570</v>
      </c>
      <c r="AA402" s="39" t="s">
        <v>2122</v>
      </c>
      <c r="AB402" s="39" t="s">
        <v>7830</v>
      </c>
      <c r="AC402" s="39" t="s">
        <v>7831</v>
      </c>
      <c r="AD402" s="39" t="str">
        <f>("0130554")</f>
        <v>0130554</v>
      </c>
      <c r="AE402" s="39" t="s">
        <v>1190</v>
      </c>
      <c r="AF402" s="39" t="s">
        <v>2122</v>
      </c>
      <c r="AG402" s="39" t="s">
        <v>7830</v>
      </c>
      <c r="AH402" s="39" t="s">
        <v>7831</v>
      </c>
      <c r="AI402" s="39" t="str">
        <f>("0472823")</f>
        <v>0472823</v>
      </c>
      <c r="AJ402" s="39" t="s">
        <v>2619</v>
      </c>
      <c r="AK402" s="39" t="str">
        <f>("2025/04/04")</f>
        <v>2025/04/04</v>
      </c>
      <c r="AL402" s="39" t="str">
        <f t="shared" si="30"/>
        <v>2025/04/01</v>
      </c>
    </row>
    <row r="403" spans="1:39" x14ac:dyDescent="0.25">
      <c r="A403" s="39" t="str">
        <f>("1310030001")</f>
        <v>1310030001</v>
      </c>
      <c r="B403" s="39" t="s">
        <v>8831</v>
      </c>
      <c r="C403" s="39"/>
      <c r="D403" s="39" t="s">
        <v>5874</v>
      </c>
      <c r="E403" s="371" t="str">
        <f t="shared" si="29"/>
        <v>はしもと　たくや</v>
      </c>
      <c r="F403" s="39" t="s">
        <v>2137</v>
      </c>
      <c r="G403" s="39" t="s">
        <v>7828</v>
      </c>
      <c r="H403" s="39" t="str">
        <f t="shared" ref="H403:H410" si="31">("2013/10/03")</f>
        <v>2013/10/03</v>
      </c>
      <c r="I403" s="39">
        <v>6</v>
      </c>
      <c r="J403" s="39" t="s">
        <v>1478</v>
      </c>
      <c r="K403" s="39" t="s">
        <v>2122</v>
      </c>
      <c r="L403" s="39" t="s">
        <v>7830</v>
      </c>
      <c r="M403" s="39" t="s">
        <v>7831</v>
      </c>
      <c r="N403" s="39" t="str">
        <f>("0130510")</f>
        <v>0130510</v>
      </c>
      <c r="P403" s="39" t="s">
        <v>11891</v>
      </c>
      <c r="Q403" s="39" t="s">
        <v>8568</v>
      </c>
      <c r="R403" s="39" t="s">
        <v>8569</v>
      </c>
      <c r="S403" s="39" t="s">
        <v>8570</v>
      </c>
      <c r="AK403" s="39" t="str">
        <f>("2025/03/21")</f>
        <v>2025/03/21</v>
      </c>
      <c r="AL403" s="39" t="str">
        <f t="shared" si="30"/>
        <v>2025/04/01</v>
      </c>
    </row>
    <row r="404" spans="1:39" x14ac:dyDescent="0.25">
      <c r="A404" s="39" t="str">
        <f>("1310030021")</f>
        <v>1310030021</v>
      </c>
      <c r="B404" s="39" t="s">
        <v>8832</v>
      </c>
      <c r="C404" s="39"/>
      <c r="D404" s="39" t="s">
        <v>4051</v>
      </c>
      <c r="E404" s="371" t="str">
        <f t="shared" si="29"/>
        <v>ごとう　いくと</v>
      </c>
      <c r="F404" s="39" t="s">
        <v>188</v>
      </c>
      <c r="G404" s="39" t="s">
        <v>7828</v>
      </c>
      <c r="H404" s="39" t="str">
        <f t="shared" si="31"/>
        <v>2013/10/03</v>
      </c>
      <c r="I404" s="39">
        <v>6</v>
      </c>
      <c r="J404" s="39" t="s">
        <v>1478</v>
      </c>
      <c r="K404" s="39" t="s">
        <v>2122</v>
      </c>
      <c r="L404" s="39" t="s">
        <v>7830</v>
      </c>
      <c r="M404" s="39" t="s">
        <v>7831</v>
      </c>
      <c r="N404" s="39" t="str">
        <f>("0130734")</f>
        <v>0130734</v>
      </c>
      <c r="P404" s="39" t="s">
        <v>11892</v>
      </c>
      <c r="Q404" s="39" t="s">
        <v>8568</v>
      </c>
      <c r="R404" s="39" t="s">
        <v>8569</v>
      </c>
      <c r="S404" s="39" t="s">
        <v>8570</v>
      </c>
      <c r="AK404" s="39" t="str">
        <f>("2025/03/17")</f>
        <v>2025/03/17</v>
      </c>
      <c r="AL404" s="39" t="str">
        <f t="shared" si="30"/>
        <v>2025/04/01</v>
      </c>
    </row>
    <row r="405" spans="1:39" x14ac:dyDescent="0.25">
      <c r="A405" s="39" t="str">
        <f>("1310030053")</f>
        <v>1310030053</v>
      </c>
      <c r="C405" s="39"/>
      <c r="D405" s="39" t="s">
        <v>4053</v>
      </c>
      <c r="E405" s="371" t="str">
        <f t="shared" si="29"/>
        <v>ごとう　たいが</v>
      </c>
      <c r="F405" s="39" t="s">
        <v>188</v>
      </c>
      <c r="G405" s="39" t="s">
        <v>7828</v>
      </c>
      <c r="H405" s="39" t="str">
        <f t="shared" si="31"/>
        <v>2013/10/03</v>
      </c>
      <c r="I405" s="39">
        <v>6</v>
      </c>
      <c r="J405" s="39" t="s">
        <v>1478</v>
      </c>
      <c r="K405" s="39" t="s">
        <v>2122</v>
      </c>
      <c r="L405" s="39" t="s">
        <v>7830</v>
      </c>
      <c r="M405" s="39" t="s">
        <v>7831</v>
      </c>
      <c r="N405" s="39" t="str">
        <f>("0130734")</f>
        <v>0130734</v>
      </c>
      <c r="P405" s="39" t="s">
        <v>11893</v>
      </c>
      <c r="Q405" s="39" t="s">
        <v>8568</v>
      </c>
      <c r="R405" s="39" t="s">
        <v>8569</v>
      </c>
      <c r="S405" s="39" t="s">
        <v>8570</v>
      </c>
      <c r="AK405" s="39" t="str">
        <f>("2025/03/17")</f>
        <v>2025/03/17</v>
      </c>
      <c r="AL405" s="39" t="str">
        <f t="shared" si="30"/>
        <v>2025/04/01</v>
      </c>
    </row>
    <row r="406" spans="1:39" x14ac:dyDescent="0.25">
      <c r="A406" s="39" t="str">
        <f>("1310030114")</f>
        <v>1310030114</v>
      </c>
      <c r="B406" s="39" t="s">
        <v>8833</v>
      </c>
      <c r="C406" s="39"/>
      <c r="D406" s="39" t="s">
        <v>5791</v>
      </c>
      <c r="E406" s="371" t="str">
        <f t="shared" si="29"/>
        <v>みやた　しゅんと</v>
      </c>
      <c r="F406" s="39" t="s">
        <v>2516</v>
      </c>
      <c r="G406" s="39" t="s">
        <v>7828</v>
      </c>
      <c r="H406" s="39" t="str">
        <f t="shared" si="31"/>
        <v>2013/10/03</v>
      </c>
      <c r="I406" s="39">
        <v>6</v>
      </c>
      <c r="J406" s="39" t="s">
        <v>1478</v>
      </c>
      <c r="K406" s="39" t="s">
        <v>2122</v>
      </c>
      <c r="L406" s="39" t="s">
        <v>7830</v>
      </c>
      <c r="M406" s="39" t="s">
        <v>7831</v>
      </c>
      <c r="N406" s="39" t="str">
        <f>("0130116")</f>
        <v>0130116</v>
      </c>
      <c r="P406" s="39" t="s">
        <v>11894</v>
      </c>
      <c r="Q406" s="39" t="s">
        <v>8568</v>
      </c>
      <c r="R406" s="39" t="s">
        <v>8569</v>
      </c>
      <c r="S406" s="39" t="s">
        <v>8570</v>
      </c>
      <c r="AK406" s="39" t="str">
        <f>("2025/03/25")</f>
        <v>2025/03/25</v>
      </c>
      <c r="AL406" s="39" t="str">
        <f t="shared" si="30"/>
        <v>2025/04/01</v>
      </c>
    </row>
    <row r="407" spans="1:39" x14ac:dyDescent="0.25">
      <c r="A407" s="39" t="str">
        <f>("1310030127")</f>
        <v>1310030127</v>
      </c>
      <c r="C407" s="39"/>
      <c r="D407" s="39" t="s">
        <v>6245</v>
      </c>
      <c r="E407" s="371" t="str">
        <f t="shared" si="29"/>
        <v>しまだ　ひろと</v>
      </c>
      <c r="F407" s="39" t="s">
        <v>1692</v>
      </c>
      <c r="G407" s="39" t="s">
        <v>7828</v>
      </c>
      <c r="H407" s="39" t="str">
        <f t="shared" si="31"/>
        <v>2013/10/03</v>
      </c>
      <c r="I407" s="39">
        <v>6</v>
      </c>
      <c r="J407" s="39" t="s">
        <v>1478</v>
      </c>
      <c r="K407" s="39" t="s">
        <v>2122</v>
      </c>
      <c r="L407" s="39" t="s">
        <v>7830</v>
      </c>
      <c r="M407" s="39" t="s">
        <v>7831</v>
      </c>
      <c r="N407" s="39" t="str">
        <f>("1052299")</f>
        <v>1052299</v>
      </c>
      <c r="P407" s="39" t="s">
        <v>11895</v>
      </c>
      <c r="Q407" s="39" t="s">
        <v>8568</v>
      </c>
      <c r="R407" s="39" t="s">
        <v>8569</v>
      </c>
      <c r="S407" s="39" t="s">
        <v>8570</v>
      </c>
      <c r="AK407" s="39" t="str">
        <f>("2025/03/17")</f>
        <v>2025/03/17</v>
      </c>
      <c r="AL407" s="39" t="str">
        <f t="shared" si="30"/>
        <v>2025/04/01</v>
      </c>
    </row>
    <row r="408" spans="1:39" x14ac:dyDescent="0.25">
      <c r="A408" s="39" t="str">
        <f>("1310030167")</f>
        <v>1310030167</v>
      </c>
      <c r="C408" s="39"/>
      <c r="D408" s="39" t="s">
        <v>8834</v>
      </c>
      <c r="E408" s="371" t="str">
        <f t="shared" si="29"/>
        <v>ふるた　ひょう</v>
      </c>
      <c r="F408" s="39" t="s">
        <v>2619</v>
      </c>
      <c r="G408" s="39" t="s">
        <v>7828</v>
      </c>
      <c r="H408" s="39" t="str">
        <f t="shared" si="31"/>
        <v>2013/10/03</v>
      </c>
      <c r="I408" s="39">
        <v>6</v>
      </c>
      <c r="J408" s="39" t="s">
        <v>1478</v>
      </c>
      <c r="K408" s="39" t="s">
        <v>2122</v>
      </c>
      <c r="L408" s="39" t="s">
        <v>7830</v>
      </c>
      <c r="M408" s="39" t="s">
        <v>7831</v>
      </c>
      <c r="N408" s="39" t="str">
        <f>("0472823")</f>
        <v>0472823</v>
      </c>
      <c r="P408" s="39" t="s">
        <v>11896</v>
      </c>
      <c r="Q408" s="39" t="s">
        <v>8568</v>
      </c>
      <c r="R408" s="39" t="s">
        <v>8569</v>
      </c>
      <c r="S408" s="39" t="s">
        <v>8570</v>
      </c>
      <c r="AA408" s="39" t="s">
        <v>2122</v>
      </c>
      <c r="AB408" s="39" t="s">
        <v>7830</v>
      </c>
      <c r="AC408" s="39" t="s">
        <v>7831</v>
      </c>
      <c r="AD408" s="39" t="str">
        <f>("0430119")</f>
        <v>0430119</v>
      </c>
      <c r="AE408" s="39" t="s">
        <v>2602</v>
      </c>
      <c r="AK408" s="39" t="str">
        <f>("2025/03/17")</f>
        <v>2025/03/17</v>
      </c>
      <c r="AL408" s="39" t="str">
        <f t="shared" si="30"/>
        <v>2025/04/01</v>
      </c>
    </row>
    <row r="409" spans="1:39" x14ac:dyDescent="0.25">
      <c r="A409" s="39" t="str">
        <f>("1310030213")</f>
        <v>1310030213</v>
      </c>
      <c r="C409" s="39"/>
      <c r="D409" s="39" t="s">
        <v>8835</v>
      </c>
      <c r="E409" s="371" t="str">
        <f t="shared" si="29"/>
        <v>おとづ　そうすけ</v>
      </c>
      <c r="F409" s="39" t="s">
        <v>2587</v>
      </c>
      <c r="G409" s="39" t="s">
        <v>7828</v>
      </c>
      <c r="H409" s="39" t="str">
        <f t="shared" si="31"/>
        <v>2013/10/03</v>
      </c>
      <c r="I409" s="39">
        <v>6</v>
      </c>
      <c r="J409" s="39" t="s">
        <v>1478</v>
      </c>
      <c r="K409" s="39" t="s">
        <v>2122</v>
      </c>
      <c r="L409" s="39" t="s">
        <v>7830</v>
      </c>
      <c r="M409" s="39" t="s">
        <v>7831</v>
      </c>
      <c r="N409" s="39" t="str">
        <f>("0387334")</f>
        <v>0387334</v>
      </c>
      <c r="P409" s="39" t="s">
        <v>11897</v>
      </c>
      <c r="Q409" s="39" t="s">
        <v>8568</v>
      </c>
      <c r="R409" s="39" t="s">
        <v>8569</v>
      </c>
      <c r="S409" s="39" t="s">
        <v>8570</v>
      </c>
      <c r="AK409" s="39" t="str">
        <f>("2025/03/27")</f>
        <v>2025/03/27</v>
      </c>
      <c r="AL409" s="39" t="str">
        <f t="shared" si="30"/>
        <v>2025/04/01</v>
      </c>
    </row>
    <row r="410" spans="1:39" x14ac:dyDescent="0.25">
      <c r="A410" s="39" t="str">
        <f>("1310030270")</f>
        <v>1310030270</v>
      </c>
      <c r="C410" s="39"/>
      <c r="D410" s="39" t="s">
        <v>8836</v>
      </c>
      <c r="E410" s="371" t="str">
        <f t="shared" si="29"/>
        <v>さいき　はる</v>
      </c>
      <c r="F410" s="39" t="s">
        <v>2323</v>
      </c>
      <c r="G410" s="39" t="s">
        <v>7828</v>
      </c>
      <c r="H410" s="39" t="str">
        <f t="shared" si="31"/>
        <v>2013/10/03</v>
      </c>
      <c r="I410" s="39">
        <v>6</v>
      </c>
      <c r="J410" s="39" t="s">
        <v>1478</v>
      </c>
      <c r="K410" s="39" t="s">
        <v>2122</v>
      </c>
      <c r="L410" s="39" t="s">
        <v>7830</v>
      </c>
      <c r="M410" s="39" t="s">
        <v>7831</v>
      </c>
      <c r="N410" s="39" t="str">
        <f>("0472722")</f>
        <v>0472722</v>
      </c>
      <c r="P410" s="39" t="s">
        <v>11898</v>
      </c>
      <c r="Q410" s="39" t="s">
        <v>8568</v>
      </c>
      <c r="R410" s="39" t="s">
        <v>8569</v>
      </c>
      <c r="S410" s="39" t="s">
        <v>8570</v>
      </c>
      <c r="AK410" s="39" t="str">
        <f>("2025/04/16")</f>
        <v>2025/04/16</v>
      </c>
      <c r="AL410" s="39" t="str">
        <f>("2025/04/16")</f>
        <v>2025/04/16</v>
      </c>
    </row>
    <row r="411" spans="1:39" x14ac:dyDescent="0.25">
      <c r="A411" s="39" t="str">
        <f>("1310040018")</f>
        <v>1310040018</v>
      </c>
      <c r="C411" s="39"/>
      <c r="D411" s="39" t="s">
        <v>3036</v>
      </c>
      <c r="E411" s="371" t="str">
        <f t="shared" si="29"/>
        <v>おおくぼ　こうき</v>
      </c>
      <c r="F411" s="39" t="s">
        <v>1865</v>
      </c>
      <c r="G411" s="39" t="s">
        <v>7828</v>
      </c>
      <c r="H411" s="39" t="str">
        <f>("2013/10/04")</f>
        <v>2013/10/04</v>
      </c>
      <c r="I411" s="39">
        <v>6</v>
      </c>
      <c r="J411" s="39" t="s">
        <v>1478</v>
      </c>
      <c r="K411" s="39" t="s">
        <v>2122</v>
      </c>
      <c r="L411" s="39" t="s">
        <v>7830</v>
      </c>
      <c r="M411" s="39" t="s">
        <v>7831</v>
      </c>
      <c r="N411" s="39" t="str">
        <f>("0310565")</f>
        <v>0310565</v>
      </c>
      <c r="P411" s="39" t="s">
        <v>11899</v>
      </c>
      <c r="Q411" s="39" t="s">
        <v>8568</v>
      </c>
      <c r="R411" s="39" t="s">
        <v>8569</v>
      </c>
      <c r="S411" s="39" t="s">
        <v>8570</v>
      </c>
      <c r="AK411" s="39" t="str">
        <f>("2025/03/17")</f>
        <v>2025/03/17</v>
      </c>
      <c r="AL411" s="39" t="str">
        <f>("2025/04/01")</f>
        <v>2025/04/01</v>
      </c>
    </row>
    <row r="412" spans="1:39" x14ac:dyDescent="0.25">
      <c r="A412" s="39" t="str">
        <f>("1310040111")</f>
        <v>1310040111</v>
      </c>
      <c r="C412" s="39"/>
      <c r="D412" s="39" t="s">
        <v>4226</v>
      </c>
      <c r="E412" s="371" t="str">
        <f t="shared" si="29"/>
        <v>みやざき　たいじゅ</v>
      </c>
      <c r="F412" s="39" t="s">
        <v>2477</v>
      </c>
      <c r="G412" s="39" t="s">
        <v>7828</v>
      </c>
      <c r="H412" s="39" t="str">
        <f>("2013/10/04")</f>
        <v>2013/10/04</v>
      </c>
      <c r="I412" s="39">
        <v>6</v>
      </c>
      <c r="J412" s="39" t="s">
        <v>1478</v>
      </c>
      <c r="K412" s="39" t="s">
        <v>2122</v>
      </c>
      <c r="L412" s="39" t="s">
        <v>7830</v>
      </c>
      <c r="M412" s="39" t="s">
        <v>7831</v>
      </c>
      <c r="N412" s="39" t="str">
        <f>("0129541")</f>
        <v>0129541</v>
      </c>
      <c r="P412" s="39" t="s">
        <v>11900</v>
      </c>
      <c r="Q412" s="39" t="s">
        <v>8568</v>
      </c>
      <c r="R412" s="39" t="s">
        <v>8569</v>
      </c>
      <c r="S412" s="39" t="s">
        <v>8570</v>
      </c>
      <c r="AA412" s="39" t="s">
        <v>2122</v>
      </c>
      <c r="AB412" s="39" t="s">
        <v>7830</v>
      </c>
      <c r="AC412" s="39" t="s">
        <v>7831</v>
      </c>
      <c r="AD412" s="39" t="str">
        <f>("0129462")</f>
        <v>0129462</v>
      </c>
      <c r="AE412" s="39" t="s">
        <v>2469</v>
      </c>
      <c r="AK412" s="39" t="str">
        <f>("2025/08/25")</f>
        <v>2025/08/25</v>
      </c>
      <c r="AL412" s="39" t="str">
        <f>("2025/08/25")</f>
        <v>2025/08/25</v>
      </c>
    </row>
    <row r="413" spans="1:39" x14ac:dyDescent="0.25">
      <c r="A413" s="39" t="str">
        <f>("1310040119")</f>
        <v>1310040119</v>
      </c>
      <c r="C413" s="39"/>
      <c r="D413" s="39" t="s">
        <v>4755</v>
      </c>
      <c r="E413" s="371" t="str">
        <f t="shared" si="29"/>
        <v>ゆきなが　りお</v>
      </c>
      <c r="F413" s="39" t="s">
        <v>2256</v>
      </c>
      <c r="G413" s="39" t="s">
        <v>7828</v>
      </c>
      <c r="H413" s="39" t="str">
        <f>("2013/10/04")</f>
        <v>2013/10/04</v>
      </c>
      <c r="I413" s="39">
        <v>6</v>
      </c>
      <c r="J413" s="39" t="s">
        <v>1480</v>
      </c>
      <c r="K413" s="39" t="s">
        <v>2122</v>
      </c>
      <c r="L413" s="39" t="s">
        <v>7830</v>
      </c>
      <c r="M413" s="39" t="s">
        <v>7831</v>
      </c>
      <c r="N413" s="39" t="str">
        <f>("0449119")</f>
        <v>0449119</v>
      </c>
      <c r="P413" s="39" t="s">
        <v>11901</v>
      </c>
      <c r="Q413" s="39" t="s">
        <v>8568</v>
      </c>
      <c r="R413" s="39" t="s">
        <v>8569</v>
      </c>
      <c r="S413" s="39" t="s">
        <v>8570</v>
      </c>
      <c r="AK413" s="39" t="str">
        <f>("2025/03/17")</f>
        <v>2025/03/17</v>
      </c>
      <c r="AL413" s="39" t="str">
        <f t="shared" ref="AL413:AL463" si="32">("2025/04/01")</f>
        <v>2025/04/01</v>
      </c>
    </row>
    <row r="414" spans="1:39" x14ac:dyDescent="0.25">
      <c r="A414" s="39" t="str">
        <f>("1310040251")</f>
        <v>1310040251</v>
      </c>
      <c r="B414" s="39" t="s">
        <v>8837</v>
      </c>
      <c r="C414" s="39"/>
      <c r="D414" s="39" t="s">
        <v>5819</v>
      </c>
      <c r="E414" s="371" t="str">
        <f t="shared" si="29"/>
        <v>みやぐち　ゆうと</v>
      </c>
      <c r="F414" s="39" t="s">
        <v>1912</v>
      </c>
      <c r="G414" s="39" t="s">
        <v>7828</v>
      </c>
      <c r="H414" s="39" t="str">
        <f>("2013/10/04")</f>
        <v>2013/10/04</v>
      </c>
      <c r="I414" s="39">
        <v>6</v>
      </c>
      <c r="J414" s="39" t="s">
        <v>1478</v>
      </c>
      <c r="K414" s="39" t="s">
        <v>2122</v>
      </c>
      <c r="L414" s="39" t="s">
        <v>7830</v>
      </c>
      <c r="M414" s="39" t="s">
        <v>7831</v>
      </c>
      <c r="N414" s="39" t="str">
        <f>("0130363")</f>
        <v>0130363</v>
      </c>
      <c r="P414" s="39" t="s">
        <v>11902</v>
      </c>
      <c r="Q414" s="39" t="s">
        <v>8568</v>
      </c>
      <c r="R414" s="39" t="s">
        <v>8569</v>
      </c>
      <c r="S414" s="39" t="s">
        <v>8570</v>
      </c>
      <c r="AK414" s="39" t="str">
        <f>("2025/03/17")</f>
        <v>2025/03/17</v>
      </c>
      <c r="AL414" s="39" t="str">
        <f t="shared" si="32"/>
        <v>2025/04/01</v>
      </c>
    </row>
    <row r="415" spans="1:39" x14ac:dyDescent="0.25">
      <c r="A415" s="39" t="str">
        <f>("1310040255")</f>
        <v>1310040255</v>
      </c>
      <c r="B415" s="39" t="s">
        <v>8838</v>
      </c>
      <c r="C415" s="39"/>
      <c r="D415" s="39" t="s">
        <v>8839</v>
      </c>
      <c r="E415" s="371" t="str">
        <f t="shared" si="29"/>
        <v>ごとう　かおる</v>
      </c>
      <c r="F415" s="39" t="s">
        <v>2325</v>
      </c>
      <c r="G415" s="39" t="s">
        <v>7876</v>
      </c>
      <c r="H415" s="39" t="str">
        <f>("2013/10/04")</f>
        <v>2013/10/04</v>
      </c>
      <c r="I415" s="39">
        <v>6</v>
      </c>
      <c r="J415" s="39" t="s">
        <v>1478</v>
      </c>
      <c r="K415" s="39" t="s">
        <v>2122</v>
      </c>
      <c r="L415" s="39" t="s">
        <v>7830</v>
      </c>
      <c r="M415" s="39" t="s">
        <v>7831</v>
      </c>
      <c r="N415" s="39" t="str">
        <f>("0155034")</f>
        <v>0155034</v>
      </c>
      <c r="P415" s="39" t="s">
        <v>11903</v>
      </c>
      <c r="Q415" s="39" t="s">
        <v>8568</v>
      </c>
      <c r="R415" s="39" t="s">
        <v>8569</v>
      </c>
      <c r="S415" s="39" t="s">
        <v>8570</v>
      </c>
      <c r="AK415" s="39" t="str">
        <f>("2025/03/17")</f>
        <v>2025/03/17</v>
      </c>
      <c r="AL415" s="39" t="str">
        <f t="shared" si="32"/>
        <v>2025/04/01</v>
      </c>
      <c r="AM415" s="39" t="str">
        <f>("2026/01/08")</f>
        <v>2026/01/08</v>
      </c>
    </row>
    <row r="416" spans="1:39" x14ac:dyDescent="0.25">
      <c r="A416" s="39" t="str">
        <f>("1310050073")</f>
        <v>1310050073</v>
      </c>
      <c r="C416" s="39"/>
      <c r="D416" s="39" t="s">
        <v>4514</v>
      </c>
      <c r="E416" s="371" t="str">
        <f t="shared" si="29"/>
        <v>たけだ　あゆむ</v>
      </c>
      <c r="F416" s="39" t="s">
        <v>2324</v>
      </c>
      <c r="G416" s="39" t="s">
        <v>7828</v>
      </c>
      <c r="H416" s="39" t="str">
        <f>("2013/10/05")</f>
        <v>2013/10/05</v>
      </c>
      <c r="I416" s="39">
        <v>6</v>
      </c>
      <c r="J416" s="39" t="s">
        <v>1478</v>
      </c>
      <c r="K416" s="39" t="s">
        <v>2122</v>
      </c>
      <c r="L416" s="39" t="s">
        <v>7830</v>
      </c>
      <c r="M416" s="39" t="s">
        <v>7831</v>
      </c>
      <c r="N416" s="39" t="str">
        <f>("0130486")</f>
        <v>0130486</v>
      </c>
      <c r="P416" s="39" t="s">
        <v>11904</v>
      </c>
      <c r="Q416" s="39" t="s">
        <v>8568</v>
      </c>
      <c r="R416" s="39" t="s">
        <v>8569</v>
      </c>
      <c r="S416" s="39" t="s">
        <v>8570</v>
      </c>
      <c r="AK416" s="39" t="str">
        <f>("2025/03/24")</f>
        <v>2025/03/24</v>
      </c>
      <c r="AL416" s="39" t="str">
        <f t="shared" si="32"/>
        <v>2025/04/01</v>
      </c>
    </row>
    <row r="417" spans="1:39" x14ac:dyDescent="0.25">
      <c r="A417" s="39" t="str">
        <f>("1310050095")</f>
        <v>1310050095</v>
      </c>
      <c r="C417" s="39"/>
      <c r="D417" s="39" t="s">
        <v>8840</v>
      </c>
      <c r="E417" s="371" t="str">
        <f t="shared" si="29"/>
        <v>のだ　とよたろう</v>
      </c>
      <c r="F417" s="39" t="s">
        <v>2544</v>
      </c>
      <c r="G417" s="39" t="s">
        <v>7828</v>
      </c>
      <c r="H417" s="39" t="str">
        <f>("2013/10/05")</f>
        <v>2013/10/05</v>
      </c>
      <c r="I417" s="39">
        <v>6</v>
      </c>
      <c r="J417" s="39" t="s">
        <v>1478</v>
      </c>
      <c r="K417" s="39" t="s">
        <v>2122</v>
      </c>
      <c r="L417" s="39" t="s">
        <v>7830</v>
      </c>
      <c r="M417" s="39" t="s">
        <v>7831</v>
      </c>
      <c r="N417" s="39" t="str">
        <f>("0130644")</f>
        <v>0130644</v>
      </c>
      <c r="P417" s="39" t="s">
        <v>11905</v>
      </c>
      <c r="Q417" s="39" t="s">
        <v>8568</v>
      </c>
      <c r="R417" s="39" t="s">
        <v>8569</v>
      </c>
      <c r="S417" s="39" t="s">
        <v>8570</v>
      </c>
      <c r="AK417" s="39" t="str">
        <f>("2025/03/17")</f>
        <v>2025/03/17</v>
      </c>
      <c r="AL417" s="39" t="str">
        <f t="shared" si="32"/>
        <v>2025/04/01</v>
      </c>
    </row>
    <row r="418" spans="1:39" x14ac:dyDescent="0.25">
      <c r="A418" s="39" t="str">
        <f>("1310050196")</f>
        <v>1310050196</v>
      </c>
      <c r="C418" s="39"/>
      <c r="D418" s="39" t="s">
        <v>5931</v>
      </c>
      <c r="E418" s="371" t="str">
        <f t="shared" si="29"/>
        <v>のじり　あおば</v>
      </c>
      <c r="F418" s="39" t="s">
        <v>2556</v>
      </c>
      <c r="G418" s="39" t="s">
        <v>7828</v>
      </c>
      <c r="H418" s="39" t="str">
        <f>("2013/10/05")</f>
        <v>2013/10/05</v>
      </c>
      <c r="I418" s="39">
        <v>6</v>
      </c>
      <c r="J418" s="39" t="s">
        <v>1478</v>
      </c>
      <c r="K418" s="39" t="s">
        <v>2122</v>
      </c>
      <c r="L418" s="39" t="s">
        <v>7830</v>
      </c>
      <c r="M418" s="39" t="s">
        <v>7831</v>
      </c>
      <c r="N418" s="39" t="str">
        <f>("0130712")</f>
        <v>0130712</v>
      </c>
      <c r="P418" s="39" t="s">
        <v>11906</v>
      </c>
      <c r="Q418" s="39" t="s">
        <v>8568</v>
      </c>
      <c r="R418" s="39" t="s">
        <v>8569</v>
      </c>
      <c r="S418" s="39" t="s">
        <v>8570</v>
      </c>
      <c r="AK418" s="39" t="str">
        <f>("2025/03/27")</f>
        <v>2025/03/27</v>
      </c>
      <c r="AL418" s="39" t="str">
        <f t="shared" si="32"/>
        <v>2025/04/01</v>
      </c>
    </row>
    <row r="419" spans="1:39" x14ac:dyDescent="0.25">
      <c r="A419" s="39" t="str">
        <f>("1310060145")</f>
        <v>1310060145</v>
      </c>
      <c r="C419" s="39"/>
      <c r="D419" s="39" t="s">
        <v>8841</v>
      </c>
      <c r="E419" s="371" t="str">
        <f t="shared" si="29"/>
        <v>うえき　そうすけ</v>
      </c>
      <c r="F419" s="39" t="s">
        <v>413</v>
      </c>
      <c r="G419" s="39" t="s">
        <v>7828</v>
      </c>
      <c r="H419" s="39" t="str">
        <f>("2013/10/06")</f>
        <v>2013/10/06</v>
      </c>
      <c r="I419" s="39">
        <v>6</v>
      </c>
      <c r="J419" s="39" t="s">
        <v>1478</v>
      </c>
      <c r="K419" s="39" t="s">
        <v>2122</v>
      </c>
      <c r="L419" s="39" t="s">
        <v>7830</v>
      </c>
      <c r="M419" s="39" t="s">
        <v>7831</v>
      </c>
      <c r="N419" s="39" t="str">
        <f>("0436902")</f>
        <v>0436902</v>
      </c>
      <c r="P419" s="39" t="s">
        <v>11907</v>
      </c>
      <c r="Q419" s="39" t="s">
        <v>8568</v>
      </c>
      <c r="R419" s="39" t="s">
        <v>8569</v>
      </c>
      <c r="S419" s="39" t="s">
        <v>8570</v>
      </c>
      <c r="AK419" s="39" t="str">
        <f>("2025/03/24")</f>
        <v>2025/03/24</v>
      </c>
      <c r="AL419" s="39" t="str">
        <f t="shared" si="32"/>
        <v>2025/04/01</v>
      </c>
    </row>
    <row r="420" spans="1:39" x14ac:dyDescent="0.25">
      <c r="A420" s="39" t="str">
        <f>("1310070019")</f>
        <v>1310070019</v>
      </c>
      <c r="C420" s="39"/>
      <c r="D420" s="39" t="s">
        <v>2755</v>
      </c>
      <c r="E420" s="371" t="str">
        <f t="shared" si="29"/>
        <v>おの　ひろや</v>
      </c>
      <c r="F420" s="39" t="s">
        <v>2469</v>
      </c>
      <c r="G420" s="39" t="s">
        <v>7828</v>
      </c>
      <c r="H420" s="39" t="str">
        <f>("2013/10/07")</f>
        <v>2013/10/07</v>
      </c>
      <c r="I420" s="39">
        <v>6</v>
      </c>
      <c r="J420" s="39" t="s">
        <v>1478</v>
      </c>
      <c r="K420" s="39" t="s">
        <v>2122</v>
      </c>
      <c r="L420" s="39" t="s">
        <v>7830</v>
      </c>
      <c r="M420" s="39" t="s">
        <v>7831</v>
      </c>
      <c r="N420" s="39" t="str">
        <f>("0129462")</f>
        <v>0129462</v>
      </c>
      <c r="P420" s="39" t="s">
        <v>11908</v>
      </c>
      <c r="Q420" s="39" t="s">
        <v>8568</v>
      </c>
      <c r="R420" s="39" t="s">
        <v>8569</v>
      </c>
      <c r="S420" s="39" t="s">
        <v>8570</v>
      </c>
      <c r="AK420" s="39" t="str">
        <f>("2025/03/21")</f>
        <v>2025/03/21</v>
      </c>
      <c r="AL420" s="39" t="str">
        <f t="shared" si="32"/>
        <v>2025/04/01</v>
      </c>
    </row>
    <row r="421" spans="1:39" x14ac:dyDescent="0.25">
      <c r="A421" s="39" t="str">
        <f>("1310070105")</f>
        <v>1310070105</v>
      </c>
      <c r="C421" s="39"/>
      <c r="D421" s="39" t="s">
        <v>4725</v>
      </c>
      <c r="E421" s="371" t="str">
        <f t="shared" si="29"/>
        <v>しもせ　こはく</v>
      </c>
      <c r="F421" s="39" t="s">
        <v>829</v>
      </c>
      <c r="G421" s="39" t="s">
        <v>7828</v>
      </c>
      <c r="H421" s="39" t="str">
        <f>("2013/10/07")</f>
        <v>2013/10/07</v>
      </c>
      <c r="I421" s="39">
        <v>6</v>
      </c>
      <c r="J421" s="39" t="s">
        <v>1478</v>
      </c>
      <c r="K421" s="39" t="s">
        <v>2122</v>
      </c>
      <c r="L421" s="39" t="s">
        <v>7830</v>
      </c>
      <c r="M421" s="39" t="s">
        <v>7831</v>
      </c>
      <c r="N421" s="39" t="str">
        <f>("0426631")</f>
        <v>0426631</v>
      </c>
      <c r="P421" s="39" t="s">
        <v>11909</v>
      </c>
      <c r="Q421" s="39" t="s">
        <v>8568</v>
      </c>
      <c r="R421" s="39" t="s">
        <v>8569</v>
      </c>
      <c r="S421" s="39" t="s">
        <v>8570</v>
      </c>
      <c r="AK421" s="39" t="str">
        <f>("2025/03/21")</f>
        <v>2025/03/21</v>
      </c>
      <c r="AL421" s="39" t="str">
        <f t="shared" si="32"/>
        <v>2025/04/01</v>
      </c>
    </row>
    <row r="422" spans="1:39" x14ac:dyDescent="0.25">
      <c r="A422" s="39" t="str">
        <f>("1310070110")</f>
        <v>1310070110</v>
      </c>
      <c r="B422" s="39" t="s">
        <v>8842</v>
      </c>
      <c r="C422" s="39"/>
      <c r="D422" s="39" t="s">
        <v>6133</v>
      </c>
      <c r="E422" s="371" t="str">
        <f t="shared" si="29"/>
        <v>かわかみ　しんぺい</v>
      </c>
      <c r="F422" s="39" t="s">
        <v>2256</v>
      </c>
      <c r="G422" s="39" t="s">
        <v>7828</v>
      </c>
      <c r="H422" s="39" t="str">
        <f>("2013/10/07")</f>
        <v>2013/10/07</v>
      </c>
      <c r="I422" s="39">
        <v>6</v>
      </c>
      <c r="J422" s="39" t="s">
        <v>1478</v>
      </c>
      <c r="K422" s="39" t="s">
        <v>2122</v>
      </c>
      <c r="L422" s="39" t="s">
        <v>7830</v>
      </c>
      <c r="M422" s="39" t="s">
        <v>7831</v>
      </c>
      <c r="N422" s="39" t="str">
        <f>("0449119")</f>
        <v>0449119</v>
      </c>
      <c r="P422" s="39" t="s">
        <v>11910</v>
      </c>
      <c r="Q422" s="39" t="s">
        <v>8568</v>
      </c>
      <c r="R422" s="39" t="s">
        <v>8569</v>
      </c>
      <c r="S422" s="39" t="s">
        <v>8570</v>
      </c>
      <c r="AA422" s="39" t="s">
        <v>2122</v>
      </c>
      <c r="AB422" s="39" t="s">
        <v>7830</v>
      </c>
      <c r="AC422" s="39" t="s">
        <v>7831</v>
      </c>
      <c r="AD422" s="39" t="str">
        <f>("0487492")</f>
        <v>0487492</v>
      </c>
      <c r="AE422" s="39" t="s">
        <v>1095</v>
      </c>
      <c r="AK422" s="39" t="str">
        <f>("2025/03/17")</f>
        <v>2025/03/17</v>
      </c>
      <c r="AL422" s="39" t="str">
        <f t="shared" si="32"/>
        <v>2025/04/01</v>
      </c>
    </row>
    <row r="423" spans="1:39" x14ac:dyDescent="0.25">
      <c r="A423" s="39" t="str">
        <f>("1310080131")</f>
        <v>1310080131</v>
      </c>
      <c r="B423" s="39" t="s">
        <v>8843</v>
      </c>
      <c r="C423" s="39"/>
      <c r="D423" s="39" t="s">
        <v>8844</v>
      </c>
      <c r="E423" s="371" t="str">
        <f t="shared" si="29"/>
        <v>あらかわ　こうた</v>
      </c>
      <c r="F423" s="39" t="s">
        <v>2188</v>
      </c>
      <c r="G423" s="39" t="s">
        <v>7828</v>
      </c>
      <c r="H423" s="39" t="str">
        <f>("2013/10/08")</f>
        <v>2013/10/08</v>
      </c>
      <c r="I423" s="39">
        <v>6</v>
      </c>
      <c r="J423" s="39" t="s">
        <v>1478</v>
      </c>
      <c r="K423" s="39" t="s">
        <v>2122</v>
      </c>
      <c r="L423" s="39" t="s">
        <v>7830</v>
      </c>
      <c r="M423" s="39" t="s">
        <v>7831</v>
      </c>
      <c r="N423" s="39" t="str">
        <f>("0129596")</f>
        <v>0129596</v>
      </c>
      <c r="P423" s="39" t="s">
        <v>11911</v>
      </c>
      <c r="Q423" s="39" t="s">
        <v>8568</v>
      </c>
      <c r="R423" s="39" t="s">
        <v>8569</v>
      </c>
      <c r="S423" s="39" t="s">
        <v>8570</v>
      </c>
      <c r="AK423" s="39" t="str">
        <f>("2025/03/17")</f>
        <v>2025/03/17</v>
      </c>
      <c r="AL423" s="39" t="str">
        <f t="shared" si="32"/>
        <v>2025/04/01</v>
      </c>
    </row>
    <row r="424" spans="1:39" x14ac:dyDescent="0.25">
      <c r="A424" s="39" t="str">
        <f>("1310080254")</f>
        <v>1310080254</v>
      </c>
      <c r="C424" s="39"/>
      <c r="D424" s="39" t="s">
        <v>8845</v>
      </c>
      <c r="E424" s="371" t="str">
        <f t="shared" si="29"/>
        <v>まつざき　かつき</v>
      </c>
      <c r="F424" s="39" t="s">
        <v>8032</v>
      </c>
      <c r="G424" s="39" t="s">
        <v>7876</v>
      </c>
      <c r="H424" s="39" t="str">
        <f>("2013/10/08")</f>
        <v>2013/10/08</v>
      </c>
      <c r="I424" s="39">
        <v>6</v>
      </c>
      <c r="J424" s="39" t="s">
        <v>1478</v>
      </c>
      <c r="K424" s="39" t="s">
        <v>2122</v>
      </c>
      <c r="L424" s="39" t="s">
        <v>7830</v>
      </c>
      <c r="M424" s="39" t="s">
        <v>7831</v>
      </c>
      <c r="N424" s="39" t="str">
        <f>("0452911")</f>
        <v>0452911</v>
      </c>
      <c r="P424" s="39" t="s">
        <v>11912</v>
      </c>
      <c r="Q424" s="39" t="s">
        <v>8568</v>
      </c>
      <c r="R424" s="39" t="s">
        <v>8569</v>
      </c>
      <c r="S424" s="39" t="s">
        <v>8570</v>
      </c>
      <c r="AK424" s="39" t="str">
        <f>("2025/04/10")</f>
        <v>2025/04/10</v>
      </c>
      <c r="AL424" s="39" t="str">
        <f t="shared" si="32"/>
        <v>2025/04/01</v>
      </c>
      <c r="AM424" s="39" t="str">
        <f>("2025/12/05")</f>
        <v>2025/12/05</v>
      </c>
    </row>
    <row r="425" spans="1:39" x14ac:dyDescent="0.25">
      <c r="A425" s="39" t="str">
        <f>("1310100022")</f>
        <v>1310100022</v>
      </c>
      <c r="C425" s="39"/>
      <c r="D425" s="39" t="s">
        <v>4172</v>
      </c>
      <c r="E425" s="371" t="str">
        <f t="shared" si="29"/>
        <v>よしだ　けいご</v>
      </c>
      <c r="F425" s="39" t="s">
        <v>2630</v>
      </c>
      <c r="G425" s="39" t="s">
        <v>7828</v>
      </c>
      <c r="H425" s="39" t="str">
        <f>("2013/10/10")</f>
        <v>2013/10/10</v>
      </c>
      <c r="I425" s="39">
        <v>6</v>
      </c>
      <c r="J425" s="39" t="s">
        <v>1478</v>
      </c>
      <c r="K425" s="39" t="s">
        <v>2122</v>
      </c>
      <c r="L425" s="39" t="s">
        <v>7830</v>
      </c>
      <c r="M425" s="39" t="s">
        <v>7831</v>
      </c>
      <c r="N425" s="39" t="str">
        <f>("0506269")</f>
        <v>0506269</v>
      </c>
      <c r="P425" s="39" t="s">
        <v>11913</v>
      </c>
      <c r="Q425" s="39" t="s">
        <v>8568</v>
      </c>
      <c r="R425" s="39" t="s">
        <v>8569</v>
      </c>
      <c r="S425" s="39" t="s">
        <v>8570</v>
      </c>
      <c r="AK425" s="39" t="str">
        <f>("2025/03/17")</f>
        <v>2025/03/17</v>
      </c>
      <c r="AL425" s="39" t="str">
        <f t="shared" si="32"/>
        <v>2025/04/01</v>
      </c>
    </row>
    <row r="426" spans="1:39" x14ac:dyDescent="0.25">
      <c r="A426" s="39" t="str">
        <f>("1310100033")</f>
        <v>1310100033</v>
      </c>
      <c r="C426" s="39"/>
      <c r="D426" s="39" t="s">
        <v>4060</v>
      </c>
      <c r="E426" s="371" t="str">
        <f t="shared" si="29"/>
        <v>やまさき　りどう</v>
      </c>
      <c r="F426" s="39" t="s">
        <v>188</v>
      </c>
      <c r="G426" s="39" t="s">
        <v>7828</v>
      </c>
      <c r="H426" s="39" t="str">
        <f>("2013/10/10")</f>
        <v>2013/10/10</v>
      </c>
      <c r="I426" s="39">
        <v>6</v>
      </c>
      <c r="J426" s="39" t="s">
        <v>1478</v>
      </c>
      <c r="K426" s="39" t="s">
        <v>2122</v>
      </c>
      <c r="L426" s="39" t="s">
        <v>7830</v>
      </c>
      <c r="M426" s="39" t="s">
        <v>7831</v>
      </c>
      <c r="N426" s="39" t="str">
        <f>("0130734")</f>
        <v>0130734</v>
      </c>
      <c r="P426" s="39" t="s">
        <v>11914</v>
      </c>
      <c r="Q426" s="39" t="s">
        <v>8568</v>
      </c>
      <c r="R426" s="39" t="s">
        <v>8569</v>
      </c>
      <c r="S426" s="39" t="s">
        <v>8570</v>
      </c>
      <c r="AK426" s="39" t="str">
        <f>("2025/03/17")</f>
        <v>2025/03/17</v>
      </c>
      <c r="AL426" s="39" t="str">
        <f t="shared" si="32"/>
        <v>2025/04/01</v>
      </c>
    </row>
    <row r="427" spans="1:39" x14ac:dyDescent="0.25">
      <c r="A427" s="39" t="str">
        <f>("1310100084")</f>
        <v>1310100084</v>
      </c>
      <c r="C427" s="39"/>
      <c r="D427" s="39" t="s">
        <v>4506</v>
      </c>
      <c r="E427" s="371" t="str">
        <f t="shared" si="29"/>
        <v>くしま　つばき</v>
      </c>
      <c r="F427" s="39" t="s">
        <v>2324</v>
      </c>
      <c r="G427" s="39" t="s">
        <v>7828</v>
      </c>
      <c r="H427" s="39" t="str">
        <f>("2013/10/10")</f>
        <v>2013/10/10</v>
      </c>
      <c r="I427" s="39">
        <v>6</v>
      </c>
      <c r="J427" s="39" t="s">
        <v>1480</v>
      </c>
      <c r="K427" s="39" t="s">
        <v>2122</v>
      </c>
      <c r="L427" s="39" t="s">
        <v>7830</v>
      </c>
      <c r="M427" s="39" t="s">
        <v>7831</v>
      </c>
      <c r="N427" s="39" t="str">
        <f>("0130486")</f>
        <v>0130486</v>
      </c>
      <c r="P427" s="39" t="s">
        <v>11915</v>
      </c>
      <c r="Q427" s="39" t="s">
        <v>8568</v>
      </c>
      <c r="R427" s="39" t="s">
        <v>8569</v>
      </c>
      <c r="S427" s="39" t="s">
        <v>8570</v>
      </c>
      <c r="AK427" s="39" t="str">
        <f>("2025/03/24")</f>
        <v>2025/03/24</v>
      </c>
      <c r="AL427" s="39" t="str">
        <f t="shared" si="32"/>
        <v>2025/04/01</v>
      </c>
    </row>
    <row r="428" spans="1:39" x14ac:dyDescent="0.25">
      <c r="A428" s="39" t="str">
        <f>("1310110233")</f>
        <v>1310110233</v>
      </c>
      <c r="C428" s="39"/>
      <c r="D428" s="39" t="s">
        <v>6235</v>
      </c>
      <c r="E428" s="371" t="str">
        <f t="shared" si="29"/>
        <v>ひろさき　いっしん</v>
      </c>
      <c r="F428" s="39" t="s">
        <v>2648</v>
      </c>
      <c r="G428" s="39" t="s">
        <v>7828</v>
      </c>
      <c r="H428" s="39" t="str">
        <f>("2013/10/11")</f>
        <v>2013/10/11</v>
      </c>
      <c r="I428" s="39">
        <v>6</v>
      </c>
      <c r="J428" s="39" t="s">
        <v>1478</v>
      </c>
      <c r="K428" s="39" t="s">
        <v>2122</v>
      </c>
      <c r="L428" s="39" t="s">
        <v>7830</v>
      </c>
      <c r="M428" s="39" t="s">
        <v>7831</v>
      </c>
      <c r="N428" s="39" t="str">
        <f>("1050097")</f>
        <v>1050097</v>
      </c>
      <c r="P428" s="39" t="s">
        <v>11916</v>
      </c>
      <c r="Q428" s="39" t="s">
        <v>8568</v>
      </c>
      <c r="R428" s="39" t="s">
        <v>8569</v>
      </c>
      <c r="S428" s="39" t="s">
        <v>8570</v>
      </c>
      <c r="AK428" s="39" t="str">
        <f>("2025/03/25")</f>
        <v>2025/03/25</v>
      </c>
      <c r="AL428" s="39" t="str">
        <f t="shared" si="32"/>
        <v>2025/04/01</v>
      </c>
    </row>
    <row r="429" spans="1:39" x14ac:dyDescent="0.25">
      <c r="A429" s="39" t="str">
        <f>("1310120007")</f>
        <v>1310120007</v>
      </c>
      <c r="C429" s="39"/>
      <c r="D429" s="39" t="s">
        <v>5913</v>
      </c>
      <c r="E429" s="371" t="str">
        <f t="shared" si="29"/>
        <v>あらかね　そうし</v>
      </c>
      <c r="F429" s="39" t="s">
        <v>2544</v>
      </c>
      <c r="G429" s="39" t="s">
        <v>7828</v>
      </c>
      <c r="H429" s="39" t="str">
        <f>("2013/10/12")</f>
        <v>2013/10/12</v>
      </c>
      <c r="I429" s="39">
        <v>6</v>
      </c>
      <c r="J429" s="39" t="s">
        <v>1478</v>
      </c>
      <c r="K429" s="39" t="s">
        <v>2122</v>
      </c>
      <c r="L429" s="39" t="s">
        <v>7830</v>
      </c>
      <c r="M429" s="39" t="s">
        <v>7831</v>
      </c>
      <c r="N429" s="39" t="str">
        <f>("0130644")</f>
        <v>0130644</v>
      </c>
      <c r="P429" s="39" t="s">
        <v>11917</v>
      </c>
      <c r="Q429" s="39" t="s">
        <v>8568</v>
      </c>
      <c r="R429" s="39" t="s">
        <v>8569</v>
      </c>
      <c r="S429" s="39" t="s">
        <v>8570</v>
      </c>
      <c r="AK429" s="39" t="str">
        <f>("2025/03/17")</f>
        <v>2025/03/17</v>
      </c>
      <c r="AL429" s="39" t="str">
        <f t="shared" si="32"/>
        <v>2025/04/01</v>
      </c>
    </row>
    <row r="430" spans="1:39" x14ac:dyDescent="0.25">
      <c r="A430" s="39" t="str">
        <f>("1310120032")</f>
        <v>1310120032</v>
      </c>
      <c r="B430" s="39" t="s">
        <v>8846</v>
      </c>
      <c r="C430" s="39"/>
      <c r="D430" s="39" t="s">
        <v>8847</v>
      </c>
      <c r="E430" s="371" t="str">
        <f t="shared" si="29"/>
        <v>こいで　かいと</v>
      </c>
      <c r="F430" s="39" t="s">
        <v>2619</v>
      </c>
      <c r="G430" s="39" t="s">
        <v>7828</v>
      </c>
      <c r="H430" s="39" t="str">
        <f>("2013/10/12")</f>
        <v>2013/10/12</v>
      </c>
      <c r="I430" s="39">
        <v>6</v>
      </c>
      <c r="J430" s="39" t="s">
        <v>1478</v>
      </c>
      <c r="K430" s="39" t="s">
        <v>2122</v>
      </c>
      <c r="L430" s="39" t="s">
        <v>7830</v>
      </c>
      <c r="M430" s="39" t="s">
        <v>7831</v>
      </c>
      <c r="N430" s="39" t="str">
        <f>("0472823")</f>
        <v>0472823</v>
      </c>
      <c r="P430" s="39" t="s">
        <v>11918</v>
      </c>
      <c r="Q430" s="39" t="s">
        <v>8568</v>
      </c>
      <c r="R430" s="39" t="s">
        <v>8569</v>
      </c>
      <c r="S430" s="39" t="s">
        <v>8570</v>
      </c>
      <c r="AA430" s="39" t="s">
        <v>2122</v>
      </c>
      <c r="AB430" s="39" t="s">
        <v>7830</v>
      </c>
      <c r="AC430" s="39" t="s">
        <v>7831</v>
      </c>
      <c r="AD430" s="39" t="str">
        <f>("0433235")</f>
        <v>0433235</v>
      </c>
      <c r="AE430" s="39" t="s">
        <v>5618</v>
      </c>
      <c r="AK430" s="39" t="str">
        <f>("2025/03/17")</f>
        <v>2025/03/17</v>
      </c>
      <c r="AL430" s="39" t="str">
        <f t="shared" si="32"/>
        <v>2025/04/01</v>
      </c>
    </row>
    <row r="431" spans="1:39" x14ac:dyDescent="0.25">
      <c r="A431" s="39" t="str">
        <f>("1310130111")</f>
        <v>1310130111</v>
      </c>
      <c r="C431" s="39"/>
      <c r="D431" s="39" t="s">
        <v>6083</v>
      </c>
      <c r="E431" s="371" t="str">
        <f t="shared" si="29"/>
        <v>すずき　とうが</v>
      </c>
      <c r="F431" s="39" t="s">
        <v>829</v>
      </c>
      <c r="G431" s="39" t="s">
        <v>7828</v>
      </c>
      <c r="H431" s="39" t="str">
        <f>("2013/10/13")</f>
        <v>2013/10/13</v>
      </c>
      <c r="I431" s="39">
        <v>6</v>
      </c>
      <c r="J431" s="39" t="s">
        <v>1478</v>
      </c>
      <c r="K431" s="39" t="s">
        <v>2122</v>
      </c>
      <c r="L431" s="39" t="s">
        <v>7830</v>
      </c>
      <c r="M431" s="39" t="s">
        <v>7831</v>
      </c>
      <c r="N431" s="39" t="str">
        <f>("0426631")</f>
        <v>0426631</v>
      </c>
      <c r="P431" s="39" t="s">
        <v>11919</v>
      </c>
      <c r="Q431" s="39" t="s">
        <v>8568</v>
      </c>
      <c r="R431" s="39" t="s">
        <v>8569</v>
      </c>
      <c r="S431" s="39" t="s">
        <v>8570</v>
      </c>
      <c r="AK431" s="39" t="str">
        <f>("2025/03/21")</f>
        <v>2025/03/21</v>
      </c>
      <c r="AL431" s="39" t="str">
        <f t="shared" si="32"/>
        <v>2025/04/01</v>
      </c>
    </row>
    <row r="432" spans="1:39" x14ac:dyDescent="0.25">
      <c r="A432" s="39" t="str">
        <f>("1310130191")</f>
        <v>1310130191</v>
      </c>
      <c r="B432" s="39" t="s">
        <v>8848</v>
      </c>
      <c r="C432" s="39"/>
      <c r="D432" s="39" t="s">
        <v>6035</v>
      </c>
      <c r="E432" s="371" t="str">
        <f t="shared" si="29"/>
        <v>わかやま　しゅん</v>
      </c>
      <c r="F432" s="39" t="s">
        <v>2395</v>
      </c>
      <c r="G432" s="39" t="s">
        <v>7828</v>
      </c>
      <c r="H432" s="39" t="str">
        <f>("2013/10/13")</f>
        <v>2013/10/13</v>
      </c>
      <c r="I432" s="39">
        <v>6</v>
      </c>
      <c r="J432" s="39" t="s">
        <v>1478</v>
      </c>
      <c r="K432" s="39" t="s">
        <v>2122</v>
      </c>
      <c r="L432" s="39" t="s">
        <v>7830</v>
      </c>
      <c r="M432" s="39" t="s">
        <v>7831</v>
      </c>
      <c r="N432" s="39" t="str">
        <f>("0366735")</f>
        <v>0366735</v>
      </c>
      <c r="P432" s="39" t="s">
        <v>11920</v>
      </c>
      <c r="Q432" s="39" t="s">
        <v>8568</v>
      </c>
      <c r="R432" s="39" t="s">
        <v>8569</v>
      </c>
      <c r="S432" s="39" t="s">
        <v>8570</v>
      </c>
      <c r="AK432" s="39" t="str">
        <f>("2025/03/17")</f>
        <v>2025/03/17</v>
      </c>
      <c r="AL432" s="39" t="str">
        <f t="shared" si="32"/>
        <v>2025/04/01</v>
      </c>
    </row>
    <row r="433" spans="1:38" x14ac:dyDescent="0.25">
      <c r="A433" s="39" t="str">
        <f>("1310140076")</f>
        <v>1310140076</v>
      </c>
      <c r="C433" s="39"/>
      <c r="D433" s="39" t="s">
        <v>5656</v>
      </c>
      <c r="E433" s="371" t="str">
        <f t="shared" si="29"/>
        <v>えとう　ふうま</v>
      </c>
      <c r="F433" s="39" t="s">
        <v>2477</v>
      </c>
      <c r="G433" s="39" t="s">
        <v>7828</v>
      </c>
      <c r="H433" s="39" t="str">
        <f>("2013/10/14")</f>
        <v>2013/10/14</v>
      </c>
      <c r="I433" s="39">
        <v>6</v>
      </c>
      <c r="J433" s="39" t="s">
        <v>1478</v>
      </c>
      <c r="K433" s="39" t="s">
        <v>2122</v>
      </c>
      <c r="L433" s="39" t="s">
        <v>7830</v>
      </c>
      <c r="M433" s="39" t="s">
        <v>7831</v>
      </c>
      <c r="N433" s="39" t="str">
        <f>("0129541")</f>
        <v>0129541</v>
      </c>
      <c r="P433" s="39" t="s">
        <v>11921</v>
      </c>
      <c r="Q433" s="39" t="s">
        <v>8568</v>
      </c>
      <c r="R433" s="39" t="s">
        <v>8569</v>
      </c>
      <c r="S433" s="39" t="s">
        <v>8570</v>
      </c>
      <c r="AK433" s="39" t="str">
        <f>("2025/03/27")</f>
        <v>2025/03/27</v>
      </c>
      <c r="AL433" s="39" t="str">
        <f t="shared" si="32"/>
        <v>2025/04/01</v>
      </c>
    </row>
    <row r="434" spans="1:38" x14ac:dyDescent="0.25">
      <c r="A434" s="39" t="str">
        <f>("1310140118")</f>
        <v>1310140118</v>
      </c>
      <c r="C434" s="39"/>
      <c r="D434" s="39" t="s">
        <v>8849</v>
      </c>
      <c r="E434" s="371" t="str">
        <f t="shared" si="29"/>
        <v>ながお　せな</v>
      </c>
      <c r="F434" s="39" t="s">
        <v>947</v>
      </c>
      <c r="G434" s="39" t="s">
        <v>7828</v>
      </c>
      <c r="H434" s="39" t="str">
        <f>("2013/10/14")</f>
        <v>2013/10/14</v>
      </c>
      <c r="I434" s="39">
        <v>6</v>
      </c>
      <c r="J434" s="39" t="s">
        <v>1480</v>
      </c>
      <c r="K434" s="39" t="s">
        <v>2122</v>
      </c>
      <c r="L434" s="39" t="s">
        <v>7830</v>
      </c>
      <c r="M434" s="39" t="s">
        <v>7831</v>
      </c>
      <c r="N434" s="39" t="str">
        <f>("0130183")</f>
        <v>0130183</v>
      </c>
      <c r="P434" s="39" t="s">
        <v>11922</v>
      </c>
      <c r="Q434" s="39" t="s">
        <v>8568</v>
      </c>
      <c r="R434" s="39" t="s">
        <v>8569</v>
      </c>
      <c r="S434" s="39" t="s">
        <v>8570</v>
      </c>
      <c r="AK434" s="39" t="str">
        <f>("2025/03/27")</f>
        <v>2025/03/27</v>
      </c>
      <c r="AL434" s="39" t="str">
        <f t="shared" si="32"/>
        <v>2025/04/01</v>
      </c>
    </row>
    <row r="435" spans="1:38" x14ac:dyDescent="0.25">
      <c r="A435" s="39" t="str">
        <f>("1310150009")</f>
        <v>1310150009</v>
      </c>
      <c r="B435" s="39" t="s">
        <v>8850</v>
      </c>
      <c r="C435" s="39"/>
      <c r="D435" s="39" t="s">
        <v>4447</v>
      </c>
      <c r="E435" s="371" t="str">
        <f t="shared" si="29"/>
        <v>みやわき　きりん</v>
      </c>
      <c r="F435" s="39" t="s">
        <v>1912</v>
      </c>
      <c r="G435" s="39" t="s">
        <v>7828</v>
      </c>
      <c r="H435" s="39" t="str">
        <f>("2013/10/15")</f>
        <v>2013/10/15</v>
      </c>
      <c r="I435" s="39">
        <v>6</v>
      </c>
      <c r="J435" s="39" t="s">
        <v>1480</v>
      </c>
      <c r="K435" s="39" t="s">
        <v>2122</v>
      </c>
      <c r="L435" s="39" t="s">
        <v>7830</v>
      </c>
      <c r="M435" s="39" t="s">
        <v>7831</v>
      </c>
      <c r="N435" s="39" t="str">
        <f>("0130363")</f>
        <v>0130363</v>
      </c>
      <c r="P435" s="39" t="s">
        <v>11923</v>
      </c>
      <c r="Q435" s="39" t="s">
        <v>8568</v>
      </c>
      <c r="R435" s="39" t="s">
        <v>8569</v>
      </c>
      <c r="S435" s="39" t="s">
        <v>8570</v>
      </c>
      <c r="AK435" s="39" t="str">
        <f t="shared" ref="AK435:AK440" si="33">("2025/03/17")</f>
        <v>2025/03/17</v>
      </c>
      <c r="AL435" s="39" t="str">
        <f t="shared" si="32"/>
        <v>2025/04/01</v>
      </c>
    </row>
    <row r="436" spans="1:38" x14ac:dyDescent="0.25">
      <c r="A436" s="39" t="str">
        <f>("1310150092")</f>
        <v>1310150092</v>
      </c>
      <c r="B436" s="39" t="s">
        <v>8851</v>
      </c>
      <c r="C436" s="39"/>
      <c r="D436" s="39" t="s">
        <v>8852</v>
      </c>
      <c r="E436" s="371" t="str">
        <f t="shared" si="29"/>
        <v>さだゆき　いくり</v>
      </c>
      <c r="F436" s="39" t="s">
        <v>2619</v>
      </c>
      <c r="G436" s="39" t="s">
        <v>7828</v>
      </c>
      <c r="H436" s="39" t="str">
        <f>("2013/10/15")</f>
        <v>2013/10/15</v>
      </c>
      <c r="I436" s="39">
        <v>6</v>
      </c>
      <c r="J436" s="39" t="s">
        <v>1478</v>
      </c>
      <c r="K436" s="39" t="s">
        <v>2122</v>
      </c>
      <c r="L436" s="39" t="s">
        <v>7830</v>
      </c>
      <c r="M436" s="39" t="s">
        <v>7831</v>
      </c>
      <c r="N436" s="39" t="str">
        <f>("0472823")</f>
        <v>0472823</v>
      </c>
      <c r="P436" s="39" t="s">
        <v>11924</v>
      </c>
      <c r="Q436" s="39" t="s">
        <v>8568</v>
      </c>
      <c r="R436" s="39" t="s">
        <v>8569</v>
      </c>
      <c r="S436" s="39" t="s">
        <v>8570</v>
      </c>
      <c r="AK436" s="39" t="str">
        <f t="shared" si="33"/>
        <v>2025/03/17</v>
      </c>
      <c r="AL436" s="39" t="str">
        <f t="shared" si="32"/>
        <v>2025/04/01</v>
      </c>
    </row>
    <row r="437" spans="1:38" x14ac:dyDescent="0.25">
      <c r="A437" s="39" t="str">
        <f>("1310150213")</f>
        <v>1310150213</v>
      </c>
      <c r="C437" s="39"/>
      <c r="D437" s="39" t="s">
        <v>5642</v>
      </c>
      <c r="E437" s="371" t="str">
        <f t="shared" si="29"/>
        <v>かわづ　あやた</v>
      </c>
      <c r="F437" s="39" t="s">
        <v>684</v>
      </c>
      <c r="G437" s="39" t="s">
        <v>7828</v>
      </c>
      <c r="H437" s="39" t="str">
        <f>("2013/10/15")</f>
        <v>2013/10/15</v>
      </c>
      <c r="I437" s="39">
        <v>6</v>
      </c>
      <c r="J437" s="39" t="s">
        <v>1478</v>
      </c>
      <c r="K437" s="39" t="s">
        <v>2122</v>
      </c>
      <c r="L437" s="39" t="s">
        <v>7830</v>
      </c>
      <c r="M437" s="39" t="s">
        <v>7831</v>
      </c>
      <c r="N437" s="39" t="str">
        <f>("0129518")</f>
        <v>0129518</v>
      </c>
      <c r="P437" s="39" t="s">
        <v>11925</v>
      </c>
      <c r="Q437" s="39" t="s">
        <v>8568</v>
      </c>
      <c r="R437" s="39" t="s">
        <v>8569</v>
      </c>
      <c r="S437" s="39" t="s">
        <v>8570</v>
      </c>
      <c r="AK437" s="39" t="str">
        <f t="shared" si="33"/>
        <v>2025/03/17</v>
      </c>
      <c r="AL437" s="39" t="str">
        <f t="shared" si="32"/>
        <v>2025/04/01</v>
      </c>
    </row>
    <row r="438" spans="1:38" x14ac:dyDescent="0.25">
      <c r="A438" s="39" t="str">
        <f>("1310160011")</f>
        <v>1310160011</v>
      </c>
      <c r="C438" s="39"/>
      <c r="D438" s="39" t="s">
        <v>4653</v>
      </c>
      <c r="E438" s="371" t="str">
        <f t="shared" si="29"/>
        <v>やまもと　ゆうま</v>
      </c>
      <c r="F438" s="39" t="s">
        <v>2574</v>
      </c>
      <c r="G438" s="39" t="s">
        <v>7828</v>
      </c>
      <c r="H438" s="39" t="str">
        <f>("2013/10/16")</f>
        <v>2013/10/16</v>
      </c>
      <c r="I438" s="39">
        <v>6</v>
      </c>
      <c r="J438" s="39" t="s">
        <v>1478</v>
      </c>
      <c r="K438" s="39" t="s">
        <v>2122</v>
      </c>
      <c r="L438" s="39" t="s">
        <v>7830</v>
      </c>
      <c r="M438" s="39" t="s">
        <v>7831</v>
      </c>
      <c r="N438" s="39" t="str">
        <f>("0237620")</f>
        <v>0237620</v>
      </c>
      <c r="P438" s="39" t="s">
        <v>11926</v>
      </c>
      <c r="Q438" s="39" t="s">
        <v>8568</v>
      </c>
      <c r="R438" s="39" t="s">
        <v>8569</v>
      </c>
      <c r="S438" s="39" t="s">
        <v>8570</v>
      </c>
      <c r="AK438" s="39" t="str">
        <f t="shared" si="33"/>
        <v>2025/03/17</v>
      </c>
      <c r="AL438" s="39" t="str">
        <f t="shared" si="32"/>
        <v>2025/04/01</v>
      </c>
    </row>
    <row r="439" spans="1:38" x14ac:dyDescent="0.25">
      <c r="A439" s="39" t="str">
        <f>("1310160018")</f>
        <v>1310160018</v>
      </c>
      <c r="B439" s="39" t="s">
        <v>8853</v>
      </c>
      <c r="C439" s="39"/>
      <c r="D439" s="39" t="s">
        <v>8854</v>
      </c>
      <c r="E439" s="371" t="str">
        <f t="shared" si="29"/>
        <v>ながお　りんじぇ</v>
      </c>
      <c r="F439" s="39" t="s">
        <v>7843</v>
      </c>
      <c r="G439" s="39" t="s">
        <v>7828</v>
      </c>
      <c r="H439" s="39" t="str">
        <f>("2013/10/16")</f>
        <v>2013/10/16</v>
      </c>
      <c r="I439" s="39">
        <v>6</v>
      </c>
      <c r="J439" s="39" t="s">
        <v>1478</v>
      </c>
      <c r="K439" s="39" t="s">
        <v>2122</v>
      </c>
      <c r="L439" s="39" t="s">
        <v>7830</v>
      </c>
      <c r="M439" s="39" t="s">
        <v>7831</v>
      </c>
      <c r="N439" s="39" t="str">
        <f>("1117332")</f>
        <v>1117332</v>
      </c>
      <c r="P439" s="39" t="s">
        <v>11927</v>
      </c>
      <c r="Q439" s="39" t="s">
        <v>8568</v>
      </c>
      <c r="R439" s="39" t="s">
        <v>8569</v>
      </c>
      <c r="S439" s="39" t="s">
        <v>8570</v>
      </c>
      <c r="AA439" s="39" t="s">
        <v>2122</v>
      </c>
      <c r="AB439" s="39" t="s">
        <v>7830</v>
      </c>
      <c r="AC439" s="39" t="s">
        <v>7831</v>
      </c>
      <c r="AD439" s="39" t="str">
        <f>("0129642")</f>
        <v>0129642</v>
      </c>
      <c r="AE439" s="39" t="s">
        <v>8855</v>
      </c>
      <c r="AK439" s="39" t="str">
        <f t="shared" si="33"/>
        <v>2025/03/17</v>
      </c>
      <c r="AL439" s="39" t="str">
        <f t="shared" si="32"/>
        <v>2025/04/01</v>
      </c>
    </row>
    <row r="440" spans="1:38" x14ac:dyDescent="0.25">
      <c r="A440" s="39" t="str">
        <f>("1310160140")</f>
        <v>1310160140</v>
      </c>
      <c r="C440" s="39"/>
      <c r="D440" s="39" t="s">
        <v>6029</v>
      </c>
      <c r="E440" s="371" t="str">
        <f t="shared" si="29"/>
        <v>かい　いつき</v>
      </c>
      <c r="F440" s="39" t="s">
        <v>2350</v>
      </c>
      <c r="G440" s="39" t="s">
        <v>7828</v>
      </c>
      <c r="H440" s="39" t="str">
        <f>("2013/10/16")</f>
        <v>2013/10/16</v>
      </c>
      <c r="I440" s="39">
        <v>6</v>
      </c>
      <c r="J440" s="39" t="s">
        <v>1478</v>
      </c>
      <c r="K440" s="39" t="s">
        <v>2122</v>
      </c>
      <c r="L440" s="39" t="s">
        <v>7830</v>
      </c>
      <c r="M440" s="39" t="s">
        <v>7831</v>
      </c>
      <c r="N440" s="39" t="str">
        <f>("0360032")</f>
        <v>0360032</v>
      </c>
      <c r="P440" s="39" t="s">
        <v>11928</v>
      </c>
      <c r="Q440" s="39" t="s">
        <v>8568</v>
      </c>
      <c r="R440" s="39" t="s">
        <v>8569</v>
      </c>
      <c r="S440" s="39" t="s">
        <v>8570</v>
      </c>
      <c r="AK440" s="39" t="str">
        <f t="shared" si="33"/>
        <v>2025/03/17</v>
      </c>
      <c r="AL440" s="39" t="str">
        <f t="shared" si="32"/>
        <v>2025/04/01</v>
      </c>
    </row>
    <row r="441" spans="1:38" x14ac:dyDescent="0.25">
      <c r="A441" s="39" t="str">
        <f>("1310170168")</f>
        <v>1310170168</v>
      </c>
      <c r="C441" s="39"/>
      <c r="D441" s="39" t="s">
        <v>8856</v>
      </c>
      <c r="E441" s="371" t="str">
        <f t="shared" si="29"/>
        <v>いしばし　ゆう</v>
      </c>
      <c r="F441" s="39" t="s">
        <v>947</v>
      </c>
      <c r="G441" s="39" t="s">
        <v>7828</v>
      </c>
      <c r="H441" s="39" t="str">
        <f>("2013/10/17")</f>
        <v>2013/10/17</v>
      </c>
      <c r="I441" s="39">
        <v>6</v>
      </c>
      <c r="J441" s="39" t="s">
        <v>1478</v>
      </c>
      <c r="K441" s="39" t="s">
        <v>2122</v>
      </c>
      <c r="L441" s="39" t="s">
        <v>7830</v>
      </c>
      <c r="M441" s="39" t="s">
        <v>7831</v>
      </c>
      <c r="N441" s="39" t="str">
        <f>("0130183")</f>
        <v>0130183</v>
      </c>
      <c r="P441" s="39" t="s">
        <v>11929</v>
      </c>
      <c r="Q441" s="39" t="s">
        <v>8568</v>
      </c>
      <c r="R441" s="39" t="s">
        <v>8569</v>
      </c>
      <c r="S441" s="39" t="s">
        <v>8570</v>
      </c>
      <c r="AK441" s="39" t="str">
        <f>("2025/03/27")</f>
        <v>2025/03/27</v>
      </c>
      <c r="AL441" s="39" t="str">
        <f t="shared" si="32"/>
        <v>2025/04/01</v>
      </c>
    </row>
    <row r="442" spans="1:38" x14ac:dyDescent="0.25">
      <c r="A442" s="39" t="str">
        <f>("1310170223")</f>
        <v>1310170223</v>
      </c>
      <c r="C442" s="39"/>
      <c r="D442" s="39" t="s">
        <v>6222</v>
      </c>
      <c r="E442" s="371" t="str">
        <f t="shared" si="29"/>
        <v>たかはし　そうしろう</v>
      </c>
      <c r="F442" s="39" t="s">
        <v>7864</v>
      </c>
      <c r="G442" s="39" t="s">
        <v>7828</v>
      </c>
      <c r="H442" s="39" t="str">
        <f>("2013/10/17")</f>
        <v>2013/10/17</v>
      </c>
      <c r="I442" s="39">
        <v>6</v>
      </c>
      <c r="J442" s="39" t="s">
        <v>1478</v>
      </c>
      <c r="K442" s="39" t="s">
        <v>2122</v>
      </c>
      <c r="L442" s="39" t="s">
        <v>7830</v>
      </c>
      <c r="M442" s="39" t="s">
        <v>7831</v>
      </c>
      <c r="N442" s="39" t="str">
        <f>("1039801")</f>
        <v>1039801</v>
      </c>
      <c r="P442" s="39" t="s">
        <v>11930</v>
      </c>
      <c r="Q442" s="39" t="s">
        <v>8568</v>
      </c>
      <c r="R442" s="39" t="s">
        <v>8569</v>
      </c>
      <c r="S442" s="39" t="s">
        <v>8570</v>
      </c>
      <c r="AK442" s="39" t="str">
        <f>("2025/03/24")</f>
        <v>2025/03/24</v>
      </c>
      <c r="AL442" s="39" t="str">
        <f t="shared" si="32"/>
        <v>2025/04/01</v>
      </c>
    </row>
    <row r="443" spans="1:38" x14ac:dyDescent="0.25">
      <c r="A443" s="39" t="str">
        <f>("1310180034")</f>
        <v>1310180034</v>
      </c>
      <c r="C443" s="39"/>
      <c r="D443" s="39" t="s">
        <v>8857</v>
      </c>
      <c r="E443" s="371" t="str">
        <f t="shared" si="29"/>
        <v>たてやま　こころ</v>
      </c>
      <c r="F443" s="39" t="s">
        <v>2299</v>
      </c>
      <c r="G443" s="39" t="s">
        <v>7828</v>
      </c>
      <c r="H443" s="39" t="str">
        <f>("2013/10/18")</f>
        <v>2013/10/18</v>
      </c>
      <c r="I443" s="39">
        <v>6</v>
      </c>
      <c r="J443" s="39" t="s">
        <v>1480</v>
      </c>
      <c r="K443" s="39" t="s">
        <v>2122</v>
      </c>
      <c r="L443" s="39" t="s">
        <v>7830</v>
      </c>
      <c r="M443" s="39" t="s">
        <v>7831</v>
      </c>
      <c r="N443" s="39" t="str">
        <f>("1066647")</f>
        <v>1066647</v>
      </c>
      <c r="P443" s="39" t="s">
        <v>11931</v>
      </c>
      <c r="Q443" s="39" t="s">
        <v>8568</v>
      </c>
      <c r="R443" s="39" t="s">
        <v>8569</v>
      </c>
      <c r="S443" s="39" t="s">
        <v>8570</v>
      </c>
      <c r="AA443" s="39" t="s">
        <v>2122</v>
      </c>
      <c r="AB443" s="39" t="s">
        <v>7830</v>
      </c>
      <c r="AC443" s="39" t="s">
        <v>7831</v>
      </c>
      <c r="AD443" s="39" t="str">
        <f>("1038323")</f>
        <v>1038323</v>
      </c>
      <c r="AE443" s="39" t="s">
        <v>8858</v>
      </c>
      <c r="AK443" s="39" t="str">
        <f>("2025/03/21")</f>
        <v>2025/03/21</v>
      </c>
      <c r="AL443" s="39" t="str">
        <f t="shared" si="32"/>
        <v>2025/04/01</v>
      </c>
    </row>
    <row r="444" spans="1:38" x14ac:dyDescent="0.25">
      <c r="A444" s="39" t="str">
        <f>("1310190148")</f>
        <v>1310190148</v>
      </c>
      <c r="C444" s="39"/>
      <c r="D444" s="39" t="s">
        <v>8859</v>
      </c>
      <c r="E444" s="371" t="str">
        <f t="shared" si="29"/>
        <v>えしま　けんた</v>
      </c>
      <c r="F444" s="39" t="s">
        <v>413</v>
      </c>
      <c r="G444" s="39" t="s">
        <v>7828</v>
      </c>
      <c r="H444" s="39" t="str">
        <f>("2013/10/19")</f>
        <v>2013/10/19</v>
      </c>
      <c r="I444" s="39">
        <v>6</v>
      </c>
      <c r="J444" s="39" t="s">
        <v>1478</v>
      </c>
      <c r="K444" s="39" t="s">
        <v>2122</v>
      </c>
      <c r="L444" s="39" t="s">
        <v>7830</v>
      </c>
      <c r="M444" s="39" t="s">
        <v>7831</v>
      </c>
      <c r="N444" s="39" t="str">
        <f>("0436902")</f>
        <v>0436902</v>
      </c>
      <c r="P444" s="39" t="s">
        <v>11932</v>
      </c>
      <c r="Q444" s="39" t="s">
        <v>8568</v>
      </c>
      <c r="R444" s="39" t="s">
        <v>8569</v>
      </c>
      <c r="S444" s="39" t="s">
        <v>8570</v>
      </c>
      <c r="AK444" s="39" t="str">
        <f>("2025/03/24")</f>
        <v>2025/03/24</v>
      </c>
      <c r="AL444" s="39" t="str">
        <f t="shared" si="32"/>
        <v>2025/04/01</v>
      </c>
    </row>
    <row r="445" spans="1:38" x14ac:dyDescent="0.25">
      <c r="A445" s="39" t="str">
        <f>("1310200087")</f>
        <v>1310200087</v>
      </c>
      <c r="C445" s="39"/>
      <c r="D445" s="39" t="s">
        <v>4340</v>
      </c>
      <c r="E445" s="371" t="str">
        <f t="shared" si="29"/>
        <v>いけだ　あつき</v>
      </c>
      <c r="F445" s="39" t="s">
        <v>2918</v>
      </c>
      <c r="G445" s="39" t="s">
        <v>7828</v>
      </c>
      <c r="H445" s="39" t="str">
        <f>("2013/10/20")</f>
        <v>2013/10/20</v>
      </c>
      <c r="I445" s="39">
        <v>6</v>
      </c>
      <c r="J445" s="39" t="s">
        <v>1478</v>
      </c>
      <c r="K445" s="39" t="s">
        <v>2122</v>
      </c>
      <c r="L445" s="39" t="s">
        <v>7830</v>
      </c>
      <c r="M445" s="39" t="s">
        <v>7831</v>
      </c>
      <c r="N445" s="39" t="str">
        <f>("0129912")</f>
        <v>0129912</v>
      </c>
      <c r="P445" s="39" t="s">
        <v>11933</v>
      </c>
      <c r="Q445" s="39" t="s">
        <v>8568</v>
      </c>
      <c r="R445" s="39" t="s">
        <v>8569</v>
      </c>
      <c r="S445" s="39" t="s">
        <v>8570</v>
      </c>
      <c r="AK445" s="39" t="str">
        <f>("2025/03/17")</f>
        <v>2025/03/17</v>
      </c>
      <c r="AL445" s="39" t="str">
        <f t="shared" si="32"/>
        <v>2025/04/01</v>
      </c>
    </row>
    <row r="446" spans="1:38" x14ac:dyDescent="0.25">
      <c r="A446" s="39" t="str">
        <f>("1310200160")</f>
        <v>1310200160</v>
      </c>
      <c r="C446" s="39"/>
      <c r="D446" s="39" t="s">
        <v>8860</v>
      </c>
      <c r="E446" s="371" t="str">
        <f t="shared" si="29"/>
        <v>さとう　おうが</v>
      </c>
      <c r="F446" s="39" t="s">
        <v>2350</v>
      </c>
      <c r="G446" s="39" t="s">
        <v>7828</v>
      </c>
      <c r="H446" s="39" t="str">
        <f>("2013/10/20")</f>
        <v>2013/10/20</v>
      </c>
      <c r="I446" s="39">
        <v>6</v>
      </c>
      <c r="J446" s="39" t="s">
        <v>1478</v>
      </c>
      <c r="K446" s="39" t="s">
        <v>2122</v>
      </c>
      <c r="L446" s="39" t="s">
        <v>7830</v>
      </c>
      <c r="M446" s="39" t="s">
        <v>7831</v>
      </c>
      <c r="N446" s="39" t="str">
        <f>("0360032")</f>
        <v>0360032</v>
      </c>
      <c r="P446" s="39" t="s">
        <v>11934</v>
      </c>
      <c r="Q446" s="39" t="s">
        <v>8568</v>
      </c>
      <c r="R446" s="39" t="s">
        <v>8569</v>
      </c>
      <c r="S446" s="39" t="s">
        <v>8570</v>
      </c>
      <c r="AK446" s="39" t="str">
        <f>("2025/03/17")</f>
        <v>2025/03/17</v>
      </c>
      <c r="AL446" s="39" t="str">
        <f t="shared" si="32"/>
        <v>2025/04/01</v>
      </c>
    </row>
    <row r="447" spans="1:38" x14ac:dyDescent="0.25">
      <c r="A447" s="39" t="str">
        <f>("1310210112")</f>
        <v>1310210112</v>
      </c>
      <c r="B447" s="39" t="s">
        <v>8861</v>
      </c>
      <c r="C447" s="39"/>
      <c r="D447" s="39" t="s">
        <v>8862</v>
      </c>
      <c r="E447" s="371" t="str">
        <f t="shared" si="29"/>
        <v>まえかた　れい</v>
      </c>
      <c r="F447" s="39" t="s">
        <v>7843</v>
      </c>
      <c r="G447" s="39" t="s">
        <v>7828</v>
      </c>
      <c r="H447" s="39" t="str">
        <f>("2013/10/21")</f>
        <v>2013/10/21</v>
      </c>
      <c r="I447" s="39">
        <v>6</v>
      </c>
      <c r="J447" s="39" t="s">
        <v>1478</v>
      </c>
      <c r="K447" s="39" t="s">
        <v>2122</v>
      </c>
      <c r="L447" s="39" t="s">
        <v>7830</v>
      </c>
      <c r="M447" s="39" t="s">
        <v>7831</v>
      </c>
      <c r="N447" s="39" t="str">
        <f>("1117332")</f>
        <v>1117332</v>
      </c>
      <c r="P447" s="39" t="s">
        <v>11935</v>
      </c>
      <c r="Q447" s="39" t="s">
        <v>8568</v>
      </c>
      <c r="R447" s="39" t="s">
        <v>8569</v>
      </c>
      <c r="S447" s="39" t="s">
        <v>8570</v>
      </c>
      <c r="AA447" s="39" t="s">
        <v>2122</v>
      </c>
      <c r="AB447" s="39" t="s">
        <v>7830</v>
      </c>
      <c r="AC447" s="39" t="s">
        <v>7831</v>
      </c>
      <c r="AD447" s="39" t="str">
        <f>("1073454")</f>
        <v>1073454</v>
      </c>
      <c r="AE447" s="39" t="s">
        <v>8749</v>
      </c>
      <c r="AK447" s="39" t="str">
        <f>("2025/03/17")</f>
        <v>2025/03/17</v>
      </c>
      <c r="AL447" s="39" t="str">
        <f t="shared" si="32"/>
        <v>2025/04/01</v>
      </c>
    </row>
    <row r="448" spans="1:38" x14ac:dyDescent="0.25">
      <c r="A448" s="39" t="str">
        <f>("1310210183")</f>
        <v>1310210183</v>
      </c>
      <c r="B448" s="39" t="s">
        <v>8863</v>
      </c>
      <c r="C448" s="39"/>
      <c r="D448" s="39" t="s">
        <v>4803</v>
      </c>
      <c r="E448" s="371" t="str">
        <f t="shared" si="29"/>
        <v>しゅとう　おりと</v>
      </c>
      <c r="F448" s="39" t="s">
        <v>1095</v>
      </c>
      <c r="G448" s="39" t="s">
        <v>7828</v>
      </c>
      <c r="H448" s="39" t="str">
        <f>("2013/10/21")</f>
        <v>2013/10/21</v>
      </c>
      <c r="I448" s="39">
        <v>6</v>
      </c>
      <c r="J448" s="39" t="s">
        <v>1478</v>
      </c>
      <c r="K448" s="39" t="s">
        <v>2122</v>
      </c>
      <c r="L448" s="39" t="s">
        <v>7830</v>
      </c>
      <c r="M448" s="39" t="s">
        <v>7831</v>
      </c>
      <c r="N448" s="39" t="str">
        <f>("0487492")</f>
        <v>0487492</v>
      </c>
      <c r="P448" s="39" t="s">
        <v>11936</v>
      </c>
      <c r="Q448" s="39" t="s">
        <v>8568</v>
      </c>
      <c r="R448" s="39" t="s">
        <v>8569</v>
      </c>
      <c r="S448" s="39" t="s">
        <v>8570</v>
      </c>
      <c r="AK448" s="39" t="str">
        <f>("2025/03/21")</f>
        <v>2025/03/21</v>
      </c>
      <c r="AL448" s="39" t="str">
        <f t="shared" si="32"/>
        <v>2025/04/01</v>
      </c>
    </row>
    <row r="449" spans="1:39" x14ac:dyDescent="0.25">
      <c r="A449" s="39" t="str">
        <f>("1310220014")</f>
        <v>1310220014</v>
      </c>
      <c r="C449" s="39"/>
      <c r="D449" s="39" t="s">
        <v>5890</v>
      </c>
      <c r="E449" s="371" t="str">
        <f t="shared" si="29"/>
        <v>えいもり　こたろう</v>
      </c>
      <c r="F449" s="39" t="s">
        <v>1190</v>
      </c>
      <c r="G449" s="39" t="s">
        <v>7828</v>
      </c>
      <c r="H449" s="39" t="str">
        <f>("2013/10/22")</f>
        <v>2013/10/22</v>
      </c>
      <c r="I449" s="39">
        <v>6</v>
      </c>
      <c r="J449" s="39" t="s">
        <v>1478</v>
      </c>
      <c r="K449" s="39" t="s">
        <v>2122</v>
      </c>
      <c r="L449" s="39" t="s">
        <v>7830</v>
      </c>
      <c r="M449" s="39" t="s">
        <v>7831</v>
      </c>
      <c r="N449" s="39" t="str">
        <f>("0130554")</f>
        <v>0130554</v>
      </c>
      <c r="P449" s="39" t="s">
        <v>11937</v>
      </c>
      <c r="Q449" s="39" t="s">
        <v>8568</v>
      </c>
      <c r="R449" s="39" t="s">
        <v>8569</v>
      </c>
      <c r="S449" s="39" t="s">
        <v>8570</v>
      </c>
      <c r="AK449" s="39" t="str">
        <f>("2025/03/17")</f>
        <v>2025/03/17</v>
      </c>
      <c r="AL449" s="39" t="str">
        <f t="shared" si="32"/>
        <v>2025/04/01</v>
      </c>
    </row>
    <row r="450" spans="1:39" x14ac:dyDescent="0.25">
      <c r="A450" s="39" t="str">
        <f>("1310220128")</f>
        <v>1310220128</v>
      </c>
      <c r="B450" s="39" t="s">
        <v>8864</v>
      </c>
      <c r="C450" s="39"/>
      <c r="D450" s="39" t="s">
        <v>4040</v>
      </c>
      <c r="E450" s="371" t="str">
        <f t="shared" si="29"/>
        <v>これなが　けいた</v>
      </c>
      <c r="F450" s="39" t="s">
        <v>2549</v>
      </c>
      <c r="G450" s="39" t="s">
        <v>7828</v>
      </c>
      <c r="H450" s="39" t="str">
        <f>("2013/10/22")</f>
        <v>2013/10/22</v>
      </c>
      <c r="I450" s="39">
        <v>6</v>
      </c>
      <c r="J450" s="39" t="s">
        <v>1478</v>
      </c>
      <c r="K450" s="39" t="s">
        <v>2122</v>
      </c>
      <c r="L450" s="39" t="s">
        <v>7830</v>
      </c>
      <c r="M450" s="39" t="s">
        <v>7831</v>
      </c>
      <c r="N450" s="39" t="str">
        <f>("0130688")</f>
        <v>0130688</v>
      </c>
      <c r="P450" s="39" t="s">
        <v>11938</v>
      </c>
      <c r="Q450" s="39" t="s">
        <v>8568</v>
      </c>
      <c r="R450" s="39" t="s">
        <v>8569</v>
      </c>
      <c r="S450" s="39" t="s">
        <v>8570</v>
      </c>
      <c r="AK450" s="39" t="str">
        <f>("2025/03/17")</f>
        <v>2025/03/17</v>
      </c>
      <c r="AL450" s="39" t="str">
        <f t="shared" si="32"/>
        <v>2025/04/01</v>
      </c>
    </row>
    <row r="451" spans="1:39" x14ac:dyDescent="0.25">
      <c r="A451" s="39" t="str">
        <f>("1310220165")</f>
        <v>1310220165</v>
      </c>
      <c r="B451" s="39" t="s">
        <v>8865</v>
      </c>
      <c r="C451" s="39"/>
      <c r="D451" s="39" t="s">
        <v>5794</v>
      </c>
      <c r="E451" s="371" t="str">
        <f t="shared" ref="E451:E514" si="34">PHONETIC(P451)</f>
        <v>ますむら　おうた</v>
      </c>
      <c r="F451" s="39" t="s">
        <v>2516</v>
      </c>
      <c r="G451" s="39" t="s">
        <v>7828</v>
      </c>
      <c r="H451" s="39" t="str">
        <f>("2013/10/22")</f>
        <v>2013/10/22</v>
      </c>
      <c r="I451" s="39">
        <v>6</v>
      </c>
      <c r="J451" s="39" t="s">
        <v>1478</v>
      </c>
      <c r="K451" s="39" t="s">
        <v>2122</v>
      </c>
      <c r="L451" s="39" t="s">
        <v>7830</v>
      </c>
      <c r="M451" s="39" t="s">
        <v>7831</v>
      </c>
      <c r="N451" s="39" t="str">
        <f>("0130116")</f>
        <v>0130116</v>
      </c>
      <c r="P451" s="39" t="s">
        <v>11939</v>
      </c>
      <c r="Q451" s="39" t="s">
        <v>8568</v>
      </c>
      <c r="R451" s="39" t="s">
        <v>8569</v>
      </c>
      <c r="S451" s="39" t="s">
        <v>8570</v>
      </c>
      <c r="AK451" s="39" t="str">
        <f>("2025/03/25")</f>
        <v>2025/03/25</v>
      </c>
      <c r="AL451" s="39" t="str">
        <f t="shared" si="32"/>
        <v>2025/04/01</v>
      </c>
    </row>
    <row r="452" spans="1:39" x14ac:dyDescent="0.25">
      <c r="A452" s="39" t="str">
        <f>("1310230153")</f>
        <v>1310230153</v>
      </c>
      <c r="C452" s="39"/>
      <c r="D452" s="39" t="s">
        <v>4310</v>
      </c>
      <c r="E452" s="371" t="str">
        <f t="shared" si="34"/>
        <v>こや　そうま</v>
      </c>
      <c r="F452" s="39" t="s">
        <v>2491</v>
      </c>
      <c r="G452" s="39" t="s">
        <v>7828</v>
      </c>
      <c r="H452" s="39" t="str">
        <f>("2013/10/23")</f>
        <v>2013/10/23</v>
      </c>
      <c r="I452" s="39">
        <v>6</v>
      </c>
      <c r="J452" s="39" t="s">
        <v>1478</v>
      </c>
      <c r="K452" s="39" t="s">
        <v>2122</v>
      </c>
      <c r="L452" s="39" t="s">
        <v>7830</v>
      </c>
      <c r="M452" s="39" t="s">
        <v>7831</v>
      </c>
      <c r="N452" s="39" t="str">
        <f>("0129822")</f>
        <v>0129822</v>
      </c>
      <c r="P452" s="39" t="s">
        <v>11940</v>
      </c>
      <c r="Q452" s="39" t="s">
        <v>8568</v>
      </c>
      <c r="R452" s="39" t="s">
        <v>8569</v>
      </c>
      <c r="S452" s="39" t="s">
        <v>8570</v>
      </c>
      <c r="AK452" s="39" t="str">
        <f t="shared" ref="AK452:AK457" si="35">("2025/03/17")</f>
        <v>2025/03/17</v>
      </c>
      <c r="AL452" s="39" t="str">
        <f t="shared" si="32"/>
        <v>2025/04/01</v>
      </c>
    </row>
    <row r="453" spans="1:39" x14ac:dyDescent="0.25">
      <c r="A453" s="39" t="str">
        <f>("1310230222")</f>
        <v>1310230222</v>
      </c>
      <c r="C453" s="39"/>
      <c r="D453" s="39" t="s">
        <v>5691</v>
      </c>
      <c r="E453" s="371" t="str">
        <f t="shared" si="34"/>
        <v>かもだ　こうま</v>
      </c>
      <c r="F453" s="39" t="s">
        <v>334</v>
      </c>
      <c r="G453" s="39" t="s">
        <v>7828</v>
      </c>
      <c r="H453" s="39" t="str">
        <f>("2013/10/23")</f>
        <v>2013/10/23</v>
      </c>
      <c r="I453" s="39">
        <v>6</v>
      </c>
      <c r="J453" s="39" t="s">
        <v>1478</v>
      </c>
      <c r="K453" s="39" t="s">
        <v>2122</v>
      </c>
      <c r="L453" s="39" t="s">
        <v>7830</v>
      </c>
      <c r="M453" s="39" t="s">
        <v>7831</v>
      </c>
      <c r="N453" s="39" t="str">
        <f>("0129664")</f>
        <v>0129664</v>
      </c>
      <c r="P453" s="39" t="s">
        <v>11941</v>
      </c>
      <c r="Q453" s="39" t="s">
        <v>8568</v>
      </c>
      <c r="R453" s="39" t="s">
        <v>8569</v>
      </c>
      <c r="S453" s="39" t="s">
        <v>8570</v>
      </c>
      <c r="AK453" s="39" t="str">
        <f t="shared" si="35"/>
        <v>2025/03/17</v>
      </c>
      <c r="AL453" s="39" t="str">
        <f t="shared" si="32"/>
        <v>2025/04/01</v>
      </c>
    </row>
    <row r="454" spans="1:39" x14ac:dyDescent="0.25">
      <c r="A454" s="39" t="str">
        <f>("1310230235")</f>
        <v>1310230235</v>
      </c>
      <c r="C454" s="39"/>
      <c r="D454" s="39" t="s">
        <v>5916</v>
      </c>
      <c r="E454" s="371" t="str">
        <f t="shared" si="34"/>
        <v>にし　こたろう</v>
      </c>
      <c r="F454" s="39" t="s">
        <v>2549</v>
      </c>
      <c r="G454" s="39" t="s">
        <v>7828</v>
      </c>
      <c r="H454" s="39" t="str">
        <f>("2013/10/23")</f>
        <v>2013/10/23</v>
      </c>
      <c r="I454" s="39">
        <v>6</v>
      </c>
      <c r="J454" s="39" t="s">
        <v>1478</v>
      </c>
      <c r="K454" s="39" t="s">
        <v>2122</v>
      </c>
      <c r="L454" s="39" t="s">
        <v>7830</v>
      </c>
      <c r="M454" s="39" t="s">
        <v>7831</v>
      </c>
      <c r="N454" s="39" t="str">
        <f>("0130688")</f>
        <v>0130688</v>
      </c>
      <c r="P454" s="39" t="s">
        <v>11942</v>
      </c>
      <c r="Q454" s="39" t="s">
        <v>8568</v>
      </c>
      <c r="R454" s="39" t="s">
        <v>8569</v>
      </c>
      <c r="S454" s="39" t="s">
        <v>8570</v>
      </c>
      <c r="AK454" s="39" t="str">
        <f t="shared" si="35"/>
        <v>2025/03/17</v>
      </c>
      <c r="AL454" s="39" t="str">
        <f t="shared" si="32"/>
        <v>2025/04/01</v>
      </c>
    </row>
    <row r="455" spans="1:39" x14ac:dyDescent="0.25">
      <c r="A455" s="39" t="str">
        <f>("1310240211")</f>
        <v>1310240211</v>
      </c>
      <c r="C455" s="39"/>
      <c r="D455" s="39" t="s">
        <v>4548</v>
      </c>
      <c r="E455" s="371" t="str">
        <f t="shared" si="34"/>
        <v>いわなが　たいせい</v>
      </c>
      <c r="F455" s="39" t="s">
        <v>2243</v>
      </c>
      <c r="G455" s="39" t="s">
        <v>7828</v>
      </c>
      <c r="H455" s="39" t="str">
        <f>("2013/10/24")</f>
        <v>2013/10/24</v>
      </c>
      <c r="I455" s="39">
        <v>6</v>
      </c>
      <c r="J455" s="39" t="s">
        <v>1478</v>
      </c>
      <c r="K455" s="39" t="s">
        <v>2122</v>
      </c>
      <c r="L455" s="39" t="s">
        <v>7830</v>
      </c>
      <c r="M455" s="39" t="s">
        <v>7831</v>
      </c>
      <c r="N455" s="39" t="str">
        <f>("0130565")</f>
        <v>0130565</v>
      </c>
      <c r="P455" s="39" t="s">
        <v>11943</v>
      </c>
      <c r="Q455" s="39" t="s">
        <v>8568</v>
      </c>
      <c r="R455" s="39" t="s">
        <v>8569</v>
      </c>
      <c r="S455" s="39" t="s">
        <v>8570</v>
      </c>
      <c r="AK455" s="39" t="str">
        <f t="shared" si="35"/>
        <v>2025/03/17</v>
      </c>
      <c r="AL455" s="39" t="str">
        <f t="shared" si="32"/>
        <v>2025/04/01</v>
      </c>
    </row>
    <row r="456" spans="1:39" x14ac:dyDescent="0.25">
      <c r="A456" s="39" t="str">
        <f>("1310250107")</f>
        <v>1310250107</v>
      </c>
      <c r="C456" s="39"/>
      <c r="D456" s="39" t="s">
        <v>4456</v>
      </c>
      <c r="E456" s="371" t="str">
        <f t="shared" si="34"/>
        <v>やまさき　あおま</v>
      </c>
      <c r="F456" s="39" t="s">
        <v>2531</v>
      </c>
      <c r="G456" s="39" t="s">
        <v>7828</v>
      </c>
      <c r="H456" s="39" t="str">
        <f>("2013/10/25")</f>
        <v>2013/10/25</v>
      </c>
      <c r="I456" s="39">
        <v>6</v>
      </c>
      <c r="J456" s="39" t="s">
        <v>1478</v>
      </c>
      <c r="K456" s="39" t="s">
        <v>2122</v>
      </c>
      <c r="L456" s="39" t="s">
        <v>7830</v>
      </c>
      <c r="M456" s="39" t="s">
        <v>7831</v>
      </c>
      <c r="N456" s="39" t="str">
        <f>("0130419")</f>
        <v>0130419</v>
      </c>
      <c r="P456" s="39" t="s">
        <v>11944</v>
      </c>
      <c r="Q456" s="39" t="s">
        <v>8568</v>
      </c>
      <c r="R456" s="39" t="s">
        <v>8569</v>
      </c>
      <c r="S456" s="39" t="s">
        <v>8570</v>
      </c>
      <c r="AK456" s="39" t="str">
        <f t="shared" si="35"/>
        <v>2025/03/17</v>
      </c>
      <c r="AL456" s="39" t="str">
        <f t="shared" si="32"/>
        <v>2025/04/01</v>
      </c>
    </row>
    <row r="457" spans="1:39" x14ac:dyDescent="0.25">
      <c r="A457" s="39" t="str">
        <f>("1310250108")</f>
        <v>1310250108</v>
      </c>
      <c r="C457" s="39"/>
      <c r="D457" s="39" t="s">
        <v>4458</v>
      </c>
      <c r="E457" s="371" t="str">
        <f t="shared" si="34"/>
        <v>やまさき　そうま</v>
      </c>
      <c r="F457" s="39" t="s">
        <v>2531</v>
      </c>
      <c r="G457" s="39" t="s">
        <v>7828</v>
      </c>
      <c r="H457" s="39" t="str">
        <f>("2013/10/25")</f>
        <v>2013/10/25</v>
      </c>
      <c r="I457" s="39">
        <v>6</v>
      </c>
      <c r="J457" s="39" t="s">
        <v>1478</v>
      </c>
      <c r="K457" s="39" t="s">
        <v>2122</v>
      </c>
      <c r="L457" s="39" t="s">
        <v>7830</v>
      </c>
      <c r="M457" s="39" t="s">
        <v>7831</v>
      </c>
      <c r="N457" s="39" t="str">
        <f>("0130419")</f>
        <v>0130419</v>
      </c>
      <c r="P457" s="39" t="s">
        <v>11945</v>
      </c>
      <c r="Q457" s="39" t="s">
        <v>8568</v>
      </c>
      <c r="R457" s="39" t="s">
        <v>8569</v>
      </c>
      <c r="S457" s="39" t="s">
        <v>8570</v>
      </c>
      <c r="AK457" s="39" t="str">
        <f t="shared" si="35"/>
        <v>2025/03/17</v>
      </c>
      <c r="AL457" s="39" t="str">
        <f t="shared" si="32"/>
        <v>2025/04/01</v>
      </c>
    </row>
    <row r="458" spans="1:39" x14ac:dyDescent="0.25">
      <c r="A458" s="39" t="str">
        <f>("1310250167")</f>
        <v>1310250167</v>
      </c>
      <c r="B458" s="39" t="s">
        <v>8866</v>
      </c>
      <c r="C458" s="39"/>
      <c r="D458" s="39" t="s">
        <v>6065</v>
      </c>
      <c r="E458" s="371" t="str">
        <f t="shared" si="34"/>
        <v>やまもと　あおい</v>
      </c>
      <c r="F458" s="39" t="s">
        <v>2587</v>
      </c>
      <c r="G458" s="39" t="s">
        <v>7828</v>
      </c>
      <c r="H458" s="39" t="str">
        <f>("2013/10/25")</f>
        <v>2013/10/25</v>
      </c>
      <c r="I458" s="39">
        <v>6</v>
      </c>
      <c r="J458" s="39" t="s">
        <v>1478</v>
      </c>
      <c r="K458" s="39" t="s">
        <v>2122</v>
      </c>
      <c r="L458" s="39" t="s">
        <v>7830</v>
      </c>
      <c r="M458" s="39" t="s">
        <v>7831</v>
      </c>
      <c r="N458" s="39" t="str">
        <f>("0387334")</f>
        <v>0387334</v>
      </c>
      <c r="P458" s="39" t="s">
        <v>11946</v>
      </c>
      <c r="Q458" s="39" t="s">
        <v>8568</v>
      </c>
      <c r="R458" s="39" t="s">
        <v>8569</v>
      </c>
      <c r="S458" s="39" t="s">
        <v>8570</v>
      </c>
      <c r="AK458" s="39" t="str">
        <f>("2025/03/27")</f>
        <v>2025/03/27</v>
      </c>
      <c r="AL458" s="39" t="str">
        <f t="shared" si="32"/>
        <v>2025/04/01</v>
      </c>
    </row>
    <row r="459" spans="1:39" x14ac:dyDescent="0.25">
      <c r="A459" s="39" t="str">
        <f>("1310270081")</f>
        <v>1310270081</v>
      </c>
      <c r="C459" s="39"/>
      <c r="D459" s="39" t="s">
        <v>6126</v>
      </c>
      <c r="E459" s="371" t="str">
        <f t="shared" si="34"/>
        <v>こだま　なぎ</v>
      </c>
      <c r="F459" s="39" t="s">
        <v>413</v>
      </c>
      <c r="G459" s="39" t="s">
        <v>7828</v>
      </c>
      <c r="H459" s="39" t="str">
        <f>("2013/10/27")</f>
        <v>2013/10/27</v>
      </c>
      <c r="I459" s="39">
        <v>6</v>
      </c>
      <c r="J459" s="39" t="s">
        <v>1478</v>
      </c>
      <c r="K459" s="39" t="s">
        <v>2122</v>
      </c>
      <c r="L459" s="39" t="s">
        <v>7830</v>
      </c>
      <c r="M459" s="39" t="s">
        <v>7831</v>
      </c>
      <c r="N459" s="39" t="str">
        <f>("0436902")</f>
        <v>0436902</v>
      </c>
      <c r="P459" s="39" t="s">
        <v>11947</v>
      </c>
      <c r="Q459" s="39" t="s">
        <v>8568</v>
      </c>
      <c r="R459" s="39" t="s">
        <v>8569</v>
      </c>
      <c r="S459" s="39" t="s">
        <v>8570</v>
      </c>
      <c r="AK459" s="39" t="str">
        <f>("2025/03/24")</f>
        <v>2025/03/24</v>
      </c>
      <c r="AL459" s="39" t="str">
        <f t="shared" si="32"/>
        <v>2025/04/01</v>
      </c>
    </row>
    <row r="460" spans="1:39" x14ac:dyDescent="0.25">
      <c r="A460" s="39" t="str">
        <f>("1310280019")</f>
        <v>1310280019</v>
      </c>
      <c r="B460" s="39" t="s">
        <v>8867</v>
      </c>
      <c r="C460" s="39"/>
      <c r="D460" s="39" t="s">
        <v>4253</v>
      </c>
      <c r="E460" s="371" t="str">
        <f t="shared" si="34"/>
        <v>あらまき　おうが</v>
      </c>
      <c r="F460" s="39" t="s">
        <v>5615</v>
      </c>
      <c r="G460" s="39" t="s">
        <v>7828</v>
      </c>
      <c r="H460" s="39" t="str">
        <f>("2013/10/28")</f>
        <v>2013/10/28</v>
      </c>
      <c r="I460" s="39">
        <v>6</v>
      </c>
      <c r="J460" s="39" t="s">
        <v>1478</v>
      </c>
      <c r="K460" s="39" t="s">
        <v>2122</v>
      </c>
      <c r="L460" s="39" t="s">
        <v>7830</v>
      </c>
      <c r="M460" s="39" t="s">
        <v>7831</v>
      </c>
      <c r="N460" s="39" t="str">
        <f>("0129642")</f>
        <v>0129642</v>
      </c>
      <c r="P460" s="39" t="s">
        <v>11948</v>
      </c>
      <c r="Q460" s="39" t="s">
        <v>8568</v>
      </c>
      <c r="R460" s="39" t="s">
        <v>8569</v>
      </c>
      <c r="S460" s="39" t="s">
        <v>8570</v>
      </c>
      <c r="AK460" s="39" t="str">
        <f>("2025/03/24")</f>
        <v>2025/03/24</v>
      </c>
      <c r="AL460" s="39" t="str">
        <f t="shared" si="32"/>
        <v>2025/04/01</v>
      </c>
    </row>
    <row r="461" spans="1:39" x14ac:dyDescent="0.25">
      <c r="A461" s="39" t="str">
        <f>("1310280030")</f>
        <v>1310280030</v>
      </c>
      <c r="C461" s="39"/>
      <c r="D461" s="39" t="s">
        <v>3052</v>
      </c>
      <c r="E461" s="371" t="str">
        <f t="shared" si="34"/>
        <v>くぎみや　あさき</v>
      </c>
      <c r="F461" s="39" t="s">
        <v>1865</v>
      </c>
      <c r="G461" s="39" t="s">
        <v>7828</v>
      </c>
      <c r="H461" s="39" t="str">
        <f>("2013/10/28")</f>
        <v>2013/10/28</v>
      </c>
      <c r="I461" s="39">
        <v>6</v>
      </c>
      <c r="J461" s="39" t="s">
        <v>1478</v>
      </c>
      <c r="K461" s="39" t="s">
        <v>2122</v>
      </c>
      <c r="L461" s="39" t="s">
        <v>7830</v>
      </c>
      <c r="M461" s="39" t="s">
        <v>7831</v>
      </c>
      <c r="N461" s="39" t="str">
        <f>("0310565")</f>
        <v>0310565</v>
      </c>
      <c r="P461" s="39" t="s">
        <v>11949</v>
      </c>
      <c r="Q461" s="39" t="s">
        <v>8568</v>
      </c>
      <c r="R461" s="39" t="s">
        <v>8569</v>
      </c>
      <c r="S461" s="39" t="s">
        <v>8570</v>
      </c>
      <c r="AK461" s="39" t="str">
        <f>("2025/03/17")</f>
        <v>2025/03/17</v>
      </c>
      <c r="AL461" s="39" t="str">
        <f t="shared" si="32"/>
        <v>2025/04/01</v>
      </c>
    </row>
    <row r="462" spans="1:39" x14ac:dyDescent="0.25">
      <c r="A462" s="39" t="str">
        <f>("1310280118")</f>
        <v>1310280118</v>
      </c>
      <c r="B462" s="39" t="s">
        <v>8868</v>
      </c>
      <c r="C462" s="39"/>
      <c r="D462" s="39" t="s">
        <v>8869</v>
      </c>
      <c r="E462" s="371" t="str">
        <f t="shared" si="34"/>
        <v>なかやま　はると</v>
      </c>
      <c r="F462" s="39" t="s">
        <v>2651</v>
      </c>
      <c r="G462" s="39" t="s">
        <v>7828</v>
      </c>
      <c r="H462" s="39" t="str">
        <f>("2013/10/28")</f>
        <v>2013/10/28</v>
      </c>
      <c r="I462" s="39">
        <v>6</v>
      </c>
      <c r="J462" s="39" t="s">
        <v>1478</v>
      </c>
      <c r="K462" s="39" t="s">
        <v>2122</v>
      </c>
      <c r="L462" s="39" t="s">
        <v>7830</v>
      </c>
      <c r="M462" s="39" t="s">
        <v>7831</v>
      </c>
      <c r="N462" s="39" t="str">
        <f>("1067415")</f>
        <v>1067415</v>
      </c>
      <c r="P462" s="39" t="s">
        <v>11950</v>
      </c>
      <c r="Q462" s="39" t="s">
        <v>8568</v>
      </c>
      <c r="R462" s="39" t="s">
        <v>8569</v>
      </c>
      <c r="S462" s="39" t="s">
        <v>8570</v>
      </c>
      <c r="AK462" s="39" t="str">
        <f>("2025/03/21")</f>
        <v>2025/03/21</v>
      </c>
      <c r="AL462" s="39" t="str">
        <f t="shared" si="32"/>
        <v>2025/04/01</v>
      </c>
    </row>
    <row r="463" spans="1:39" x14ac:dyDescent="0.25">
      <c r="A463" s="39" t="str">
        <f>("1310280158")</f>
        <v>1310280158</v>
      </c>
      <c r="C463" s="39"/>
      <c r="D463" s="39" t="s">
        <v>8870</v>
      </c>
      <c r="E463" s="371" t="str">
        <f t="shared" si="34"/>
        <v>しみず　きずな</v>
      </c>
      <c r="F463" s="39" t="s">
        <v>2600</v>
      </c>
      <c r="G463" s="39" t="s">
        <v>7828</v>
      </c>
      <c r="H463" s="39" t="str">
        <f>("2013/10/28")</f>
        <v>2013/10/28</v>
      </c>
      <c r="I463" s="39">
        <v>6</v>
      </c>
      <c r="J463" s="39" t="s">
        <v>1478</v>
      </c>
      <c r="K463" s="39" t="s">
        <v>2122</v>
      </c>
      <c r="L463" s="39" t="s">
        <v>7830</v>
      </c>
      <c r="M463" s="39" t="s">
        <v>7831</v>
      </c>
      <c r="N463" s="39" t="str">
        <f>("0429757")</f>
        <v>0429757</v>
      </c>
      <c r="P463" s="39" t="s">
        <v>11951</v>
      </c>
      <c r="Q463" s="39" t="s">
        <v>8568</v>
      </c>
      <c r="R463" s="39" t="s">
        <v>8569</v>
      </c>
      <c r="S463" s="39" t="s">
        <v>8570</v>
      </c>
      <c r="AK463" s="39" t="str">
        <f>("2025/03/24")</f>
        <v>2025/03/24</v>
      </c>
      <c r="AL463" s="39" t="str">
        <f t="shared" si="32"/>
        <v>2025/04/01</v>
      </c>
    </row>
    <row r="464" spans="1:39" x14ac:dyDescent="0.25">
      <c r="A464" s="39" t="str">
        <f>("1310290019")</f>
        <v>1310290019</v>
      </c>
      <c r="B464" s="39" t="s">
        <v>8871</v>
      </c>
      <c r="C464" s="39"/>
      <c r="D464" s="39" t="s">
        <v>3954</v>
      </c>
      <c r="E464" s="371" t="str">
        <f t="shared" si="34"/>
        <v>せいけ　せら</v>
      </c>
      <c r="F464" s="39" t="s">
        <v>2138</v>
      </c>
      <c r="G464" s="39" t="s">
        <v>7828</v>
      </c>
      <c r="H464" s="39" t="str">
        <f>("2013/10/29")</f>
        <v>2013/10/29</v>
      </c>
      <c r="I464" s="39">
        <v>6</v>
      </c>
      <c r="J464" s="39" t="s">
        <v>1478</v>
      </c>
      <c r="K464" s="39" t="s">
        <v>2122</v>
      </c>
      <c r="L464" s="39" t="s">
        <v>7830</v>
      </c>
      <c r="M464" s="39" t="s">
        <v>7831</v>
      </c>
      <c r="N464" s="39" t="str">
        <f>("0130082")</f>
        <v>0130082</v>
      </c>
      <c r="P464" s="39" t="s">
        <v>11952</v>
      </c>
      <c r="Q464" s="39" t="s">
        <v>8568</v>
      </c>
      <c r="R464" s="39" t="s">
        <v>8569</v>
      </c>
      <c r="S464" s="39" t="s">
        <v>8570</v>
      </c>
      <c r="AA464" s="39" t="s">
        <v>2122</v>
      </c>
      <c r="AB464" s="39" t="s">
        <v>7830</v>
      </c>
      <c r="AC464" s="39" t="s">
        <v>7831</v>
      </c>
      <c r="AD464" s="39" t="str">
        <f>("0130071")</f>
        <v>0130071</v>
      </c>
      <c r="AE464" s="39" t="s">
        <v>2173</v>
      </c>
      <c r="AK464" s="39" t="str">
        <f>("2025/04/05")</f>
        <v>2025/04/05</v>
      </c>
      <c r="AL464" s="39" t="str">
        <f>("2025/04/05")</f>
        <v>2025/04/05</v>
      </c>
      <c r="AM464" s="39" t="str">
        <f>("2025/04/11")</f>
        <v>2025/04/11</v>
      </c>
    </row>
    <row r="465" spans="1:39" x14ac:dyDescent="0.25">
      <c r="A465" s="39" t="str">
        <f>("1310290151")</f>
        <v>1310290151</v>
      </c>
      <c r="B465" s="39" t="s">
        <v>8872</v>
      </c>
      <c r="C465" s="39"/>
      <c r="D465" s="39" t="s">
        <v>4829</v>
      </c>
      <c r="E465" s="371" t="str">
        <f t="shared" si="34"/>
        <v>かんざき　ゆい</v>
      </c>
      <c r="F465" s="39" t="s">
        <v>2647</v>
      </c>
      <c r="G465" s="39" t="s">
        <v>7828</v>
      </c>
      <c r="H465" s="39" t="str">
        <f>("2013/10/30")</f>
        <v>2013/10/30</v>
      </c>
      <c r="I465" s="39">
        <v>6</v>
      </c>
      <c r="J465" s="39" t="s">
        <v>1480</v>
      </c>
      <c r="K465" s="39" t="s">
        <v>2122</v>
      </c>
      <c r="L465" s="39" t="s">
        <v>7830</v>
      </c>
      <c r="M465" s="39" t="s">
        <v>7831</v>
      </c>
      <c r="N465" s="39" t="str">
        <f>("1036817")</f>
        <v>1036817</v>
      </c>
      <c r="P465" s="39" t="s">
        <v>11953</v>
      </c>
      <c r="Q465" s="39" t="s">
        <v>8568</v>
      </c>
      <c r="R465" s="39" t="s">
        <v>8569</v>
      </c>
      <c r="S465" s="39" t="s">
        <v>8570</v>
      </c>
      <c r="AK465" s="39" t="str">
        <f>("2025/03/17")</f>
        <v>2025/03/17</v>
      </c>
      <c r="AL465" s="39" t="str">
        <f t="shared" ref="AL465:AL495" si="36">("2025/04/01")</f>
        <v>2025/04/01</v>
      </c>
    </row>
    <row r="466" spans="1:39" x14ac:dyDescent="0.25">
      <c r="A466" s="39" t="str">
        <f>("1310300135")</f>
        <v>1310300135</v>
      </c>
      <c r="C466" s="39"/>
      <c r="D466" s="39" t="s">
        <v>4320</v>
      </c>
      <c r="E466" s="371" t="str">
        <f t="shared" si="34"/>
        <v>さかもと　はな</v>
      </c>
      <c r="F466" s="39" t="s">
        <v>834</v>
      </c>
      <c r="G466" s="39" t="s">
        <v>7828</v>
      </c>
      <c r="H466" s="39" t="str">
        <f>("2013/10/30")</f>
        <v>2013/10/30</v>
      </c>
      <c r="I466" s="39">
        <v>6</v>
      </c>
      <c r="J466" s="39" t="s">
        <v>1480</v>
      </c>
      <c r="K466" s="39" t="s">
        <v>2122</v>
      </c>
      <c r="L466" s="39" t="s">
        <v>7830</v>
      </c>
      <c r="M466" s="39" t="s">
        <v>7831</v>
      </c>
      <c r="N466" s="39" t="str">
        <f>("0129844")</f>
        <v>0129844</v>
      </c>
      <c r="P466" s="39" t="s">
        <v>11954</v>
      </c>
      <c r="Q466" s="39" t="s">
        <v>8568</v>
      </c>
      <c r="R466" s="39" t="s">
        <v>8569</v>
      </c>
      <c r="S466" s="39" t="s">
        <v>8570</v>
      </c>
      <c r="AK466" s="39" t="str">
        <f>("2025/03/17")</f>
        <v>2025/03/17</v>
      </c>
      <c r="AL466" s="39" t="str">
        <f t="shared" si="36"/>
        <v>2025/04/01</v>
      </c>
    </row>
    <row r="467" spans="1:39" x14ac:dyDescent="0.25">
      <c r="A467" s="39" t="str">
        <f>("1310300214")</f>
        <v>1310300214</v>
      </c>
      <c r="C467" s="39"/>
      <c r="D467" s="39" t="s">
        <v>6131</v>
      </c>
      <c r="E467" s="371" t="str">
        <f t="shared" si="34"/>
        <v>みたらい　つばさ</v>
      </c>
      <c r="F467" s="39" t="s">
        <v>2256</v>
      </c>
      <c r="G467" s="39" t="s">
        <v>7828</v>
      </c>
      <c r="H467" s="39" t="str">
        <f>("2013/10/30")</f>
        <v>2013/10/30</v>
      </c>
      <c r="I467" s="39">
        <v>6</v>
      </c>
      <c r="J467" s="39" t="s">
        <v>1480</v>
      </c>
      <c r="K467" s="39" t="s">
        <v>2122</v>
      </c>
      <c r="L467" s="39" t="s">
        <v>7830</v>
      </c>
      <c r="M467" s="39" t="s">
        <v>7831</v>
      </c>
      <c r="N467" s="39" t="str">
        <f>("0449119")</f>
        <v>0449119</v>
      </c>
      <c r="P467" s="39" t="s">
        <v>11955</v>
      </c>
      <c r="Q467" s="39" t="s">
        <v>8568</v>
      </c>
      <c r="R467" s="39" t="s">
        <v>8569</v>
      </c>
      <c r="S467" s="39" t="s">
        <v>8570</v>
      </c>
      <c r="AK467" s="39" t="str">
        <f>("2025/03/17")</f>
        <v>2025/03/17</v>
      </c>
      <c r="AL467" s="39" t="str">
        <f t="shared" si="36"/>
        <v>2025/04/01</v>
      </c>
    </row>
    <row r="468" spans="1:39" x14ac:dyDescent="0.25">
      <c r="A468" s="39" t="str">
        <f>("1310310007")</f>
        <v>1310310007</v>
      </c>
      <c r="C468" s="39"/>
      <c r="D468" s="39" t="s">
        <v>4076</v>
      </c>
      <c r="E468" s="371" t="str">
        <f t="shared" si="34"/>
        <v>たかつき　かいしん</v>
      </c>
      <c r="F468" s="39" t="s">
        <v>2573</v>
      </c>
      <c r="G468" s="39" t="s">
        <v>7828</v>
      </c>
      <c r="H468" s="39" t="str">
        <f>("2013/10/31")</f>
        <v>2013/10/31</v>
      </c>
      <c r="I468" s="39">
        <v>6</v>
      </c>
      <c r="J468" s="39" t="s">
        <v>1478</v>
      </c>
      <c r="K468" s="39" t="s">
        <v>2122</v>
      </c>
      <c r="L468" s="39" t="s">
        <v>7830</v>
      </c>
      <c r="M468" s="39" t="s">
        <v>7831</v>
      </c>
      <c r="N468" s="39" t="str">
        <f>("0230982")</f>
        <v>0230982</v>
      </c>
      <c r="P468" s="39" t="s">
        <v>11956</v>
      </c>
      <c r="Q468" s="39" t="s">
        <v>8568</v>
      </c>
      <c r="R468" s="39" t="s">
        <v>8569</v>
      </c>
      <c r="S468" s="39" t="s">
        <v>8570</v>
      </c>
      <c r="AK468" s="39" t="str">
        <f>("2025/03/17")</f>
        <v>2025/03/17</v>
      </c>
      <c r="AL468" s="39" t="str">
        <f t="shared" si="36"/>
        <v>2025/04/01</v>
      </c>
    </row>
    <row r="469" spans="1:39" x14ac:dyDescent="0.25">
      <c r="A469" s="39" t="str">
        <f>("1310310008")</f>
        <v>1310310008</v>
      </c>
      <c r="C469" s="39"/>
      <c r="D469" s="39" t="s">
        <v>6135</v>
      </c>
      <c r="E469" s="371" t="str">
        <f t="shared" si="34"/>
        <v>はたけやま　はる</v>
      </c>
      <c r="F469" s="39" t="s">
        <v>2256</v>
      </c>
      <c r="G469" s="39" t="s">
        <v>7828</v>
      </c>
      <c r="H469" s="39" t="str">
        <f>("2013/10/31")</f>
        <v>2013/10/31</v>
      </c>
      <c r="I469" s="39">
        <v>6</v>
      </c>
      <c r="J469" s="39" t="s">
        <v>1480</v>
      </c>
      <c r="K469" s="39" t="s">
        <v>2122</v>
      </c>
      <c r="L469" s="39" t="s">
        <v>7830</v>
      </c>
      <c r="M469" s="39" t="s">
        <v>7831</v>
      </c>
      <c r="N469" s="39" t="str">
        <f>("0449119")</f>
        <v>0449119</v>
      </c>
      <c r="P469" s="39" t="s">
        <v>11957</v>
      </c>
      <c r="Q469" s="39" t="s">
        <v>8568</v>
      </c>
      <c r="R469" s="39" t="s">
        <v>8569</v>
      </c>
      <c r="S469" s="39" t="s">
        <v>8570</v>
      </c>
      <c r="AA469" s="39" t="s">
        <v>2122</v>
      </c>
      <c r="AB469" s="39" t="s">
        <v>7830</v>
      </c>
      <c r="AC469" s="39" t="s">
        <v>7831</v>
      </c>
      <c r="AD469" s="39" t="str">
        <f>("0230982")</f>
        <v>0230982</v>
      </c>
      <c r="AE469" s="39" t="s">
        <v>2573</v>
      </c>
      <c r="AK469" s="39" t="str">
        <f>("2025/03/17")</f>
        <v>2025/03/17</v>
      </c>
      <c r="AL469" s="39" t="str">
        <f t="shared" si="36"/>
        <v>2025/04/01</v>
      </c>
    </row>
    <row r="470" spans="1:39" x14ac:dyDescent="0.25">
      <c r="A470" s="39" t="str">
        <f>("1310310034")</f>
        <v>1310310034</v>
      </c>
      <c r="B470" s="39" t="s">
        <v>8873</v>
      </c>
      <c r="C470" s="39"/>
      <c r="D470" s="39" t="s">
        <v>4483</v>
      </c>
      <c r="E470" s="371" t="str">
        <f t="shared" si="34"/>
        <v>あそん　はる</v>
      </c>
      <c r="F470" s="39" t="s">
        <v>7864</v>
      </c>
      <c r="G470" s="39" t="s">
        <v>7828</v>
      </c>
      <c r="H470" s="39" t="str">
        <f>("2013/10/31")</f>
        <v>2013/10/31</v>
      </c>
      <c r="I470" s="39">
        <v>6</v>
      </c>
      <c r="J470" s="39" t="s">
        <v>1478</v>
      </c>
      <c r="K470" s="39" t="s">
        <v>2122</v>
      </c>
      <c r="L470" s="39" t="s">
        <v>7830</v>
      </c>
      <c r="M470" s="39" t="s">
        <v>7831</v>
      </c>
      <c r="N470" s="39" t="str">
        <f>("1039801")</f>
        <v>1039801</v>
      </c>
      <c r="P470" s="39" t="s">
        <v>11958</v>
      </c>
      <c r="Q470" s="39" t="s">
        <v>8568</v>
      </c>
      <c r="R470" s="39" t="s">
        <v>8569</v>
      </c>
      <c r="S470" s="39" t="s">
        <v>8570</v>
      </c>
      <c r="AA470" s="39" t="s">
        <v>2122</v>
      </c>
      <c r="AB470" s="39" t="s">
        <v>7830</v>
      </c>
      <c r="AC470" s="39" t="s">
        <v>7831</v>
      </c>
      <c r="AD470" s="39" t="str">
        <f>("0130475")</f>
        <v>0130475</v>
      </c>
      <c r="AE470" s="39" t="s">
        <v>2024</v>
      </c>
      <c r="AF470" s="39" t="s">
        <v>2122</v>
      </c>
      <c r="AG470" s="39" t="s">
        <v>7830</v>
      </c>
      <c r="AH470" s="39" t="s">
        <v>7831</v>
      </c>
      <c r="AI470" s="39" t="str">
        <f>("0354901")</f>
        <v>0354901</v>
      </c>
      <c r="AJ470" s="39" t="s">
        <v>2025</v>
      </c>
      <c r="AK470" s="39" t="str">
        <f>("2025/03/24")</f>
        <v>2025/03/24</v>
      </c>
      <c r="AL470" s="39" t="str">
        <f t="shared" si="36"/>
        <v>2025/04/01</v>
      </c>
    </row>
    <row r="471" spans="1:39" x14ac:dyDescent="0.25">
      <c r="A471" s="39" t="str">
        <f>("1310310209")</f>
        <v>1310310209</v>
      </c>
      <c r="C471" s="39"/>
      <c r="D471" s="39" t="s">
        <v>8874</v>
      </c>
      <c r="E471" s="371" t="str">
        <f t="shared" si="34"/>
        <v>ふじわら　かなで</v>
      </c>
      <c r="F471" s="39" t="s">
        <v>684</v>
      </c>
      <c r="G471" s="39" t="s">
        <v>7828</v>
      </c>
      <c r="H471" s="39" t="str">
        <f>("2013/10/31")</f>
        <v>2013/10/31</v>
      </c>
      <c r="I471" s="39">
        <v>6</v>
      </c>
      <c r="J471" s="39" t="s">
        <v>1480</v>
      </c>
      <c r="K471" s="39" t="s">
        <v>2122</v>
      </c>
      <c r="L471" s="39" t="s">
        <v>7830</v>
      </c>
      <c r="M471" s="39" t="s">
        <v>7831</v>
      </c>
      <c r="N471" s="39" t="str">
        <f>("0129518")</f>
        <v>0129518</v>
      </c>
      <c r="P471" s="39" t="s">
        <v>11959</v>
      </c>
      <c r="Q471" s="39" t="s">
        <v>8568</v>
      </c>
      <c r="R471" s="39" t="s">
        <v>8569</v>
      </c>
      <c r="S471" s="39" t="s">
        <v>8570</v>
      </c>
      <c r="AK471" s="39" t="str">
        <f>("2025/03/17")</f>
        <v>2025/03/17</v>
      </c>
      <c r="AL471" s="39" t="str">
        <f t="shared" si="36"/>
        <v>2025/04/01</v>
      </c>
    </row>
    <row r="472" spans="1:39" x14ac:dyDescent="0.25">
      <c r="A472" s="39" t="str">
        <f>("1311010215")</f>
        <v>1311010215</v>
      </c>
      <c r="C472" s="39"/>
      <c r="D472" s="39" t="s">
        <v>6060</v>
      </c>
      <c r="E472" s="371" t="str">
        <f t="shared" si="34"/>
        <v>ごとう　ゆうま</v>
      </c>
      <c r="F472" s="39" t="s">
        <v>2587</v>
      </c>
      <c r="G472" s="39" t="s">
        <v>7828</v>
      </c>
      <c r="H472" s="39" t="str">
        <f>("2013/11/01")</f>
        <v>2013/11/01</v>
      </c>
      <c r="I472" s="39">
        <v>6</v>
      </c>
      <c r="J472" s="39" t="s">
        <v>1478</v>
      </c>
      <c r="K472" s="39" t="s">
        <v>2122</v>
      </c>
      <c r="L472" s="39" t="s">
        <v>7830</v>
      </c>
      <c r="M472" s="39" t="s">
        <v>7831</v>
      </c>
      <c r="N472" s="39" t="str">
        <f>("0387334")</f>
        <v>0387334</v>
      </c>
      <c r="P472" s="39" t="s">
        <v>11960</v>
      </c>
      <c r="Q472" s="39" t="s">
        <v>8568</v>
      </c>
      <c r="R472" s="39" t="s">
        <v>8569</v>
      </c>
      <c r="S472" s="39" t="s">
        <v>8570</v>
      </c>
      <c r="AK472" s="39" t="str">
        <f>("2025/03/27")</f>
        <v>2025/03/27</v>
      </c>
      <c r="AL472" s="39" t="str">
        <f t="shared" si="36"/>
        <v>2025/04/01</v>
      </c>
    </row>
    <row r="473" spans="1:39" x14ac:dyDescent="0.25">
      <c r="A473" s="39" t="str">
        <f>("1311020016")</f>
        <v>1311020016</v>
      </c>
      <c r="C473" s="39"/>
      <c r="D473" s="39" t="s">
        <v>4091</v>
      </c>
      <c r="E473" s="371" t="str">
        <f t="shared" si="34"/>
        <v>ほんだ　れい</v>
      </c>
      <c r="F473" s="39" t="s">
        <v>1865</v>
      </c>
      <c r="G473" s="39" t="s">
        <v>7828</v>
      </c>
      <c r="H473" s="39" t="str">
        <f>("2013/11/02")</f>
        <v>2013/11/02</v>
      </c>
      <c r="I473" s="39">
        <v>6</v>
      </c>
      <c r="J473" s="39" t="s">
        <v>1478</v>
      </c>
      <c r="K473" s="39" t="s">
        <v>2122</v>
      </c>
      <c r="L473" s="39" t="s">
        <v>7830</v>
      </c>
      <c r="M473" s="39" t="s">
        <v>7831</v>
      </c>
      <c r="N473" s="39" t="str">
        <f>("0310565")</f>
        <v>0310565</v>
      </c>
      <c r="P473" s="39" t="s">
        <v>11961</v>
      </c>
      <c r="Q473" s="39" t="s">
        <v>8568</v>
      </c>
      <c r="R473" s="39" t="s">
        <v>8569</v>
      </c>
      <c r="S473" s="39" t="s">
        <v>8570</v>
      </c>
      <c r="AK473" s="39" t="str">
        <f>("2025/03/17")</f>
        <v>2025/03/17</v>
      </c>
      <c r="AL473" s="39" t="str">
        <f t="shared" si="36"/>
        <v>2025/04/01</v>
      </c>
    </row>
    <row r="474" spans="1:39" x14ac:dyDescent="0.25">
      <c r="A474" s="39" t="str">
        <f>("1311030005")</f>
        <v>1311030005</v>
      </c>
      <c r="B474" s="39" t="s">
        <v>8875</v>
      </c>
      <c r="C474" s="39"/>
      <c r="D474" s="39" t="s">
        <v>8876</v>
      </c>
      <c r="E474" s="371" t="str">
        <f t="shared" si="34"/>
        <v>あかせ　しょうま</v>
      </c>
      <c r="F474" s="39" t="s">
        <v>1912</v>
      </c>
      <c r="G474" s="39" t="s">
        <v>7828</v>
      </c>
      <c r="H474" s="39" t="str">
        <f>("2013/11/03")</f>
        <v>2013/11/03</v>
      </c>
      <c r="I474" s="39">
        <v>6</v>
      </c>
      <c r="J474" s="39" t="s">
        <v>1478</v>
      </c>
      <c r="K474" s="39" t="s">
        <v>2122</v>
      </c>
      <c r="L474" s="39" t="s">
        <v>7830</v>
      </c>
      <c r="M474" s="39" t="s">
        <v>7831</v>
      </c>
      <c r="N474" s="39" t="str">
        <f>("0130363")</f>
        <v>0130363</v>
      </c>
      <c r="P474" s="39" t="s">
        <v>11962</v>
      </c>
      <c r="Q474" s="39" t="s">
        <v>8568</v>
      </c>
      <c r="R474" s="39" t="s">
        <v>8569</v>
      </c>
      <c r="S474" s="39" t="s">
        <v>8570</v>
      </c>
      <c r="AK474" s="39" t="str">
        <f>("2025/03/17")</f>
        <v>2025/03/17</v>
      </c>
      <c r="AL474" s="39" t="str">
        <f t="shared" si="36"/>
        <v>2025/04/01</v>
      </c>
    </row>
    <row r="475" spans="1:39" x14ac:dyDescent="0.25">
      <c r="A475" s="39" t="str">
        <f>("1311040074")</f>
        <v>1311040074</v>
      </c>
      <c r="B475" s="39" t="s">
        <v>8877</v>
      </c>
      <c r="C475" s="39"/>
      <c r="D475" s="39" t="s">
        <v>6238</v>
      </c>
      <c r="E475" s="371" t="str">
        <f t="shared" si="34"/>
        <v>たなか　しゅんや</v>
      </c>
      <c r="F475" s="39" t="s">
        <v>1692</v>
      </c>
      <c r="G475" s="39" t="s">
        <v>7828</v>
      </c>
      <c r="H475" s="39" t="str">
        <f>("2013/11/04")</f>
        <v>2013/11/04</v>
      </c>
      <c r="I475" s="39">
        <v>6</v>
      </c>
      <c r="J475" s="39" t="s">
        <v>1478</v>
      </c>
      <c r="K475" s="39" t="s">
        <v>2122</v>
      </c>
      <c r="L475" s="39" t="s">
        <v>7830</v>
      </c>
      <c r="M475" s="39" t="s">
        <v>7831</v>
      </c>
      <c r="N475" s="39" t="str">
        <f>("1052299")</f>
        <v>1052299</v>
      </c>
      <c r="P475" s="39" t="s">
        <v>11963</v>
      </c>
      <c r="Q475" s="39" t="s">
        <v>8568</v>
      </c>
      <c r="R475" s="39" t="s">
        <v>8569</v>
      </c>
      <c r="S475" s="39" t="s">
        <v>8570</v>
      </c>
      <c r="AK475" s="39" t="str">
        <f>("2025/03/17")</f>
        <v>2025/03/17</v>
      </c>
      <c r="AL475" s="39" t="str">
        <f t="shared" si="36"/>
        <v>2025/04/01</v>
      </c>
    </row>
    <row r="476" spans="1:39" x14ac:dyDescent="0.25">
      <c r="A476" s="39" t="str">
        <f>("1311040147")</f>
        <v>1311040147</v>
      </c>
      <c r="C476" s="39"/>
      <c r="D476" s="39" t="s">
        <v>5880</v>
      </c>
      <c r="E476" s="371" t="str">
        <f t="shared" si="34"/>
        <v>こんどう　ふうま</v>
      </c>
      <c r="F476" s="39" t="s">
        <v>928</v>
      </c>
      <c r="G476" s="39" t="s">
        <v>7828</v>
      </c>
      <c r="H476" s="39" t="str">
        <f>("2013/11/04")</f>
        <v>2013/11/04</v>
      </c>
      <c r="I476" s="39">
        <v>6</v>
      </c>
      <c r="J476" s="39" t="s">
        <v>1478</v>
      </c>
      <c r="K476" s="39" t="s">
        <v>2122</v>
      </c>
      <c r="L476" s="39" t="s">
        <v>7830</v>
      </c>
      <c r="M476" s="39" t="s">
        <v>7831</v>
      </c>
      <c r="N476" s="39" t="str">
        <f>("0130532")</f>
        <v>0130532</v>
      </c>
      <c r="P476" s="39" t="s">
        <v>11964</v>
      </c>
      <c r="Q476" s="39" t="s">
        <v>8568</v>
      </c>
      <c r="R476" s="39" t="s">
        <v>8569</v>
      </c>
      <c r="S476" s="39" t="s">
        <v>8570</v>
      </c>
      <c r="AK476" s="39" t="str">
        <f>("2025/03/17")</f>
        <v>2025/03/17</v>
      </c>
      <c r="AL476" s="39" t="str">
        <f t="shared" si="36"/>
        <v>2025/04/01</v>
      </c>
    </row>
    <row r="477" spans="1:39" x14ac:dyDescent="0.25">
      <c r="A477" s="39" t="str">
        <f>("1311040172")</f>
        <v>1311040172</v>
      </c>
      <c r="C477" s="39"/>
      <c r="D477" s="39" t="s">
        <v>8878</v>
      </c>
      <c r="E477" s="371" t="str">
        <f t="shared" si="34"/>
        <v>あない　たいよう</v>
      </c>
      <c r="F477" s="39" t="s">
        <v>2469</v>
      </c>
      <c r="G477" s="39" t="s">
        <v>7828</v>
      </c>
      <c r="H477" s="39" t="str">
        <f>("2013/11/04")</f>
        <v>2013/11/04</v>
      </c>
      <c r="I477" s="39">
        <v>6</v>
      </c>
      <c r="J477" s="39" t="s">
        <v>1478</v>
      </c>
      <c r="K477" s="39" t="s">
        <v>2122</v>
      </c>
      <c r="L477" s="39" t="s">
        <v>7830</v>
      </c>
      <c r="M477" s="39" t="s">
        <v>7831</v>
      </c>
      <c r="N477" s="39" t="str">
        <f>("0129462")</f>
        <v>0129462</v>
      </c>
      <c r="P477" s="39" t="s">
        <v>11965</v>
      </c>
      <c r="Q477" s="39" t="s">
        <v>8568</v>
      </c>
      <c r="R477" s="39" t="s">
        <v>8569</v>
      </c>
      <c r="S477" s="39" t="s">
        <v>8570</v>
      </c>
      <c r="AK477" s="39" t="str">
        <f>("2025/03/21")</f>
        <v>2025/03/21</v>
      </c>
      <c r="AL477" s="39" t="str">
        <f t="shared" si="36"/>
        <v>2025/04/01</v>
      </c>
      <c r="AM477" s="39" t="str">
        <f>("2025/03/31")</f>
        <v>2025/03/31</v>
      </c>
    </row>
    <row r="478" spans="1:39" x14ac:dyDescent="0.25">
      <c r="A478" s="39" t="str">
        <f>("1311050092")</f>
        <v>1311050092</v>
      </c>
      <c r="C478" s="39"/>
      <c r="D478" s="39" t="s">
        <v>4460</v>
      </c>
      <c r="E478" s="371" t="str">
        <f t="shared" si="34"/>
        <v>おの　れっか</v>
      </c>
      <c r="F478" s="39" t="s">
        <v>2531</v>
      </c>
      <c r="G478" s="39" t="s">
        <v>7828</v>
      </c>
      <c r="H478" s="39" t="str">
        <f>("2013/11/05")</f>
        <v>2013/11/05</v>
      </c>
      <c r="I478" s="39">
        <v>6</v>
      </c>
      <c r="J478" s="39" t="s">
        <v>1478</v>
      </c>
      <c r="K478" s="39" t="s">
        <v>2122</v>
      </c>
      <c r="L478" s="39" t="s">
        <v>7830</v>
      </c>
      <c r="M478" s="39" t="s">
        <v>7831</v>
      </c>
      <c r="N478" s="39" t="str">
        <f>("0130419")</f>
        <v>0130419</v>
      </c>
      <c r="P478" s="39" t="s">
        <v>11966</v>
      </c>
      <c r="Q478" s="39" t="s">
        <v>8568</v>
      </c>
      <c r="R478" s="39" t="s">
        <v>8569</v>
      </c>
      <c r="S478" s="39" t="s">
        <v>8570</v>
      </c>
      <c r="AK478" s="39" t="str">
        <f>("2025/03/17")</f>
        <v>2025/03/17</v>
      </c>
      <c r="AL478" s="39" t="str">
        <f t="shared" si="36"/>
        <v>2025/04/01</v>
      </c>
    </row>
    <row r="479" spans="1:39" x14ac:dyDescent="0.25">
      <c r="A479" s="39" t="str">
        <f>("1311060130")</f>
        <v>1311060130</v>
      </c>
      <c r="B479" s="39" t="s">
        <v>8879</v>
      </c>
      <c r="C479" s="39"/>
      <c r="D479" s="39" t="s">
        <v>8880</v>
      </c>
      <c r="E479" s="371" t="str">
        <f t="shared" si="34"/>
        <v>まつお　りょうすけ</v>
      </c>
      <c r="F479" s="39" t="s">
        <v>1968</v>
      </c>
      <c r="G479" s="39" t="s">
        <v>7828</v>
      </c>
      <c r="H479" s="39" t="str">
        <f>("2013/11/06")</f>
        <v>2013/11/06</v>
      </c>
      <c r="I479" s="39">
        <v>6</v>
      </c>
      <c r="J479" s="39" t="s">
        <v>1478</v>
      </c>
      <c r="K479" s="39" t="s">
        <v>2122</v>
      </c>
      <c r="L479" s="39" t="s">
        <v>7830</v>
      </c>
      <c r="M479" s="39" t="s">
        <v>7831</v>
      </c>
      <c r="N479" s="39" t="str">
        <f>("0129507")</f>
        <v>0129507</v>
      </c>
      <c r="P479" s="39" t="s">
        <v>11967</v>
      </c>
      <c r="Q479" s="39" t="s">
        <v>8568</v>
      </c>
      <c r="R479" s="39" t="s">
        <v>8569</v>
      </c>
      <c r="S479" s="39" t="s">
        <v>8570</v>
      </c>
      <c r="AK479" s="39" t="str">
        <f>("2025/03/17")</f>
        <v>2025/03/17</v>
      </c>
      <c r="AL479" s="39" t="str">
        <f t="shared" si="36"/>
        <v>2025/04/01</v>
      </c>
    </row>
    <row r="480" spans="1:39" x14ac:dyDescent="0.25">
      <c r="A480" s="39" t="str">
        <f>("1311060211")</f>
        <v>1311060211</v>
      </c>
      <c r="C480" s="39"/>
      <c r="D480" s="39" t="s">
        <v>6214</v>
      </c>
      <c r="E480" s="371" t="str">
        <f t="shared" si="34"/>
        <v>てしま　ゆあと</v>
      </c>
      <c r="F480" s="39" t="s">
        <v>7864</v>
      </c>
      <c r="G480" s="39" t="s">
        <v>7828</v>
      </c>
      <c r="H480" s="39" t="str">
        <f>("2013/11/06")</f>
        <v>2013/11/06</v>
      </c>
      <c r="I480" s="39">
        <v>6</v>
      </c>
      <c r="J480" s="39" t="s">
        <v>1478</v>
      </c>
      <c r="K480" s="39" t="s">
        <v>2122</v>
      </c>
      <c r="L480" s="39" t="s">
        <v>7830</v>
      </c>
      <c r="M480" s="39" t="s">
        <v>7831</v>
      </c>
      <c r="N480" s="39" t="str">
        <f>("1039801")</f>
        <v>1039801</v>
      </c>
      <c r="P480" s="39" t="s">
        <v>11968</v>
      </c>
      <c r="Q480" s="39" t="s">
        <v>8568</v>
      </c>
      <c r="R480" s="39" t="s">
        <v>8569</v>
      </c>
      <c r="S480" s="39" t="s">
        <v>8570</v>
      </c>
      <c r="AK480" s="39" t="str">
        <f>("2025/03/24")</f>
        <v>2025/03/24</v>
      </c>
      <c r="AL480" s="39" t="str">
        <f t="shared" si="36"/>
        <v>2025/04/01</v>
      </c>
    </row>
    <row r="481" spans="1:38" x14ac:dyDescent="0.25">
      <c r="A481" s="39" t="str">
        <f>("1311080178")</f>
        <v>1311080178</v>
      </c>
      <c r="C481" s="39"/>
      <c r="D481" s="39" t="s">
        <v>6001</v>
      </c>
      <c r="E481" s="371" t="str">
        <f t="shared" si="34"/>
        <v>やまだ　ちなみ</v>
      </c>
      <c r="F481" s="39" t="s">
        <v>2575</v>
      </c>
      <c r="G481" s="39" t="s">
        <v>7828</v>
      </c>
      <c r="H481" s="39" t="str">
        <f>("2013/11/08")</f>
        <v>2013/11/08</v>
      </c>
      <c r="I481" s="39">
        <v>6</v>
      </c>
      <c r="J481" s="39" t="s">
        <v>1478</v>
      </c>
      <c r="K481" s="39" t="s">
        <v>2122</v>
      </c>
      <c r="L481" s="39" t="s">
        <v>7830</v>
      </c>
      <c r="M481" s="39" t="s">
        <v>7831</v>
      </c>
      <c r="N481" s="39" t="str">
        <f>("0303040")</f>
        <v>0303040</v>
      </c>
      <c r="P481" s="39" t="s">
        <v>11969</v>
      </c>
      <c r="Q481" s="39" t="s">
        <v>8568</v>
      </c>
      <c r="R481" s="39" t="s">
        <v>8569</v>
      </c>
      <c r="S481" s="39" t="s">
        <v>8570</v>
      </c>
      <c r="AK481" s="39" t="str">
        <f>("2025/03/17")</f>
        <v>2025/03/17</v>
      </c>
      <c r="AL481" s="39" t="str">
        <f t="shared" si="36"/>
        <v>2025/04/01</v>
      </c>
    </row>
    <row r="482" spans="1:38" x14ac:dyDescent="0.25">
      <c r="A482" s="39" t="str">
        <f>("1311090152")</f>
        <v>1311090152</v>
      </c>
      <c r="C482" s="39"/>
      <c r="D482" s="39" t="s">
        <v>8881</v>
      </c>
      <c r="E482" s="371" t="str">
        <f t="shared" si="34"/>
        <v>おかだ　ゆうすけ</v>
      </c>
      <c r="F482" s="39" t="s">
        <v>2544</v>
      </c>
      <c r="G482" s="39" t="s">
        <v>7828</v>
      </c>
      <c r="H482" s="39" t="str">
        <f>("2013/11/09")</f>
        <v>2013/11/09</v>
      </c>
      <c r="I482" s="39">
        <v>6</v>
      </c>
      <c r="J482" s="39" t="s">
        <v>1478</v>
      </c>
      <c r="K482" s="39" t="s">
        <v>2122</v>
      </c>
      <c r="L482" s="39" t="s">
        <v>7830</v>
      </c>
      <c r="M482" s="39" t="s">
        <v>7831</v>
      </c>
      <c r="N482" s="39" t="str">
        <f>("0130644")</f>
        <v>0130644</v>
      </c>
      <c r="P482" s="39" t="s">
        <v>11970</v>
      </c>
      <c r="Q482" s="39" t="s">
        <v>8568</v>
      </c>
      <c r="R482" s="39" t="s">
        <v>8569</v>
      </c>
      <c r="S482" s="39" t="s">
        <v>8570</v>
      </c>
      <c r="AK482" s="39" t="str">
        <f>("2025/03/17")</f>
        <v>2025/03/17</v>
      </c>
      <c r="AL482" s="39" t="str">
        <f t="shared" si="36"/>
        <v>2025/04/01</v>
      </c>
    </row>
    <row r="483" spans="1:38" x14ac:dyDescent="0.25">
      <c r="A483" s="39" t="str">
        <f>("1311110086")</f>
        <v>1311110086</v>
      </c>
      <c r="C483" s="39"/>
      <c r="D483" s="39" t="s">
        <v>6230</v>
      </c>
      <c r="E483" s="371" t="str">
        <f t="shared" si="34"/>
        <v>たなべ　だいや</v>
      </c>
      <c r="F483" s="39" t="s">
        <v>2648</v>
      </c>
      <c r="G483" s="39" t="s">
        <v>7828</v>
      </c>
      <c r="H483" s="39" t="str">
        <f>("2013/11/11")</f>
        <v>2013/11/11</v>
      </c>
      <c r="I483" s="39">
        <v>6</v>
      </c>
      <c r="J483" s="39" t="s">
        <v>1478</v>
      </c>
      <c r="K483" s="39" t="s">
        <v>2122</v>
      </c>
      <c r="L483" s="39" t="s">
        <v>7830</v>
      </c>
      <c r="M483" s="39" t="s">
        <v>7831</v>
      </c>
      <c r="N483" s="39" t="str">
        <f>("1050097")</f>
        <v>1050097</v>
      </c>
      <c r="P483" s="39" t="s">
        <v>11971</v>
      </c>
      <c r="Q483" s="39" t="s">
        <v>8568</v>
      </c>
      <c r="R483" s="39" t="s">
        <v>8569</v>
      </c>
      <c r="S483" s="39" t="s">
        <v>8570</v>
      </c>
      <c r="AA483" s="39" t="s">
        <v>2122</v>
      </c>
      <c r="AB483" s="39" t="s">
        <v>7830</v>
      </c>
      <c r="AC483" s="39" t="s">
        <v>7831</v>
      </c>
      <c r="AD483" s="39" t="str">
        <f>("0129990")</f>
        <v>0129990</v>
      </c>
      <c r="AE483" s="39" t="s">
        <v>3867</v>
      </c>
      <c r="AK483" s="39" t="str">
        <f>("2025/03/25")</f>
        <v>2025/03/25</v>
      </c>
      <c r="AL483" s="39" t="str">
        <f t="shared" si="36"/>
        <v>2025/04/01</v>
      </c>
    </row>
    <row r="484" spans="1:38" x14ac:dyDescent="0.25">
      <c r="A484" s="39" t="str">
        <f>("1311110144")</f>
        <v>1311110144</v>
      </c>
      <c r="C484" s="39"/>
      <c r="D484" s="39" t="s">
        <v>5736</v>
      </c>
      <c r="E484" s="371" t="str">
        <f t="shared" si="34"/>
        <v>ひさもち　れん</v>
      </c>
      <c r="F484" s="39" t="s">
        <v>1481</v>
      </c>
      <c r="G484" s="39" t="s">
        <v>7828</v>
      </c>
      <c r="H484" s="39" t="str">
        <f>("2013/11/11")</f>
        <v>2013/11/11</v>
      </c>
      <c r="I484" s="39">
        <v>6</v>
      </c>
      <c r="J484" s="39" t="s">
        <v>1478</v>
      </c>
      <c r="K484" s="39" t="s">
        <v>2122</v>
      </c>
      <c r="L484" s="39" t="s">
        <v>7830</v>
      </c>
      <c r="M484" s="39" t="s">
        <v>7831</v>
      </c>
      <c r="N484" s="39" t="str">
        <f>("0129866")</f>
        <v>0129866</v>
      </c>
      <c r="P484" s="39" t="s">
        <v>11972</v>
      </c>
      <c r="Q484" s="39" t="s">
        <v>8568</v>
      </c>
      <c r="R484" s="39" t="s">
        <v>8569</v>
      </c>
      <c r="S484" s="39" t="s">
        <v>8570</v>
      </c>
      <c r="AK484" s="39" t="str">
        <f>("2025/03/19")</f>
        <v>2025/03/19</v>
      </c>
      <c r="AL484" s="39" t="str">
        <f t="shared" si="36"/>
        <v>2025/04/01</v>
      </c>
    </row>
    <row r="485" spans="1:38" x14ac:dyDescent="0.25">
      <c r="A485" s="39" t="str">
        <f>("1311110160")</f>
        <v>1311110160</v>
      </c>
      <c r="C485" s="39"/>
      <c r="D485" s="39" t="s">
        <v>4736</v>
      </c>
      <c r="E485" s="371" t="str">
        <f t="shared" si="34"/>
        <v>きら　たいき</v>
      </c>
      <c r="F485" s="39" t="s">
        <v>2602</v>
      </c>
      <c r="G485" s="39" t="s">
        <v>7828</v>
      </c>
      <c r="H485" s="39" t="str">
        <f>("2013/11/11")</f>
        <v>2013/11/11</v>
      </c>
      <c r="I485" s="39">
        <v>6</v>
      </c>
      <c r="J485" s="39" t="s">
        <v>1478</v>
      </c>
      <c r="K485" s="39" t="s">
        <v>2122</v>
      </c>
      <c r="L485" s="39" t="s">
        <v>7830</v>
      </c>
      <c r="M485" s="39" t="s">
        <v>7831</v>
      </c>
      <c r="N485" s="39" t="str">
        <f>("0430119")</f>
        <v>0430119</v>
      </c>
      <c r="P485" s="39" t="s">
        <v>11973</v>
      </c>
      <c r="Q485" s="39" t="s">
        <v>8568</v>
      </c>
      <c r="R485" s="39" t="s">
        <v>8569</v>
      </c>
      <c r="S485" s="39" t="s">
        <v>8570</v>
      </c>
      <c r="AK485" s="39" t="str">
        <f>("2025/03/17")</f>
        <v>2025/03/17</v>
      </c>
      <c r="AL485" s="39" t="str">
        <f t="shared" si="36"/>
        <v>2025/04/01</v>
      </c>
    </row>
    <row r="486" spans="1:38" x14ac:dyDescent="0.25">
      <c r="A486" s="39" t="str">
        <f>("1311140095")</f>
        <v>1311140095</v>
      </c>
      <c r="C486" s="39"/>
      <c r="D486" s="39" t="s">
        <v>6208</v>
      </c>
      <c r="E486" s="371" t="str">
        <f t="shared" si="34"/>
        <v>しゅとう　けんしん</v>
      </c>
      <c r="F486" s="39" t="s">
        <v>7864</v>
      </c>
      <c r="G486" s="39" t="s">
        <v>7828</v>
      </c>
      <c r="H486" s="39" t="str">
        <f>("2013/11/14")</f>
        <v>2013/11/14</v>
      </c>
      <c r="I486" s="39">
        <v>6</v>
      </c>
      <c r="J486" s="39" t="s">
        <v>1478</v>
      </c>
      <c r="K486" s="39" t="s">
        <v>2122</v>
      </c>
      <c r="L486" s="39" t="s">
        <v>7830</v>
      </c>
      <c r="M486" s="39" t="s">
        <v>7831</v>
      </c>
      <c r="N486" s="39" t="str">
        <f>("1039801")</f>
        <v>1039801</v>
      </c>
      <c r="P486" s="39" t="s">
        <v>11974</v>
      </c>
      <c r="Q486" s="39" t="s">
        <v>8568</v>
      </c>
      <c r="R486" s="39" t="s">
        <v>8569</v>
      </c>
      <c r="S486" s="39" t="s">
        <v>8570</v>
      </c>
      <c r="AK486" s="39" t="str">
        <f>("2025/03/24")</f>
        <v>2025/03/24</v>
      </c>
      <c r="AL486" s="39" t="str">
        <f t="shared" si="36"/>
        <v>2025/04/01</v>
      </c>
    </row>
    <row r="487" spans="1:38" x14ac:dyDescent="0.25">
      <c r="A487" s="39" t="str">
        <f>("1311150116")</f>
        <v>1311150116</v>
      </c>
      <c r="C487" s="39"/>
      <c r="D487" s="39" t="s">
        <v>4614</v>
      </c>
      <c r="E487" s="371" t="str">
        <f t="shared" si="34"/>
        <v>はたがみ　みなと</v>
      </c>
      <c r="F487" s="39" t="s">
        <v>1917</v>
      </c>
      <c r="G487" s="39" t="s">
        <v>7828</v>
      </c>
      <c r="H487" s="39" t="str">
        <f>("2013/11/15")</f>
        <v>2013/11/15</v>
      </c>
      <c r="I487" s="39">
        <v>6</v>
      </c>
      <c r="J487" s="39" t="s">
        <v>1478</v>
      </c>
      <c r="K487" s="39" t="s">
        <v>2122</v>
      </c>
      <c r="L487" s="39" t="s">
        <v>7830</v>
      </c>
      <c r="M487" s="39" t="s">
        <v>7831</v>
      </c>
      <c r="N487" s="39" t="str">
        <f>("1032161")</f>
        <v>1032161</v>
      </c>
      <c r="P487" s="39" t="s">
        <v>11975</v>
      </c>
      <c r="Q487" s="39" t="s">
        <v>8568</v>
      </c>
      <c r="R487" s="39" t="s">
        <v>8569</v>
      </c>
      <c r="S487" s="39" t="s">
        <v>8570</v>
      </c>
      <c r="AA487" s="39" t="s">
        <v>2122</v>
      </c>
      <c r="AB487" s="39" t="s">
        <v>7830</v>
      </c>
      <c r="AC487" s="39" t="s">
        <v>7831</v>
      </c>
      <c r="AD487" s="39" t="str">
        <f>("0130699")</f>
        <v>0130699</v>
      </c>
      <c r="AE487" s="39" t="s">
        <v>2422</v>
      </c>
      <c r="AK487" s="39" t="str">
        <f>("2025/03/21")</f>
        <v>2025/03/21</v>
      </c>
      <c r="AL487" s="39" t="str">
        <f t="shared" si="36"/>
        <v>2025/04/01</v>
      </c>
    </row>
    <row r="488" spans="1:38" x14ac:dyDescent="0.25">
      <c r="A488" s="39" t="str">
        <f>("1311170094")</f>
        <v>1311170094</v>
      </c>
      <c r="C488" s="39"/>
      <c r="D488" s="39" t="s">
        <v>4308</v>
      </c>
      <c r="E488" s="371" t="str">
        <f t="shared" si="34"/>
        <v>おおぜき　なおはる</v>
      </c>
      <c r="F488" s="39" t="s">
        <v>2491</v>
      </c>
      <c r="G488" s="39" t="s">
        <v>7828</v>
      </c>
      <c r="H488" s="39" t="str">
        <f>("2013/11/17")</f>
        <v>2013/11/17</v>
      </c>
      <c r="I488" s="39">
        <v>6</v>
      </c>
      <c r="J488" s="39" t="s">
        <v>1478</v>
      </c>
      <c r="K488" s="39" t="s">
        <v>2122</v>
      </c>
      <c r="L488" s="39" t="s">
        <v>7830</v>
      </c>
      <c r="M488" s="39" t="s">
        <v>7831</v>
      </c>
      <c r="N488" s="39" t="str">
        <f>("0129822")</f>
        <v>0129822</v>
      </c>
      <c r="P488" s="39" t="s">
        <v>11976</v>
      </c>
      <c r="Q488" s="39" t="s">
        <v>8568</v>
      </c>
      <c r="R488" s="39" t="s">
        <v>8569</v>
      </c>
      <c r="S488" s="39" t="s">
        <v>8570</v>
      </c>
      <c r="AK488" s="39" t="str">
        <f>("2025/03/17")</f>
        <v>2025/03/17</v>
      </c>
      <c r="AL488" s="39" t="str">
        <f t="shared" si="36"/>
        <v>2025/04/01</v>
      </c>
    </row>
    <row r="489" spans="1:38" x14ac:dyDescent="0.25">
      <c r="A489" s="39" t="str">
        <f>("1311180100")</f>
        <v>1311180100</v>
      </c>
      <c r="C489" s="39"/>
      <c r="D489" s="39" t="s">
        <v>6243</v>
      </c>
      <c r="E489" s="371" t="str">
        <f t="shared" si="34"/>
        <v>ひがし　だいや</v>
      </c>
      <c r="F489" s="39" t="s">
        <v>1692</v>
      </c>
      <c r="G489" s="39" t="s">
        <v>7828</v>
      </c>
      <c r="H489" s="39" t="str">
        <f>("2013/11/18")</f>
        <v>2013/11/18</v>
      </c>
      <c r="I489" s="39">
        <v>6</v>
      </c>
      <c r="J489" s="39" t="s">
        <v>1478</v>
      </c>
      <c r="K489" s="39" t="s">
        <v>2122</v>
      </c>
      <c r="L489" s="39" t="s">
        <v>7830</v>
      </c>
      <c r="M489" s="39" t="s">
        <v>7831</v>
      </c>
      <c r="N489" s="39" t="str">
        <f>("1052299")</f>
        <v>1052299</v>
      </c>
      <c r="P489" s="39" t="s">
        <v>11977</v>
      </c>
      <c r="Q489" s="39" t="s">
        <v>8568</v>
      </c>
      <c r="R489" s="39" t="s">
        <v>8569</v>
      </c>
      <c r="S489" s="39" t="s">
        <v>8570</v>
      </c>
      <c r="AK489" s="39" t="str">
        <f>("2025/03/17")</f>
        <v>2025/03/17</v>
      </c>
      <c r="AL489" s="39" t="str">
        <f t="shared" si="36"/>
        <v>2025/04/01</v>
      </c>
    </row>
    <row r="490" spans="1:38" x14ac:dyDescent="0.25">
      <c r="A490" s="39" t="str">
        <f>("1311180144")</f>
        <v>1311180144</v>
      </c>
      <c r="C490" s="39"/>
      <c r="D490" s="39" t="s">
        <v>2768</v>
      </c>
      <c r="E490" s="371" t="str">
        <f t="shared" si="34"/>
        <v>さいとう　ひろと</v>
      </c>
      <c r="F490" s="39" t="s">
        <v>2491</v>
      </c>
      <c r="G490" s="39" t="s">
        <v>7828</v>
      </c>
      <c r="H490" s="39" t="str">
        <f>("2013/11/18")</f>
        <v>2013/11/18</v>
      </c>
      <c r="I490" s="39">
        <v>6</v>
      </c>
      <c r="J490" s="39" t="s">
        <v>1478</v>
      </c>
      <c r="K490" s="39" t="s">
        <v>2122</v>
      </c>
      <c r="L490" s="39" t="s">
        <v>7830</v>
      </c>
      <c r="M490" s="39" t="s">
        <v>7831</v>
      </c>
      <c r="N490" s="39" t="str">
        <f>("0129822")</f>
        <v>0129822</v>
      </c>
      <c r="P490" s="39" t="s">
        <v>11978</v>
      </c>
      <c r="Q490" s="39" t="s">
        <v>8568</v>
      </c>
      <c r="R490" s="39" t="s">
        <v>8569</v>
      </c>
      <c r="S490" s="39" t="s">
        <v>8570</v>
      </c>
      <c r="AK490" s="39" t="str">
        <f>("2025/03/17")</f>
        <v>2025/03/17</v>
      </c>
      <c r="AL490" s="39" t="str">
        <f t="shared" si="36"/>
        <v>2025/04/01</v>
      </c>
    </row>
    <row r="491" spans="1:38" x14ac:dyDescent="0.25">
      <c r="A491" s="39" t="str">
        <f>("1311190019")</f>
        <v>1311190019</v>
      </c>
      <c r="C491" s="39"/>
      <c r="D491" s="39" t="s">
        <v>5991</v>
      </c>
      <c r="E491" s="371" t="str">
        <f t="shared" si="34"/>
        <v>うえき　ふうき</v>
      </c>
      <c r="F491" s="39" t="s">
        <v>2349</v>
      </c>
      <c r="G491" s="39" t="s">
        <v>7828</v>
      </c>
      <c r="H491" s="39" t="str">
        <f>("2013/11/19")</f>
        <v>2013/11/19</v>
      </c>
      <c r="I491" s="39">
        <v>6</v>
      </c>
      <c r="J491" s="39" t="s">
        <v>1478</v>
      </c>
      <c r="K491" s="39" t="s">
        <v>2122</v>
      </c>
      <c r="L491" s="39" t="s">
        <v>7830</v>
      </c>
      <c r="M491" s="39" t="s">
        <v>7831</v>
      </c>
      <c r="N491" s="39" t="str">
        <f>("0292081")</f>
        <v>0292081</v>
      </c>
      <c r="P491" s="39" t="s">
        <v>11979</v>
      </c>
      <c r="Q491" s="39" t="s">
        <v>8568</v>
      </c>
      <c r="R491" s="39" t="s">
        <v>8569</v>
      </c>
      <c r="S491" s="39" t="s">
        <v>8570</v>
      </c>
      <c r="AK491" s="39" t="str">
        <f>("2025/03/24")</f>
        <v>2025/03/24</v>
      </c>
      <c r="AL491" s="39" t="str">
        <f t="shared" si="36"/>
        <v>2025/04/01</v>
      </c>
    </row>
    <row r="492" spans="1:38" x14ac:dyDescent="0.25">
      <c r="A492" s="39" t="str">
        <f>("1311190216")</f>
        <v>1311190216</v>
      </c>
      <c r="C492" s="39"/>
      <c r="D492" s="39" t="s">
        <v>6033</v>
      </c>
      <c r="E492" s="371" t="str">
        <f t="shared" si="34"/>
        <v>はしもと　ひろと</v>
      </c>
      <c r="F492" s="39" t="s">
        <v>2350</v>
      </c>
      <c r="G492" s="39" t="s">
        <v>7828</v>
      </c>
      <c r="H492" s="39" t="str">
        <f>("2013/11/19")</f>
        <v>2013/11/19</v>
      </c>
      <c r="I492" s="39">
        <v>6</v>
      </c>
      <c r="J492" s="39" t="s">
        <v>1478</v>
      </c>
      <c r="K492" s="39" t="s">
        <v>2122</v>
      </c>
      <c r="L492" s="39" t="s">
        <v>7830</v>
      </c>
      <c r="M492" s="39" t="s">
        <v>7831</v>
      </c>
      <c r="N492" s="39" t="str">
        <f>("0360032")</f>
        <v>0360032</v>
      </c>
      <c r="P492" s="39" t="s">
        <v>11980</v>
      </c>
      <c r="Q492" s="39" t="s">
        <v>8568</v>
      </c>
      <c r="R492" s="39" t="s">
        <v>8569</v>
      </c>
      <c r="S492" s="39" t="s">
        <v>8570</v>
      </c>
      <c r="AK492" s="39" t="str">
        <f>("2025/03/17")</f>
        <v>2025/03/17</v>
      </c>
      <c r="AL492" s="39" t="str">
        <f t="shared" si="36"/>
        <v>2025/04/01</v>
      </c>
    </row>
    <row r="493" spans="1:38" x14ac:dyDescent="0.25">
      <c r="A493" s="39" t="str">
        <f>("1311200009")</f>
        <v>1311200009</v>
      </c>
      <c r="C493" s="39"/>
      <c r="D493" s="39" t="s">
        <v>4587</v>
      </c>
      <c r="E493" s="371" t="str">
        <f t="shared" si="34"/>
        <v>いのうえ　あつし</v>
      </c>
      <c r="F493" s="39" t="s">
        <v>639</v>
      </c>
      <c r="G493" s="39" t="s">
        <v>7828</v>
      </c>
      <c r="H493" s="39" t="str">
        <f>("2013/11/20")</f>
        <v>2013/11/20</v>
      </c>
      <c r="I493" s="39">
        <v>6</v>
      </c>
      <c r="J493" s="39" t="s">
        <v>1478</v>
      </c>
      <c r="K493" s="39" t="s">
        <v>2122</v>
      </c>
      <c r="L493" s="39" t="s">
        <v>7830</v>
      </c>
      <c r="M493" s="39" t="s">
        <v>7831</v>
      </c>
      <c r="N493" s="39" t="str">
        <f>("0130633")</f>
        <v>0130633</v>
      </c>
      <c r="P493" s="39" t="s">
        <v>11981</v>
      </c>
      <c r="Q493" s="39" t="s">
        <v>8568</v>
      </c>
      <c r="R493" s="39" t="s">
        <v>8569</v>
      </c>
      <c r="S493" s="39" t="s">
        <v>8570</v>
      </c>
      <c r="AK493" s="39" t="str">
        <f>("2025/03/17")</f>
        <v>2025/03/17</v>
      </c>
      <c r="AL493" s="39" t="str">
        <f t="shared" si="36"/>
        <v>2025/04/01</v>
      </c>
    </row>
    <row r="494" spans="1:38" x14ac:dyDescent="0.25">
      <c r="A494" s="39" t="str">
        <f>("1311200022")</f>
        <v>1311200022</v>
      </c>
      <c r="B494" s="39" t="s">
        <v>8882</v>
      </c>
      <c r="C494" s="39"/>
      <c r="D494" s="39" t="s">
        <v>8883</v>
      </c>
      <c r="E494" s="371" t="str">
        <f t="shared" si="34"/>
        <v>ごとう　しょうた</v>
      </c>
      <c r="F494" s="39" t="s">
        <v>8135</v>
      </c>
      <c r="G494" s="39" t="s">
        <v>7828</v>
      </c>
      <c r="H494" s="39" t="str">
        <f>("2013/11/25")</f>
        <v>2013/11/25</v>
      </c>
      <c r="I494" s="39">
        <v>6</v>
      </c>
      <c r="J494" s="39" t="s">
        <v>1478</v>
      </c>
      <c r="K494" s="39" t="s">
        <v>2122</v>
      </c>
      <c r="L494" s="39" t="s">
        <v>7830</v>
      </c>
      <c r="M494" s="39" t="s">
        <v>7831</v>
      </c>
      <c r="N494" s="39" t="str">
        <f>("0475567")</f>
        <v>0475567</v>
      </c>
      <c r="P494" s="39" t="s">
        <v>11982</v>
      </c>
      <c r="Q494" s="39" t="s">
        <v>8568</v>
      </c>
      <c r="R494" s="39" t="s">
        <v>8569</v>
      </c>
      <c r="S494" s="39" t="s">
        <v>8570</v>
      </c>
      <c r="AK494" s="39" t="str">
        <f>("2025/03/24")</f>
        <v>2025/03/24</v>
      </c>
      <c r="AL494" s="39" t="str">
        <f t="shared" si="36"/>
        <v>2025/04/01</v>
      </c>
    </row>
    <row r="495" spans="1:38" x14ac:dyDescent="0.25">
      <c r="A495" s="39" t="str">
        <f>("1311210019")</f>
        <v>1311210019</v>
      </c>
      <c r="C495" s="39"/>
      <c r="D495" s="39" t="s">
        <v>4589</v>
      </c>
      <c r="E495" s="371" t="str">
        <f t="shared" si="34"/>
        <v>ながさわ　ともき</v>
      </c>
      <c r="F495" s="39" t="s">
        <v>639</v>
      </c>
      <c r="G495" s="39" t="s">
        <v>7828</v>
      </c>
      <c r="H495" s="39" t="str">
        <f>("2013/11/21")</f>
        <v>2013/11/21</v>
      </c>
      <c r="I495" s="39">
        <v>6</v>
      </c>
      <c r="J495" s="39" t="s">
        <v>1478</v>
      </c>
      <c r="K495" s="39" t="s">
        <v>2122</v>
      </c>
      <c r="L495" s="39" t="s">
        <v>7830</v>
      </c>
      <c r="M495" s="39" t="s">
        <v>7831</v>
      </c>
      <c r="N495" s="39" t="str">
        <f>("0130633")</f>
        <v>0130633</v>
      </c>
      <c r="P495" s="39" t="s">
        <v>11983</v>
      </c>
      <c r="Q495" s="39" t="s">
        <v>8568</v>
      </c>
      <c r="R495" s="39" t="s">
        <v>8569</v>
      </c>
      <c r="S495" s="39" t="s">
        <v>8570</v>
      </c>
      <c r="AK495" s="39" t="str">
        <f>("2025/03/17")</f>
        <v>2025/03/17</v>
      </c>
      <c r="AL495" s="39" t="str">
        <f t="shared" si="36"/>
        <v>2025/04/01</v>
      </c>
    </row>
    <row r="496" spans="1:38" x14ac:dyDescent="0.25">
      <c r="A496" s="39" t="str">
        <f>("1311210035")</f>
        <v>1311210035</v>
      </c>
      <c r="C496" s="39"/>
      <c r="D496" s="39" t="s">
        <v>4111</v>
      </c>
      <c r="E496" s="371" t="str">
        <f t="shared" si="34"/>
        <v>あべ　いつき</v>
      </c>
      <c r="F496" s="39" t="s">
        <v>5619</v>
      </c>
      <c r="G496" s="39" t="s">
        <v>7828</v>
      </c>
      <c r="H496" s="39" t="str">
        <f>("2013/11/21")</f>
        <v>2013/11/21</v>
      </c>
      <c r="I496" s="39">
        <v>6</v>
      </c>
      <c r="J496" s="39" t="s">
        <v>1478</v>
      </c>
      <c r="K496" s="39" t="s">
        <v>2122</v>
      </c>
      <c r="L496" s="39" t="s">
        <v>7830</v>
      </c>
      <c r="M496" s="39" t="s">
        <v>7831</v>
      </c>
      <c r="N496" s="39" t="str">
        <f>("1089004")</f>
        <v>1089004</v>
      </c>
      <c r="P496" s="39" t="s">
        <v>11984</v>
      </c>
      <c r="Q496" s="39" t="s">
        <v>8568</v>
      </c>
      <c r="R496" s="39" t="s">
        <v>8569</v>
      </c>
      <c r="S496" s="39" t="s">
        <v>8570</v>
      </c>
      <c r="AA496" s="39" t="s">
        <v>2122</v>
      </c>
      <c r="AB496" s="39" t="s">
        <v>7830</v>
      </c>
      <c r="AC496" s="39" t="s">
        <v>7831</v>
      </c>
      <c r="AD496" s="39" t="str">
        <f>("0354901")</f>
        <v>0354901</v>
      </c>
      <c r="AE496" s="39" t="s">
        <v>2025</v>
      </c>
      <c r="AK496" s="39" t="str">
        <f>("2025/08/21")</f>
        <v>2025/08/21</v>
      </c>
      <c r="AL496" s="39" t="str">
        <f>("2025/08/21")</f>
        <v>2025/08/21</v>
      </c>
    </row>
    <row r="497" spans="1:39" x14ac:dyDescent="0.25">
      <c r="A497" s="39" t="str">
        <f>("1311210182")</f>
        <v>1311210182</v>
      </c>
      <c r="B497" s="39" t="s">
        <v>8884</v>
      </c>
      <c r="C497" s="39"/>
      <c r="D497" s="39" t="s">
        <v>5886</v>
      </c>
      <c r="E497" s="371" t="str">
        <f t="shared" si="34"/>
        <v>おおた　じゅの</v>
      </c>
      <c r="F497" s="39" t="s">
        <v>4220</v>
      </c>
      <c r="G497" s="39" t="s">
        <v>7828</v>
      </c>
      <c r="H497" s="39" t="str">
        <f>("2013/11/21")</f>
        <v>2013/11/21</v>
      </c>
      <c r="I497" s="39">
        <v>6</v>
      </c>
      <c r="J497" s="39" t="s">
        <v>1480</v>
      </c>
      <c r="K497" s="39" t="s">
        <v>2122</v>
      </c>
      <c r="L497" s="39" t="s">
        <v>7830</v>
      </c>
      <c r="M497" s="39" t="s">
        <v>7831</v>
      </c>
      <c r="N497" s="39" t="str">
        <f>("0130543")</f>
        <v>0130543</v>
      </c>
      <c r="P497" s="39" t="s">
        <v>11985</v>
      </c>
      <c r="Q497" s="39" t="s">
        <v>8568</v>
      </c>
      <c r="R497" s="39" t="s">
        <v>8569</v>
      </c>
      <c r="S497" s="39" t="s">
        <v>8570</v>
      </c>
      <c r="AK497" s="39" t="str">
        <f>("2025/03/17")</f>
        <v>2025/03/17</v>
      </c>
      <c r="AL497" s="39" t="str">
        <f t="shared" ref="AL497:AL504" si="37">("2025/04/01")</f>
        <v>2025/04/01</v>
      </c>
    </row>
    <row r="498" spans="1:39" x14ac:dyDescent="0.25">
      <c r="A498" s="39" t="str">
        <f>("1311220199")</f>
        <v>1311220199</v>
      </c>
      <c r="C498" s="39"/>
      <c r="D498" s="39" t="s">
        <v>6132</v>
      </c>
      <c r="E498" s="371" t="str">
        <f t="shared" si="34"/>
        <v>さかもと　しゅうや</v>
      </c>
      <c r="F498" s="39" t="s">
        <v>2256</v>
      </c>
      <c r="G498" s="39" t="s">
        <v>7828</v>
      </c>
      <c r="H498" s="39" t="str">
        <f>("2013/11/22")</f>
        <v>2013/11/22</v>
      </c>
      <c r="I498" s="39">
        <v>6</v>
      </c>
      <c r="J498" s="39" t="s">
        <v>1478</v>
      </c>
      <c r="K498" s="39" t="s">
        <v>2122</v>
      </c>
      <c r="L498" s="39" t="s">
        <v>7830</v>
      </c>
      <c r="M498" s="39" t="s">
        <v>7831</v>
      </c>
      <c r="N498" s="39" t="str">
        <f>("0449119")</f>
        <v>0449119</v>
      </c>
      <c r="P498" s="39" t="s">
        <v>11986</v>
      </c>
      <c r="Q498" s="39" t="s">
        <v>8568</v>
      </c>
      <c r="R498" s="39" t="s">
        <v>8569</v>
      </c>
      <c r="S498" s="39" t="s">
        <v>8570</v>
      </c>
      <c r="AK498" s="39" t="str">
        <f>("2025/03/17")</f>
        <v>2025/03/17</v>
      </c>
      <c r="AL498" s="39" t="str">
        <f t="shared" si="37"/>
        <v>2025/04/01</v>
      </c>
    </row>
    <row r="499" spans="1:39" x14ac:dyDescent="0.25">
      <c r="A499" s="39" t="str">
        <f>("1311230069")</f>
        <v>1311230069</v>
      </c>
      <c r="C499" s="39"/>
      <c r="D499" s="39" t="s">
        <v>4062</v>
      </c>
      <c r="E499" s="371" t="str">
        <f t="shared" si="34"/>
        <v>ごとう　あやと</v>
      </c>
      <c r="F499" s="39" t="s">
        <v>188</v>
      </c>
      <c r="G499" s="39" t="s">
        <v>7828</v>
      </c>
      <c r="H499" s="39" t="str">
        <f>("2013/11/23")</f>
        <v>2013/11/23</v>
      </c>
      <c r="I499" s="39">
        <v>6</v>
      </c>
      <c r="J499" s="39" t="s">
        <v>1478</v>
      </c>
      <c r="K499" s="39" t="s">
        <v>2122</v>
      </c>
      <c r="L499" s="39" t="s">
        <v>7830</v>
      </c>
      <c r="M499" s="39" t="s">
        <v>7831</v>
      </c>
      <c r="N499" s="39" t="str">
        <f>("0130734")</f>
        <v>0130734</v>
      </c>
      <c r="P499" s="39" t="s">
        <v>11987</v>
      </c>
      <c r="Q499" s="39" t="s">
        <v>8568</v>
      </c>
      <c r="R499" s="39" t="s">
        <v>8569</v>
      </c>
      <c r="S499" s="39" t="s">
        <v>8570</v>
      </c>
      <c r="AK499" s="39" t="str">
        <f>("2025/03/17")</f>
        <v>2025/03/17</v>
      </c>
      <c r="AL499" s="39" t="str">
        <f t="shared" si="37"/>
        <v>2025/04/01</v>
      </c>
    </row>
    <row r="500" spans="1:39" x14ac:dyDescent="0.25">
      <c r="A500" s="39" t="str">
        <f>("1311250019")</f>
        <v>1311250019</v>
      </c>
      <c r="B500" s="39" t="s">
        <v>8885</v>
      </c>
      <c r="C500" s="39"/>
      <c r="D500" s="39" t="s">
        <v>8886</v>
      </c>
      <c r="E500" s="371" t="str">
        <f t="shared" si="34"/>
        <v>かわべ　とうご</v>
      </c>
      <c r="F500" s="39" t="s">
        <v>639</v>
      </c>
      <c r="G500" s="39" t="s">
        <v>7828</v>
      </c>
      <c r="H500" s="39" t="str">
        <f>("2013/11/25")</f>
        <v>2013/11/25</v>
      </c>
      <c r="I500" s="39">
        <v>6</v>
      </c>
      <c r="J500" s="39" t="s">
        <v>1478</v>
      </c>
      <c r="K500" s="39" t="s">
        <v>2122</v>
      </c>
      <c r="L500" s="39" t="s">
        <v>7830</v>
      </c>
      <c r="M500" s="39" t="s">
        <v>7831</v>
      </c>
      <c r="N500" s="39" t="str">
        <f>("0130633")</f>
        <v>0130633</v>
      </c>
      <c r="P500" s="39" t="s">
        <v>11988</v>
      </c>
      <c r="Q500" s="39" t="s">
        <v>8568</v>
      </c>
      <c r="R500" s="39" t="s">
        <v>8569</v>
      </c>
      <c r="S500" s="39" t="s">
        <v>8570</v>
      </c>
      <c r="AK500" s="39" t="str">
        <f>("2025/03/17")</f>
        <v>2025/03/17</v>
      </c>
      <c r="AL500" s="39" t="str">
        <f t="shared" si="37"/>
        <v>2025/04/01</v>
      </c>
      <c r="AM500" s="39" t="str">
        <f>("2025/04/08")</f>
        <v>2025/04/08</v>
      </c>
    </row>
    <row r="501" spans="1:39" x14ac:dyDescent="0.25">
      <c r="A501" s="39" t="str">
        <f>("1311250086")</f>
        <v>1311250086</v>
      </c>
      <c r="C501" s="39"/>
      <c r="D501" s="39" t="s">
        <v>6290</v>
      </c>
      <c r="E501" s="371" t="str">
        <f t="shared" si="34"/>
        <v>わたなべ　だいご</v>
      </c>
      <c r="F501" s="39" t="s">
        <v>5621</v>
      </c>
      <c r="G501" s="39" t="s">
        <v>7828</v>
      </c>
      <c r="H501" s="39" t="str">
        <f>("2013/11/25")</f>
        <v>2013/11/25</v>
      </c>
      <c r="I501" s="39">
        <v>6</v>
      </c>
      <c r="J501" s="39" t="s">
        <v>1478</v>
      </c>
      <c r="K501" s="39" t="s">
        <v>2122</v>
      </c>
      <c r="L501" s="39" t="s">
        <v>7830</v>
      </c>
      <c r="M501" s="39" t="s">
        <v>7831</v>
      </c>
      <c r="N501" s="39" t="str">
        <f>("1110654")</f>
        <v>1110654</v>
      </c>
      <c r="P501" s="39" t="s">
        <v>11989</v>
      </c>
      <c r="Q501" s="39" t="s">
        <v>8568</v>
      </c>
      <c r="R501" s="39" t="s">
        <v>8569</v>
      </c>
      <c r="S501" s="39" t="s">
        <v>8570</v>
      </c>
      <c r="AA501" s="39" t="s">
        <v>2122</v>
      </c>
      <c r="AB501" s="39" t="s">
        <v>7830</v>
      </c>
      <c r="AC501" s="39" t="s">
        <v>7831</v>
      </c>
      <c r="AD501" s="39" t="str">
        <f>("0513313")</f>
        <v>0513313</v>
      </c>
      <c r="AE501" s="39" t="s">
        <v>1014</v>
      </c>
      <c r="AK501" s="39" t="str">
        <f>("2025/03/03")</f>
        <v>2025/03/03</v>
      </c>
      <c r="AL501" s="39" t="str">
        <f t="shared" si="37"/>
        <v>2025/04/01</v>
      </c>
    </row>
    <row r="502" spans="1:39" x14ac:dyDescent="0.25">
      <c r="A502" s="39" t="str">
        <f>("1311250087")</f>
        <v>1311250087</v>
      </c>
      <c r="C502" s="39"/>
      <c r="D502" s="39" t="s">
        <v>8887</v>
      </c>
      <c r="E502" s="371" t="str">
        <f t="shared" si="34"/>
        <v>にしもと　おうた</v>
      </c>
      <c r="F502" s="39" t="s">
        <v>1692</v>
      </c>
      <c r="G502" s="39" t="s">
        <v>7828</v>
      </c>
      <c r="H502" s="39" t="str">
        <f>("2013/11/25")</f>
        <v>2013/11/25</v>
      </c>
      <c r="I502" s="39">
        <v>6</v>
      </c>
      <c r="J502" s="39" t="s">
        <v>1478</v>
      </c>
      <c r="K502" s="39" t="s">
        <v>2122</v>
      </c>
      <c r="L502" s="39" t="s">
        <v>7830</v>
      </c>
      <c r="M502" s="39" t="s">
        <v>7831</v>
      </c>
      <c r="N502" s="39" t="str">
        <f>("1052299")</f>
        <v>1052299</v>
      </c>
      <c r="P502" s="39" t="s">
        <v>11990</v>
      </c>
      <c r="Q502" s="39" t="s">
        <v>8568</v>
      </c>
      <c r="R502" s="39" t="s">
        <v>8569</v>
      </c>
      <c r="S502" s="39" t="s">
        <v>8570</v>
      </c>
      <c r="AA502" s="39" t="s">
        <v>2122</v>
      </c>
      <c r="AB502" s="39" t="s">
        <v>7830</v>
      </c>
      <c r="AC502" s="39" t="s">
        <v>7831</v>
      </c>
      <c r="AD502" s="39" t="str">
        <f>("0129754")</f>
        <v>0129754</v>
      </c>
      <c r="AE502" s="39" t="s">
        <v>2485</v>
      </c>
      <c r="AK502" s="39" t="str">
        <f>("2025/03/17")</f>
        <v>2025/03/17</v>
      </c>
      <c r="AL502" s="39" t="str">
        <f t="shared" si="37"/>
        <v>2025/04/01</v>
      </c>
    </row>
    <row r="503" spans="1:39" x14ac:dyDescent="0.25">
      <c r="A503" s="39" t="str">
        <f>("1311250091")</f>
        <v>1311250091</v>
      </c>
      <c r="B503" s="39" t="s">
        <v>8888</v>
      </c>
      <c r="C503" s="39"/>
      <c r="D503" s="39" t="s">
        <v>8889</v>
      </c>
      <c r="E503" s="371" t="str">
        <f t="shared" si="34"/>
        <v>てつさき　ゆうま</v>
      </c>
      <c r="F503" s="39" t="s">
        <v>2619</v>
      </c>
      <c r="G503" s="39" t="s">
        <v>7828</v>
      </c>
      <c r="H503" s="39" t="str">
        <f>("2013/11/25")</f>
        <v>2013/11/25</v>
      </c>
      <c r="I503" s="39">
        <v>6</v>
      </c>
      <c r="J503" s="39" t="s">
        <v>1478</v>
      </c>
      <c r="K503" s="39" t="s">
        <v>2122</v>
      </c>
      <c r="L503" s="39" t="s">
        <v>7830</v>
      </c>
      <c r="M503" s="39" t="s">
        <v>7831</v>
      </c>
      <c r="N503" s="39" t="str">
        <f>("0472823")</f>
        <v>0472823</v>
      </c>
      <c r="P503" s="39" t="s">
        <v>11991</v>
      </c>
      <c r="Q503" s="39" t="s">
        <v>8568</v>
      </c>
      <c r="R503" s="39" t="s">
        <v>8569</v>
      </c>
      <c r="S503" s="39" t="s">
        <v>8570</v>
      </c>
      <c r="AK503" s="39" t="str">
        <f>("2025/03/17")</f>
        <v>2025/03/17</v>
      </c>
      <c r="AL503" s="39" t="str">
        <f t="shared" si="37"/>
        <v>2025/04/01</v>
      </c>
    </row>
    <row r="504" spans="1:39" x14ac:dyDescent="0.25">
      <c r="A504" s="39" t="str">
        <f>("1311250174")</f>
        <v>1311250174</v>
      </c>
      <c r="B504" s="39" t="s">
        <v>8890</v>
      </c>
      <c r="C504" s="39"/>
      <c r="D504" s="39" t="s">
        <v>5817</v>
      </c>
      <c r="E504" s="371" t="str">
        <f t="shared" si="34"/>
        <v>たけのうち　そうま</v>
      </c>
      <c r="F504" s="39" t="s">
        <v>2022</v>
      </c>
      <c r="G504" s="39" t="s">
        <v>7828</v>
      </c>
      <c r="H504" s="39" t="str">
        <f>("2013/11/25")</f>
        <v>2013/11/25</v>
      </c>
      <c r="I504" s="39">
        <v>6</v>
      </c>
      <c r="J504" s="39" t="s">
        <v>1478</v>
      </c>
      <c r="K504" s="39" t="s">
        <v>2122</v>
      </c>
      <c r="L504" s="39" t="s">
        <v>7830</v>
      </c>
      <c r="M504" s="39" t="s">
        <v>7831</v>
      </c>
      <c r="N504" s="39" t="str">
        <f>("0130329")</f>
        <v>0130329</v>
      </c>
      <c r="P504" s="39" t="s">
        <v>11992</v>
      </c>
      <c r="Q504" s="39" t="s">
        <v>8568</v>
      </c>
      <c r="R504" s="39" t="s">
        <v>8569</v>
      </c>
      <c r="S504" s="39" t="s">
        <v>8570</v>
      </c>
      <c r="AA504" s="39" t="s">
        <v>2122</v>
      </c>
      <c r="AB504" s="39" t="s">
        <v>7830</v>
      </c>
      <c r="AC504" s="39" t="s">
        <v>7831</v>
      </c>
      <c r="AD504" s="39" t="str">
        <f>("0472823")</f>
        <v>0472823</v>
      </c>
      <c r="AE504" s="39" t="s">
        <v>2619</v>
      </c>
      <c r="AK504" s="39" t="str">
        <f>("2025/03/17")</f>
        <v>2025/03/17</v>
      </c>
      <c r="AL504" s="39" t="str">
        <f t="shared" si="37"/>
        <v>2025/04/01</v>
      </c>
    </row>
    <row r="505" spans="1:39" x14ac:dyDescent="0.25">
      <c r="A505" s="39" t="str">
        <f>("1311260128")</f>
        <v>1311260128</v>
      </c>
      <c r="C505" s="39"/>
      <c r="D505" s="39" t="s">
        <v>8891</v>
      </c>
      <c r="E505" s="371" t="str">
        <f t="shared" si="34"/>
        <v>くどう　しゅうさく</v>
      </c>
      <c r="F505" s="39" t="s">
        <v>1865</v>
      </c>
      <c r="G505" s="39" t="s">
        <v>7828</v>
      </c>
      <c r="H505" s="39" t="str">
        <f>("2013/11/26")</f>
        <v>2013/11/26</v>
      </c>
      <c r="I505" s="39">
        <v>6</v>
      </c>
      <c r="J505" s="39" t="s">
        <v>1478</v>
      </c>
      <c r="K505" s="39" t="s">
        <v>2122</v>
      </c>
      <c r="L505" s="39" t="s">
        <v>7830</v>
      </c>
      <c r="M505" s="39" t="s">
        <v>7831</v>
      </c>
      <c r="N505" s="39" t="str">
        <f>("0310565")</f>
        <v>0310565</v>
      </c>
      <c r="P505" s="39" t="s">
        <v>11993</v>
      </c>
      <c r="Q505" s="39" t="s">
        <v>8568</v>
      </c>
      <c r="R505" s="39" t="s">
        <v>8569</v>
      </c>
      <c r="S505" s="39" t="s">
        <v>8570</v>
      </c>
      <c r="AA505" s="39" t="s">
        <v>2122</v>
      </c>
      <c r="AB505" s="39" t="s">
        <v>7830</v>
      </c>
      <c r="AC505" s="39" t="s">
        <v>7831</v>
      </c>
      <c r="AD505" s="39" t="str">
        <f>("0130183")</f>
        <v>0130183</v>
      </c>
      <c r="AE505" s="39" t="s">
        <v>947</v>
      </c>
      <c r="AK505" s="39" t="str">
        <f>("2025/04/05")</f>
        <v>2025/04/05</v>
      </c>
      <c r="AL505" s="39" t="str">
        <f>("2025/04/05")</f>
        <v>2025/04/05</v>
      </c>
    </row>
    <row r="506" spans="1:39" x14ac:dyDescent="0.25">
      <c r="A506" s="39" t="str">
        <f>("1311260171")</f>
        <v>1311260171</v>
      </c>
      <c r="C506" s="39"/>
      <c r="D506" s="39" t="s">
        <v>6213</v>
      </c>
      <c r="E506" s="371" t="str">
        <f t="shared" si="34"/>
        <v>おかもと　ふうき</v>
      </c>
      <c r="F506" s="39" t="s">
        <v>7864</v>
      </c>
      <c r="G506" s="39" t="s">
        <v>7828</v>
      </c>
      <c r="H506" s="39" t="str">
        <f>("2013/11/26")</f>
        <v>2013/11/26</v>
      </c>
      <c r="I506" s="39">
        <v>6</v>
      </c>
      <c r="J506" s="39" t="s">
        <v>1478</v>
      </c>
      <c r="K506" s="39" t="s">
        <v>2122</v>
      </c>
      <c r="L506" s="39" t="s">
        <v>7830</v>
      </c>
      <c r="M506" s="39" t="s">
        <v>7831</v>
      </c>
      <c r="N506" s="39" t="str">
        <f>("1039801")</f>
        <v>1039801</v>
      </c>
      <c r="P506" s="39" t="s">
        <v>11994</v>
      </c>
      <c r="Q506" s="39" t="s">
        <v>8568</v>
      </c>
      <c r="R506" s="39" t="s">
        <v>8569</v>
      </c>
      <c r="S506" s="39" t="s">
        <v>8570</v>
      </c>
      <c r="AK506" s="39" t="str">
        <f>("2025/03/24")</f>
        <v>2025/03/24</v>
      </c>
      <c r="AL506" s="39" t="str">
        <f t="shared" ref="AL506:AL513" si="38">("2025/04/01")</f>
        <v>2025/04/01</v>
      </c>
    </row>
    <row r="507" spans="1:39" x14ac:dyDescent="0.25">
      <c r="A507" s="39" t="str">
        <f>("1311270011")</f>
        <v>1311270011</v>
      </c>
      <c r="B507" s="39" t="s">
        <v>8892</v>
      </c>
      <c r="C507" s="39"/>
      <c r="D507" s="39" t="s">
        <v>4445</v>
      </c>
      <c r="E507" s="371" t="str">
        <f t="shared" si="34"/>
        <v>たけうち　じゅんのすけ</v>
      </c>
      <c r="F507" s="39" t="s">
        <v>1912</v>
      </c>
      <c r="G507" s="39" t="s">
        <v>7828</v>
      </c>
      <c r="H507" s="39" t="str">
        <f>("2013/11/27")</f>
        <v>2013/11/27</v>
      </c>
      <c r="I507" s="39">
        <v>6</v>
      </c>
      <c r="J507" s="39" t="s">
        <v>1478</v>
      </c>
      <c r="K507" s="39" t="s">
        <v>2122</v>
      </c>
      <c r="L507" s="39" t="s">
        <v>7830</v>
      </c>
      <c r="M507" s="39" t="s">
        <v>7831</v>
      </c>
      <c r="N507" s="39" t="str">
        <f>("0130363")</f>
        <v>0130363</v>
      </c>
      <c r="P507" s="39" t="s">
        <v>11995</v>
      </c>
      <c r="Q507" s="39" t="s">
        <v>8568</v>
      </c>
      <c r="R507" s="39" t="s">
        <v>8569</v>
      </c>
      <c r="S507" s="39" t="s">
        <v>8570</v>
      </c>
      <c r="AK507" s="39" t="str">
        <f>("2025/03/17")</f>
        <v>2025/03/17</v>
      </c>
      <c r="AL507" s="39" t="str">
        <f t="shared" si="38"/>
        <v>2025/04/01</v>
      </c>
    </row>
    <row r="508" spans="1:39" x14ac:dyDescent="0.25">
      <c r="A508" s="39" t="str">
        <f>("1311270064")</f>
        <v>1311270064</v>
      </c>
      <c r="C508" s="39"/>
      <c r="D508" s="39" t="s">
        <v>4840</v>
      </c>
      <c r="E508" s="371" t="str">
        <f t="shared" si="34"/>
        <v>かわばた　りむ</v>
      </c>
      <c r="F508" s="39" t="s">
        <v>7864</v>
      </c>
      <c r="G508" s="39" t="s">
        <v>7828</v>
      </c>
      <c r="H508" s="39" t="str">
        <f>("2013/11/27")</f>
        <v>2013/11/27</v>
      </c>
      <c r="I508" s="39">
        <v>6</v>
      </c>
      <c r="J508" s="39" t="s">
        <v>1478</v>
      </c>
      <c r="K508" s="39" t="s">
        <v>2122</v>
      </c>
      <c r="L508" s="39" t="s">
        <v>7830</v>
      </c>
      <c r="M508" s="39" t="s">
        <v>7831</v>
      </c>
      <c r="N508" s="39" t="str">
        <f>("1039801")</f>
        <v>1039801</v>
      </c>
      <c r="P508" s="39" t="s">
        <v>11996</v>
      </c>
      <c r="Q508" s="39" t="s">
        <v>8568</v>
      </c>
      <c r="R508" s="39" t="s">
        <v>8569</v>
      </c>
      <c r="S508" s="39" t="s">
        <v>8570</v>
      </c>
      <c r="AA508" s="39" t="s">
        <v>2122</v>
      </c>
      <c r="AB508" s="39" t="s">
        <v>7830</v>
      </c>
      <c r="AC508" s="39" t="s">
        <v>7831</v>
      </c>
      <c r="AD508" s="39" t="str">
        <f>("1032161")</f>
        <v>1032161</v>
      </c>
      <c r="AE508" s="39" t="s">
        <v>1917</v>
      </c>
      <c r="AK508" s="39" t="str">
        <f>("2025/03/24")</f>
        <v>2025/03/24</v>
      </c>
      <c r="AL508" s="39" t="str">
        <f t="shared" si="38"/>
        <v>2025/04/01</v>
      </c>
    </row>
    <row r="509" spans="1:39" x14ac:dyDescent="0.25">
      <c r="A509" s="39" t="str">
        <f>("1311280037")</f>
        <v>1311280037</v>
      </c>
      <c r="C509" s="39"/>
      <c r="D509" s="39" t="s">
        <v>6070</v>
      </c>
      <c r="E509" s="371" t="str">
        <f t="shared" si="34"/>
        <v>つちや　いっしん</v>
      </c>
      <c r="F509" s="39" t="s">
        <v>7864</v>
      </c>
      <c r="G509" s="39" t="s">
        <v>7828</v>
      </c>
      <c r="H509" s="39" t="str">
        <f>("2013/11/28")</f>
        <v>2013/11/28</v>
      </c>
      <c r="I509" s="39">
        <v>6</v>
      </c>
      <c r="J509" s="39" t="s">
        <v>1478</v>
      </c>
      <c r="K509" s="39" t="s">
        <v>2122</v>
      </c>
      <c r="L509" s="39" t="s">
        <v>7830</v>
      </c>
      <c r="M509" s="39" t="s">
        <v>7831</v>
      </c>
      <c r="N509" s="39" t="str">
        <f>("1039801")</f>
        <v>1039801</v>
      </c>
      <c r="P509" s="39" t="s">
        <v>11997</v>
      </c>
      <c r="Q509" s="39" t="s">
        <v>8568</v>
      </c>
      <c r="R509" s="39" t="s">
        <v>8569</v>
      </c>
      <c r="S509" s="39" t="s">
        <v>8570</v>
      </c>
      <c r="AA509" s="39" t="s">
        <v>2122</v>
      </c>
      <c r="AB509" s="39" t="s">
        <v>7830</v>
      </c>
      <c r="AC509" s="39" t="s">
        <v>7831</v>
      </c>
      <c r="AD509" s="39" t="str">
        <f>("0395254")</f>
        <v>0395254</v>
      </c>
      <c r="AE509" s="39" t="s">
        <v>1977</v>
      </c>
      <c r="AK509" s="39" t="str">
        <f>("2025/03/24")</f>
        <v>2025/03/24</v>
      </c>
      <c r="AL509" s="39" t="str">
        <f t="shared" si="38"/>
        <v>2025/04/01</v>
      </c>
      <c r="AM509" s="39" t="str">
        <f>("2025/04/10")</f>
        <v>2025/04/10</v>
      </c>
    </row>
    <row r="510" spans="1:39" x14ac:dyDescent="0.25">
      <c r="A510" s="39" t="str">
        <f>("1311280101")</f>
        <v>1311280101</v>
      </c>
      <c r="B510" s="39" t="s">
        <v>8893</v>
      </c>
      <c r="C510" s="39"/>
      <c r="D510" s="39" t="s">
        <v>4591</v>
      </c>
      <c r="E510" s="371" t="str">
        <f t="shared" si="34"/>
        <v>なかにし　まなと</v>
      </c>
      <c r="F510" s="39" t="s">
        <v>639</v>
      </c>
      <c r="G510" s="39" t="s">
        <v>7828</v>
      </c>
      <c r="H510" s="39" t="str">
        <f>("2013/11/28")</f>
        <v>2013/11/28</v>
      </c>
      <c r="I510" s="39">
        <v>6</v>
      </c>
      <c r="J510" s="39" t="s">
        <v>1478</v>
      </c>
      <c r="K510" s="39" t="s">
        <v>2122</v>
      </c>
      <c r="L510" s="39" t="s">
        <v>7830</v>
      </c>
      <c r="M510" s="39" t="s">
        <v>7831</v>
      </c>
      <c r="N510" s="39" t="str">
        <f>("0130633")</f>
        <v>0130633</v>
      </c>
      <c r="P510" s="39" t="s">
        <v>11998</v>
      </c>
      <c r="Q510" s="39" t="s">
        <v>8568</v>
      </c>
      <c r="R510" s="39" t="s">
        <v>8569</v>
      </c>
      <c r="S510" s="39" t="s">
        <v>8570</v>
      </c>
      <c r="AK510" s="39" t="str">
        <f>("2025/03/17")</f>
        <v>2025/03/17</v>
      </c>
      <c r="AL510" s="39" t="str">
        <f t="shared" si="38"/>
        <v>2025/04/01</v>
      </c>
    </row>
    <row r="511" spans="1:39" x14ac:dyDescent="0.25">
      <c r="A511" s="39" t="str">
        <f>("1311290012")</f>
        <v>1311290012</v>
      </c>
      <c r="C511" s="39"/>
      <c r="D511" s="39" t="s">
        <v>4533</v>
      </c>
      <c r="E511" s="371" t="str">
        <f t="shared" si="34"/>
        <v>ましこ　わたる</v>
      </c>
      <c r="F511" s="39" t="s">
        <v>2137</v>
      </c>
      <c r="G511" s="39" t="s">
        <v>7828</v>
      </c>
      <c r="H511" s="39" t="str">
        <f>("2013/11/29")</f>
        <v>2013/11/29</v>
      </c>
      <c r="I511" s="39">
        <v>6</v>
      </c>
      <c r="J511" s="39" t="s">
        <v>1478</v>
      </c>
      <c r="K511" s="39" t="s">
        <v>2122</v>
      </c>
      <c r="L511" s="39" t="s">
        <v>7830</v>
      </c>
      <c r="M511" s="39" t="s">
        <v>7831</v>
      </c>
      <c r="N511" s="39" t="str">
        <f>("0130510")</f>
        <v>0130510</v>
      </c>
      <c r="P511" s="39" t="s">
        <v>11999</v>
      </c>
      <c r="Q511" s="39" t="s">
        <v>8568</v>
      </c>
      <c r="R511" s="39" t="s">
        <v>8569</v>
      </c>
      <c r="S511" s="39" t="s">
        <v>8570</v>
      </c>
      <c r="AA511" s="39" t="s">
        <v>8894</v>
      </c>
      <c r="AB511" s="39" t="s">
        <v>7830</v>
      </c>
      <c r="AC511" s="39" t="s">
        <v>7831</v>
      </c>
      <c r="AD511" s="39" t="str">
        <f>("0089355")</f>
        <v>0089355</v>
      </c>
      <c r="AE511" s="39" t="s">
        <v>8895</v>
      </c>
      <c r="AK511" s="39" t="str">
        <f>("2025/03/21")</f>
        <v>2025/03/21</v>
      </c>
      <c r="AL511" s="39" t="str">
        <f t="shared" si="38"/>
        <v>2025/04/01</v>
      </c>
    </row>
    <row r="512" spans="1:39" x14ac:dyDescent="0.25">
      <c r="A512" s="39" t="str">
        <f>("1311300100")</f>
        <v>1311300100</v>
      </c>
      <c r="B512" s="39" t="s">
        <v>8896</v>
      </c>
      <c r="C512" s="39"/>
      <c r="D512" s="39" t="s">
        <v>8897</v>
      </c>
      <c r="E512" s="371" t="str">
        <f t="shared" si="34"/>
        <v>やまなか　たつじ</v>
      </c>
      <c r="F512" s="39" t="s">
        <v>2651</v>
      </c>
      <c r="G512" s="39" t="s">
        <v>7828</v>
      </c>
      <c r="H512" s="39" t="str">
        <f>("2013/11/30")</f>
        <v>2013/11/30</v>
      </c>
      <c r="I512" s="39">
        <v>6</v>
      </c>
      <c r="J512" s="39" t="s">
        <v>1478</v>
      </c>
      <c r="K512" s="39" t="s">
        <v>2122</v>
      </c>
      <c r="L512" s="39" t="s">
        <v>7830</v>
      </c>
      <c r="M512" s="39" t="s">
        <v>7831</v>
      </c>
      <c r="N512" s="39" t="str">
        <f>("1067415")</f>
        <v>1067415</v>
      </c>
      <c r="P512" s="39" t="s">
        <v>12000</v>
      </c>
      <c r="Q512" s="39" t="s">
        <v>8568</v>
      </c>
      <c r="R512" s="39" t="s">
        <v>8569</v>
      </c>
      <c r="S512" s="39" t="s">
        <v>8570</v>
      </c>
      <c r="AK512" s="39" t="str">
        <f>("2025/03/21")</f>
        <v>2025/03/21</v>
      </c>
      <c r="AL512" s="39" t="str">
        <f t="shared" si="38"/>
        <v>2025/04/01</v>
      </c>
    </row>
    <row r="513" spans="1:39" x14ac:dyDescent="0.25">
      <c r="A513" s="39" t="str">
        <f>("1312010004")</f>
        <v>1312010004</v>
      </c>
      <c r="B513" s="39" t="s">
        <v>8898</v>
      </c>
      <c r="C513" s="39"/>
      <c r="D513" s="39" t="s">
        <v>4805</v>
      </c>
      <c r="E513" s="371" t="str">
        <f t="shared" si="34"/>
        <v>やの　せいしろう</v>
      </c>
      <c r="F513" s="39" t="s">
        <v>2156</v>
      </c>
      <c r="G513" s="39" t="s">
        <v>7828</v>
      </c>
      <c r="H513" s="39" t="str">
        <f>("2013/12/01")</f>
        <v>2013/12/01</v>
      </c>
      <c r="I513" s="39">
        <v>6</v>
      </c>
      <c r="J513" s="39" t="s">
        <v>1478</v>
      </c>
      <c r="K513" s="39" t="s">
        <v>2122</v>
      </c>
      <c r="L513" s="39" t="s">
        <v>7830</v>
      </c>
      <c r="M513" s="39" t="s">
        <v>7831</v>
      </c>
      <c r="N513" s="39" t="str">
        <f>("0493040")</f>
        <v>0493040</v>
      </c>
      <c r="P513" s="39" t="s">
        <v>12001</v>
      </c>
      <c r="Q513" s="39" t="s">
        <v>8568</v>
      </c>
      <c r="R513" s="39" t="s">
        <v>8569</v>
      </c>
      <c r="S513" s="39" t="s">
        <v>8570</v>
      </c>
      <c r="AK513" s="39" t="str">
        <f>("2025/03/17")</f>
        <v>2025/03/17</v>
      </c>
      <c r="AL513" s="39" t="str">
        <f t="shared" si="38"/>
        <v>2025/04/01</v>
      </c>
    </row>
    <row r="514" spans="1:39" x14ac:dyDescent="0.25">
      <c r="A514" s="39" t="str">
        <f>("1312020150")</f>
        <v>1312020150</v>
      </c>
      <c r="C514" s="39"/>
      <c r="D514" s="39" t="s">
        <v>8899</v>
      </c>
      <c r="E514" s="371" t="str">
        <f t="shared" si="34"/>
        <v>もりやま　さくと</v>
      </c>
      <c r="F514" s="39" t="s">
        <v>5619</v>
      </c>
      <c r="G514" s="39" t="s">
        <v>7828</v>
      </c>
      <c r="H514" s="39" t="str">
        <f>("2013/12/02")</f>
        <v>2013/12/02</v>
      </c>
      <c r="I514" s="39">
        <v>6</v>
      </c>
      <c r="J514" s="39" t="s">
        <v>1478</v>
      </c>
      <c r="K514" s="39" t="s">
        <v>2122</v>
      </c>
      <c r="L514" s="39" t="s">
        <v>7830</v>
      </c>
      <c r="M514" s="39" t="s">
        <v>7831</v>
      </c>
      <c r="N514" s="39" t="str">
        <f>("1089004")</f>
        <v>1089004</v>
      </c>
      <c r="P514" s="39" t="s">
        <v>12002</v>
      </c>
      <c r="Q514" s="39" t="s">
        <v>8568</v>
      </c>
      <c r="R514" s="39" t="s">
        <v>8569</v>
      </c>
      <c r="S514" s="39" t="s">
        <v>8570</v>
      </c>
      <c r="AA514" s="39" t="s">
        <v>2122</v>
      </c>
      <c r="AB514" s="39" t="s">
        <v>7830</v>
      </c>
      <c r="AC514" s="39" t="s">
        <v>7831</v>
      </c>
      <c r="AD514" s="39" t="str">
        <f>("0452911")</f>
        <v>0452911</v>
      </c>
      <c r="AE514" s="39" t="s">
        <v>8032</v>
      </c>
      <c r="AK514" s="39" t="str">
        <f>("2025/08/21")</f>
        <v>2025/08/21</v>
      </c>
      <c r="AL514" s="39" t="str">
        <f>("2025/08/21")</f>
        <v>2025/08/21</v>
      </c>
    </row>
    <row r="515" spans="1:39" x14ac:dyDescent="0.25">
      <c r="A515" s="39" t="str">
        <f>("1312030171")</f>
        <v>1312030171</v>
      </c>
      <c r="C515" s="39"/>
      <c r="D515" s="39" t="s">
        <v>5629</v>
      </c>
      <c r="E515" s="371" t="str">
        <f t="shared" ref="E515:E578" si="39">PHONETIC(P515)</f>
        <v>たつかわ　ゆな</v>
      </c>
      <c r="F515" s="39" t="s">
        <v>2878</v>
      </c>
      <c r="G515" s="39" t="s">
        <v>7828</v>
      </c>
      <c r="H515" s="39" t="str">
        <f>("2013/12/03")</f>
        <v>2013/12/03</v>
      </c>
      <c r="I515" s="39">
        <v>6</v>
      </c>
      <c r="J515" s="39" t="s">
        <v>1480</v>
      </c>
      <c r="K515" s="39" t="s">
        <v>2122</v>
      </c>
      <c r="L515" s="39" t="s">
        <v>7830</v>
      </c>
      <c r="M515" s="39" t="s">
        <v>7831</v>
      </c>
      <c r="N515" s="39" t="str">
        <f>("0129484")</f>
        <v>0129484</v>
      </c>
      <c r="P515" s="39" t="s">
        <v>12003</v>
      </c>
      <c r="Q515" s="39" t="s">
        <v>8568</v>
      </c>
      <c r="R515" s="39" t="s">
        <v>8569</v>
      </c>
      <c r="S515" s="39" t="s">
        <v>8570</v>
      </c>
      <c r="AK515" s="39" t="str">
        <f>("2025/03/17")</f>
        <v>2025/03/17</v>
      </c>
      <c r="AL515" s="39" t="str">
        <f t="shared" ref="AL515:AL527" si="40">("2025/04/01")</f>
        <v>2025/04/01</v>
      </c>
    </row>
    <row r="516" spans="1:39" x14ac:dyDescent="0.25">
      <c r="A516" s="39" t="str">
        <f>("1312040010")</f>
        <v>1312040010</v>
      </c>
      <c r="B516" s="39" t="s">
        <v>8900</v>
      </c>
      <c r="C516" s="39"/>
      <c r="D516" s="39" t="s">
        <v>4528</v>
      </c>
      <c r="E516" s="371" t="str">
        <f t="shared" si="39"/>
        <v>いしい　ともや</v>
      </c>
      <c r="F516" s="39" t="s">
        <v>2137</v>
      </c>
      <c r="G516" s="39" t="s">
        <v>7828</v>
      </c>
      <c r="H516" s="39" t="str">
        <f>("2013/12/04")</f>
        <v>2013/12/04</v>
      </c>
      <c r="I516" s="39">
        <v>6</v>
      </c>
      <c r="J516" s="39" t="s">
        <v>1478</v>
      </c>
      <c r="K516" s="39" t="s">
        <v>2122</v>
      </c>
      <c r="L516" s="39" t="s">
        <v>7830</v>
      </c>
      <c r="M516" s="39" t="s">
        <v>7831</v>
      </c>
      <c r="N516" s="39" t="str">
        <f>("0130510")</f>
        <v>0130510</v>
      </c>
      <c r="P516" s="39" t="s">
        <v>12004</v>
      </c>
      <c r="Q516" s="39" t="s">
        <v>8568</v>
      </c>
      <c r="R516" s="39" t="s">
        <v>8569</v>
      </c>
      <c r="S516" s="39" t="s">
        <v>8570</v>
      </c>
      <c r="AK516" s="39" t="str">
        <f>("2025/03/21")</f>
        <v>2025/03/21</v>
      </c>
      <c r="AL516" s="39" t="str">
        <f t="shared" si="40"/>
        <v>2025/04/01</v>
      </c>
    </row>
    <row r="517" spans="1:39" x14ac:dyDescent="0.25">
      <c r="A517" s="39" t="str">
        <f>("1312040015")</f>
        <v>1312040015</v>
      </c>
      <c r="C517" s="39"/>
      <c r="D517" s="39" t="s">
        <v>2698</v>
      </c>
      <c r="E517" s="371" t="str">
        <f t="shared" si="39"/>
        <v>さとう　じょうじ</v>
      </c>
      <c r="F517" s="39" t="s">
        <v>1865</v>
      </c>
      <c r="G517" s="39" t="s">
        <v>7828</v>
      </c>
      <c r="H517" s="39" t="str">
        <f>("2013/12/04")</f>
        <v>2013/12/04</v>
      </c>
      <c r="I517" s="39">
        <v>6</v>
      </c>
      <c r="J517" s="39" t="s">
        <v>1478</v>
      </c>
      <c r="K517" s="39" t="s">
        <v>2122</v>
      </c>
      <c r="L517" s="39" t="s">
        <v>7830</v>
      </c>
      <c r="M517" s="39" t="s">
        <v>7831</v>
      </c>
      <c r="N517" s="39" t="str">
        <f>("0310565")</f>
        <v>0310565</v>
      </c>
      <c r="P517" s="39" t="s">
        <v>12005</v>
      </c>
      <c r="Q517" s="39" t="s">
        <v>8568</v>
      </c>
      <c r="R517" s="39" t="s">
        <v>8569</v>
      </c>
      <c r="S517" s="39" t="s">
        <v>8570</v>
      </c>
      <c r="AK517" s="39" t="str">
        <f>("2025/03/17")</f>
        <v>2025/03/17</v>
      </c>
      <c r="AL517" s="39" t="str">
        <f t="shared" si="40"/>
        <v>2025/04/01</v>
      </c>
    </row>
    <row r="518" spans="1:39" x14ac:dyDescent="0.25">
      <c r="A518" s="39" t="str">
        <f>("1312040058")</f>
        <v>1312040058</v>
      </c>
      <c r="C518" s="39"/>
      <c r="D518" s="39" t="s">
        <v>6143</v>
      </c>
      <c r="E518" s="371" t="str">
        <f t="shared" si="39"/>
        <v>よしだ　かずと</v>
      </c>
      <c r="F518" s="39" t="s">
        <v>2323</v>
      </c>
      <c r="G518" s="39" t="s">
        <v>7828</v>
      </c>
      <c r="H518" s="39" t="str">
        <f>("2013/12/04")</f>
        <v>2013/12/04</v>
      </c>
      <c r="I518" s="39">
        <v>6</v>
      </c>
      <c r="J518" s="39" t="s">
        <v>1478</v>
      </c>
      <c r="K518" s="39" t="s">
        <v>2122</v>
      </c>
      <c r="L518" s="39" t="s">
        <v>7830</v>
      </c>
      <c r="M518" s="39" t="s">
        <v>7831</v>
      </c>
      <c r="N518" s="39" t="str">
        <f>("0472722")</f>
        <v>0472722</v>
      </c>
      <c r="P518" s="39" t="s">
        <v>12006</v>
      </c>
      <c r="Q518" s="39" t="s">
        <v>8568</v>
      </c>
      <c r="R518" s="39" t="s">
        <v>8569</v>
      </c>
      <c r="S518" s="39" t="s">
        <v>8570</v>
      </c>
      <c r="AA518" s="39" t="s">
        <v>2122</v>
      </c>
      <c r="AB518" s="39" t="s">
        <v>7830</v>
      </c>
      <c r="AC518" s="39" t="s">
        <v>7831</v>
      </c>
      <c r="AD518" s="39" t="str">
        <f>("0130486")</f>
        <v>0130486</v>
      </c>
      <c r="AE518" s="39" t="s">
        <v>2324</v>
      </c>
      <c r="AK518" s="39" t="str">
        <f>("2025/03/17")</f>
        <v>2025/03/17</v>
      </c>
      <c r="AL518" s="39" t="str">
        <f t="shared" si="40"/>
        <v>2025/04/01</v>
      </c>
    </row>
    <row r="519" spans="1:39" x14ac:dyDescent="0.25">
      <c r="A519" s="39" t="str">
        <f>("1312040099")</f>
        <v>1312040099</v>
      </c>
      <c r="C519" s="39"/>
      <c r="D519" s="39" t="s">
        <v>4161</v>
      </c>
      <c r="E519" s="371" t="str">
        <f t="shared" si="39"/>
        <v>たぐち　さく</v>
      </c>
      <c r="F519" s="39" t="s">
        <v>2323</v>
      </c>
      <c r="G519" s="39" t="s">
        <v>7828</v>
      </c>
      <c r="H519" s="39" t="str">
        <f>("2013/12/04")</f>
        <v>2013/12/04</v>
      </c>
      <c r="I519" s="39">
        <v>6</v>
      </c>
      <c r="J519" s="39" t="s">
        <v>1478</v>
      </c>
      <c r="K519" s="39" t="s">
        <v>2122</v>
      </c>
      <c r="L519" s="39" t="s">
        <v>7830</v>
      </c>
      <c r="M519" s="39" t="s">
        <v>7831</v>
      </c>
      <c r="N519" s="39" t="str">
        <f>("0472722")</f>
        <v>0472722</v>
      </c>
      <c r="P519" s="39" t="s">
        <v>12007</v>
      </c>
      <c r="Q519" s="39" t="s">
        <v>8568</v>
      </c>
      <c r="R519" s="39" t="s">
        <v>8569</v>
      </c>
      <c r="S519" s="39" t="s">
        <v>8570</v>
      </c>
      <c r="AK519" s="39" t="str">
        <f>("2025/03/17")</f>
        <v>2025/03/17</v>
      </c>
      <c r="AL519" s="39" t="str">
        <f t="shared" si="40"/>
        <v>2025/04/01</v>
      </c>
    </row>
    <row r="520" spans="1:39" x14ac:dyDescent="0.25">
      <c r="A520" s="39" t="str">
        <f>("1312050009")</f>
        <v>1312050009</v>
      </c>
      <c r="C520" s="39"/>
      <c r="D520" s="39" t="s">
        <v>5773</v>
      </c>
      <c r="E520" s="371" t="str">
        <f t="shared" si="39"/>
        <v>あさうみ　しょう</v>
      </c>
      <c r="F520" s="39" t="s">
        <v>2138</v>
      </c>
      <c r="G520" s="39" t="s">
        <v>7828</v>
      </c>
      <c r="H520" s="39" t="str">
        <f>("2013/12/05")</f>
        <v>2013/12/05</v>
      </c>
      <c r="I520" s="39">
        <v>6</v>
      </c>
      <c r="J520" s="39" t="s">
        <v>1478</v>
      </c>
      <c r="K520" s="39" t="s">
        <v>2122</v>
      </c>
      <c r="L520" s="39" t="s">
        <v>7830</v>
      </c>
      <c r="M520" s="39" t="s">
        <v>7831</v>
      </c>
      <c r="N520" s="39" t="str">
        <f>("0130082")</f>
        <v>0130082</v>
      </c>
      <c r="P520" s="39" t="s">
        <v>12008</v>
      </c>
      <c r="Q520" s="39" t="s">
        <v>8568</v>
      </c>
      <c r="R520" s="39" t="s">
        <v>8569</v>
      </c>
      <c r="S520" s="39" t="s">
        <v>8570</v>
      </c>
      <c r="AK520" s="39" t="str">
        <f>("2025/03/17")</f>
        <v>2025/03/17</v>
      </c>
      <c r="AL520" s="39" t="str">
        <f t="shared" si="40"/>
        <v>2025/04/01</v>
      </c>
    </row>
    <row r="521" spans="1:39" x14ac:dyDescent="0.25">
      <c r="A521" s="39" t="str">
        <f>("1312060083")</f>
        <v>1312060083</v>
      </c>
      <c r="B521" s="39" t="s">
        <v>8901</v>
      </c>
      <c r="C521" s="39"/>
      <c r="D521" s="39" t="s">
        <v>8902</v>
      </c>
      <c r="E521" s="371" t="str">
        <f t="shared" si="39"/>
        <v>ごとう　かなと</v>
      </c>
      <c r="F521" s="39" t="s">
        <v>2619</v>
      </c>
      <c r="G521" s="39" t="s">
        <v>7828</v>
      </c>
      <c r="H521" s="39" t="str">
        <f>("2013/12/06")</f>
        <v>2013/12/06</v>
      </c>
      <c r="I521" s="39">
        <v>6</v>
      </c>
      <c r="J521" s="39" t="s">
        <v>1478</v>
      </c>
      <c r="K521" s="39" t="s">
        <v>2122</v>
      </c>
      <c r="L521" s="39" t="s">
        <v>7830</v>
      </c>
      <c r="M521" s="39" t="s">
        <v>7831</v>
      </c>
      <c r="N521" s="39" t="str">
        <f>("0472823")</f>
        <v>0472823</v>
      </c>
      <c r="P521" s="39" t="s">
        <v>12009</v>
      </c>
      <c r="Q521" s="39" t="s">
        <v>8568</v>
      </c>
      <c r="R521" s="39" t="s">
        <v>8569</v>
      </c>
      <c r="S521" s="39" t="s">
        <v>8570</v>
      </c>
      <c r="AK521" s="39" t="str">
        <f>("2025/03/17")</f>
        <v>2025/03/17</v>
      </c>
      <c r="AL521" s="39" t="str">
        <f t="shared" si="40"/>
        <v>2025/04/01</v>
      </c>
    </row>
    <row r="522" spans="1:39" x14ac:dyDescent="0.25">
      <c r="A522" s="39" t="str">
        <f>("1312060109")</f>
        <v>1312060109</v>
      </c>
      <c r="C522" s="39"/>
      <c r="D522" s="39" t="s">
        <v>6085</v>
      </c>
      <c r="E522" s="371" t="str">
        <f t="shared" si="39"/>
        <v>かんざき　かいと</v>
      </c>
      <c r="F522" s="39" t="s">
        <v>829</v>
      </c>
      <c r="G522" s="39" t="s">
        <v>7828</v>
      </c>
      <c r="H522" s="39" t="str">
        <f>("2013/12/06")</f>
        <v>2013/12/06</v>
      </c>
      <c r="I522" s="39">
        <v>6</v>
      </c>
      <c r="J522" s="39" t="s">
        <v>1478</v>
      </c>
      <c r="K522" s="39" t="s">
        <v>2122</v>
      </c>
      <c r="L522" s="39" t="s">
        <v>7830</v>
      </c>
      <c r="M522" s="39" t="s">
        <v>7831</v>
      </c>
      <c r="N522" s="39" t="str">
        <f>("0426631")</f>
        <v>0426631</v>
      </c>
      <c r="P522" s="39" t="s">
        <v>12010</v>
      </c>
      <c r="Q522" s="39" t="s">
        <v>8568</v>
      </c>
      <c r="R522" s="39" t="s">
        <v>8569</v>
      </c>
      <c r="S522" s="39" t="s">
        <v>8570</v>
      </c>
      <c r="AA522" s="39" t="s">
        <v>2122</v>
      </c>
      <c r="AB522" s="39" t="s">
        <v>7830</v>
      </c>
      <c r="AC522" s="39" t="s">
        <v>7831</v>
      </c>
      <c r="AD522" s="39" t="str">
        <f>("0338756")</f>
        <v>0338756</v>
      </c>
      <c r="AE522" s="39" t="s">
        <v>2530</v>
      </c>
      <c r="AK522" s="39" t="str">
        <f>("2025/03/21")</f>
        <v>2025/03/21</v>
      </c>
      <c r="AL522" s="39" t="str">
        <f t="shared" si="40"/>
        <v>2025/04/01</v>
      </c>
    </row>
    <row r="523" spans="1:39" x14ac:dyDescent="0.25">
      <c r="A523" s="39" t="str">
        <f>("1312060164")</f>
        <v>1312060164</v>
      </c>
      <c r="B523" s="39" t="s">
        <v>8903</v>
      </c>
      <c r="C523" s="39"/>
      <c r="D523" s="39" t="s">
        <v>4608</v>
      </c>
      <c r="E523" s="371" t="str">
        <f t="shared" si="39"/>
        <v>ぶにょう　れんと</v>
      </c>
      <c r="F523" s="39" t="s">
        <v>2549</v>
      </c>
      <c r="G523" s="39" t="s">
        <v>7828</v>
      </c>
      <c r="H523" s="39" t="str">
        <f>("2013/12/06")</f>
        <v>2013/12/06</v>
      </c>
      <c r="I523" s="39">
        <v>6</v>
      </c>
      <c r="J523" s="39" t="s">
        <v>1478</v>
      </c>
      <c r="K523" s="39" t="s">
        <v>2122</v>
      </c>
      <c r="L523" s="39" t="s">
        <v>7830</v>
      </c>
      <c r="M523" s="39" t="s">
        <v>7831</v>
      </c>
      <c r="N523" s="39" t="str">
        <f>("0130688")</f>
        <v>0130688</v>
      </c>
      <c r="P523" s="39" t="s">
        <v>12011</v>
      </c>
      <c r="Q523" s="39" t="s">
        <v>8568</v>
      </c>
      <c r="R523" s="39" t="s">
        <v>8569</v>
      </c>
      <c r="S523" s="39" t="s">
        <v>8570</v>
      </c>
      <c r="AK523" s="39" t="str">
        <f>("2025/03/17")</f>
        <v>2025/03/17</v>
      </c>
      <c r="AL523" s="39" t="str">
        <f t="shared" si="40"/>
        <v>2025/04/01</v>
      </c>
    </row>
    <row r="524" spans="1:39" x14ac:dyDescent="0.25">
      <c r="A524" s="39" t="str">
        <f>("1312060178")</f>
        <v>1312060178</v>
      </c>
      <c r="C524" s="39"/>
      <c r="D524" s="39" t="s">
        <v>6086</v>
      </c>
      <c r="E524" s="371" t="str">
        <f t="shared" si="39"/>
        <v>たかはし　あいと</v>
      </c>
      <c r="F524" s="39" t="s">
        <v>829</v>
      </c>
      <c r="G524" s="39" t="s">
        <v>7828</v>
      </c>
      <c r="H524" s="39" t="str">
        <f>("2013/12/06")</f>
        <v>2013/12/06</v>
      </c>
      <c r="I524" s="39">
        <v>6</v>
      </c>
      <c r="J524" s="39" t="s">
        <v>1478</v>
      </c>
      <c r="K524" s="39" t="s">
        <v>2122</v>
      </c>
      <c r="L524" s="39" t="s">
        <v>7830</v>
      </c>
      <c r="M524" s="39" t="s">
        <v>7831</v>
      </c>
      <c r="N524" s="39" t="str">
        <f>("0426631")</f>
        <v>0426631</v>
      </c>
      <c r="P524" s="39" t="s">
        <v>12012</v>
      </c>
      <c r="Q524" s="39" t="s">
        <v>8568</v>
      </c>
      <c r="R524" s="39" t="s">
        <v>8569</v>
      </c>
      <c r="S524" s="39" t="s">
        <v>8570</v>
      </c>
      <c r="AK524" s="39" t="str">
        <f>("2025/03/21")</f>
        <v>2025/03/21</v>
      </c>
      <c r="AL524" s="39" t="str">
        <f t="shared" si="40"/>
        <v>2025/04/01</v>
      </c>
    </row>
    <row r="525" spans="1:39" x14ac:dyDescent="0.25">
      <c r="A525" s="39" t="str">
        <f>("1312080153")</f>
        <v>1312080153</v>
      </c>
      <c r="C525" s="39"/>
      <c r="D525" s="39" t="s">
        <v>8904</v>
      </c>
      <c r="E525" s="371" t="str">
        <f t="shared" si="39"/>
        <v>たさき　らいと</v>
      </c>
      <c r="F525" s="39" t="s">
        <v>2587</v>
      </c>
      <c r="G525" s="39" t="s">
        <v>7828</v>
      </c>
      <c r="H525" s="39" t="str">
        <f>("2013/12/08")</f>
        <v>2013/12/08</v>
      </c>
      <c r="I525" s="39">
        <v>6</v>
      </c>
      <c r="J525" s="39" t="s">
        <v>1478</v>
      </c>
      <c r="K525" s="39" t="s">
        <v>2122</v>
      </c>
      <c r="L525" s="39" t="s">
        <v>7830</v>
      </c>
      <c r="M525" s="39" t="s">
        <v>7831</v>
      </c>
      <c r="N525" s="39" t="str">
        <f>("0387334")</f>
        <v>0387334</v>
      </c>
      <c r="P525" s="39" t="s">
        <v>12013</v>
      </c>
      <c r="Q525" s="39" t="s">
        <v>8568</v>
      </c>
      <c r="R525" s="39" t="s">
        <v>8569</v>
      </c>
      <c r="S525" s="39" t="s">
        <v>8570</v>
      </c>
      <c r="AK525" s="39" t="str">
        <f>("2025/03/27")</f>
        <v>2025/03/27</v>
      </c>
      <c r="AL525" s="39" t="str">
        <f t="shared" si="40"/>
        <v>2025/04/01</v>
      </c>
    </row>
    <row r="526" spans="1:39" x14ac:dyDescent="0.25">
      <c r="A526" s="39" t="str">
        <f>("1312080157")</f>
        <v>1312080157</v>
      </c>
      <c r="C526" s="39"/>
      <c r="D526" s="39" t="s">
        <v>5666</v>
      </c>
      <c r="E526" s="371" t="str">
        <f t="shared" si="39"/>
        <v>おの　ももか</v>
      </c>
      <c r="F526" s="39" t="s">
        <v>2274</v>
      </c>
      <c r="G526" s="39" t="s">
        <v>7828</v>
      </c>
      <c r="H526" s="39" t="str">
        <f>("2013/12/08")</f>
        <v>2013/12/08</v>
      </c>
      <c r="I526" s="39">
        <v>6</v>
      </c>
      <c r="J526" s="39" t="s">
        <v>1480</v>
      </c>
      <c r="K526" s="39" t="s">
        <v>2122</v>
      </c>
      <c r="L526" s="39" t="s">
        <v>7830</v>
      </c>
      <c r="M526" s="39" t="s">
        <v>7831</v>
      </c>
      <c r="N526" s="39" t="str">
        <f>("0129563")</f>
        <v>0129563</v>
      </c>
      <c r="P526" s="39" t="s">
        <v>12014</v>
      </c>
      <c r="Q526" s="39" t="s">
        <v>8568</v>
      </c>
      <c r="R526" s="39" t="s">
        <v>8569</v>
      </c>
      <c r="S526" s="39" t="s">
        <v>8570</v>
      </c>
      <c r="AK526" s="39" t="str">
        <f>("2025/03/17")</f>
        <v>2025/03/17</v>
      </c>
      <c r="AL526" s="39" t="str">
        <f t="shared" si="40"/>
        <v>2025/04/01</v>
      </c>
    </row>
    <row r="527" spans="1:39" x14ac:dyDescent="0.25">
      <c r="A527" s="39" t="str">
        <f>("1312090035")</f>
        <v>1312090035</v>
      </c>
      <c r="C527" s="39"/>
      <c r="D527" s="39" t="s">
        <v>5974</v>
      </c>
      <c r="E527" s="371" t="str">
        <f t="shared" si="39"/>
        <v>やまだ　だいき</v>
      </c>
      <c r="F527" s="39" t="s">
        <v>2574</v>
      </c>
      <c r="G527" s="39" t="s">
        <v>7828</v>
      </c>
      <c r="H527" s="39" t="str">
        <f>("2013/12/09")</f>
        <v>2013/12/09</v>
      </c>
      <c r="I527" s="39">
        <v>6</v>
      </c>
      <c r="J527" s="39" t="s">
        <v>1478</v>
      </c>
      <c r="K527" s="39" t="s">
        <v>2122</v>
      </c>
      <c r="L527" s="39" t="s">
        <v>7830</v>
      </c>
      <c r="M527" s="39" t="s">
        <v>7831</v>
      </c>
      <c r="N527" s="39" t="str">
        <f>("0237620")</f>
        <v>0237620</v>
      </c>
      <c r="P527" s="39" t="s">
        <v>12015</v>
      </c>
      <c r="Q527" s="39" t="s">
        <v>8568</v>
      </c>
      <c r="R527" s="39" t="s">
        <v>8569</v>
      </c>
      <c r="S527" s="39" t="s">
        <v>8570</v>
      </c>
      <c r="AK527" s="39" t="str">
        <f>("2025/03/17")</f>
        <v>2025/03/17</v>
      </c>
      <c r="AL527" s="39" t="str">
        <f t="shared" si="40"/>
        <v>2025/04/01</v>
      </c>
    </row>
    <row r="528" spans="1:39" x14ac:dyDescent="0.25">
      <c r="A528" s="39" t="str">
        <f>("1312100011")</f>
        <v>1312100011</v>
      </c>
      <c r="C528" s="39"/>
      <c r="D528" s="39" t="s">
        <v>3957</v>
      </c>
      <c r="E528" s="371" t="str">
        <f t="shared" si="39"/>
        <v>おがわ　そうすけ</v>
      </c>
      <c r="F528" s="39" t="s">
        <v>2138</v>
      </c>
      <c r="G528" s="39" t="s">
        <v>7828</v>
      </c>
      <c r="H528" s="39" t="str">
        <f t="shared" ref="H528:H533" si="41">("2013/12/10")</f>
        <v>2013/12/10</v>
      </c>
      <c r="I528" s="39">
        <v>6</v>
      </c>
      <c r="J528" s="39" t="s">
        <v>1478</v>
      </c>
      <c r="K528" s="39" t="s">
        <v>2122</v>
      </c>
      <c r="L528" s="39" t="s">
        <v>7830</v>
      </c>
      <c r="M528" s="39" t="s">
        <v>7831</v>
      </c>
      <c r="N528" s="39" t="str">
        <f>("0130082")</f>
        <v>0130082</v>
      </c>
      <c r="P528" s="39" t="s">
        <v>12016</v>
      </c>
      <c r="Q528" s="39" t="s">
        <v>8568</v>
      </c>
      <c r="R528" s="39" t="s">
        <v>8569</v>
      </c>
      <c r="S528" s="39" t="s">
        <v>8570</v>
      </c>
      <c r="AA528" s="39" t="s">
        <v>2122</v>
      </c>
      <c r="AB528" s="39" t="s">
        <v>7830</v>
      </c>
      <c r="AC528" s="39" t="s">
        <v>7831</v>
      </c>
      <c r="AD528" s="39" t="str">
        <f>("0130071")</f>
        <v>0130071</v>
      </c>
      <c r="AE528" s="39" t="s">
        <v>2173</v>
      </c>
      <c r="AK528" s="39" t="str">
        <f>("2025/04/05")</f>
        <v>2025/04/05</v>
      </c>
      <c r="AL528" s="39" t="str">
        <f>("2025/04/05")</f>
        <v>2025/04/05</v>
      </c>
      <c r="AM528" s="39" t="str">
        <f>("2025/04/11")</f>
        <v>2025/04/11</v>
      </c>
    </row>
    <row r="529" spans="1:38" x14ac:dyDescent="0.25">
      <c r="A529" s="39" t="str">
        <f>("1312100111")</f>
        <v>1312100111</v>
      </c>
      <c r="B529" s="39" t="s">
        <v>8905</v>
      </c>
      <c r="C529" s="39"/>
      <c r="D529" s="39" t="s">
        <v>4619</v>
      </c>
      <c r="E529" s="371" t="str">
        <f t="shared" si="39"/>
        <v>やすの　なおと</v>
      </c>
      <c r="F529" s="39" t="s">
        <v>2556</v>
      </c>
      <c r="G529" s="39" t="s">
        <v>7828</v>
      </c>
      <c r="H529" s="39" t="str">
        <f t="shared" si="41"/>
        <v>2013/12/10</v>
      </c>
      <c r="I529" s="39">
        <v>6</v>
      </c>
      <c r="J529" s="39" t="s">
        <v>1478</v>
      </c>
      <c r="K529" s="39" t="s">
        <v>2122</v>
      </c>
      <c r="L529" s="39" t="s">
        <v>7830</v>
      </c>
      <c r="M529" s="39" t="s">
        <v>7831</v>
      </c>
      <c r="N529" s="39" t="str">
        <f>("0130712")</f>
        <v>0130712</v>
      </c>
      <c r="P529" s="39" t="s">
        <v>12017</v>
      </c>
      <c r="Q529" s="39" t="s">
        <v>8568</v>
      </c>
      <c r="R529" s="39" t="s">
        <v>8569</v>
      </c>
      <c r="S529" s="39" t="s">
        <v>8570</v>
      </c>
      <c r="AK529" s="39" t="str">
        <f>("2025/03/27")</f>
        <v>2025/03/27</v>
      </c>
      <c r="AL529" s="39" t="str">
        <f t="shared" ref="AL529:AL546" si="42">("2025/04/01")</f>
        <v>2025/04/01</v>
      </c>
    </row>
    <row r="530" spans="1:38" x14ac:dyDescent="0.25">
      <c r="A530" s="39" t="str">
        <f>("1312100148")</f>
        <v>1312100148</v>
      </c>
      <c r="C530" s="39"/>
      <c r="D530" s="39" t="s">
        <v>6004</v>
      </c>
      <c r="E530" s="371" t="str">
        <f t="shared" si="39"/>
        <v>たむら　たかゆき</v>
      </c>
      <c r="F530" s="39" t="s">
        <v>2575</v>
      </c>
      <c r="G530" s="39" t="s">
        <v>7828</v>
      </c>
      <c r="H530" s="39" t="str">
        <f t="shared" si="41"/>
        <v>2013/12/10</v>
      </c>
      <c r="I530" s="39">
        <v>6</v>
      </c>
      <c r="J530" s="39" t="s">
        <v>1478</v>
      </c>
      <c r="K530" s="39" t="s">
        <v>2122</v>
      </c>
      <c r="L530" s="39" t="s">
        <v>7830</v>
      </c>
      <c r="M530" s="39" t="s">
        <v>7831</v>
      </c>
      <c r="N530" s="39" t="str">
        <f>("0303040")</f>
        <v>0303040</v>
      </c>
      <c r="P530" s="39" t="s">
        <v>12018</v>
      </c>
      <c r="Q530" s="39" t="s">
        <v>8568</v>
      </c>
      <c r="R530" s="39" t="s">
        <v>8569</v>
      </c>
      <c r="S530" s="39" t="s">
        <v>8570</v>
      </c>
      <c r="AK530" s="39" t="str">
        <f>("2025/03/17")</f>
        <v>2025/03/17</v>
      </c>
      <c r="AL530" s="39" t="str">
        <f t="shared" si="42"/>
        <v>2025/04/01</v>
      </c>
    </row>
    <row r="531" spans="1:38" x14ac:dyDescent="0.25">
      <c r="A531" s="39" t="str">
        <f>("1312100153")</f>
        <v>1312100153</v>
      </c>
      <c r="C531" s="39"/>
      <c r="D531" s="39" t="s">
        <v>8906</v>
      </c>
      <c r="E531" s="371" t="str">
        <f t="shared" si="39"/>
        <v>やまかわ　あいき</v>
      </c>
      <c r="F531" s="39" t="s">
        <v>947</v>
      </c>
      <c r="G531" s="39" t="s">
        <v>7828</v>
      </c>
      <c r="H531" s="39" t="str">
        <f t="shared" si="41"/>
        <v>2013/12/10</v>
      </c>
      <c r="I531" s="39">
        <v>6</v>
      </c>
      <c r="J531" s="39" t="s">
        <v>1478</v>
      </c>
      <c r="K531" s="39" t="s">
        <v>2122</v>
      </c>
      <c r="L531" s="39" t="s">
        <v>7830</v>
      </c>
      <c r="M531" s="39" t="s">
        <v>7831</v>
      </c>
      <c r="N531" s="39" t="str">
        <f>("0130183")</f>
        <v>0130183</v>
      </c>
      <c r="P531" s="39" t="s">
        <v>12019</v>
      </c>
      <c r="Q531" s="39" t="s">
        <v>8568</v>
      </c>
      <c r="R531" s="39" t="s">
        <v>8569</v>
      </c>
      <c r="S531" s="39" t="s">
        <v>8570</v>
      </c>
      <c r="AK531" s="39" t="str">
        <f>("2025/03/27")</f>
        <v>2025/03/27</v>
      </c>
      <c r="AL531" s="39" t="str">
        <f t="shared" si="42"/>
        <v>2025/04/01</v>
      </c>
    </row>
    <row r="532" spans="1:38" x14ac:dyDescent="0.25">
      <c r="A532" s="39" t="str">
        <f>("1312100177")</f>
        <v>1312100177</v>
      </c>
      <c r="C532" s="39"/>
      <c r="D532" s="39" t="s">
        <v>6045</v>
      </c>
      <c r="E532" s="371" t="str">
        <f t="shared" si="39"/>
        <v>はらだ　とおり</v>
      </c>
      <c r="F532" s="39" t="s">
        <v>1207</v>
      </c>
      <c r="G532" s="39" t="s">
        <v>7828</v>
      </c>
      <c r="H532" s="39" t="str">
        <f t="shared" si="41"/>
        <v>2013/12/10</v>
      </c>
      <c r="I532" s="39">
        <v>6</v>
      </c>
      <c r="J532" s="39" t="s">
        <v>1478</v>
      </c>
      <c r="K532" s="39" t="s">
        <v>2122</v>
      </c>
      <c r="L532" s="39" t="s">
        <v>7830</v>
      </c>
      <c r="M532" s="39" t="s">
        <v>7831</v>
      </c>
      <c r="N532" s="39" t="str">
        <f>("0381608")</f>
        <v>0381608</v>
      </c>
      <c r="P532" s="39" t="s">
        <v>12020</v>
      </c>
      <c r="Q532" s="39" t="s">
        <v>8568</v>
      </c>
      <c r="R532" s="39" t="s">
        <v>8569</v>
      </c>
      <c r="S532" s="39" t="s">
        <v>8570</v>
      </c>
      <c r="AK532" s="39" t="str">
        <f>("2025/03/21")</f>
        <v>2025/03/21</v>
      </c>
      <c r="AL532" s="39" t="str">
        <f t="shared" si="42"/>
        <v>2025/04/01</v>
      </c>
    </row>
    <row r="533" spans="1:38" x14ac:dyDescent="0.25">
      <c r="A533" s="39" t="str">
        <f>("1312100195")</f>
        <v>1312100195</v>
      </c>
      <c r="B533" s="39" t="s">
        <v>8907</v>
      </c>
      <c r="C533" s="39"/>
      <c r="D533" s="39" t="s">
        <v>6227</v>
      </c>
      <c r="E533" s="371" t="str">
        <f t="shared" si="39"/>
        <v>いなづき　いおり</v>
      </c>
      <c r="F533" s="39" t="s">
        <v>2648</v>
      </c>
      <c r="G533" s="39" t="s">
        <v>7828</v>
      </c>
      <c r="H533" s="39" t="str">
        <f t="shared" si="41"/>
        <v>2013/12/10</v>
      </c>
      <c r="I533" s="39">
        <v>6</v>
      </c>
      <c r="J533" s="39" t="s">
        <v>1478</v>
      </c>
      <c r="K533" s="39" t="s">
        <v>2122</v>
      </c>
      <c r="L533" s="39" t="s">
        <v>7830</v>
      </c>
      <c r="M533" s="39" t="s">
        <v>7831</v>
      </c>
      <c r="N533" s="39" t="str">
        <f>("1050097")</f>
        <v>1050097</v>
      </c>
      <c r="P533" s="39" t="s">
        <v>12021</v>
      </c>
      <c r="Q533" s="39" t="s">
        <v>8568</v>
      </c>
      <c r="R533" s="39" t="s">
        <v>8569</v>
      </c>
      <c r="S533" s="39" t="s">
        <v>8570</v>
      </c>
      <c r="AK533" s="39" t="str">
        <f>("2025/03/25")</f>
        <v>2025/03/25</v>
      </c>
      <c r="AL533" s="39" t="str">
        <f t="shared" si="42"/>
        <v>2025/04/01</v>
      </c>
    </row>
    <row r="534" spans="1:38" x14ac:dyDescent="0.25">
      <c r="A534" s="39" t="str">
        <f>("1312110089")</f>
        <v>1312110089</v>
      </c>
      <c r="C534" s="39"/>
      <c r="D534" s="39" t="s">
        <v>4201</v>
      </c>
      <c r="E534" s="371" t="str">
        <f t="shared" si="39"/>
        <v>ふなつ　こうや</v>
      </c>
      <c r="F534" s="39" t="s">
        <v>3104</v>
      </c>
      <c r="G534" s="39" t="s">
        <v>7828</v>
      </c>
      <c r="H534" s="39" t="str">
        <f>("2013/12/11")</f>
        <v>2013/12/11</v>
      </c>
      <c r="I534" s="39">
        <v>6</v>
      </c>
      <c r="J534" s="39" t="s">
        <v>1478</v>
      </c>
      <c r="K534" s="39" t="s">
        <v>2122</v>
      </c>
      <c r="L534" s="39" t="s">
        <v>7830</v>
      </c>
      <c r="M534" s="39" t="s">
        <v>7831</v>
      </c>
      <c r="N534" s="39" t="str">
        <f>("1076189")</f>
        <v>1076189</v>
      </c>
      <c r="P534" s="39" t="s">
        <v>12022</v>
      </c>
      <c r="Q534" s="39" t="s">
        <v>8568</v>
      </c>
      <c r="R534" s="39" t="s">
        <v>8569</v>
      </c>
      <c r="S534" s="39" t="s">
        <v>8570</v>
      </c>
      <c r="AK534" s="39" t="str">
        <f>("2025/03/24")</f>
        <v>2025/03/24</v>
      </c>
      <c r="AL534" s="39" t="str">
        <f t="shared" si="42"/>
        <v>2025/04/01</v>
      </c>
    </row>
    <row r="535" spans="1:38" x14ac:dyDescent="0.25">
      <c r="A535" s="39" t="str">
        <f>("1312120082")</f>
        <v>1312120082</v>
      </c>
      <c r="C535" s="39"/>
      <c r="D535" s="39" t="s">
        <v>5809</v>
      </c>
      <c r="E535" s="371" t="str">
        <f t="shared" si="39"/>
        <v>わかすぎ　かなと</v>
      </c>
      <c r="F535" s="39" t="s">
        <v>2022</v>
      </c>
      <c r="G535" s="39" t="s">
        <v>7828</v>
      </c>
      <c r="H535" s="39" t="str">
        <f>("2013/12/12")</f>
        <v>2013/12/12</v>
      </c>
      <c r="I535" s="39">
        <v>6</v>
      </c>
      <c r="J535" s="39" t="s">
        <v>1478</v>
      </c>
      <c r="K535" s="39" t="s">
        <v>2122</v>
      </c>
      <c r="L535" s="39" t="s">
        <v>7830</v>
      </c>
      <c r="M535" s="39" t="s">
        <v>7831</v>
      </c>
      <c r="N535" s="39" t="str">
        <f>("0130329")</f>
        <v>0130329</v>
      </c>
      <c r="P535" s="39" t="s">
        <v>12023</v>
      </c>
      <c r="Q535" s="39" t="s">
        <v>8568</v>
      </c>
      <c r="R535" s="39" t="s">
        <v>8569</v>
      </c>
      <c r="S535" s="39" t="s">
        <v>8570</v>
      </c>
      <c r="AA535" s="39" t="s">
        <v>2122</v>
      </c>
      <c r="AB535" s="39" t="s">
        <v>7830</v>
      </c>
      <c r="AC535" s="39" t="s">
        <v>7831</v>
      </c>
      <c r="AD535" s="39" t="str">
        <f>("0472823")</f>
        <v>0472823</v>
      </c>
      <c r="AE535" s="39" t="s">
        <v>2619</v>
      </c>
      <c r="AK535" s="39" t="str">
        <f>("2025/03/17")</f>
        <v>2025/03/17</v>
      </c>
      <c r="AL535" s="39" t="str">
        <f t="shared" si="42"/>
        <v>2025/04/01</v>
      </c>
    </row>
    <row r="536" spans="1:38" x14ac:dyDescent="0.25">
      <c r="A536" s="39" t="str">
        <f>("1312120218")</f>
        <v>1312120218</v>
      </c>
      <c r="C536" s="39"/>
      <c r="D536" s="39" t="s">
        <v>6226</v>
      </c>
      <c r="E536" s="371" t="str">
        <f t="shared" si="39"/>
        <v>ひょうどう　こたろう</v>
      </c>
      <c r="F536" s="39" t="s">
        <v>2648</v>
      </c>
      <c r="G536" s="39" t="s">
        <v>7828</v>
      </c>
      <c r="H536" s="39" t="str">
        <f>("2013/12/12")</f>
        <v>2013/12/12</v>
      </c>
      <c r="I536" s="39">
        <v>6</v>
      </c>
      <c r="J536" s="39" t="s">
        <v>1478</v>
      </c>
      <c r="K536" s="39" t="s">
        <v>2122</v>
      </c>
      <c r="L536" s="39" t="s">
        <v>7830</v>
      </c>
      <c r="M536" s="39" t="s">
        <v>7831</v>
      </c>
      <c r="N536" s="39" t="str">
        <f>("1050097")</f>
        <v>1050097</v>
      </c>
      <c r="P536" s="39" t="s">
        <v>12024</v>
      </c>
      <c r="Q536" s="39" t="s">
        <v>8568</v>
      </c>
      <c r="R536" s="39" t="s">
        <v>8569</v>
      </c>
      <c r="S536" s="39" t="s">
        <v>8570</v>
      </c>
      <c r="AK536" s="39" t="str">
        <f>("2025/03/25")</f>
        <v>2025/03/25</v>
      </c>
      <c r="AL536" s="39" t="str">
        <f t="shared" si="42"/>
        <v>2025/04/01</v>
      </c>
    </row>
    <row r="537" spans="1:38" x14ac:dyDescent="0.25">
      <c r="A537" s="39" t="str">
        <f>("1312120224")</f>
        <v>1312120224</v>
      </c>
      <c r="C537" s="39"/>
      <c r="D537" s="39" t="s">
        <v>8908</v>
      </c>
      <c r="E537" s="371" t="str">
        <f t="shared" si="39"/>
        <v>はら　かいり</v>
      </c>
      <c r="F537" s="39" t="s">
        <v>2350</v>
      </c>
      <c r="G537" s="39" t="s">
        <v>7828</v>
      </c>
      <c r="H537" s="39" t="str">
        <f>("2013/12/12")</f>
        <v>2013/12/12</v>
      </c>
      <c r="I537" s="39">
        <v>6</v>
      </c>
      <c r="J537" s="39" t="s">
        <v>1478</v>
      </c>
      <c r="K537" s="39" t="s">
        <v>2122</v>
      </c>
      <c r="L537" s="39" t="s">
        <v>7830</v>
      </c>
      <c r="M537" s="39" t="s">
        <v>7831</v>
      </c>
      <c r="N537" s="39" t="str">
        <f>("0360032")</f>
        <v>0360032</v>
      </c>
      <c r="P537" s="39" t="s">
        <v>12025</v>
      </c>
      <c r="Q537" s="39" t="s">
        <v>8568</v>
      </c>
      <c r="R537" s="39" t="s">
        <v>8569</v>
      </c>
      <c r="S537" s="39" t="s">
        <v>8570</v>
      </c>
      <c r="AK537" s="39" t="str">
        <f>("2025/03/17")</f>
        <v>2025/03/17</v>
      </c>
      <c r="AL537" s="39" t="str">
        <f t="shared" si="42"/>
        <v>2025/04/01</v>
      </c>
    </row>
    <row r="538" spans="1:38" x14ac:dyDescent="0.25">
      <c r="A538" s="39" t="str">
        <f>("1312130060")</f>
        <v>1312130060</v>
      </c>
      <c r="C538" s="39"/>
      <c r="D538" s="39" t="s">
        <v>3909</v>
      </c>
      <c r="E538" s="371" t="str">
        <f t="shared" si="39"/>
        <v>とみく　しゅうすけ</v>
      </c>
      <c r="F538" s="39" t="s">
        <v>334</v>
      </c>
      <c r="G538" s="39" t="s">
        <v>7828</v>
      </c>
      <c r="H538" s="39" t="str">
        <f>("2013/12/13")</f>
        <v>2013/12/13</v>
      </c>
      <c r="I538" s="39">
        <v>6</v>
      </c>
      <c r="J538" s="39" t="s">
        <v>1478</v>
      </c>
      <c r="K538" s="39" t="s">
        <v>2122</v>
      </c>
      <c r="L538" s="39" t="s">
        <v>7830</v>
      </c>
      <c r="M538" s="39" t="s">
        <v>7831</v>
      </c>
      <c r="N538" s="39" t="str">
        <f>("0129664")</f>
        <v>0129664</v>
      </c>
      <c r="P538" s="39" t="s">
        <v>12026</v>
      </c>
      <c r="Q538" s="39" t="s">
        <v>8568</v>
      </c>
      <c r="R538" s="39" t="s">
        <v>8569</v>
      </c>
      <c r="S538" s="39" t="s">
        <v>8570</v>
      </c>
      <c r="AK538" s="39" t="str">
        <f>("2025/03/17")</f>
        <v>2025/03/17</v>
      </c>
      <c r="AL538" s="39" t="str">
        <f t="shared" si="42"/>
        <v>2025/04/01</v>
      </c>
    </row>
    <row r="539" spans="1:38" x14ac:dyDescent="0.25">
      <c r="A539" s="39" t="str">
        <f>("1312140077")</f>
        <v>1312140077</v>
      </c>
      <c r="C539" s="39"/>
      <c r="D539" s="39" t="s">
        <v>4462</v>
      </c>
      <c r="E539" s="371" t="str">
        <f t="shared" si="39"/>
        <v>くさの　こうた</v>
      </c>
      <c r="F539" s="39" t="s">
        <v>2531</v>
      </c>
      <c r="G539" s="39" t="s">
        <v>7828</v>
      </c>
      <c r="H539" s="39" t="str">
        <f>("2013/12/14")</f>
        <v>2013/12/14</v>
      </c>
      <c r="I539" s="39">
        <v>6</v>
      </c>
      <c r="J539" s="39" t="s">
        <v>1478</v>
      </c>
      <c r="K539" s="39" t="s">
        <v>2122</v>
      </c>
      <c r="L539" s="39" t="s">
        <v>7830</v>
      </c>
      <c r="M539" s="39" t="s">
        <v>7831</v>
      </c>
      <c r="N539" s="39" t="str">
        <f>("0130419")</f>
        <v>0130419</v>
      </c>
      <c r="P539" s="39" t="s">
        <v>12027</v>
      </c>
      <c r="Q539" s="39" t="s">
        <v>8568</v>
      </c>
      <c r="R539" s="39" t="s">
        <v>8569</v>
      </c>
      <c r="S539" s="39" t="s">
        <v>8570</v>
      </c>
      <c r="AK539" s="39" t="str">
        <f>("2025/03/17")</f>
        <v>2025/03/17</v>
      </c>
      <c r="AL539" s="39" t="str">
        <f t="shared" si="42"/>
        <v>2025/04/01</v>
      </c>
    </row>
    <row r="540" spans="1:38" x14ac:dyDescent="0.25">
      <c r="A540" s="39" t="str">
        <f>("1312140130")</f>
        <v>1312140130</v>
      </c>
      <c r="C540" s="39"/>
      <c r="D540" s="39" t="s">
        <v>8909</v>
      </c>
      <c r="E540" s="371" t="str">
        <f t="shared" si="39"/>
        <v>あだち　としはる</v>
      </c>
      <c r="F540" s="39" t="s">
        <v>7864</v>
      </c>
      <c r="G540" s="39" t="s">
        <v>7828</v>
      </c>
      <c r="H540" s="39" t="str">
        <f>("2013/12/14")</f>
        <v>2013/12/14</v>
      </c>
      <c r="I540" s="39">
        <v>6</v>
      </c>
      <c r="J540" s="39" t="s">
        <v>1478</v>
      </c>
      <c r="K540" s="39" t="s">
        <v>2122</v>
      </c>
      <c r="L540" s="39" t="s">
        <v>7830</v>
      </c>
      <c r="M540" s="39" t="s">
        <v>7831</v>
      </c>
      <c r="N540" s="39" t="str">
        <f>("1039801")</f>
        <v>1039801</v>
      </c>
      <c r="P540" s="39" t="s">
        <v>12028</v>
      </c>
      <c r="Q540" s="39" t="s">
        <v>8568</v>
      </c>
      <c r="R540" s="39" t="s">
        <v>8569</v>
      </c>
      <c r="S540" s="39" t="s">
        <v>8570</v>
      </c>
      <c r="AK540" s="39" t="str">
        <f>("2025/03/24")</f>
        <v>2025/03/24</v>
      </c>
      <c r="AL540" s="39" t="str">
        <f t="shared" si="42"/>
        <v>2025/04/01</v>
      </c>
    </row>
    <row r="541" spans="1:38" x14ac:dyDescent="0.25">
      <c r="A541" s="39" t="str">
        <f>("1312150119")</f>
        <v>1312150119</v>
      </c>
      <c r="B541" s="39" t="s">
        <v>8910</v>
      </c>
      <c r="C541" s="39"/>
      <c r="D541" s="39" t="s">
        <v>6188</v>
      </c>
      <c r="E541" s="371" t="str">
        <f t="shared" si="39"/>
        <v>いそだ　こうき</v>
      </c>
      <c r="F541" s="39" t="s">
        <v>1014</v>
      </c>
      <c r="G541" s="39" t="s">
        <v>7828</v>
      </c>
      <c r="H541" s="39" t="str">
        <f>("2013/12/15")</f>
        <v>2013/12/15</v>
      </c>
      <c r="I541" s="39">
        <v>6</v>
      </c>
      <c r="J541" s="39" t="s">
        <v>1478</v>
      </c>
      <c r="K541" s="39" t="s">
        <v>2122</v>
      </c>
      <c r="L541" s="39" t="s">
        <v>7830</v>
      </c>
      <c r="M541" s="39" t="s">
        <v>7831</v>
      </c>
      <c r="N541" s="39" t="str">
        <f>("0513313")</f>
        <v>0513313</v>
      </c>
      <c r="P541" s="39" t="s">
        <v>12029</v>
      </c>
      <c r="Q541" s="39" t="s">
        <v>8568</v>
      </c>
      <c r="R541" s="39" t="s">
        <v>8569</v>
      </c>
      <c r="S541" s="39" t="s">
        <v>8570</v>
      </c>
      <c r="AK541" s="39" t="str">
        <f>("2025/03/17")</f>
        <v>2025/03/17</v>
      </c>
      <c r="AL541" s="39" t="str">
        <f t="shared" si="42"/>
        <v>2025/04/01</v>
      </c>
    </row>
    <row r="542" spans="1:38" x14ac:dyDescent="0.25">
      <c r="A542" s="39" t="str">
        <f>("1312160014")</f>
        <v>1312160014</v>
      </c>
      <c r="C542" s="39"/>
      <c r="D542" s="39" t="s">
        <v>8911</v>
      </c>
      <c r="E542" s="371" t="str">
        <f t="shared" si="39"/>
        <v>かまもと　こうき</v>
      </c>
      <c r="F542" s="39" t="s">
        <v>2544</v>
      </c>
      <c r="G542" s="39" t="s">
        <v>7828</v>
      </c>
      <c r="H542" s="39" t="str">
        <f>("2013/12/16")</f>
        <v>2013/12/16</v>
      </c>
      <c r="I542" s="39">
        <v>6</v>
      </c>
      <c r="J542" s="39" t="s">
        <v>1478</v>
      </c>
      <c r="K542" s="39" t="s">
        <v>2122</v>
      </c>
      <c r="L542" s="39" t="s">
        <v>7830</v>
      </c>
      <c r="M542" s="39" t="s">
        <v>7831</v>
      </c>
      <c r="N542" s="39" t="str">
        <f>("0130644")</f>
        <v>0130644</v>
      </c>
      <c r="P542" s="39" t="s">
        <v>12030</v>
      </c>
      <c r="Q542" s="39" t="s">
        <v>8568</v>
      </c>
      <c r="R542" s="39" t="s">
        <v>8569</v>
      </c>
      <c r="S542" s="39" t="s">
        <v>8570</v>
      </c>
      <c r="AK542" s="39" t="str">
        <f>("2025/03/17")</f>
        <v>2025/03/17</v>
      </c>
      <c r="AL542" s="39" t="str">
        <f t="shared" si="42"/>
        <v>2025/04/01</v>
      </c>
    </row>
    <row r="543" spans="1:38" x14ac:dyDescent="0.25">
      <c r="A543" s="39" t="str">
        <f>("1312160023")</f>
        <v>1312160023</v>
      </c>
      <c r="C543" s="39"/>
      <c r="D543" s="39" t="s">
        <v>4813</v>
      </c>
      <c r="E543" s="371" t="str">
        <f t="shared" si="39"/>
        <v>さとう　じんや</v>
      </c>
      <c r="F543" s="39" t="s">
        <v>827</v>
      </c>
      <c r="G543" s="39" t="s">
        <v>7828</v>
      </c>
      <c r="H543" s="39" t="str">
        <f>("2013/12/16")</f>
        <v>2013/12/16</v>
      </c>
      <c r="I543" s="39">
        <v>6</v>
      </c>
      <c r="J543" s="39" t="s">
        <v>1478</v>
      </c>
      <c r="K543" s="39" t="s">
        <v>2122</v>
      </c>
      <c r="L543" s="39" t="s">
        <v>7830</v>
      </c>
      <c r="M543" s="39" t="s">
        <v>7831</v>
      </c>
      <c r="N543" s="39" t="str">
        <f>("0504908")</f>
        <v>0504908</v>
      </c>
      <c r="P543" s="39" t="s">
        <v>12031</v>
      </c>
      <c r="Q543" s="39" t="s">
        <v>8568</v>
      </c>
      <c r="R543" s="39" t="s">
        <v>8569</v>
      </c>
      <c r="S543" s="39" t="s">
        <v>8570</v>
      </c>
      <c r="AK543" s="39" t="str">
        <f>("2025/03/21")</f>
        <v>2025/03/21</v>
      </c>
      <c r="AL543" s="39" t="str">
        <f t="shared" si="42"/>
        <v>2025/04/01</v>
      </c>
    </row>
    <row r="544" spans="1:38" x14ac:dyDescent="0.25">
      <c r="A544" s="39" t="str">
        <f>("1312160174")</f>
        <v>1312160174</v>
      </c>
      <c r="C544" s="39"/>
      <c r="D544" s="39" t="s">
        <v>6210</v>
      </c>
      <c r="E544" s="371" t="str">
        <f t="shared" si="39"/>
        <v>かわの　りょうすけ</v>
      </c>
      <c r="F544" s="39" t="s">
        <v>7864</v>
      </c>
      <c r="G544" s="39" t="s">
        <v>7828</v>
      </c>
      <c r="H544" s="39" t="str">
        <f>("2013/12/16")</f>
        <v>2013/12/16</v>
      </c>
      <c r="I544" s="39">
        <v>6</v>
      </c>
      <c r="J544" s="39" t="s">
        <v>1478</v>
      </c>
      <c r="K544" s="39" t="s">
        <v>2122</v>
      </c>
      <c r="L544" s="39" t="s">
        <v>7830</v>
      </c>
      <c r="M544" s="39" t="s">
        <v>7831</v>
      </c>
      <c r="N544" s="39" t="str">
        <f>("1039801")</f>
        <v>1039801</v>
      </c>
      <c r="P544" s="39" t="s">
        <v>12032</v>
      </c>
      <c r="Q544" s="39" t="s">
        <v>8568</v>
      </c>
      <c r="R544" s="39" t="s">
        <v>8569</v>
      </c>
      <c r="S544" s="39" t="s">
        <v>8570</v>
      </c>
      <c r="AK544" s="39" t="str">
        <f>("2025/03/24")</f>
        <v>2025/03/24</v>
      </c>
      <c r="AL544" s="39" t="str">
        <f t="shared" si="42"/>
        <v>2025/04/01</v>
      </c>
    </row>
    <row r="545" spans="1:38" x14ac:dyDescent="0.25">
      <c r="A545" s="39" t="str">
        <f>("1312160212")</f>
        <v>1312160212</v>
      </c>
      <c r="C545" s="39"/>
      <c r="D545" s="39" t="s">
        <v>5640</v>
      </c>
      <c r="E545" s="371" t="str">
        <f t="shared" si="39"/>
        <v>とーます　へいでん</v>
      </c>
      <c r="F545" s="39" t="s">
        <v>1968</v>
      </c>
      <c r="G545" s="39" t="s">
        <v>7828</v>
      </c>
      <c r="H545" s="39" t="str">
        <f>("2013/12/16")</f>
        <v>2013/12/16</v>
      </c>
      <c r="I545" s="39">
        <v>6</v>
      </c>
      <c r="J545" s="39" t="s">
        <v>1478</v>
      </c>
      <c r="K545" s="39" t="s">
        <v>2122</v>
      </c>
      <c r="L545" s="39" t="s">
        <v>7830</v>
      </c>
      <c r="M545" s="39" t="s">
        <v>7831</v>
      </c>
      <c r="N545" s="39" t="str">
        <f>("0129507")</f>
        <v>0129507</v>
      </c>
      <c r="P545" s="39" t="s">
        <v>12033</v>
      </c>
      <c r="Q545" s="39" t="s">
        <v>8568</v>
      </c>
      <c r="R545" s="39" t="s">
        <v>8569</v>
      </c>
      <c r="S545" s="39" t="s">
        <v>8570</v>
      </c>
      <c r="AA545" s="39" t="s">
        <v>8648</v>
      </c>
      <c r="AB545" s="39" t="s">
        <v>7830</v>
      </c>
      <c r="AC545" s="39" t="s">
        <v>7831</v>
      </c>
      <c r="AD545" s="39" t="str">
        <f>("0485311")</f>
        <v>0485311</v>
      </c>
      <c r="AE545" s="39" t="s">
        <v>8912</v>
      </c>
      <c r="AK545" s="39" t="str">
        <f>("2025/03/17")</f>
        <v>2025/03/17</v>
      </c>
      <c r="AL545" s="39" t="str">
        <f t="shared" si="42"/>
        <v>2025/04/01</v>
      </c>
    </row>
    <row r="546" spans="1:38" x14ac:dyDescent="0.25">
      <c r="A546" s="39" t="str">
        <f>("1312170116")</f>
        <v>1312170116</v>
      </c>
      <c r="C546" s="39"/>
      <c r="D546" s="39" t="s">
        <v>4789</v>
      </c>
      <c r="E546" s="371" t="str">
        <f t="shared" si="39"/>
        <v>おきもと　しょうご</v>
      </c>
      <c r="F546" s="39" t="s">
        <v>1446</v>
      </c>
      <c r="G546" s="39" t="s">
        <v>7828</v>
      </c>
      <c r="H546" s="39" t="str">
        <f>("2013/12/17")</f>
        <v>2013/12/17</v>
      </c>
      <c r="I546" s="39">
        <v>6</v>
      </c>
      <c r="J546" s="39" t="s">
        <v>1478</v>
      </c>
      <c r="K546" s="39" t="s">
        <v>2122</v>
      </c>
      <c r="L546" s="39" t="s">
        <v>7830</v>
      </c>
      <c r="M546" s="39" t="s">
        <v>7831</v>
      </c>
      <c r="N546" s="39" t="str">
        <f>("0478807")</f>
        <v>0478807</v>
      </c>
      <c r="P546" s="39" t="s">
        <v>12034</v>
      </c>
      <c r="Q546" s="39" t="s">
        <v>8568</v>
      </c>
      <c r="R546" s="39" t="s">
        <v>8569</v>
      </c>
      <c r="S546" s="39" t="s">
        <v>8570</v>
      </c>
      <c r="AK546" s="39" t="str">
        <f>("2025/03/21")</f>
        <v>2025/03/21</v>
      </c>
      <c r="AL546" s="39" t="str">
        <f t="shared" si="42"/>
        <v>2025/04/01</v>
      </c>
    </row>
    <row r="547" spans="1:38" x14ac:dyDescent="0.25">
      <c r="A547" s="39" t="str">
        <f>("1312170259")</f>
        <v>1312170259</v>
      </c>
      <c r="C547" s="39"/>
      <c r="D547" s="39" t="s">
        <v>8913</v>
      </c>
      <c r="E547" s="371" t="str">
        <f t="shared" si="39"/>
        <v>みずの　あさひ</v>
      </c>
      <c r="F547" s="39" t="s">
        <v>1692</v>
      </c>
      <c r="G547" s="39" t="s">
        <v>7828</v>
      </c>
      <c r="H547" s="39" t="str">
        <f>("2013/12/17")</f>
        <v>2013/12/17</v>
      </c>
      <c r="I547" s="39">
        <v>6</v>
      </c>
      <c r="J547" s="39" t="s">
        <v>1478</v>
      </c>
      <c r="K547" s="39" t="s">
        <v>2122</v>
      </c>
      <c r="L547" s="39" t="s">
        <v>7830</v>
      </c>
      <c r="M547" s="39" t="s">
        <v>7831</v>
      </c>
      <c r="N547" s="39" t="str">
        <f>("1052299")</f>
        <v>1052299</v>
      </c>
      <c r="P547" s="39" t="s">
        <v>12035</v>
      </c>
      <c r="Q547" s="39" t="s">
        <v>8568</v>
      </c>
      <c r="R547" s="39" t="s">
        <v>8569</v>
      </c>
      <c r="S547" s="39" t="s">
        <v>8570</v>
      </c>
      <c r="AA547" s="39" t="s">
        <v>2035</v>
      </c>
      <c r="AB547" s="39" t="s">
        <v>7830</v>
      </c>
      <c r="AC547" s="39" t="s">
        <v>7831</v>
      </c>
      <c r="AD547" s="39" t="str">
        <f>("0428048")</f>
        <v>0428048</v>
      </c>
      <c r="AE547" s="39" t="s">
        <v>8914</v>
      </c>
      <c r="AK547" s="39" t="str">
        <f>("2025/08/29")</f>
        <v>2025/08/29</v>
      </c>
      <c r="AL547" s="39" t="str">
        <f>("2025/08/29")</f>
        <v>2025/08/29</v>
      </c>
    </row>
    <row r="548" spans="1:38" x14ac:dyDescent="0.25">
      <c r="A548" s="39" t="str">
        <f>("1312180077")</f>
        <v>1312180077</v>
      </c>
      <c r="B548" s="39" t="s">
        <v>8915</v>
      </c>
      <c r="C548" s="39"/>
      <c r="D548" s="39" t="s">
        <v>4512</v>
      </c>
      <c r="E548" s="371" t="str">
        <f t="shared" si="39"/>
        <v>きよはら　むつき</v>
      </c>
      <c r="F548" s="39" t="s">
        <v>2324</v>
      </c>
      <c r="G548" s="39" t="s">
        <v>7828</v>
      </c>
      <c r="H548" s="39" t="str">
        <f>("2013/12/18")</f>
        <v>2013/12/18</v>
      </c>
      <c r="I548" s="39">
        <v>6</v>
      </c>
      <c r="J548" s="39" t="s">
        <v>1478</v>
      </c>
      <c r="K548" s="39" t="s">
        <v>2122</v>
      </c>
      <c r="L548" s="39" t="s">
        <v>7830</v>
      </c>
      <c r="M548" s="39" t="s">
        <v>7831</v>
      </c>
      <c r="N548" s="39" t="str">
        <f>("0130486")</f>
        <v>0130486</v>
      </c>
      <c r="P548" s="39" t="s">
        <v>12036</v>
      </c>
      <c r="Q548" s="39" t="s">
        <v>8568</v>
      </c>
      <c r="R548" s="39" t="s">
        <v>8569</v>
      </c>
      <c r="S548" s="39" t="s">
        <v>8570</v>
      </c>
      <c r="AK548" s="39" t="str">
        <f>("2025/03/24")</f>
        <v>2025/03/24</v>
      </c>
      <c r="AL548" s="39" t="str">
        <f t="shared" ref="AL548:AL565" si="43">("2025/04/01")</f>
        <v>2025/04/01</v>
      </c>
    </row>
    <row r="549" spans="1:38" x14ac:dyDescent="0.25">
      <c r="A549" s="39" t="str">
        <f>("1312180198")</f>
        <v>1312180198</v>
      </c>
      <c r="C549" s="39"/>
      <c r="D549" s="39" t="s">
        <v>4665</v>
      </c>
      <c r="E549" s="371" t="str">
        <f t="shared" si="39"/>
        <v>ながまつ　ともやす</v>
      </c>
      <c r="F549" s="39" t="s">
        <v>2349</v>
      </c>
      <c r="G549" s="39" t="s">
        <v>7828</v>
      </c>
      <c r="H549" s="39" t="str">
        <f>("2013/12/18")</f>
        <v>2013/12/18</v>
      </c>
      <c r="I549" s="39">
        <v>6</v>
      </c>
      <c r="J549" s="39" t="s">
        <v>1478</v>
      </c>
      <c r="K549" s="39" t="s">
        <v>2122</v>
      </c>
      <c r="L549" s="39" t="s">
        <v>7830</v>
      </c>
      <c r="M549" s="39" t="s">
        <v>7831</v>
      </c>
      <c r="N549" s="39" t="str">
        <f>("0292081")</f>
        <v>0292081</v>
      </c>
      <c r="P549" s="39" t="s">
        <v>12037</v>
      </c>
      <c r="Q549" s="39" t="s">
        <v>8568</v>
      </c>
      <c r="R549" s="39" t="s">
        <v>8569</v>
      </c>
      <c r="S549" s="39" t="s">
        <v>8570</v>
      </c>
      <c r="AK549" s="39" t="str">
        <f>("2025/03/24")</f>
        <v>2025/03/24</v>
      </c>
      <c r="AL549" s="39" t="str">
        <f t="shared" si="43"/>
        <v>2025/04/01</v>
      </c>
    </row>
    <row r="550" spans="1:38" x14ac:dyDescent="0.25">
      <c r="A550" s="39" t="str">
        <f>("1312190069")</f>
        <v>1312190069</v>
      </c>
      <c r="C550" s="39"/>
      <c r="D550" s="39" t="s">
        <v>8916</v>
      </c>
      <c r="E550" s="371" t="str">
        <f t="shared" si="39"/>
        <v>こが　ふみや</v>
      </c>
      <c r="F550" s="39" t="s">
        <v>2022</v>
      </c>
      <c r="G550" s="39" t="s">
        <v>7828</v>
      </c>
      <c r="H550" s="39" t="str">
        <f>("2013/12/19")</f>
        <v>2013/12/19</v>
      </c>
      <c r="I550" s="39">
        <v>6</v>
      </c>
      <c r="J550" s="39" t="s">
        <v>1478</v>
      </c>
      <c r="K550" s="39" t="s">
        <v>2122</v>
      </c>
      <c r="L550" s="39" t="s">
        <v>7830</v>
      </c>
      <c r="M550" s="39" t="s">
        <v>7831</v>
      </c>
      <c r="N550" s="39" t="str">
        <f>("0130329")</f>
        <v>0130329</v>
      </c>
      <c r="P550" s="39" t="s">
        <v>12038</v>
      </c>
      <c r="Q550" s="39" t="s">
        <v>8568</v>
      </c>
      <c r="R550" s="39" t="s">
        <v>8569</v>
      </c>
      <c r="S550" s="39" t="s">
        <v>8570</v>
      </c>
      <c r="AA550" s="39" t="s">
        <v>2122</v>
      </c>
      <c r="AB550" s="39" t="s">
        <v>7830</v>
      </c>
      <c r="AC550" s="39" t="s">
        <v>7831</v>
      </c>
      <c r="AD550" s="39" t="str">
        <f>("0130183")</f>
        <v>0130183</v>
      </c>
      <c r="AE550" s="39" t="s">
        <v>947</v>
      </c>
      <c r="AK550" s="39" t="str">
        <f>("2025/03/17")</f>
        <v>2025/03/17</v>
      </c>
      <c r="AL550" s="39" t="str">
        <f t="shared" si="43"/>
        <v>2025/04/01</v>
      </c>
    </row>
    <row r="551" spans="1:38" x14ac:dyDescent="0.25">
      <c r="A551" s="39" t="str">
        <f>("1312190095")</f>
        <v>1312190095</v>
      </c>
      <c r="C551" s="39"/>
      <c r="D551" s="39" t="s">
        <v>6242</v>
      </c>
      <c r="E551" s="371" t="str">
        <f t="shared" si="39"/>
        <v>はら　あさひ</v>
      </c>
      <c r="F551" s="39" t="s">
        <v>1692</v>
      </c>
      <c r="G551" s="39" t="s">
        <v>7828</v>
      </c>
      <c r="H551" s="39" t="str">
        <f>("2013/12/19")</f>
        <v>2013/12/19</v>
      </c>
      <c r="I551" s="39">
        <v>6</v>
      </c>
      <c r="J551" s="39" t="s">
        <v>1478</v>
      </c>
      <c r="K551" s="39" t="s">
        <v>2122</v>
      </c>
      <c r="L551" s="39" t="s">
        <v>7830</v>
      </c>
      <c r="M551" s="39" t="s">
        <v>7831</v>
      </c>
      <c r="N551" s="39" t="str">
        <f>("1052299")</f>
        <v>1052299</v>
      </c>
      <c r="P551" s="39" t="s">
        <v>12039</v>
      </c>
      <c r="Q551" s="39" t="s">
        <v>8568</v>
      </c>
      <c r="R551" s="39" t="s">
        <v>8569</v>
      </c>
      <c r="S551" s="39" t="s">
        <v>8570</v>
      </c>
      <c r="AK551" s="39" t="str">
        <f>("2025/03/17")</f>
        <v>2025/03/17</v>
      </c>
      <c r="AL551" s="39" t="str">
        <f t="shared" si="43"/>
        <v>2025/04/01</v>
      </c>
    </row>
    <row r="552" spans="1:38" x14ac:dyDescent="0.25">
      <c r="A552" s="39" t="str">
        <f>("1312190127")</f>
        <v>1312190127</v>
      </c>
      <c r="C552" s="39"/>
      <c r="D552" s="39" t="s">
        <v>4267</v>
      </c>
      <c r="E552" s="371" t="str">
        <f t="shared" si="39"/>
        <v>なかま　しの</v>
      </c>
      <c r="F552" s="39" t="s">
        <v>3866</v>
      </c>
      <c r="G552" s="39" t="s">
        <v>7828</v>
      </c>
      <c r="H552" s="39" t="str">
        <f>("2013/12/19")</f>
        <v>2013/12/19</v>
      </c>
      <c r="I552" s="39">
        <v>6</v>
      </c>
      <c r="J552" s="39" t="s">
        <v>1480</v>
      </c>
      <c r="K552" s="39" t="s">
        <v>2122</v>
      </c>
      <c r="L552" s="39" t="s">
        <v>7830</v>
      </c>
      <c r="M552" s="39" t="s">
        <v>7831</v>
      </c>
      <c r="N552" s="39" t="str">
        <f>("0129675")</f>
        <v>0129675</v>
      </c>
      <c r="P552" s="39" t="s">
        <v>12040</v>
      </c>
      <c r="Q552" s="39" t="s">
        <v>8568</v>
      </c>
      <c r="R552" s="39" t="s">
        <v>8569</v>
      </c>
      <c r="S552" s="39" t="s">
        <v>8570</v>
      </c>
      <c r="AK552" s="39" t="str">
        <f>("2025/04/01")</f>
        <v>2025/04/01</v>
      </c>
      <c r="AL552" s="39" t="str">
        <f t="shared" si="43"/>
        <v>2025/04/01</v>
      </c>
    </row>
    <row r="553" spans="1:38" x14ac:dyDescent="0.25">
      <c r="A553" s="39" t="str">
        <f>("1312190138")</f>
        <v>1312190138</v>
      </c>
      <c r="B553" s="39" t="s">
        <v>8917</v>
      </c>
      <c r="C553" s="39"/>
      <c r="D553" s="39" t="s">
        <v>4827</v>
      </c>
      <c r="E553" s="371" t="str">
        <f t="shared" si="39"/>
        <v>いながき　いつき</v>
      </c>
      <c r="F553" s="39" t="s">
        <v>2647</v>
      </c>
      <c r="G553" s="39" t="s">
        <v>7828</v>
      </c>
      <c r="H553" s="39" t="str">
        <f>("2013/12/19")</f>
        <v>2013/12/19</v>
      </c>
      <c r="I553" s="39">
        <v>6</v>
      </c>
      <c r="J553" s="39" t="s">
        <v>1478</v>
      </c>
      <c r="K553" s="39" t="s">
        <v>2122</v>
      </c>
      <c r="L553" s="39" t="s">
        <v>7830</v>
      </c>
      <c r="M553" s="39" t="s">
        <v>7831</v>
      </c>
      <c r="N553" s="39" t="str">
        <f>("1036817")</f>
        <v>1036817</v>
      </c>
      <c r="P553" s="39" t="s">
        <v>12041</v>
      </c>
      <c r="Q553" s="39" t="s">
        <v>8568</v>
      </c>
      <c r="R553" s="39" t="s">
        <v>8569</v>
      </c>
      <c r="S553" s="39" t="s">
        <v>8570</v>
      </c>
      <c r="AK553" s="39" t="str">
        <f>("2025/03/17")</f>
        <v>2025/03/17</v>
      </c>
      <c r="AL553" s="39" t="str">
        <f t="shared" si="43"/>
        <v>2025/04/01</v>
      </c>
    </row>
    <row r="554" spans="1:38" x14ac:dyDescent="0.25">
      <c r="A554" s="39" t="str">
        <f>("1312200084")</f>
        <v>1312200084</v>
      </c>
      <c r="C554" s="39"/>
      <c r="D554" s="39" t="s">
        <v>4342</v>
      </c>
      <c r="E554" s="371" t="str">
        <f t="shared" si="39"/>
        <v>もとき　れんや</v>
      </c>
      <c r="F554" s="39" t="s">
        <v>2505</v>
      </c>
      <c r="G554" s="39" t="s">
        <v>7828</v>
      </c>
      <c r="H554" s="39" t="str">
        <f>("2013/12/20")</f>
        <v>2013/12/20</v>
      </c>
      <c r="I554" s="39">
        <v>6</v>
      </c>
      <c r="J554" s="39" t="s">
        <v>1478</v>
      </c>
      <c r="K554" s="39" t="s">
        <v>2122</v>
      </c>
      <c r="L554" s="39" t="s">
        <v>7830</v>
      </c>
      <c r="M554" s="39" t="s">
        <v>7831</v>
      </c>
      <c r="N554" s="39" t="str">
        <f>("0129923")</f>
        <v>0129923</v>
      </c>
      <c r="P554" s="39" t="s">
        <v>12042</v>
      </c>
      <c r="Q554" s="39" t="s">
        <v>8568</v>
      </c>
      <c r="R554" s="39" t="s">
        <v>8569</v>
      </c>
      <c r="S554" s="39" t="s">
        <v>8570</v>
      </c>
      <c r="AK554" s="39" t="str">
        <f>("2025/03/17")</f>
        <v>2025/03/17</v>
      </c>
      <c r="AL554" s="39" t="str">
        <f t="shared" si="43"/>
        <v>2025/04/01</v>
      </c>
    </row>
    <row r="555" spans="1:38" x14ac:dyDescent="0.25">
      <c r="A555" s="39" t="str">
        <f>("1312210001")</f>
        <v>1312210001</v>
      </c>
      <c r="B555" s="39" t="s">
        <v>8918</v>
      </c>
      <c r="C555" s="39"/>
      <c r="D555" s="39" t="s">
        <v>1228</v>
      </c>
      <c r="E555" s="371" t="str">
        <f t="shared" si="39"/>
        <v>とくまる　しょあ</v>
      </c>
      <c r="F555" s="39" t="s">
        <v>838</v>
      </c>
      <c r="G555" s="39" t="s">
        <v>7828</v>
      </c>
      <c r="H555" s="39" t="str">
        <f>("2013/12/21")</f>
        <v>2013/12/21</v>
      </c>
      <c r="I555" s="39">
        <v>6</v>
      </c>
      <c r="J555" s="39" t="s">
        <v>1478</v>
      </c>
      <c r="K555" s="39" t="s">
        <v>2122</v>
      </c>
      <c r="L555" s="39" t="s">
        <v>7830</v>
      </c>
      <c r="M555" s="39" t="s">
        <v>7831</v>
      </c>
      <c r="N555" s="39" t="str">
        <f>("0360021")</f>
        <v>0360021</v>
      </c>
      <c r="P555" s="39" t="s">
        <v>12043</v>
      </c>
      <c r="Q555" s="39" t="s">
        <v>8568</v>
      </c>
      <c r="R555" s="39" t="s">
        <v>8569</v>
      </c>
      <c r="S555" s="39" t="s">
        <v>8570</v>
      </c>
      <c r="AA555" s="39" t="s">
        <v>2122</v>
      </c>
      <c r="AB555" s="39" t="s">
        <v>7830</v>
      </c>
      <c r="AC555" s="39" t="s">
        <v>7831</v>
      </c>
      <c r="AD555" s="39" t="str">
        <f>("0129631")</f>
        <v>0129631</v>
      </c>
      <c r="AE555" s="39" t="s">
        <v>8919</v>
      </c>
      <c r="AK555" s="39" t="str">
        <f>("2025/03/17")</f>
        <v>2025/03/17</v>
      </c>
      <c r="AL555" s="39" t="str">
        <f t="shared" si="43"/>
        <v>2025/04/01</v>
      </c>
    </row>
    <row r="556" spans="1:38" x14ac:dyDescent="0.25">
      <c r="A556" s="39" t="str">
        <f>("1312210135")</f>
        <v>1312210135</v>
      </c>
      <c r="C556" s="39"/>
      <c r="D556" s="39" t="s">
        <v>4671</v>
      </c>
      <c r="E556" s="371" t="str">
        <f t="shared" si="39"/>
        <v>おおの　こうだい</v>
      </c>
      <c r="F556" s="39" t="s">
        <v>2575</v>
      </c>
      <c r="G556" s="39" t="s">
        <v>7828</v>
      </c>
      <c r="H556" s="39" t="str">
        <f>("2013/12/21")</f>
        <v>2013/12/21</v>
      </c>
      <c r="I556" s="39">
        <v>6</v>
      </c>
      <c r="J556" s="39" t="s">
        <v>1478</v>
      </c>
      <c r="K556" s="39" t="s">
        <v>2122</v>
      </c>
      <c r="L556" s="39" t="s">
        <v>7830</v>
      </c>
      <c r="M556" s="39" t="s">
        <v>7831</v>
      </c>
      <c r="N556" s="39" t="str">
        <f>("0303040")</f>
        <v>0303040</v>
      </c>
      <c r="P556" s="39" t="s">
        <v>12044</v>
      </c>
      <c r="Q556" s="39" t="s">
        <v>8568</v>
      </c>
      <c r="R556" s="39" t="s">
        <v>8569</v>
      </c>
      <c r="S556" s="39" t="s">
        <v>8570</v>
      </c>
      <c r="AK556" s="39" t="str">
        <f>("2025/03/17")</f>
        <v>2025/03/17</v>
      </c>
      <c r="AL556" s="39" t="str">
        <f t="shared" si="43"/>
        <v>2025/04/01</v>
      </c>
    </row>
    <row r="557" spans="1:38" x14ac:dyDescent="0.25">
      <c r="A557" s="39" t="str">
        <f>("1312220076")</f>
        <v>1312220076</v>
      </c>
      <c r="C557" s="39"/>
      <c r="D557" s="39" t="s">
        <v>6026</v>
      </c>
      <c r="E557" s="371" t="str">
        <f t="shared" si="39"/>
        <v>かわの　とうま</v>
      </c>
      <c r="F557" s="39" t="s">
        <v>2350</v>
      </c>
      <c r="G557" s="39" t="s">
        <v>7828</v>
      </c>
      <c r="H557" s="39" t="str">
        <f>("2013/12/22")</f>
        <v>2013/12/22</v>
      </c>
      <c r="I557" s="39">
        <v>6</v>
      </c>
      <c r="J557" s="39" t="s">
        <v>1478</v>
      </c>
      <c r="K557" s="39" t="s">
        <v>2122</v>
      </c>
      <c r="L557" s="39" t="s">
        <v>7830</v>
      </c>
      <c r="M557" s="39" t="s">
        <v>7831</v>
      </c>
      <c r="N557" s="39" t="str">
        <f>("0360032")</f>
        <v>0360032</v>
      </c>
      <c r="P557" s="39" t="s">
        <v>12045</v>
      </c>
      <c r="Q557" s="39" t="s">
        <v>8568</v>
      </c>
      <c r="R557" s="39" t="s">
        <v>8569</v>
      </c>
      <c r="S557" s="39" t="s">
        <v>8570</v>
      </c>
      <c r="AK557" s="39" t="str">
        <f>("2025/03/17")</f>
        <v>2025/03/17</v>
      </c>
      <c r="AL557" s="39" t="str">
        <f t="shared" si="43"/>
        <v>2025/04/01</v>
      </c>
    </row>
    <row r="558" spans="1:38" x14ac:dyDescent="0.25">
      <c r="A558" s="39" t="str">
        <f>("1312230044")</f>
        <v>1312230044</v>
      </c>
      <c r="B558" s="39" t="s">
        <v>8920</v>
      </c>
      <c r="C558" s="39"/>
      <c r="D558" s="39" t="s">
        <v>4499</v>
      </c>
      <c r="E558" s="371" t="str">
        <f t="shared" si="39"/>
        <v>にしむら　おう</v>
      </c>
      <c r="F558" s="39" t="s">
        <v>2024</v>
      </c>
      <c r="G558" s="39" t="s">
        <v>7828</v>
      </c>
      <c r="H558" s="39" t="str">
        <f>("2013/12/23")</f>
        <v>2013/12/23</v>
      </c>
      <c r="I558" s="39">
        <v>6</v>
      </c>
      <c r="J558" s="39" t="s">
        <v>1478</v>
      </c>
      <c r="K558" s="39" t="s">
        <v>2122</v>
      </c>
      <c r="L558" s="39" t="s">
        <v>7830</v>
      </c>
      <c r="M558" s="39" t="s">
        <v>7831</v>
      </c>
      <c r="N558" s="39" t="str">
        <f>("0130475")</f>
        <v>0130475</v>
      </c>
      <c r="P558" s="39" t="s">
        <v>12046</v>
      </c>
      <c r="Q558" s="39" t="s">
        <v>8568</v>
      </c>
      <c r="R558" s="39" t="s">
        <v>8569</v>
      </c>
      <c r="S558" s="39" t="s">
        <v>8570</v>
      </c>
      <c r="AK558" s="39" t="str">
        <f>("2025/04/04")</f>
        <v>2025/04/04</v>
      </c>
      <c r="AL558" s="39" t="str">
        <f t="shared" si="43"/>
        <v>2025/04/01</v>
      </c>
    </row>
    <row r="559" spans="1:38" x14ac:dyDescent="0.25">
      <c r="A559" s="39" t="str">
        <f>("1312230114")</f>
        <v>1312230114</v>
      </c>
      <c r="B559" s="39" t="s">
        <v>8921</v>
      </c>
      <c r="C559" s="39"/>
      <c r="D559" s="39" t="s">
        <v>5704</v>
      </c>
      <c r="E559" s="371" t="str">
        <f t="shared" si="39"/>
        <v>あべ　とうま</v>
      </c>
      <c r="F559" s="39" t="s">
        <v>520</v>
      </c>
      <c r="G559" s="39" t="s">
        <v>7828</v>
      </c>
      <c r="H559" s="39" t="str">
        <f>("2013/12/23")</f>
        <v>2013/12/23</v>
      </c>
      <c r="I559" s="39">
        <v>6</v>
      </c>
      <c r="J559" s="39" t="s">
        <v>1478</v>
      </c>
      <c r="K559" s="39" t="s">
        <v>2122</v>
      </c>
      <c r="L559" s="39" t="s">
        <v>7830</v>
      </c>
      <c r="M559" s="39" t="s">
        <v>7831</v>
      </c>
      <c r="N559" s="39" t="str">
        <f>("0129765")</f>
        <v>0129765</v>
      </c>
      <c r="P559" s="39" t="s">
        <v>12047</v>
      </c>
      <c r="Q559" s="39" t="s">
        <v>8568</v>
      </c>
      <c r="R559" s="39" t="s">
        <v>8569</v>
      </c>
      <c r="S559" s="39" t="s">
        <v>8570</v>
      </c>
      <c r="AK559" s="39" t="str">
        <f>("2025/03/17")</f>
        <v>2025/03/17</v>
      </c>
      <c r="AL559" s="39" t="str">
        <f t="shared" si="43"/>
        <v>2025/04/01</v>
      </c>
    </row>
    <row r="560" spans="1:38" x14ac:dyDescent="0.25">
      <c r="A560" s="39" t="str">
        <f>("1312240012")</f>
        <v>1312240012</v>
      </c>
      <c r="C560" s="39"/>
      <c r="D560" s="39" t="s">
        <v>3891</v>
      </c>
      <c r="E560" s="371" t="str">
        <f t="shared" si="39"/>
        <v>とよなが　ゆうと</v>
      </c>
      <c r="F560" s="39" t="s">
        <v>2274</v>
      </c>
      <c r="G560" s="39" t="s">
        <v>7828</v>
      </c>
      <c r="H560" s="39" t="str">
        <f>("2013/12/24")</f>
        <v>2013/12/24</v>
      </c>
      <c r="I560" s="39">
        <v>6</v>
      </c>
      <c r="J560" s="39" t="s">
        <v>1478</v>
      </c>
      <c r="K560" s="39" t="s">
        <v>2122</v>
      </c>
      <c r="L560" s="39" t="s">
        <v>7830</v>
      </c>
      <c r="M560" s="39" t="s">
        <v>7831</v>
      </c>
      <c r="N560" s="39" t="str">
        <f>("0129563")</f>
        <v>0129563</v>
      </c>
      <c r="P560" s="39" t="s">
        <v>12048</v>
      </c>
      <c r="Q560" s="39" t="s">
        <v>8568</v>
      </c>
      <c r="R560" s="39" t="s">
        <v>8569</v>
      </c>
      <c r="S560" s="39" t="s">
        <v>8570</v>
      </c>
      <c r="AK560" s="39" t="str">
        <f>("2025/03/17")</f>
        <v>2025/03/17</v>
      </c>
      <c r="AL560" s="39" t="str">
        <f t="shared" si="43"/>
        <v>2025/04/01</v>
      </c>
    </row>
    <row r="561" spans="1:38" x14ac:dyDescent="0.25">
      <c r="A561" s="39" t="str">
        <f>("1312250072")</f>
        <v>1312250072</v>
      </c>
      <c r="B561" s="39" t="s">
        <v>8922</v>
      </c>
      <c r="C561" s="39"/>
      <c r="D561" s="39" t="s">
        <v>8923</v>
      </c>
      <c r="E561" s="371" t="str">
        <f t="shared" si="39"/>
        <v>みしろ　りんたろう</v>
      </c>
      <c r="F561" s="39" t="s">
        <v>1158</v>
      </c>
      <c r="G561" s="39" t="s">
        <v>7828</v>
      </c>
      <c r="H561" s="39" t="str">
        <f>("2013/12/25")</f>
        <v>2013/12/25</v>
      </c>
      <c r="I561" s="39">
        <v>6</v>
      </c>
      <c r="J561" s="39" t="s">
        <v>1478</v>
      </c>
      <c r="K561" s="39" t="s">
        <v>2122</v>
      </c>
      <c r="L561" s="39" t="s">
        <v>7830</v>
      </c>
      <c r="M561" s="39" t="s">
        <v>7831</v>
      </c>
      <c r="N561" s="39" t="str">
        <f>("0130318")</f>
        <v>0130318</v>
      </c>
      <c r="P561" s="39" t="s">
        <v>12049</v>
      </c>
      <c r="Q561" s="39" t="s">
        <v>8568</v>
      </c>
      <c r="R561" s="39" t="s">
        <v>8569</v>
      </c>
      <c r="S561" s="39" t="s">
        <v>8570</v>
      </c>
      <c r="AK561" s="39" t="str">
        <f>("2025/03/17")</f>
        <v>2025/03/17</v>
      </c>
      <c r="AL561" s="39" t="str">
        <f t="shared" si="43"/>
        <v>2025/04/01</v>
      </c>
    </row>
    <row r="562" spans="1:38" x14ac:dyDescent="0.25">
      <c r="A562" s="39" t="str">
        <f>("1312250082")</f>
        <v>1312250082</v>
      </c>
      <c r="B562" s="39" t="s">
        <v>8924</v>
      </c>
      <c r="C562" s="39"/>
      <c r="D562" s="39" t="s">
        <v>4486</v>
      </c>
      <c r="E562" s="371" t="str">
        <f t="shared" si="39"/>
        <v>おがわ　えいじ</v>
      </c>
      <c r="F562" s="39" t="s">
        <v>2024</v>
      </c>
      <c r="G562" s="39" t="s">
        <v>7828</v>
      </c>
      <c r="H562" s="39" t="str">
        <f>("2013/12/25")</f>
        <v>2013/12/25</v>
      </c>
      <c r="I562" s="39">
        <v>6</v>
      </c>
      <c r="J562" s="39" t="s">
        <v>1478</v>
      </c>
      <c r="K562" s="39" t="s">
        <v>2122</v>
      </c>
      <c r="L562" s="39" t="s">
        <v>7830</v>
      </c>
      <c r="M562" s="39" t="s">
        <v>7831</v>
      </c>
      <c r="N562" s="39" t="str">
        <f>("0130475")</f>
        <v>0130475</v>
      </c>
      <c r="P562" s="39" t="s">
        <v>12050</v>
      </c>
      <c r="Q562" s="39" t="s">
        <v>8568</v>
      </c>
      <c r="R562" s="39" t="s">
        <v>8569</v>
      </c>
      <c r="S562" s="39" t="s">
        <v>8570</v>
      </c>
      <c r="AK562" s="39" t="str">
        <f>("2025/04/04")</f>
        <v>2025/04/04</v>
      </c>
      <c r="AL562" s="39" t="str">
        <f t="shared" si="43"/>
        <v>2025/04/01</v>
      </c>
    </row>
    <row r="563" spans="1:38" x14ac:dyDescent="0.25">
      <c r="A563" s="39" t="str">
        <f>("1312260083")</f>
        <v>1312260083</v>
      </c>
      <c r="C563" s="39"/>
      <c r="D563" s="39" t="s">
        <v>4645</v>
      </c>
      <c r="E563" s="371" t="str">
        <f t="shared" si="39"/>
        <v>あきよし　ゆいな</v>
      </c>
      <c r="F563" s="39" t="s">
        <v>2573</v>
      </c>
      <c r="G563" s="39" t="s">
        <v>7828</v>
      </c>
      <c r="H563" s="39" t="str">
        <f>("2013/12/26")</f>
        <v>2013/12/26</v>
      </c>
      <c r="I563" s="39">
        <v>6</v>
      </c>
      <c r="J563" s="39" t="s">
        <v>1480</v>
      </c>
      <c r="K563" s="39" t="s">
        <v>2122</v>
      </c>
      <c r="L563" s="39" t="s">
        <v>7830</v>
      </c>
      <c r="M563" s="39" t="s">
        <v>7831</v>
      </c>
      <c r="N563" s="39" t="str">
        <f>("0230982")</f>
        <v>0230982</v>
      </c>
      <c r="P563" s="39" t="s">
        <v>12051</v>
      </c>
      <c r="Q563" s="39" t="s">
        <v>8568</v>
      </c>
      <c r="R563" s="39" t="s">
        <v>8569</v>
      </c>
      <c r="S563" s="39" t="s">
        <v>8570</v>
      </c>
      <c r="AK563" s="39" t="str">
        <f>("2025/03/17")</f>
        <v>2025/03/17</v>
      </c>
      <c r="AL563" s="39" t="str">
        <f t="shared" si="43"/>
        <v>2025/04/01</v>
      </c>
    </row>
    <row r="564" spans="1:38" x14ac:dyDescent="0.25">
      <c r="A564" s="39" t="str">
        <f>("1312260098")</f>
        <v>1312260098</v>
      </c>
      <c r="C564" s="39"/>
      <c r="D564" s="39" t="s">
        <v>5622</v>
      </c>
      <c r="E564" s="371" t="str">
        <f t="shared" si="39"/>
        <v>かわい　かんた</v>
      </c>
      <c r="F564" s="39" t="s">
        <v>2469</v>
      </c>
      <c r="G564" s="39" t="s">
        <v>7828</v>
      </c>
      <c r="H564" s="39" t="str">
        <f>("2013/12/26")</f>
        <v>2013/12/26</v>
      </c>
      <c r="I564" s="39">
        <v>6</v>
      </c>
      <c r="J564" s="39" t="s">
        <v>1478</v>
      </c>
      <c r="K564" s="39" t="s">
        <v>2122</v>
      </c>
      <c r="L564" s="39" t="s">
        <v>7830</v>
      </c>
      <c r="M564" s="39" t="s">
        <v>7831</v>
      </c>
      <c r="N564" s="39" t="str">
        <f>("0129462")</f>
        <v>0129462</v>
      </c>
      <c r="P564" s="39" t="s">
        <v>12052</v>
      </c>
      <c r="Q564" s="39" t="s">
        <v>8568</v>
      </c>
      <c r="R564" s="39" t="s">
        <v>8569</v>
      </c>
      <c r="S564" s="39" t="s">
        <v>8570</v>
      </c>
      <c r="AK564" s="39" t="str">
        <f>("2025/03/21")</f>
        <v>2025/03/21</v>
      </c>
      <c r="AL564" s="39" t="str">
        <f t="shared" si="43"/>
        <v>2025/04/01</v>
      </c>
    </row>
    <row r="565" spans="1:38" x14ac:dyDescent="0.25">
      <c r="A565" s="39" t="str">
        <f>("1312260209")</f>
        <v>1312260209</v>
      </c>
      <c r="C565" s="39"/>
      <c r="D565" s="39" t="s">
        <v>5689</v>
      </c>
      <c r="E565" s="371" t="str">
        <f t="shared" si="39"/>
        <v>かく　たいが</v>
      </c>
      <c r="F565" s="39" t="s">
        <v>334</v>
      </c>
      <c r="G565" s="39" t="s">
        <v>7828</v>
      </c>
      <c r="H565" s="39" t="str">
        <f>("2013/12/26")</f>
        <v>2013/12/26</v>
      </c>
      <c r="I565" s="39">
        <v>6</v>
      </c>
      <c r="J565" s="39" t="s">
        <v>1478</v>
      </c>
      <c r="K565" s="39" t="s">
        <v>2122</v>
      </c>
      <c r="L565" s="39" t="s">
        <v>7830</v>
      </c>
      <c r="M565" s="39" t="s">
        <v>7831</v>
      </c>
      <c r="N565" s="39" t="str">
        <f>("0129664")</f>
        <v>0129664</v>
      </c>
      <c r="P565" s="39" t="s">
        <v>12053</v>
      </c>
      <c r="Q565" s="39" t="s">
        <v>8568</v>
      </c>
      <c r="R565" s="39" t="s">
        <v>8569</v>
      </c>
      <c r="S565" s="39" t="s">
        <v>8570</v>
      </c>
      <c r="AK565" s="39" t="str">
        <f>("2025/03/17")</f>
        <v>2025/03/17</v>
      </c>
      <c r="AL565" s="39" t="str">
        <f t="shared" si="43"/>
        <v>2025/04/01</v>
      </c>
    </row>
    <row r="566" spans="1:38" x14ac:dyDescent="0.25">
      <c r="A566" s="39" t="str">
        <f>("1312260229")</f>
        <v>1312260229</v>
      </c>
      <c r="C566" s="39"/>
      <c r="D566" s="39" t="s">
        <v>8925</v>
      </c>
      <c r="E566" s="371" t="str">
        <f t="shared" si="39"/>
        <v>むらかみ　あると</v>
      </c>
      <c r="F566" s="39" t="s">
        <v>8485</v>
      </c>
      <c r="G566" s="39" t="s">
        <v>7828</v>
      </c>
      <c r="H566" s="39" t="str">
        <f>("2013/12/26")</f>
        <v>2013/12/26</v>
      </c>
      <c r="I566" s="39">
        <v>6</v>
      </c>
      <c r="J566" s="39" t="s">
        <v>1478</v>
      </c>
      <c r="K566" s="39" t="s">
        <v>2122</v>
      </c>
      <c r="L566" s="39" t="s">
        <v>7830</v>
      </c>
      <c r="M566" s="39" t="s">
        <v>7831</v>
      </c>
      <c r="N566" s="39" t="str">
        <f>("0130666")</f>
        <v>0130666</v>
      </c>
      <c r="P566" s="39" t="s">
        <v>12054</v>
      </c>
      <c r="Q566" s="39" t="s">
        <v>8568</v>
      </c>
      <c r="R566" s="39" t="s">
        <v>8569</v>
      </c>
      <c r="S566" s="39" t="s">
        <v>8570</v>
      </c>
      <c r="AK566" s="39" t="str">
        <f>("2025/04/10")</f>
        <v>2025/04/10</v>
      </c>
      <c r="AL566" s="39" t="str">
        <f>("2025/04/10")</f>
        <v>2025/04/10</v>
      </c>
    </row>
    <row r="567" spans="1:38" x14ac:dyDescent="0.25">
      <c r="A567" s="39" t="str">
        <f>("1312270086")</f>
        <v>1312270086</v>
      </c>
      <c r="C567" s="39"/>
      <c r="D567" s="39" t="s">
        <v>4056</v>
      </c>
      <c r="E567" s="371" t="str">
        <f t="shared" si="39"/>
        <v>かやた　れお</v>
      </c>
      <c r="F567" s="39" t="s">
        <v>188</v>
      </c>
      <c r="G567" s="39" t="s">
        <v>7828</v>
      </c>
      <c r="H567" s="39" t="str">
        <f t="shared" ref="H567:H572" si="44">("2013/12/27")</f>
        <v>2013/12/27</v>
      </c>
      <c r="I567" s="39">
        <v>6</v>
      </c>
      <c r="J567" s="39" t="s">
        <v>1478</v>
      </c>
      <c r="K567" s="39" t="s">
        <v>2122</v>
      </c>
      <c r="L567" s="39" t="s">
        <v>7830</v>
      </c>
      <c r="M567" s="39" t="s">
        <v>7831</v>
      </c>
      <c r="N567" s="39" t="str">
        <f>("0130734")</f>
        <v>0130734</v>
      </c>
      <c r="P567" s="39" t="s">
        <v>12055</v>
      </c>
      <c r="Q567" s="39" t="s">
        <v>8568</v>
      </c>
      <c r="R567" s="39" t="s">
        <v>8569</v>
      </c>
      <c r="S567" s="39" t="s">
        <v>8570</v>
      </c>
      <c r="AK567" s="39" t="str">
        <f>("2025/03/17")</f>
        <v>2025/03/17</v>
      </c>
      <c r="AL567" s="39" t="str">
        <f t="shared" ref="AL567:AL572" si="45">("2025/04/01")</f>
        <v>2025/04/01</v>
      </c>
    </row>
    <row r="568" spans="1:38" x14ac:dyDescent="0.25">
      <c r="A568" s="39" t="str">
        <f>("1312270115")</f>
        <v>1312270115</v>
      </c>
      <c r="C568" s="39"/>
      <c r="D568" s="39" t="s">
        <v>8926</v>
      </c>
      <c r="E568" s="371" t="str">
        <f t="shared" si="39"/>
        <v>ざいぜん　あやと</v>
      </c>
      <c r="F568" s="39" t="s">
        <v>947</v>
      </c>
      <c r="G568" s="39" t="s">
        <v>7828</v>
      </c>
      <c r="H568" s="39" t="str">
        <f t="shared" si="44"/>
        <v>2013/12/27</v>
      </c>
      <c r="I568" s="39">
        <v>6</v>
      </c>
      <c r="J568" s="39" t="s">
        <v>1478</v>
      </c>
      <c r="K568" s="39" t="s">
        <v>2122</v>
      </c>
      <c r="L568" s="39" t="s">
        <v>7830</v>
      </c>
      <c r="M568" s="39" t="s">
        <v>7831</v>
      </c>
      <c r="N568" s="39" t="str">
        <f>("0130183")</f>
        <v>0130183</v>
      </c>
      <c r="P568" s="39" t="s">
        <v>12056</v>
      </c>
      <c r="Q568" s="39" t="s">
        <v>8568</v>
      </c>
      <c r="R568" s="39" t="s">
        <v>8569</v>
      </c>
      <c r="S568" s="39" t="s">
        <v>8570</v>
      </c>
      <c r="AK568" s="39" t="str">
        <f>("2025/03/27")</f>
        <v>2025/03/27</v>
      </c>
      <c r="AL568" s="39" t="str">
        <f t="shared" si="45"/>
        <v>2025/04/01</v>
      </c>
    </row>
    <row r="569" spans="1:38" x14ac:dyDescent="0.25">
      <c r="A569" s="39" t="str">
        <f>("1312270143")</f>
        <v>1312270143</v>
      </c>
      <c r="B569" s="39" t="s">
        <v>8927</v>
      </c>
      <c r="C569" s="39"/>
      <c r="D569" s="39" t="s">
        <v>6285</v>
      </c>
      <c r="E569" s="371" t="str">
        <f t="shared" si="39"/>
        <v>おおくぼ　はやと</v>
      </c>
      <c r="F569" s="39" t="s">
        <v>5621</v>
      </c>
      <c r="G569" s="39" t="s">
        <v>7828</v>
      </c>
      <c r="H569" s="39" t="str">
        <f t="shared" si="44"/>
        <v>2013/12/27</v>
      </c>
      <c r="I569" s="39">
        <v>6</v>
      </c>
      <c r="J569" s="39" t="s">
        <v>1478</v>
      </c>
      <c r="K569" s="39" t="s">
        <v>2122</v>
      </c>
      <c r="L569" s="39" t="s">
        <v>7830</v>
      </c>
      <c r="M569" s="39" t="s">
        <v>7831</v>
      </c>
      <c r="N569" s="39" t="str">
        <f>("1110654")</f>
        <v>1110654</v>
      </c>
      <c r="P569" s="39" t="s">
        <v>12057</v>
      </c>
      <c r="Q569" s="39" t="s">
        <v>8568</v>
      </c>
      <c r="R569" s="39" t="s">
        <v>8569</v>
      </c>
      <c r="S569" s="39" t="s">
        <v>8570</v>
      </c>
      <c r="AA569" s="39" t="s">
        <v>2122</v>
      </c>
      <c r="AB569" s="39" t="s">
        <v>7830</v>
      </c>
      <c r="AC569" s="39" t="s">
        <v>7831</v>
      </c>
      <c r="AD569" s="39" t="str">
        <f>("0130307")</f>
        <v>0130307</v>
      </c>
      <c r="AE569" s="39" t="s">
        <v>2342</v>
      </c>
      <c r="AK569" s="39" t="str">
        <f>("2025/03/03")</f>
        <v>2025/03/03</v>
      </c>
      <c r="AL569" s="39" t="str">
        <f t="shared" si="45"/>
        <v>2025/04/01</v>
      </c>
    </row>
    <row r="570" spans="1:38" x14ac:dyDescent="0.25">
      <c r="A570" s="39" t="str">
        <f>("1312270171")</f>
        <v>1312270171</v>
      </c>
      <c r="B570" s="39" t="s">
        <v>8928</v>
      </c>
      <c r="C570" s="39"/>
      <c r="D570" s="39" t="s">
        <v>8929</v>
      </c>
      <c r="E570" s="371" t="str">
        <f t="shared" si="39"/>
        <v>おかざき　みひろ</v>
      </c>
      <c r="F570" s="39" t="s">
        <v>2648</v>
      </c>
      <c r="G570" s="39" t="s">
        <v>7828</v>
      </c>
      <c r="H570" s="39" t="str">
        <f t="shared" si="44"/>
        <v>2013/12/27</v>
      </c>
      <c r="I570" s="39">
        <v>6</v>
      </c>
      <c r="J570" s="39" t="s">
        <v>1478</v>
      </c>
      <c r="K570" s="39" t="s">
        <v>2122</v>
      </c>
      <c r="L570" s="39" t="s">
        <v>7830</v>
      </c>
      <c r="M570" s="39" t="s">
        <v>7831</v>
      </c>
      <c r="N570" s="39" t="str">
        <f>("1050097")</f>
        <v>1050097</v>
      </c>
      <c r="P570" s="39" t="s">
        <v>12058</v>
      </c>
      <c r="Q570" s="39" t="s">
        <v>8568</v>
      </c>
      <c r="R570" s="39" t="s">
        <v>8569</v>
      </c>
      <c r="S570" s="39" t="s">
        <v>8570</v>
      </c>
      <c r="AK570" s="39" t="str">
        <f>("2025/03/25")</f>
        <v>2025/03/25</v>
      </c>
      <c r="AL570" s="39" t="str">
        <f t="shared" si="45"/>
        <v>2025/04/01</v>
      </c>
    </row>
    <row r="571" spans="1:38" x14ac:dyDescent="0.25">
      <c r="A571" s="39" t="str">
        <f>("1312270209")</f>
        <v>1312270209</v>
      </c>
      <c r="C571" s="39"/>
      <c r="D571" s="39" t="s">
        <v>5682</v>
      </c>
      <c r="E571" s="371" t="str">
        <f t="shared" si="39"/>
        <v>おおにし　そら</v>
      </c>
      <c r="F571" s="39" t="s">
        <v>5615</v>
      </c>
      <c r="G571" s="39" t="s">
        <v>7828</v>
      </c>
      <c r="H571" s="39" t="str">
        <f t="shared" si="44"/>
        <v>2013/12/27</v>
      </c>
      <c r="I571" s="39">
        <v>6</v>
      </c>
      <c r="J571" s="39" t="s">
        <v>1480</v>
      </c>
      <c r="K571" s="39" t="s">
        <v>2122</v>
      </c>
      <c r="L571" s="39" t="s">
        <v>7830</v>
      </c>
      <c r="M571" s="39" t="s">
        <v>7831</v>
      </c>
      <c r="N571" s="39" t="str">
        <f>("0129642")</f>
        <v>0129642</v>
      </c>
      <c r="P571" s="39" t="s">
        <v>12059</v>
      </c>
      <c r="Q571" s="39" t="s">
        <v>8568</v>
      </c>
      <c r="R571" s="39" t="s">
        <v>8569</v>
      </c>
      <c r="S571" s="39" t="s">
        <v>8570</v>
      </c>
      <c r="AK571" s="39" t="str">
        <f>("2025/03/24")</f>
        <v>2025/03/24</v>
      </c>
      <c r="AL571" s="39" t="str">
        <f t="shared" si="45"/>
        <v>2025/04/01</v>
      </c>
    </row>
    <row r="572" spans="1:38" x14ac:dyDescent="0.25">
      <c r="A572" s="39" t="str">
        <f>("1312270218")</f>
        <v>1312270218</v>
      </c>
      <c r="C572" s="39"/>
      <c r="D572" s="39" t="s">
        <v>6234</v>
      </c>
      <c r="E572" s="371" t="str">
        <f t="shared" si="39"/>
        <v>たけもと　たいが</v>
      </c>
      <c r="F572" s="39" t="s">
        <v>2648</v>
      </c>
      <c r="G572" s="39" t="s">
        <v>7828</v>
      </c>
      <c r="H572" s="39" t="str">
        <f t="shared" si="44"/>
        <v>2013/12/27</v>
      </c>
      <c r="I572" s="39">
        <v>6</v>
      </c>
      <c r="J572" s="39" t="s">
        <v>1478</v>
      </c>
      <c r="K572" s="39" t="s">
        <v>2122</v>
      </c>
      <c r="L572" s="39" t="s">
        <v>7830</v>
      </c>
      <c r="M572" s="39" t="s">
        <v>7831</v>
      </c>
      <c r="N572" s="39" t="str">
        <f>("1050097")</f>
        <v>1050097</v>
      </c>
      <c r="P572" s="39" t="s">
        <v>12060</v>
      </c>
      <c r="Q572" s="39" t="s">
        <v>8568</v>
      </c>
      <c r="R572" s="39" t="s">
        <v>8569</v>
      </c>
      <c r="S572" s="39" t="s">
        <v>8570</v>
      </c>
      <c r="AK572" s="39" t="str">
        <f>("2025/03/25")</f>
        <v>2025/03/25</v>
      </c>
      <c r="AL572" s="39" t="str">
        <f t="shared" si="45"/>
        <v>2025/04/01</v>
      </c>
    </row>
    <row r="573" spans="1:38" x14ac:dyDescent="0.25">
      <c r="A573" s="39" t="str">
        <f>("1312280023")</f>
        <v>1312280023</v>
      </c>
      <c r="C573" s="39"/>
      <c r="D573" s="39" t="s">
        <v>4058</v>
      </c>
      <c r="E573" s="371" t="str">
        <f t="shared" si="39"/>
        <v>わだ　あやと</v>
      </c>
      <c r="F573" s="39" t="s">
        <v>5621</v>
      </c>
      <c r="G573" s="39" t="s">
        <v>7828</v>
      </c>
      <c r="H573" s="39" t="str">
        <f>("2013/12/28")</f>
        <v>2013/12/28</v>
      </c>
      <c r="I573" s="39">
        <v>6</v>
      </c>
      <c r="J573" s="39" t="s">
        <v>1478</v>
      </c>
      <c r="K573" s="39" t="s">
        <v>2122</v>
      </c>
      <c r="L573" s="39" t="s">
        <v>7830</v>
      </c>
      <c r="M573" s="39" t="s">
        <v>7831</v>
      </c>
      <c r="N573" s="39" t="str">
        <f>("1110654")</f>
        <v>1110654</v>
      </c>
      <c r="P573" s="39" t="s">
        <v>12061</v>
      </c>
      <c r="Q573" s="39" t="s">
        <v>8568</v>
      </c>
      <c r="R573" s="39" t="s">
        <v>8569</v>
      </c>
      <c r="S573" s="39" t="s">
        <v>8570</v>
      </c>
      <c r="AA573" s="39" t="s">
        <v>2122</v>
      </c>
      <c r="AB573" s="39" t="s">
        <v>7830</v>
      </c>
      <c r="AC573" s="39" t="s">
        <v>7831</v>
      </c>
      <c r="AD573" s="39" t="str">
        <f>("0130734")</f>
        <v>0130734</v>
      </c>
      <c r="AE573" s="39" t="s">
        <v>188</v>
      </c>
      <c r="AK573" s="39" t="str">
        <f>("2025/06/11")</f>
        <v>2025/06/11</v>
      </c>
      <c r="AL573" s="39" t="str">
        <f>("2025/06/11")</f>
        <v>2025/06/11</v>
      </c>
    </row>
    <row r="574" spans="1:38" x14ac:dyDescent="0.25">
      <c r="A574" s="39" t="str">
        <f>("1312280178")</f>
        <v>1312280178</v>
      </c>
      <c r="C574" s="39"/>
      <c r="D574" s="39" t="s">
        <v>5994</v>
      </c>
      <c r="E574" s="371" t="str">
        <f t="shared" si="39"/>
        <v>おか　みなと</v>
      </c>
      <c r="F574" s="39" t="s">
        <v>2349</v>
      </c>
      <c r="G574" s="39" t="s">
        <v>7828</v>
      </c>
      <c r="H574" s="39" t="str">
        <f>("2013/12/28")</f>
        <v>2013/12/28</v>
      </c>
      <c r="I574" s="39">
        <v>6</v>
      </c>
      <c r="J574" s="39" t="s">
        <v>1478</v>
      </c>
      <c r="K574" s="39" t="s">
        <v>2122</v>
      </c>
      <c r="L574" s="39" t="s">
        <v>7830</v>
      </c>
      <c r="M574" s="39" t="s">
        <v>7831</v>
      </c>
      <c r="N574" s="39" t="str">
        <f>("0292081")</f>
        <v>0292081</v>
      </c>
      <c r="P574" s="39" t="s">
        <v>12062</v>
      </c>
      <c r="Q574" s="39" t="s">
        <v>8568</v>
      </c>
      <c r="R574" s="39" t="s">
        <v>8569</v>
      </c>
      <c r="S574" s="39" t="s">
        <v>8570</v>
      </c>
      <c r="AK574" s="39" t="str">
        <f>("2025/03/24")</f>
        <v>2025/03/24</v>
      </c>
      <c r="AL574" s="39" t="str">
        <f t="shared" ref="AL574:AL604" si="46">("2025/04/01")</f>
        <v>2025/04/01</v>
      </c>
    </row>
    <row r="575" spans="1:38" x14ac:dyDescent="0.25">
      <c r="A575" s="39" t="str">
        <f>("1312290132")</f>
        <v>1312290132</v>
      </c>
      <c r="C575" s="39"/>
      <c r="D575" s="39" t="s">
        <v>8930</v>
      </c>
      <c r="E575" s="371" t="str">
        <f t="shared" si="39"/>
        <v>うりゅう　ゆうのすけ</v>
      </c>
      <c r="F575" s="39" t="s">
        <v>2243</v>
      </c>
      <c r="G575" s="39" t="s">
        <v>7828</v>
      </c>
      <c r="H575" s="39" t="str">
        <f>("2013/12/29")</f>
        <v>2013/12/29</v>
      </c>
      <c r="I575" s="39">
        <v>6</v>
      </c>
      <c r="J575" s="39" t="s">
        <v>1478</v>
      </c>
      <c r="K575" s="39" t="s">
        <v>2122</v>
      </c>
      <c r="L575" s="39" t="s">
        <v>7830</v>
      </c>
      <c r="M575" s="39" t="s">
        <v>7831</v>
      </c>
      <c r="N575" s="39" t="str">
        <f>("0130565")</f>
        <v>0130565</v>
      </c>
      <c r="P575" s="39" t="s">
        <v>12063</v>
      </c>
      <c r="Q575" s="39" t="s">
        <v>8568</v>
      </c>
      <c r="R575" s="39" t="s">
        <v>8569</v>
      </c>
      <c r="S575" s="39" t="s">
        <v>8570</v>
      </c>
      <c r="AK575" s="39" t="str">
        <f>("2025/03/17")</f>
        <v>2025/03/17</v>
      </c>
      <c r="AL575" s="39" t="str">
        <f t="shared" si="46"/>
        <v>2025/04/01</v>
      </c>
    </row>
    <row r="576" spans="1:38" x14ac:dyDescent="0.25">
      <c r="A576" s="39" t="str">
        <f>("1312310016")</f>
        <v>1312310016</v>
      </c>
      <c r="C576" s="39"/>
      <c r="D576" s="39" t="s">
        <v>4601</v>
      </c>
      <c r="E576" s="371" t="str">
        <f t="shared" si="39"/>
        <v>さんのみや　さくたろう</v>
      </c>
      <c r="F576" s="39" t="s">
        <v>2544</v>
      </c>
      <c r="G576" s="39" t="s">
        <v>7828</v>
      </c>
      <c r="H576" s="39" t="str">
        <f>("2013/12/31")</f>
        <v>2013/12/31</v>
      </c>
      <c r="I576" s="39">
        <v>6</v>
      </c>
      <c r="J576" s="39" t="s">
        <v>1478</v>
      </c>
      <c r="K576" s="39" t="s">
        <v>2122</v>
      </c>
      <c r="L576" s="39" t="s">
        <v>7830</v>
      </c>
      <c r="M576" s="39" t="s">
        <v>7831</v>
      </c>
      <c r="N576" s="39" t="str">
        <f>("0130644")</f>
        <v>0130644</v>
      </c>
      <c r="P576" s="39" t="s">
        <v>12064</v>
      </c>
      <c r="Q576" s="39" t="s">
        <v>8568</v>
      </c>
      <c r="R576" s="39" t="s">
        <v>8569</v>
      </c>
      <c r="S576" s="39" t="s">
        <v>8570</v>
      </c>
      <c r="AK576" s="39" t="str">
        <f>("2025/03/17")</f>
        <v>2025/03/17</v>
      </c>
      <c r="AL576" s="39" t="str">
        <f t="shared" si="46"/>
        <v>2025/04/01</v>
      </c>
    </row>
    <row r="577" spans="1:39" x14ac:dyDescent="0.25">
      <c r="A577" s="39" t="str">
        <f>("1401010017")</f>
        <v>1401010017</v>
      </c>
      <c r="B577" s="39" t="s">
        <v>8931</v>
      </c>
      <c r="C577" s="39"/>
      <c r="D577" s="39" t="s">
        <v>8932</v>
      </c>
      <c r="E577" s="371" t="str">
        <f t="shared" si="39"/>
        <v>よしだ　あすむ</v>
      </c>
      <c r="F577" s="39" t="s">
        <v>2323</v>
      </c>
      <c r="G577" s="39" t="s">
        <v>7828</v>
      </c>
      <c r="H577" s="39" t="str">
        <f>("2014/01/01")</f>
        <v>2014/01/01</v>
      </c>
      <c r="I577" s="39">
        <v>6</v>
      </c>
      <c r="J577" s="39" t="s">
        <v>1478</v>
      </c>
      <c r="K577" s="39" t="s">
        <v>2122</v>
      </c>
      <c r="L577" s="39" t="s">
        <v>7830</v>
      </c>
      <c r="M577" s="39" t="s">
        <v>7831</v>
      </c>
      <c r="N577" s="39" t="str">
        <f>("0472722")</f>
        <v>0472722</v>
      </c>
      <c r="P577" s="39" t="s">
        <v>12065</v>
      </c>
      <c r="Q577" s="39" t="s">
        <v>8568</v>
      </c>
      <c r="R577" s="39" t="s">
        <v>8569</v>
      </c>
      <c r="S577" s="39" t="s">
        <v>8570</v>
      </c>
      <c r="AA577" s="39" t="s">
        <v>2122</v>
      </c>
      <c r="AB577" s="39" t="s">
        <v>7830</v>
      </c>
      <c r="AC577" s="39" t="s">
        <v>7831</v>
      </c>
      <c r="AD577" s="39" t="str">
        <f>("0130543")</f>
        <v>0130543</v>
      </c>
      <c r="AE577" s="39" t="s">
        <v>4220</v>
      </c>
      <c r="AF577" s="39" t="s">
        <v>2122</v>
      </c>
      <c r="AG577" s="39" t="s">
        <v>7830</v>
      </c>
      <c r="AH577" s="39" t="s">
        <v>7831</v>
      </c>
      <c r="AI577" s="39" t="str">
        <f>("0130352")</f>
        <v>0130352</v>
      </c>
      <c r="AJ577" s="39" t="s">
        <v>8933</v>
      </c>
      <c r="AK577" s="39" t="str">
        <f>("2025/03/17")</f>
        <v>2025/03/17</v>
      </c>
      <c r="AL577" s="39" t="str">
        <f t="shared" si="46"/>
        <v>2025/04/01</v>
      </c>
    </row>
    <row r="578" spans="1:39" x14ac:dyDescent="0.25">
      <c r="A578" s="39" t="str">
        <f>("1401010119")</f>
        <v>1401010119</v>
      </c>
      <c r="C578" s="39"/>
      <c r="D578" s="39" t="s">
        <v>8934</v>
      </c>
      <c r="E578" s="371" t="str">
        <f t="shared" si="39"/>
        <v>あそう　えいしん</v>
      </c>
      <c r="F578" s="39" t="s">
        <v>2587</v>
      </c>
      <c r="G578" s="39" t="s">
        <v>7828</v>
      </c>
      <c r="H578" s="39" t="str">
        <f>("2014/01/01")</f>
        <v>2014/01/01</v>
      </c>
      <c r="I578" s="39">
        <v>6</v>
      </c>
      <c r="J578" s="39" t="s">
        <v>1478</v>
      </c>
      <c r="K578" s="39" t="s">
        <v>2122</v>
      </c>
      <c r="L578" s="39" t="s">
        <v>7830</v>
      </c>
      <c r="M578" s="39" t="s">
        <v>7831</v>
      </c>
      <c r="N578" s="39" t="str">
        <f>("0387334")</f>
        <v>0387334</v>
      </c>
      <c r="P578" s="39" t="s">
        <v>12066</v>
      </c>
      <c r="Q578" s="39" t="s">
        <v>8568</v>
      </c>
      <c r="R578" s="39" t="s">
        <v>8569</v>
      </c>
      <c r="S578" s="39" t="s">
        <v>8570</v>
      </c>
      <c r="AK578" s="39" t="str">
        <f>("2025/03/27")</f>
        <v>2025/03/27</v>
      </c>
      <c r="AL578" s="39" t="str">
        <f t="shared" si="46"/>
        <v>2025/04/01</v>
      </c>
    </row>
    <row r="579" spans="1:39" x14ac:dyDescent="0.25">
      <c r="A579" s="39" t="str">
        <f>("1401020108")</f>
        <v>1401020108</v>
      </c>
      <c r="B579" s="39" t="s">
        <v>8935</v>
      </c>
      <c r="C579" s="39"/>
      <c r="D579" s="39" t="s">
        <v>6034</v>
      </c>
      <c r="E579" s="371" t="str">
        <f t="shared" ref="E579:E642" si="47">PHONETIC(P579)</f>
        <v>そのだ　かいら</v>
      </c>
      <c r="F579" s="39" t="s">
        <v>2395</v>
      </c>
      <c r="G579" s="39" t="s">
        <v>7828</v>
      </c>
      <c r="H579" s="39" t="str">
        <f>("2014/01/02")</f>
        <v>2014/01/02</v>
      </c>
      <c r="I579" s="39">
        <v>6</v>
      </c>
      <c r="J579" s="39" t="s">
        <v>1478</v>
      </c>
      <c r="K579" s="39" t="s">
        <v>2122</v>
      </c>
      <c r="L579" s="39" t="s">
        <v>7830</v>
      </c>
      <c r="M579" s="39" t="s">
        <v>7831</v>
      </c>
      <c r="N579" s="39" t="str">
        <f>("0366735")</f>
        <v>0366735</v>
      </c>
      <c r="P579" s="39" t="s">
        <v>12067</v>
      </c>
      <c r="Q579" s="39" t="s">
        <v>8568</v>
      </c>
      <c r="R579" s="39" t="s">
        <v>8569</v>
      </c>
      <c r="S579" s="39" t="s">
        <v>8570</v>
      </c>
      <c r="AK579" s="39" t="str">
        <f>("2025/03/17")</f>
        <v>2025/03/17</v>
      </c>
      <c r="AL579" s="39" t="str">
        <f t="shared" si="46"/>
        <v>2025/04/01</v>
      </c>
    </row>
    <row r="580" spans="1:39" x14ac:dyDescent="0.25">
      <c r="A580" s="39" t="str">
        <f>("1401040074")</f>
        <v>1401040074</v>
      </c>
      <c r="C580" s="39"/>
      <c r="D580" s="39" t="s">
        <v>4146</v>
      </c>
      <c r="E580" s="371" t="str">
        <f t="shared" si="47"/>
        <v>みうら　こうが</v>
      </c>
      <c r="F580" s="39" t="s">
        <v>2602</v>
      </c>
      <c r="G580" s="39" t="s">
        <v>7828</v>
      </c>
      <c r="H580" s="39" t="str">
        <f>("2014/01/04")</f>
        <v>2014/01/04</v>
      </c>
      <c r="I580" s="39">
        <v>6</v>
      </c>
      <c r="J580" s="39" t="s">
        <v>1478</v>
      </c>
      <c r="K580" s="39" t="s">
        <v>2122</v>
      </c>
      <c r="L580" s="39" t="s">
        <v>7830</v>
      </c>
      <c r="M580" s="39" t="s">
        <v>7831</v>
      </c>
      <c r="N580" s="39" t="str">
        <f>("0430119")</f>
        <v>0430119</v>
      </c>
      <c r="P580" s="39" t="s">
        <v>12068</v>
      </c>
      <c r="Q580" s="39" t="s">
        <v>8568</v>
      </c>
      <c r="R580" s="39" t="s">
        <v>8569</v>
      </c>
      <c r="S580" s="39" t="s">
        <v>8570</v>
      </c>
      <c r="AK580" s="39" t="str">
        <f>("2025/03/17")</f>
        <v>2025/03/17</v>
      </c>
      <c r="AL580" s="39" t="str">
        <f t="shared" si="46"/>
        <v>2025/04/01</v>
      </c>
    </row>
    <row r="581" spans="1:39" x14ac:dyDescent="0.25">
      <c r="A581" s="39" t="str">
        <f>("1401050063")</f>
        <v>1401050063</v>
      </c>
      <c r="C581" s="39"/>
      <c r="D581" s="39" t="s">
        <v>5660</v>
      </c>
      <c r="E581" s="371" t="str">
        <f t="shared" si="47"/>
        <v>あきよし　ゆうしん</v>
      </c>
      <c r="F581" s="39" t="s">
        <v>2477</v>
      </c>
      <c r="G581" s="39" t="s">
        <v>7828</v>
      </c>
      <c r="H581" s="39" t="str">
        <f>("2014/01/05")</f>
        <v>2014/01/05</v>
      </c>
      <c r="I581" s="39">
        <v>6</v>
      </c>
      <c r="J581" s="39" t="s">
        <v>1478</v>
      </c>
      <c r="K581" s="39" t="s">
        <v>2122</v>
      </c>
      <c r="L581" s="39" t="s">
        <v>7830</v>
      </c>
      <c r="M581" s="39" t="s">
        <v>7831</v>
      </c>
      <c r="N581" s="39" t="str">
        <f>("0129541")</f>
        <v>0129541</v>
      </c>
      <c r="P581" s="39" t="s">
        <v>12069</v>
      </c>
      <c r="Q581" s="39" t="s">
        <v>8568</v>
      </c>
      <c r="R581" s="39" t="s">
        <v>8569</v>
      </c>
      <c r="S581" s="39" t="s">
        <v>8570</v>
      </c>
      <c r="AK581" s="39" t="str">
        <f>("2025/03/27")</f>
        <v>2025/03/27</v>
      </c>
      <c r="AL581" s="39" t="str">
        <f t="shared" si="46"/>
        <v>2025/04/01</v>
      </c>
    </row>
    <row r="582" spans="1:39" x14ac:dyDescent="0.25">
      <c r="A582" s="39" t="str">
        <f>("1401060031")</f>
        <v>1401060031</v>
      </c>
      <c r="B582" s="39" t="s">
        <v>8936</v>
      </c>
      <c r="C582" s="39"/>
      <c r="D582" s="39" t="s">
        <v>5851</v>
      </c>
      <c r="E582" s="371" t="str">
        <f t="shared" si="47"/>
        <v>ひの　あおと</v>
      </c>
      <c r="F582" s="39" t="s">
        <v>2033</v>
      </c>
      <c r="G582" s="39" t="s">
        <v>7828</v>
      </c>
      <c r="H582" s="39" t="str">
        <f>("2014/01/06")</f>
        <v>2014/01/06</v>
      </c>
      <c r="I582" s="39">
        <v>6</v>
      </c>
      <c r="J582" s="39" t="s">
        <v>1478</v>
      </c>
      <c r="K582" s="39" t="s">
        <v>2122</v>
      </c>
      <c r="L582" s="39" t="s">
        <v>7830</v>
      </c>
      <c r="M582" s="39" t="s">
        <v>7831</v>
      </c>
      <c r="N582" s="39" t="str">
        <f>("0130442")</f>
        <v>0130442</v>
      </c>
      <c r="P582" s="39" t="s">
        <v>12070</v>
      </c>
      <c r="Q582" s="39" t="s">
        <v>8568</v>
      </c>
      <c r="R582" s="39" t="s">
        <v>8569</v>
      </c>
      <c r="S582" s="39" t="s">
        <v>8570</v>
      </c>
      <c r="AK582" s="39" t="str">
        <f>("2025/04/04")</f>
        <v>2025/04/04</v>
      </c>
      <c r="AL582" s="39" t="str">
        <f t="shared" si="46"/>
        <v>2025/04/01</v>
      </c>
    </row>
    <row r="583" spans="1:39" x14ac:dyDescent="0.25">
      <c r="A583" s="39" t="str">
        <f>("1401060181")</f>
        <v>1401060181</v>
      </c>
      <c r="C583" s="39"/>
      <c r="D583" s="39" t="s">
        <v>5756</v>
      </c>
      <c r="E583" s="371" t="str">
        <f t="shared" si="47"/>
        <v>あいづ　かなみ</v>
      </c>
      <c r="F583" s="39" t="s">
        <v>2023</v>
      </c>
      <c r="G583" s="39" t="s">
        <v>7828</v>
      </c>
      <c r="H583" s="39" t="str">
        <f>("2014/01/06")</f>
        <v>2014/01/06</v>
      </c>
      <c r="I583" s="39">
        <v>6</v>
      </c>
      <c r="J583" s="39" t="s">
        <v>1480</v>
      </c>
      <c r="K583" s="39" t="s">
        <v>2122</v>
      </c>
      <c r="L583" s="39" t="s">
        <v>7830</v>
      </c>
      <c r="M583" s="39" t="s">
        <v>7831</v>
      </c>
      <c r="N583" s="39" t="str">
        <f>("0129967")</f>
        <v>0129967</v>
      </c>
      <c r="P583" s="39" t="s">
        <v>12071</v>
      </c>
      <c r="Q583" s="39" t="s">
        <v>8568</v>
      </c>
      <c r="R583" s="39" t="s">
        <v>8569</v>
      </c>
      <c r="S583" s="39" t="s">
        <v>8570</v>
      </c>
      <c r="AK583" s="39" t="str">
        <f>("2025/03/17")</f>
        <v>2025/03/17</v>
      </c>
      <c r="AL583" s="39" t="str">
        <f t="shared" si="46"/>
        <v>2025/04/01</v>
      </c>
    </row>
    <row r="584" spans="1:39" x14ac:dyDescent="0.25">
      <c r="A584" s="39" t="str">
        <f>("1401070064")</f>
        <v>1401070064</v>
      </c>
      <c r="B584" s="39" t="s">
        <v>8937</v>
      </c>
      <c r="C584" s="39"/>
      <c r="D584" s="39" t="s">
        <v>4498</v>
      </c>
      <c r="E584" s="371" t="str">
        <f t="shared" si="47"/>
        <v>いちまんだ　れん</v>
      </c>
      <c r="F584" s="39" t="s">
        <v>2024</v>
      </c>
      <c r="G584" s="39" t="s">
        <v>7876</v>
      </c>
      <c r="H584" s="39" t="str">
        <f>("2014/01/07")</f>
        <v>2014/01/07</v>
      </c>
      <c r="I584" s="39">
        <v>6</v>
      </c>
      <c r="J584" s="39" t="s">
        <v>1478</v>
      </c>
      <c r="K584" s="39" t="s">
        <v>2122</v>
      </c>
      <c r="L584" s="39" t="s">
        <v>7830</v>
      </c>
      <c r="M584" s="39" t="s">
        <v>7831</v>
      </c>
      <c r="N584" s="39" t="str">
        <f>("0130475")</f>
        <v>0130475</v>
      </c>
      <c r="P584" s="39" t="s">
        <v>12072</v>
      </c>
      <c r="Q584" s="39" t="s">
        <v>8568</v>
      </c>
      <c r="R584" s="39" t="s">
        <v>8569</v>
      </c>
      <c r="S584" s="39" t="s">
        <v>8570</v>
      </c>
      <c r="AK584" s="39" t="str">
        <f>("2025/04/04")</f>
        <v>2025/04/04</v>
      </c>
      <c r="AL584" s="39" t="str">
        <f t="shared" si="46"/>
        <v>2025/04/01</v>
      </c>
      <c r="AM584" s="39" t="str">
        <f>("2025/12/23")</f>
        <v>2025/12/23</v>
      </c>
    </row>
    <row r="585" spans="1:39" x14ac:dyDescent="0.25">
      <c r="A585" s="39" t="str">
        <f>("1401080073")</f>
        <v>1401080073</v>
      </c>
      <c r="C585" s="39"/>
      <c r="D585" s="39" t="s">
        <v>6218</v>
      </c>
      <c r="E585" s="371" t="str">
        <f t="shared" si="47"/>
        <v>ながの　おうら</v>
      </c>
      <c r="F585" s="39" t="s">
        <v>7864</v>
      </c>
      <c r="G585" s="39" t="s">
        <v>7828</v>
      </c>
      <c r="H585" s="39" t="str">
        <f>("2014/01/08")</f>
        <v>2014/01/08</v>
      </c>
      <c r="I585" s="39">
        <v>6</v>
      </c>
      <c r="J585" s="39" t="s">
        <v>1478</v>
      </c>
      <c r="K585" s="39" t="s">
        <v>2122</v>
      </c>
      <c r="L585" s="39" t="s">
        <v>7830</v>
      </c>
      <c r="M585" s="39" t="s">
        <v>7831</v>
      </c>
      <c r="N585" s="39" t="str">
        <f>("1039801")</f>
        <v>1039801</v>
      </c>
      <c r="P585" s="39" t="s">
        <v>12073</v>
      </c>
      <c r="Q585" s="39" t="s">
        <v>8568</v>
      </c>
      <c r="R585" s="39" t="s">
        <v>8569</v>
      </c>
      <c r="S585" s="39" t="s">
        <v>8570</v>
      </c>
      <c r="AA585" s="39" t="s">
        <v>2122</v>
      </c>
      <c r="AB585" s="39" t="s">
        <v>7830</v>
      </c>
      <c r="AC585" s="39" t="s">
        <v>7831</v>
      </c>
      <c r="AD585" s="39" t="str">
        <f>("0475567")</f>
        <v>0475567</v>
      </c>
      <c r="AE585" s="39" t="s">
        <v>8135</v>
      </c>
      <c r="AK585" s="39" t="str">
        <f>("2025/03/24")</f>
        <v>2025/03/24</v>
      </c>
      <c r="AL585" s="39" t="str">
        <f t="shared" si="46"/>
        <v>2025/04/01</v>
      </c>
    </row>
    <row r="586" spans="1:39" x14ac:dyDescent="0.25">
      <c r="A586" s="39" t="str">
        <f>("1401090058")</f>
        <v>1401090058</v>
      </c>
      <c r="B586" s="39" t="s">
        <v>8938</v>
      </c>
      <c r="C586" s="39"/>
      <c r="D586" s="39" t="s">
        <v>4453</v>
      </c>
      <c r="E586" s="371" t="str">
        <f t="shared" si="47"/>
        <v>かわたに　じん</v>
      </c>
      <c r="F586" s="39" t="s">
        <v>1912</v>
      </c>
      <c r="G586" s="39" t="s">
        <v>7828</v>
      </c>
      <c r="H586" s="39" t="str">
        <f>("2014/01/09")</f>
        <v>2014/01/09</v>
      </c>
      <c r="I586" s="39">
        <v>6</v>
      </c>
      <c r="J586" s="39" t="s">
        <v>1478</v>
      </c>
      <c r="K586" s="39" t="s">
        <v>2122</v>
      </c>
      <c r="L586" s="39" t="s">
        <v>7830</v>
      </c>
      <c r="M586" s="39" t="s">
        <v>7831</v>
      </c>
      <c r="N586" s="39" t="str">
        <f>("0130363")</f>
        <v>0130363</v>
      </c>
      <c r="P586" s="39" t="s">
        <v>12074</v>
      </c>
      <c r="Q586" s="39" t="s">
        <v>8568</v>
      </c>
      <c r="R586" s="39" t="s">
        <v>8569</v>
      </c>
      <c r="S586" s="39" t="s">
        <v>8570</v>
      </c>
      <c r="AK586" s="39" t="str">
        <f>("2025/03/17")</f>
        <v>2025/03/17</v>
      </c>
      <c r="AL586" s="39" t="str">
        <f t="shared" si="46"/>
        <v>2025/04/01</v>
      </c>
    </row>
    <row r="587" spans="1:39" x14ac:dyDescent="0.25">
      <c r="A587" s="39" t="str">
        <f>("1401090134")</f>
        <v>1401090134</v>
      </c>
      <c r="C587" s="39"/>
      <c r="D587" s="39" t="s">
        <v>6158</v>
      </c>
      <c r="E587" s="371" t="str">
        <f t="shared" si="47"/>
        <v>おぐも　あきら</v>
      </c>
      <c r="F587" s="39" t="s">
        <v>1446</v>
      </c>
      <c r="G587" s="39" t="s">
        <v>7828</v>
      </c>
      <c r="H587" s="39" t="str">
        <f>("2014/01/09")</f>
        <v>2014/01/09</v>
      </c>
      <c r="I587" s="39">
        <v>6</v>
      </c>
      <c r="J587" s="39" t="s">
        <v>1478</v>
      </c>
      <c r="K587" s="39" t="s">
        <v>2122</v>
      </c>
      <c r="L587" s="39" t="s">
        <v>7830</v>
      </c>
      <c r="M587" s="39" t="s">
        <v>7831</v>
      </c>
      <c r="N587" s="39" t="str">
        <f>("0478807")</f>
        <v>0478807</v>
      </c>
      <c r="P587" s="39" t="s">
        <v>12075</v>
      </c>
      <c r="Q587" s="39" t="s">
        <v>8568</v>
      </c>
      <c r="R587" s="39" t="s">
        <v>8569</v>
      </c>
      <c r="S587" s="39" t="s">
        <v>8570</v>
      </c>
      <c r="AK587" s="39" t="str">
        <f>("2025/03/21")</f>
        <v>2025/03/21</v>
      </c>
      <c r="AL587" s="39" t="str">
        <f t="shared" si="46"/>
        <v>2025/04/01</v>
      </c>
    </row>
    <row r="588" spans="1:39" x14ac:dyDescent="0.25">
      <c r="A588" s="39" t="str">
        <f>("1401100007")</f>
        <v>1401100007</v>
      </c>
      <c r="C588" s="39"/>
      <c r="D588" s="39" t="s">
        <v>8939</v>
      </c>
      <c r="E588" s="371" t="str">
        <f t="shared" si="47"/>
        <v>えとう　ゆうせい</v>
      </c>
      <c r="F588" s="39" t="s">
        <v>2619</v>
      </c>
      <c r="G588" s="39" t="s">
        <v>7828</v>
      </c>
      <c r="H588" s="39" t="str">
        <f>("2014/01/10")</f>
        <v>2014/01/10</v>
      </c>
      <c r="I588" s="39">
        <v>6</v>
      </c>
      <c r="J588" s="39" t="s">
        <v>1478</v>
      </c>
      <c r="K588" s="39" t="s">
        <v>2122</v>
      </c>
      <c r="L588" s="39" t="s">
        <v>7830</v>
      </c>
      <c r="M588" s="39" t="s">
        <v>7831</v>
      </c>
      <c r="N588" s="39" t="str">
        <f>("0472823")</f>
        <v>0472823</v>
      </c>
      <c r="P588" s="39" t="s">
        <v>12076</v>
      </c>
      <c r="Q588" s="39" t="s">
        <v>8568</v>
      </c>
      <c r="R588" s="39" t="s">
        <v>8569</v>
      </c>
      <c r="S588" s="39" t="s">
        <v>8570</v>
      </c>
      <c r="AA588" s="39" t="s">
        <v>2122</v>
      </c>
      <c r="AB588" s="39" t="s">
        <v>7830</v>
      </c>
      <c r="AC588" s="39" t="s">
        <v>7831</v>
      </c>
      <c r="AD588" s="39" t="str">
        <f>("1039801")</f>
        <v>1039801</v>
      </c>
      <c r="AE588" s="39" t="s">
        <v>7864</v>
      </c>
      <c r="AF588" s="39" t="s">
        <v>2122</v>
      </c>
      <c r="AG588" s="39" t="s">
        <v>7830</v>
      </c>
      <c r="AH588" s="39" t="s">
        <v>7831</v>
      </c>
      <c r="AI588" s="39" t="str">
        <f>("0506269")</f>
        <v>0506269</v>
      </c>
      <c r="AJ588" s="39" t="s">
        <v>2630</v>
      </c>
      <c r="AK588" s="39" t="str">
        <f>("2025/03/17")</f>
        <v>2025/03/17</v>
      </c>
      <c r="AL588" s="39" t="str">
        <f t="shared" si="46"/>
        <v>2025/04/01</v>
      </c>
    </row>
    <row r="589" spans="1:39" x14ac:dyDescent="0.25">
      <c r="A589" s="39" t="str">
        <f>("1401110050")</f>
        <v>1401110050</v>
      </c>
      <c r="B589" s="39" t="s">
        <v>8940</v>
      </c>
      <c r="C589" s="39"/>
      <c r="D589" s="39" t="s">
        <v>4249</v>
      </c>
      <c r="E589" s="371" t="str">
        <f t="shared" si="47"/>
        <v>ごうばら　しゅうま</v>
      </c>
      <c r="F589" s="39" t="s">
        <v>5615</v>
      </c>
      <c r="G589" s="39" t="s">
        <v>7828</v>
      </c>
      <c r="H589" s="39" t="str">
        <f>("2014/01/11")</f>
        <v>2014/01/11</v>
      </c>
      <c r="I589" s="39">
        <v>6</v>
      </c>
      <c r="J589" s="39" t="s">
        <v>1478</v>
      </c>
      <c r="K589" s="39" t="s">
        <v>2122</v>
      </c>
      <c r="L589" s="39" t="s">
        <v>7830</v>
      </c>
      <c r="M589" s="39" t="s">
        <v>7831</v>
      </c>
      <c r="N589" s="39" t="str">
        <f>("0129642")</f>
        <v>0129642</v>
      </c>
      <c r="P589" s="39" t="s">
        <v>12077</v>
      </c>
      <c r="Q589" s="39" t="s">
        <v>8568</v>
      </c>
      <c r="R589" s="39" t="s">
        <v>8569</v>
      </c>
      <c r="S589" s="39" t="s">
        <v>8570</v>
      </c>
      <c r="AK589" s="39" t="str">
        <f>("2025/03/24")</f>
        <v>2025/03/24</v>
      </c>
      <c r="AL589" s="39" t="str">
        <f t="shared" si="46"/>
        <v>2025/04/01</v>
      </c>
    </row>
    <row r="590" spans="1:39" x14ac:dyDescent="0.25">
      <c r="A590" s="39" t="str">
        <f>("1401120016")</f>
        <v>1401120016</v>
      </c>
      <c r="B590" s="39" t="s">
        <v>8941</v>
      </c>
      <c r="C590" s="39"/>
      <c r="D590" s="39" t="s">
        <v>4082</v>
      </c>
      <c r="E590" s="371" t="str">
        <f t="shared" si="47"/>
        <v>おおの　たくと</v>
      </c>
      <c r="F590" s="39" t="s">
        <v>2821</v>
      </c>
      <c r="G590" s="39" t="s">
        <v>7828</v>
      </c>
      <c r="H590" s="39" t="str">
        <f>("2014/01/12")</f>
        <v>2014/01/12</v>
      </c>
      <c r="I590" s="39">
        <v>6</v>
      </c>
      <c r="J590" s="39" t="s">
        <v>1478</v>
      </c>
      <c r="K590" s="39" t="s">
        <v>2122</v>
      </c>
      <c r="L590" s="39" t="s">
        <v>7830</v>
      </c>
      <c r="M590" s="39" t="s">
        <v>7831</v>
      </c>
      <c r="N590" s="39" t="str">
        <f>("0237631")</f>
        <v>0237631</v>
      </c>
      <c r="P590" s="39" t="s">
        <v>12078</v>
      </c>
      <c r="Q590" s="39" t="s">
        <v>8568</v>
      </c>
      <c r="R590" s="39" t="s">
        <v>8569</v>
      </c>
      <c r="S590" s="39" t="s">
        <v>8570</v>
      </c>
      <c r="AK590" s="39" t="str">
        <f>("2025/03/17")</f>
        <v>2025/03/17</v>
      </c>
      <c r="AL590" s="39" t="str">
        <f t="shared" si="46"/>
        <v>2025/04/01</v>
      </c>
    </row>
    <row r="591" spans="1:39" x14ac:dyDescent="0.25">
      <c r="A591" s="39" t="str">
        <f>("1401130057")</f>
        <v>1401130057</v>
      </c>
      <c r="C591" s="39"/>
      <c r="D591" s="39" t="s">
        <v>4346</v>
      </c>
      <c r="E591" s="371" t="str">
        <f t="shared" si="47"/>
        <v>ほりうち　こうし</v>
      </c>
      <c r="F591" s="39" t="s">
        <v>2505</v>
      </c>
      <c r="G591" s="39" t="s">
        <v>7828</v>
      </c>
      <c r="H591" s="39" t="str">
        <f>("2014/01/13")</f>
        <v>2014/01/13</v>
      </c>
      <c r="I591" s="39">
        <v>6</v>
      </c>
      <c r="J591" s="39" t="s">
        <v>1478</v>
      </c>
      <c r="K591" s="39" t="s">
        <v>2122</v>
      </c>
      <c r="L591" s="39" t="s">
        <v>7830</v>
      </c>
      <c r="M591" s="39" t="s">
        <v>7831</v>
      </c>
      <c r="N591" s="39" t="str">
        <f>("0129923")</f>
        <v>0129923</v>
      </c>
      <c r="P591" s="39" t="s">
        <v>12079</v>
      </c>
      <c r="Q591" s="39" t="s">
        <v>8568</v>
      </c>
      <c r="R591" s="39" t="s">
        <v>8569</v>
      </c>
      <c r="S591" s="39" t="s">
        <v>8570</v>
      </c>
      <c r="AK591" s="39" t="str">
        <f>("2025/03/17")</f>
        <v>2025/03/17</v>
      </c>
      <c r="AL591" s="39" t="str">
        <f t="shared" si="46"/>
        <v>2025/04/01</v>
      </c>
    </row>
    <row r="592" spans="1:39" x14ac:dyDescent="0.25">
      <c r="A592" s="39" t="str">
        <f>("1401130090")</f>
        <v>1401130090</v>
      </c>
      <c r="B592" s="39" t="s">
        <v>8942</v>
      </c>
      <c r="C592" s="39"/>
      <c r="D592" s="39" t="s">
        <v>4302</v>
      </c>
      <c r="E592" s="371" t="str">
        <f t="shared" si="47"/>
        <v>ごとう　いろは</v>
      </c>
      <c r="F592" s="39" t="s">
        <v>2491</v>
      </c>
      <c r="G592" s="39" t="s">
        <v>7828</v>
      </c>
      <c r="H592" s="39" t="str">
        <f>("2014/01/13")</f>
        <v>2014/01/13</v>
      </c>
      <c r="I592" s="39">
        <v>6</v>
      </c>
      <c r="J592" s="39" t="s">
        <v>1478</v>
      </c>
      <c r="K592" s="39" t="s">
        <v>2122</v>
      </c>
      <c r="L592" s="39" t="s">
        <v>7830</v>
      </c>
      <c r="M592" s="39" t="s">
        <v>7831</v>
      </c>
      <c r="N592" s="39" t="str">
        <f>("0129822")</f>
        <v>0129822</v>
      </c>
      <c r="P592" s="39" t="s">
        <v>12080</v>
      </c>
      <c r="Q592" s="39" t="s">
        <v>8568</v>
      </c>
      <c r="R592" s="39" t="s">
        <v>8569</v>
      </c>
      <c r="S592" s="39" t="s">
        <v>8570</v>
      </c>
      <c r="AK592" s="39" t="str">
        <f>("2025/03/17")</f>
        <v>2025/03/17</v>
      </c>
      <c r="AL592" s="39" t="str">
        <f t="shared" si="46"/>
        <v>2025/04/01</v>
      </c>
    </row>
    <row r="593" spans="1:38" x14ac:dyDescent="0.25">
      <c r="A593" s="39" t="str">
        <f>("1401140025")</f>
        <v>1401140025</v>
      </c>
      <c r="C593" s="39"/>
      <c r="D593" s="39" t="s">
        <v>4228</v>
      </c>
      <c r="E593" s="371" t="str">
        <f t="shared" si="47"/>
        <v>くろき　じょうすけ</v>
      </c>
      <c r="F593" s="39" t="s">
        <v>2878</v>
      </c>
      <c r="G593" s="39" t="s">
        <v>7828</v>
      </c>
      <c r="H593" s="39" t="str">
        <f>("2014/01/14")</f>
        <v>2014/01/14</v>
      </c>
      <c r="I593" s="39">
        <v>6</v>
      </c>
      <c r="J593" s="39" t="s">
        <v>1478</v>
      </c>
      <c r="K593" s="39" t="s">
        <v>2122</v>
      </c>
      <c r="L593" s="39" t="s">
        <v>7830</v>
      </c>
      <c r="M593" s="39" t="s">
        <v>7831</v>
      </c>
      <c r="N593" s="39" t="str">
        <f>("0129484")</f>
        <v>0129484</v>
      </c>
      <c r="P593" s="39" t="s">
        <v>12081</v>
      </c>
      <c r="Q593" s="39" t="s">
        <v>8568</v>
      </c>
      <c r="R593" s="39" t="s">
        <v>8569</v>
      </c>
      <c r="S593" s="39" t="s">
        <v>8570</v>
      </c>
      <c r="AK593" s="39" t="str">
        <f>("2025/03/17")</f>
        <v>2025/03/17</v>
      </c>
      <c r="AL593" s="39" t="str">
        <f t="shared" si="46"/>
        <v>2025/04/01</v>
      </c>
    </row>
    <row r="594" spans="1:38" x14ac:dyDescent="0.25">
      <c r="A594" s="39" t="str">
        <f>("1401140030")</f>
        <v>1401140030</v>
      </c>
      <c r="B594" s="39" t="s">
        <v>8943</v>
      </c>
      <c r="C594" s="39"/>
      <c r="D594" s="39" t="s">
        <v>4128</v>
      </c>
      <c r="E594" s="371" t="str">
        <f t="shared" si="47"/>
        <v>さとう　みなと</v>
      </c>
      <c r="F594" s="39" t="s">
        <v>2395</v>
      </c>
      <c r="G594" s="39" t="s">
        <v>7828</v>
      </c>
      <c r="H594" s="39" t="str">
        <f>("2014/01/14")</f>
        <v>2014/01/14</v>
      </c>
      <c r="I594" s="39">
        <v>6</v>
      </c>
      <c r="J594" s="39" t="s">
        <v>1478</v>
      </c>
      <c r="K594" s="39" t="s">
        <v>2122</v>
      </c>
      <c r="L594" s="39" t="s">
        <v>7830</v>
      </c>
      <c r="M594" s="39" t="s">
        <v>7831</v>
      </c>
      <c r="N594" s="39" t="str">
        <f>("0366735")</f>
        <v>0366735</v>
      </c>
      <c r="P594" s="39" t="s">
        <v>12082</v>
      </c>
      <c r="Q594" s="39" t="s">
        <v>8568</v>
      </c>
      <c r="R594" s="39" t="s">
        <v>8569</v>
      </c>
      <c r="S594" s="39" t="s">
        <v>8570</v>
      </c>
      <c r="AK594" s="39" t="str">
        <f>("2025/03/17")</f>
        <v>2025/03/17</v>
      </c>
      <c r="AL594" s="39" t="str">
        <f t="shared" si="46"/>
        <v>2025/04/01</v>
      </c>
    </row>
    <row r="595" spans="1:38" x14ac:dyDescent="0.25">
      <c r="A595" s="39" t="str">
        <f>("1401150101")</f>
        <v>1401150101</v>
      </c>
      <c r="B595" s="39" t="s">
        <v>8944</v>
      </c>
      <c r="C595" s="39"/>
      <c r="D595" s="39" t="s">
        <v>8945</v>
      </c>
      <c r="E595" s="371" t="str">
        <f t="shared" si="47"/>
        <v>わたなべ　ゆうと</v>
      </c>
      <c r="F595" s="39" t="s">
        <v>1207</v>
      </c>
      <c r="G595" s="39" t="s">
        <v>7828</v>
      </c>
      <c r="H595" s="39" t="str">
        <f>("2014/01/15")</f>
        <v>2014/01/15</v>
      </c>
      <c r="I595" s="39">
        <v>6</v>
      </c>
      <c r="J595" s="39" t="s">
        <v>1478</v>
      </c>
      <c r="K595" s="39" t="s">
        <v>2122</v>
      </c>
      <c r="L595" s="39" t="s">
        <v>7830</v>
      </c>
      <c r="M595" s="39" t="s">
        <v>7831</v>
      </c>
      <c r="N595" s="39" t="str">
        <f>("0381608")</f>
        <v>0381608</v>
      </c>
      <c r="P595" s="39" t="s">
        <v>12083</v>
      </c>
      <c r="Q595" s="39" t="s">
        <v>8568</v>
      </c>
      <c r="R595" s="39" t="s">
        <v>8569</v>
      </c>
      <c r="S595" s="39" t="s">
        <v>8570</v>
      </c>
      <c r="AA595" s="39" t="s">
        <v>2122</v>
      </c>
      <c r="AB595" s="39" t="s">
        <v>7830</v>
      </c>
      <c r="AC595" s="39" t="s">
        <v>7831</v>
      </c>
      <c r="AD595" s="39" t="str">
        <f>("0487492")</f>
        <v>0487492</v>
      </c>
      <c r="AE595" s="39" t="s">
        <v>1095</v>
      </c>
      <c r="AK595" s="39" t="str">
        <f>("2025/03/21")</f>
        <v>2025/03/21</v>
      </c>
      <c r="AL595" s="39" t="str">
        <f t="shared" si="46"/>
        <v>2025/04/01</v>
      </c>
    </row>
    <row r="596" spans="1:38" x14ac:dyDescent="0.25">
      <c r="A596" s="39" t="str">
        <f>("1401160071")</f>
        <v>1401160071</v>
      </c>
      <c r="C596" s="39"/>
      <c r="D596" s="39" t="s">
        <v>6177</v>
      </c>
      <c r="E596" s="371" t="str">
        <f t="shared" si="47"/>
        <v>やの　とうま</v>
      </c>
      <c r="F596" s="39" t="s">
        <v>827</v>
      </c>
      <c r="G596" s="39" t="s">
        <v>7828</v>
      </c>
      <c r="H596" s="39" t="str">
        <f>("2014/01/16")</f>
        <v>2014/01/16</v>
      </c>
      <c r="I596" s="39">
        <v>6</v>
      </c>
      <c r="J596" s="39" t="s">
        <v>1478</v>
      </c>
      <c r="K596" s="39" t="s">
        <v>2122</v>
      </c>
      <c r="L596" s="39" t="s">
        <v>7830</v>
      </c>
      <c r="M596" s="39" t="s">
        <v>7831</v>
      </c>
      <c r="N596" s="39" t="str">
        <f>("0504908")</f>
        <v>0504908</v>
      </c>
      <c r="P596" s="39" t="s">
        <v>12084</v>
      </c>
      <c r="Q596" s="39" t="s">
        <v>8568</v>
      </c>
      <c r="R596" s="39" t="s">
        <v>8569</v>
      </c>
      <c r="S596" s="39" t="s">
        <v>8570</v>
      </c>
      <c r="AK596" s="39" t="str">
        <f>("2025/03/21")</f>
        <v>2025/03/21</v>
      </c>
      <c r="AL596" s="39" t="str">
        <f t="shared" si="46"/>
        <v>2025/04/01</v>
      </c>
    </row>
    <row r="597" spans="1:38" x14ac:dyDescent="0.25">
      <c r="A597" s="39" t="str">
        <f>("1401160113")</f>
        <v>1401160113</v>
      </c>
      <c r="C597" s="39"/>
      <c r="D597" s="39" t="s">
        <v>5975</v>
      </c>
      <c r="E597" s="371" t="str">
        <f t="shared" si="47"/>
        <v>みなみ　かずき</v>
      </c>
      <c r="F597" s="39" t="s">
        <v>2574</v>
      </c>
      <c r="G597" s="39" t="s">
        <v>7828</v>
      </c>
      <c r="H597" s="39" t="str">
        <f>("2014/01/16")</f>
        <v>2014/01/16</v>
      </c>
      <c r="I597" s="39">
        <v>6</v>
      </c>
      <c r="J597" s="39" t="s">
        <v>1478</v>
      </c>
      <c r="K597" s="39" t="s">
        <v>2122</v>
      </c>
      <c r="L597" s="39" t="s">
        <v>7830</v>
      </c>
      <c r="M597" s="39" t="s">
        <v>7831</v>
      </c>
      <c r="N597" s="39" t="str">
        <f>("0237620")</f>
        <v>0237620</v>
      </c>
      <c r="P597" s="39" t="s">
        <v>12085</v>
      </c>
      <c r="Q597" s="39" t="s">
        <v>8568</v>
      </c>
      <c r="R597" s="39" t="s">
        <v>8569</v>
      </c>
      <c r="S597" s="39" t="s">
        <v>8570</v>
      </c>
      <c r="AK597" s="39" t="str">
        <f>("2025/03/17")</f>
        <v>2025/03/17</v>
      </c>
      <c r="AL597" s="39" t="str">
        <f t="shared" si="46"/>
        <v>2025/04/01</v>
      </c>
    </row>
    <row r="598" spans="1:38" x14ac:dyDescent="0.25">
      <c r="A598" s="39" t="str">
        <f>("1401170035")</f>
        <v>1401170035</v>
      </c>
      <c r="B598" s="39" t="s">
        <v>8946</v>
      </c>
      <c r="C598" s="39"/>
      <c r="D598" s="39" t="s">
        <v>5967</v>
      </c>
      <c r="E598" s="371" t="str">
        <f t="shared" si="47"/>
        <v>たかはし　おうすけ</v>
      </c>
      <c r="F598" s="39" t="s">
        <v>2325</v>
      </c>
      <c r="G598" s="39" t="s">
        <v>7828</v>
      </c>
      <c r="H598" s="39" t="str">
        <f>("2014/01/17")</f>
        <v>2014/01/17</v>
      </c>
      <c r="I598" s="39">
        <v>6</v>
      </c>
      <c r="J598" s="39" t="s">
        <v>1478</v>
      </c>
      <c r="K598" s="39" t="s">
        <v>2122</v>
      </c>
      <c r="L598" s="39" t="s">
        <v>7830</v>
      </c>
      <c r="M598" s="39" t="s">
        <v>7831</v>
      </c>
      <c r="N598" s="39" t="str">
        <f>("0155034")</f>
        <v>0155034</v>
      </c>
      <c r="P598" s="39" t="s">
        <v>11515</v>
      </c>
      <c r="Q598" s="39" t="s">
        <v>8568</v>
      </c>
      <c r="R598" s="39" t="s">
        <v>8569</v>
      </c>
      <c r="S598" s="39" t="s">
        <v>8570</v>
      </c>
      <c r="AK598" s="39" t="str">
        <f>("2025/03/17")</f>
        <v>2025/03/17</v>
      </c>
      <c r="AL598" s="39" t="str">
        <f t="shared" si="46"/>
        <v>2025/04/01</v>
      </c>
    </row>
    <row r="599" spans="1:38" x14ac:dyDescent="0.25">
      <c r="A599" s="39" t="str">
        <f>("1401200187")</f>
        <v>1401200187</v>
      </c>
      <c r="C599" s="39"/>
      <c r="D599" s="39" t="s">
        <v>6087</v>
      </c>
      <c r="E599" s="371" t="str">
        <f t="shared" si="47"/>
        <v>いのぐち　はるき</v>
      </c>
      <c r="F599" s="39" t="s">
        <v>2600</v>
      </c>
      <c r="G599" s="39" t="s">
        <v>7828</v>
      </c>
      <c r="H599" s="39" t="str">
        <f>("2014/01/20")</f>
        <v>2014/01/20</v>
      </c>
      <c r="I599" s="39">
        <v>6</v>
      </c>
      <c r="J599" s="39" t="s">
        <v>1478</v>
      </c>
      <c r="K599" s="39" t="s">
        <v>2122</v>
      </c>
      <c r="L599" s="39" t="s">
        <v>7830</v>
      </c>
      <c r="M599" s="39" t="s">
        <v>7831</v>
      </c>
      <c r="N599" s="39" t="str">
        <f>("0429757")</f>
        <v>0429757</v>
      </c>
      <c r="P599" s="39" t="s">
        <v>12086</v>
      </c>
      <c r="Q599" s="39" t="s">
        <v>8568</v>
      </c>
      <c r="R599" s="39" t="s">
        <v>8569</v>
      </c>
      <c r="S599" s="39" t="s">
        <v>8570</v>
      </c>
      <c r="AK599" s="39" t="str">
        <f>("2025/03/24")</f>
        <v>2025/03/24</v>
      </c>
      <c r="AL599" s="39" t="str">
        <f t="shared" si="46"/>
        <v>2025/04/01</v>
      </c>
    </row>
    <row r="600" spans="1:38" x14ac:dyDescent="0.25">
      <c r="A600" s="39" t="str">
        <f>("1401210008")</f>
        <v>1401210008</v>
      </c>
      <c r="B600" s="39" t="s">
        <v>8947</v>
      </c>
      <c r="C600" s="39"/>
      <c r="D600" s="39" t="s">
        <v>5963</v>
      </c>
      <c r="E600" s="371" t="str">
        <f t="shared" si="47"/>
        <v>ながお　りんと</v>
      </c>
      <c r="F600" s="39" t="s">
        <v>2325</v>
      </c>
      <c r="G600" s="39" t="s">
        <v>7828</v>
      </c>
      <c r="H600" s="39" t="str">
        <f>("2014/01/21")</f>
        <v>2014/01/21</v>
      </c>
      <c r="I600" s="39">
        <v>6</v>
      </c>
      <c r="J600" s="39" t="s">
        <v>1478</v>
      </c>
      <c r="K600" s="39" t="s">
        <v>2122</v>
      </c>
      <c r="L600" s="39" t="s">
        <v>7830</v>
      </c>
      <c r="M600" s="39" t="s">
        <v>7831</v>
      </c>
      <c r="N600" s="39" t="str">
        <f>("0155034")</f>
        <v>0155034</v>
      </c>
      <c r="P600" s="39" t="s">
        <v>12087</v>
      </c>
      <c r="Q600" s="39" t="s">
        <v>8568</v>
      </c>
      <c r="R600" s="39" t="s">
        <v>8569</v>
      </c>
      <c r="S600" s="39" t="s">
        <v>8570</v>
      </c>
      <c r="AK600" s="39" t="str">
        <f>("2025/03/17")</f>
        <v>2025/03/17</v>
      </c>
      <c r="AL600" s="39" t="str">
        <f t="shared" si="46"/>
        <v>2025/04/01</v>
      </c>
    </row>
    <row r="601" spans="1:38" x14ac:dyDescent="0.25">
      <c r="A601" s="39" t="str">
        <f>("1401220121")</f>
        <v>1401220121</v>
      </c>
      <c r="C601" s="39"/>
      <c r="D601" s="39" t="s">
        <v>4550</v>
      </c>
      <c r="E601" s="371" t="str">
        <f t="shared" si="47"/>
        <v>えんどう　まさき</v>
      </c>
      <c r="F601" s="39" t="s">
        <v>2243</v>
      </c>
      <c r="G601" s="39" t="s">
        <v>7828</v>
      </c>
      <c r="H601" s="39" t="str">
        <f>("2014/01/22")</f>
        <v>2014/01/22</v>
      </c>
      <c r="I601" s="39">
        <v>6</v>
      </c>
      <c r="J601" s="39" t="s">
        <v>1478</v>
      </c>
      <c r="K601" s="39" t="s">
        <v>2122</v>
      </c>
      <c r="L601" s="39" t="s">
        <v>7830</v>
      </c>
      <c r="M601" s="39" t="s">
        <v>7831</v>
      </c>
      <c r="N601" s="39" t="str">
        <f>("0130565")</f>
        <v>0130565</v>
      </c>
      <c r="P601" s="39" t="s">
        <v>12088</v>
      </c>
      <c r="Q601" s="39" t="s">
        <v>8568</v>
      </c>
      <c r="R601" s="39" t="s">
        <v>8569</v>
      </c>
      <c r="S601" s="39" t="s">
        <v>8570</v>
      </c>
      <c r="AK601" s="39" t="str">
        <f>("2025/03/17")</f>
        <v>2025/03/17</v>
      </c>
      <c r="AL601" s="39" t="str">
        <f t="shared" si="46"/>
        <v>2025/04/01</v>
      </c>
    </row>
    <row r="602" spans="1:38" x14ac:dyDescent="0.25">
      <c r="A602" s="39" t="str">
        <f>("1401220172")</f>
        <v>1401220172</v>
      </c>
      <c r="B602" s="39" t="s">
        <v>8948</v>
      </c>
      <c r="C602" s="39"/>
      <c r="D602" s="39" t="s">
        <v>8949</v>
      </c>
      <c r="E602" s="371" t="str">
        <f t="shared" si="47"/>
        <v>えとう　こうすけ</v>
      </c>
      <c r="F602" s="39" t="s">
        <v>2587</v>
      </c>
      <c r="G602" s="39" t="s">
        <v>7828</v>
      </c>
      <c r="H602" s="39" t="str">
        <f>("2014/01/22")</f>
        <v>2014/01/22</v>
      </c>
      <c r="I602" s="39">
        <v>6</v>
      </c>
      <c r="J602" s="39" t="s">
        <v>1478</v>
      </c>
      <c r="K602" s="39" t="s">
        <v>2122</v>
      </c>
      <c r="L602" s="39" t="s">
        <v>7830</v>
      </c>
      <c r="M602" s="39" t="s">
        <v>7831</v>
      </c>
      <c r="N602" s="39" t="str">
        <f>("0387334")</f>
        <v>0387334</v>
      </c>
      <c r="P602" s="39" t="s">
        <v>12089</v>
      </c>
      <c r="Q602" s="39" t="s">
        <v>8568</v>
      </c>
      <c r="R602" s="39" t="s">
        <v>8569</v>
      </c>
      <c r="S602" s="39" t="s">
        <v>8570</v>
      </c>
      <c r="AK602" s="39" t="str">
        <f>("2025/03/27")</f>
        <v>2025/03/27</v>
      </c>
      <c r="AL602" s="39" t="str">
        <f t="shared" si="46"/>
        <v>2025/04/01</v>
      </c>
    </row>
    <row r="603" spans="1:38" x14ac:dyDescent="0.25">
      <c r="A603" s="39" t="str">
        <f>("1401250044")</f>
        <v>1401250044</v>
      </c>
      <c r="C603" s="39"/>
      <c r="D603" s="39" t="s">
        <v>5658</v>
      </c>
      <c r="E603" s="371" t="str">
        <f t="shared" si="47"/>
        <v>うめき　あんじゅ</v>
      </c>
      <c r="F603" s="39" t="s">
        <v>2477</v>
      </c>
      <c r="G603" s="39" t="s">
        <v>7828</v>
      </c>
      <c r="H603" s="39" t="str">
        <f>("2014/01/25")</f>
        <v>2014/01/25</v>
      </c>
      <c r="I603" s="39">
        <v>6</v>
      </c>
      <c r="J603" s="39" t="s">
        <v>1480</v>
      </c>
      <c r="K603" s="39" t="s">
        <v>2122</v>
      </c>
      <c r="L603" s="39" t="s">
        <v>7830</v>
      </c>
      <c r="M603" s="39" t="s">
        <v>7831</v>
      </c>
      <c r="N603" s="39" t="str">
        <f>("0129541")</f>
        <v>0129541</v>
      </c>
      <c r="P603" s="39" t="s">
        <v>12090</v>
      </c>
      <c r="Q603" s="39" t="s">
        <v>8568</v>
      </c>
      <c r="R603" s="39" t="s">
        <v>8569</v>
      </c>
      <c r="S603" s="39" t="s">
        <v>8570</v>
      </c>
      <c r="AK603" s="39" t="str">
        <f>("2025/03/27")</f>
        <v>2025/03/27</v>
      </c>
      <c r="AL603" s="39" t="str">
        <f t="shared" si="46"/>
        <v>2025/04/01</v>
      </c>
    </row>
    <row r="604" spans="1:38" x14ac:dyDescent="0.25">
      <c r="A604" s="39" t="str">
        <f>("1401250064")</f>
        <v>1401250064</v>
      </c>
      <c r="B604" s="39" t="s">
        <v>8950</v>
      </c>
      <c r="C604" s="39"/>
      <c r="D604" s="39" t="s">
        <v>4278</v>
      </c>
      <c r="E604" s="371" t="str">
        <f t="shared" si="47"/>
        <v>たかはし　ゆうたろう</v>
      </c>
      <c r="F604" s="39" t="s">
        <v>2485</v>
      </c>
      <c r="G604" s="39" t="s">
        <v>7828</v>
      </c>
      <c r="H604" s="39" t="str">
        <f>("2014/01/25")</f>
        <v>2014/01/25</v>
      </c>
      <c r="I604" s="39">
        <v>6</v>
      </c>
      <c r="J604" s="39" t="s">
        <v>1478</v>
      </c>
      <c r="K604" s="39" t="s">
        <v>2122</v>
      </c>
      <c r="L604" s="39" t="s">
        <v>7830</v>
      </c>
      <c r="M604" s="39" t="s">
        <v>7831</v>
      </c>
      <c r="N604" s="39" t="str">
        <f>("0129754")</f>
        <v>0129754</v>
      </c>
      <c r="P604" s="39" t="s">
        <v>12091</v>
      </c>
      <c r="Q604" s="39" t="s">
        <v>8568</v>
      </c>
      <c r="R604" s="39" t="s">
        <v>8569</v>
      </c>
      <c r="S604" s="39" t="s">
        <v>8570</v>
      </c>
      <c r="AK604" s="39" t="str">
        <f>("2025/03/24")</f>
        <v>2025/03/24</v>
      </c>
      <c r="AL604" s="39" t="str">
        <f t="shared" si="46"/>
        <v>2025/04/01</v>
      </c>
    </row>
    <row r="605" spans="1:38" x14ac:dyDescent="0.25">
      <c r="A605" s="39" t="str">
        <f>("1401250104")</f>
        <v>1401250104</v>
      </c>
      <c r="C605" s="39"/>
      <c r="D605" s="39" t="s">
        <v>8951</v>
      </c>
      <c r="E605" s="371" t="str">
        <f t="shared" si="47"/>
        <v>あかぼし　りゅうき</v>
      </c>
      <c r="F605" s="39" t="s">
        <v>2324</v>
      </c>
      <c r="G605" s="39" t="s">
        <v>7828</v>
      </c>
      <c r="H605" s="39" t="str">
        <f>("2014/01/25")</f>
        <v>2014/01/25</v>
      </c>
      <c r="I605" s="39">
        <v>6</v>
      </c>
      <c r="J605" s="39" t="s">
        <v>1478</v>
      </c>
      <c r="K605" s="39" t="s">
        <v>2122</v>
      </c>
      <c r="L605" s="39" t="s">
        <v>7830</v>
      </c>
      <c r="M605" s="39" t="s">
        <v>7831</v>
      </c>
      <c r="N605" s="39" t="str">
        <f>("0130486")</f>
        <v>0130486</v>
      </c>
      <c r="P605" s="39" t="s">
        <v>12092</v>
      </c>
      <c r="Q605" s="39" t="s">
        <v>8568</v>
      </c>
      <c r="R605" s="39" t="s">
        <v>8569</v>
      </c>
      <c r="S605" s="39" t="s">
        <v>8570</v>
      </c>
      <c r="AA605" s="39" t="s">
        <v>2122</v>
      </c>
      <c r="AB605" s="39" t="s">
        <v>7830</v>
      </c>
      <c r="AC605" s="39" t="s">
        <v>7831</v>
      </c>
      <c r="AD605" s="39" t="str">
        <f>("0452911")</f>
        <v>0452911</v>
      </c>
      <c r="AE605" s="39" t="s">
        <v>8032</v>
      </c>
      <c r="AK605" s="39" t="str">
        <f>("2025/04/18")</f>
        <v>2025/04/18</v>
      </c>
      <c r="AL605" s="39" t="str">
        <f>("2025/04/18")</f>
        <v>2025/04/18</v>
      </c>
    </row>
    <row r="606" spans="1:38" x14ac:dyDescent="0.25">
      <c r="A606" s="39" t="str">
        <f>("1401250113")</f>
        <v>1401250113</v>
      </c>
      <c r="B606" s="39" t="s">
        <v>8952</v>
      </c>
      <c r="C606" s="39"/>
      <c r="D606" s="39" t="s">
        <v>8953</v>
      </c>
      <c r="E606" s="371" t="str">
        <f t="shared" si="47"/>
        <v>ごとう　たくと</v>
      </c>
      <c r="F606" s="39" t="s">
        <v>2587</v>
      </c>
      <c r="G606" s="39" t="s">
        <v>7828</v>
      </c>
      <c r="H606" s="39" t="str">
        <f>("2014/01/25")</f>
        <v>2014/01/25</v>
      </c>
      <c r="I606" s="39">
        <v>6</v>
      </c>
      <c r="J606" s="39" t="s">
        <v>1478</v>
      </c>
      <c r="K606" s="39" t="s">
        <v>2122</v>
      </c>
      <c r="L606" s="39" t="s">
        <v>7830</v>
      </c>
      <c r="M606" s="39" t="s">
        <v>7831</v>
      </c>
      <c r="N606" s="39" t="str">
        <f>("0387334")</f>
        <v>0387334</v>
      </c>
      <c r="P606" s="39" t="s">
        <v>12093</v>
      </c>
      <c r="Q606" s="39" t="s">
        <v>8568</v>
      </c>
      <c r="R606" s="39" t="s">
        <v>8569</v>
      </c>
      <c r="S606" s="39" t="s">
        <v>8570</v>
      </c>
      <c r="AK606" s="39" t="str">
        <f>("2025/03/27")</f>
        <v>2025/03/27</v>
      </c>
      <c r="AL606" s="39" t="str">
        <f>("2025/04/01")</f>
        <v>2025/04/01</v>
      </c>
    </row>
    <row r="607" spans="1:38" x14ac:dyDescent="0.25">
      <c r="A607" s="39" t="str">
        <f>("1401250167")</f>
        <v>1401250167</v>
      </c>
      <c r="C607" s="39"/>
      <c r="D607" s="39" t="s">
        <v>8954</v>
      </c>
      <c r="E607" s="371" t="str">
        <f t="shared" si="47"/>
        <v>たきいし　ひろと</v>
      </c>
      <c r="F607" s="39" t="s">
        <v>2619</v>
      </c>
      <c r="G607" s="39" t="s">
        <v>7828</v>
      </c>
      <c r="H607" s="39" t="str">
        <f>("2014/01/25")</f>
        <v>2014/01/25</v>
      </c>
      <c r="I607" s="39">
        <v>6</v>
      </c>
      <c r="J607" s="39" t="s">
        <v>1478</v>
      </c>
      <c r="K607" s="39" t="s">
        <v>2122</v>
      </c>
      <c r="L607" s="39" t="s">
        <v>7830</v>
      </c>
      <c r="M607" s="39" t="s">
        <v>7831</v>
      </c>
      <c r="N607" s="39" t="str">
        <f>("0472823")</f>
        <v>0472823</v>
      </c>
      <c r="P607" s="39" t="s">
        <v>12094</v>
      </c>
      <c r="Q607" s="39" t="s">
        <v>8568</v>
      </c>
      <c r="R607" s="39" t="s">
        <v>8569</v>
      </c>
      <c r="S607" s="39" t="s">
        <v>8570</v>
      </c>
      <c r="AK607" s="39" t="str">
        <f>("2025/05/02")</f>
        <v>2025/05/02</v>
      </c>
      <c r="AL607" s="39" t="str">
        <f>("2025/05/02")</f>
        <v>2025/05/02</v>
      </c>
    </row>
    <row r="608" spans="1:38" x14ac:dyDescent="0.25">
      <c r="A608" s="39" t="str">
        <f>("1401260014")</f>
        <v>1401260014</v>
      </c>
      <c r="B608" s="39" t="s">
        <v>8955</v>
      </c>
      <c r="C608" s="39"/>
      <c r="D608" s="39" t="s">
        <v>4064</v>
      </c>
      <c r="E608" s="371" t="str">
        <f t="shared" si="47"/>
        <v>むらやま　ことね</v>
      </c>
      <c r="F608" s="39" t="s">
        <v>188</v>
      </c>
      <c r="G608" s="39" t="s">
        <v>7828</v>
      </c>
      <c r="H608" s="39" t="str">
        <f>("2014/01/26")</f>
        <v>2014/01/26</v>
      </c>
      <c r="I608" s="39">
        <v>6</v>
      </c>
      <c r="J608" s="39" t="s">
        <v>1480</v>
      </c>
      <c r="K608" s="39" t="s">
        <v>2122</v>
      </c>
      <c r="L608" s="39" t="s">
        <v>7830</v>
      </c>
      <c r="M608" s="39" t="s">
        <v>7831</v>
      </c>
      <c r="N608" s="39" t="str">
        <f>("0130734")</f>
        <v>0130734</v>
      </c>
      <c r="P608" s="39" t="s">
        <v>12095</v>
      </c>
      <c r="Q608" s="39" t="s">
        <v>8568</v>
      </c>
      <c r="R608" s="39" t="s">
        <v>8569</v>
      </c>
      <c r="S608" s="39" t="s">
        <v>8570</v>
      </c>
      <c r="AK608" s="39" t="str">
        <f>("2025/03/17")</f>
        <v>2025/03/17</v>
      </c>
      <c r="AL608" s="39" t="str">
        <f t="shared" ref="AL608:AL617" si="48">("2025/04/01")</f>
        <v>2025/04/01</v>
      </c>
    </row>
    <row r="609" spans="1:38" x14ac:dyDescent="0.25">
      <c r="A609" s="39" t="str">
        <f>("1401260053")</f>
        <v>1401260053</v>
      </c>
      <c r="C609" s="39"/>
      <c r="D609" s="39" t="s">
        <v>4358</v>
      </c>
      <c r="E609" s="371" t="str">
        <f t="shared" si="47"/>
        <v>あきよし　たいよう</v>
      </c>
      <c r="F609" s="39" t="s">
        <v>2023</v>
      </c>
      <c r="G609" s="39" t="s">
        <v>7828</v>
      </c>
      <c r="H609" s="39" t="str">
        <f>("2014/01/26")</f>
        <v>2014/01/26</v>
      </c>
      <c r="I609" s="39">
        <v>6</v>
      </c>
      <c r="J609" s="39" t="s">
        <v>1478</v>
      </c>
      <c r="K609" s="39" t="s">
        <v>2122</v>
      </c>
      <c r="L609" s="39" t="s">
        <v>7830</v>
      </c>
      <c r="M609" s="39" t="s">
        <v>7831</v>
      </c>
      <c r="N609" s="39" t="str">
        <f>("0129967")</f>
        <v>0129967</v>
      </c>
      <c r="P609" s="39" t="s">
        <v>12096</v>
      </c>
      <c r="Q609" s="39" t="s">
        <v>8568</v>
      </c>
      <c r="R609" s="39" t="s">
        <v>8569</v>
      </c>
      <c r="S609" s="39" t="s">
        <v>8570</v>
      </c>
      <c r="AK609" s="39" t="str">
        <f>("2025/03/17")</f>
        <v>2025/03/17</v>
      </c>
      <c r="AL609" s="39" t="str">
        <f t="shared" si="48"/>
        <v>2025/04/01</v>
      </c>
    </row>
    <row r="610" spans="1:38" x14ac:dyDescent="0.25">
      <c r="A610" s="39" t="str">
        <f>("1401260130")</f>
        <v>1401260130</v>
      </c>
      <c r="C610" s="39"/>
      <c r="D610" s="39" t="s">
        <v>6047</v>
      </c>
      <c r="E610" s="371" t="str">
        <f t="shared" si="47"/>
        <v>まつだ　ゆう</v>
      </c>
      <c r="F610" s="39" t="s">
        <v>1207</v>
      </c>
      <c r="G610" s="39" t="s">
        <v>7828</v>
      </c>
      <c r="H610" s="39" t="str">
        <f>("2014/01/26")</f>
        <v>2014/01/26</v>
      </c>
      <c r="I610" s="39">
        <v>6</v>
      </c>
      <c r="J610" s="39" t="s">
        <v>1478</v>
      </c>
      <c r="K610" s="39" t="s">
        <v>2122</v>
      </c>
      <c r="L610" s="39" t="s">
        <v>7830</v>
      </c>
      <c r="M610" s="39" t="s">
        <v>7831</v>
      </c>
      <c r="N610" s="39" t="str">
        <f>("0381608")</f>
        <v>0381608</v>
      </c>
      <c r="P610" s="39" t="s">
        <v>12097</v>
      </c>
      <c r="Q610" s="39" t="s">
        <v>8568</v>
      </c>
      <c r="R610" s="39" t="s">
        <v>8569</v>
      </c>
      <c r="S610" s="39" t="s">
        <v>8570</v>
      </c>
      <c r="AK610" s="39" t="str">
        <f>("2025/03/21")</f>
        <v>2025/03/21</v>
      </c>
      <c r="AL610" s="39" t="str">
        <f t="shared" si="48"/>
        <v>2025/04/01</v>
      </c>
    </row>
    <row r="611" spans="1:38" x14ac:dyDescent="0.25">
      <c r="A611" s="39" t="str">
        <f>("1401270196")</f>
        <v>1401270196</v>
      </c>
      <c r="C611" s="39"/>
      <c r="D611" s="39" t="s">
        <v>5739</v>
      </c>
      <c r="E611" s="371" t="str">
        <f t="shared" si="47"/>
        <v>はらだ　かりん</v>
      </c>
      <c r="F611" s="39" t="s">
        <v>1481</v>
      </c>
      <c r="G611" s="39" t="s">
        <v>7828</v>
      </c>
      <c r="H611" s="39" t="str">
        <f>("2014/01/27")</f>
        <v>2014/01/27</v>
      </c>
      <c r="I611" s="39">
        <v>6</v>
      </c>
      <c r="J611" s="39" t="s">
        <v>1480</v>
      </c>
      <c r="K611" s="39" t="s">
        <v>2122</v>
      </c>
      <c r="L611" s="39" t="s">
        <v>7830</v>
      </c>
      <c r="M611" s="39" t="s">
        <v>7831</v>
      </c>
      <c r="N611" s="39" t="str">
        <f>("0129866")</f>
        <v>0129866</v>
      </c>
      <c r="P611" s="39" t="s">
        <v>12098</v>
      </c>
      <c r="Q611" s="39" t="s">
        <v>8568</v>
      </c>
      <c r="R611" s="39" t="s">
        <v>8569</v>
      </c>
      <c r="S611" s="39" t="s">
        <v>8570</v>
      </c>
      <c r="AK611" s="39" t="str">
        <f>("2025/03/19")</f>
        <v>2025/03/19</v>
      </c>
      <c r="AL611" s="39" t="str">
        <f t="shared" si="48"/>
        <v>2025/04/01</v>
      </c>
    </row>
    <row r="612" spans="1:38" x14ac:dyDescent="0.25">
      <c r="A612" s="39" t="str">
        <f>("1401290001")</f>
        <v>1401290001</v>
      </c>
      <c r="B612" s="39" t="s">
        <v>8956</v>
      </c>
      <c r="C612" s="39"/>
      <c r="D612" s="39" t="s">
        <v>6273</v>
      </c>
      <c r="E612" s="371" t="str">
        <f t="shared" si="47"/>
        <v>おかべ　せら</v>
      </c>
      <c r="F612" s="39" t="s">
        <v>5620</v>
      </c>
      <c r="G612" s="39" t="s">
        <v>7828</v>
      </c>
      <c r="H612" s="39" t="str">
        <f>("2014/01/29")</f>
        <v>2014/01/29</v>
      </c>
      <c r="I612" s="39">
        <v>6</v>
      </c>
      <c r="J612" s="39" t="s">
        <v>1478</v>
      </c>
      <c r="K612" s="39" t="s">
        <v>2122</v>
      </c>
      <c r="L612" s="39" t="s">
        <v>7830</v>
      </c>
      <c r="M612" s="39" t="s">
        <v>7831</v>
      </c>
      <c r="N612" s="39" t="str">
        <f>("1101553")</f>
        <v>1101553</v>
      </c>
      <c r="P612" s="39" t="s">
        <v>12099</v>
      </c>
      <c r="Q612" s="39" t="s">
        <v>8568</v>
      </c>
      <c r="R612" s="39" t="s">
        <v>8569</v>
      </c>
      <c r="S612" s="39" t="s">
        <v>8570</v>
      </c>
      <c r="AA612" s="39" t="s">
        <v>2122</v>
      </c>
      <c r="AB612" s="39" t="s">
        <v>7830</v>
      </c>
      <c r="AC612" s="39" t="s">
        <v>7831</v>
      </c>
      <c r="AD612" s="39" t="str">
        <f>("1032147")</f>
        <v>1032147</v>
      </c>
      <c r="AE612" s="39" t="s">
        <v>8714</v>
      </c>
      <c r="AK612" s="39" t="str">
        <f>("2025/03/19")</f>
        <v>2025/03/19</v>
      </c>
      <c r="AL612" s="39" t="str">
        <f t="shared" si="48"/>
        <v>2025/04/01</v>
      </c>
    </row>
    <row r="613" spans="1:38" x14ac:dyDescent="0.25">
      <c r="A613" s="39" t="str">
        <f>("1401290002")</f>
        <v>1401290002</v>
      </c>
      <c r="B613" s="39" t="s">
        <v>8957</v>
      </c>
      <c r="C613" s="39"/>
      <c r="D613" s="39" t="s">
        <v>4535</v>
      </c>
      <c r="E613" s="371" t="str">
        <f t="shared" si="47"/>
        <v>ふくだ　しょう</v>
      </c>
      <c r="F613" s="39" t="s">
        <v>1917</v>
      </c>
      <c r="G613" s="39" t="s">
        <v>7828</v>
      </c>
      <c r="H613" s="39" t="str">
        <f>("2014/01/29")</f>
        <v>2014/01/29</v>
      </c>
      <c r="I613" s="39">
        <v>6</v>
      </c>
      <c r="J613" s="39" t="s">
        <v>1478</v>
      </c>
      <c r="K613" s="39" t="s">
        <v>2122</v>
      </c>
      <c r="L613" s="39" t="s">
        <v>7830</v>
      </c>
      <c r="M613" s="39" t="s">
        <v>7831</v>
      </c>
      <c r="N613" s="39" t="str">
        <f>("1032161")</f>
        <v>1032161</v>
      </c>
      <c r="P613" s="39" t="s">
        <v>12100</v>
      </c>
      <c r="Q613" s="39" t="s">
        <v>8568</v>
      </c>
      <c r="R613" s="39" t="s">
        <v>8569</v>
      </c>
      <c r="S613" s="39" t="s">
        <v>8570</v>
      </c>
      <c r="AA613" s="39" t="s">
        <v>2122</v>
      </c>
      <c r="AB613" s="39" t="s">
        <v>7830</v>
      </c>
      <c r="AC613" s="39" t="s">
        <v>7831</v>
      </c>
      <c r="AD613" s="39" t="str">
        <f>("0130543")</f>
        <v>0130543</v>
      </c>
      <c r="AE613" s="39" t="s">
        <v>4220</v>
      </c>
      <c r="AF613" s="39" t="s">
        <v>2122</v>
      </c>
      <c r="AG613" s="39" t="s">
        <v>7830</v>
      </c>
      <c r="AH613" s="39" t="s">
        <v>7831</v>
      </c>
      <c r="AI613" s="39" t="str">
        <f>("0130396")</f>
        <v>0130396</v>
      </c>
      <c r="AJ613" s="39" t="s">
        <v>8958</v>
      </c>
      <c r="AK613" s="39" t="str">
        <f>("2025/03/21")</f>
        <v>2025/03/21</v>
      </c>
      <c r="AL613" s="39" t="str">
        <f t="shared" si="48"/>
        <v>2025/04/01</v>
      </c>
    </row>
    <row r="614" spans="1:38" x14ac:dyDescent="0.25">
      <c r="A614" s="39" t="str">
        <f>("1401310108")</f>
        <v>1401310108</v>
      </c>
      <c r="B614" s="39" t="s">
        <v>8959</v>
      </c>
      <c r="C614" s="39"/>
      <c r="D614" s="39" t="s">
        <v>5641</v>
      </c>
      <c r="E614" s="371" t="str">
        <f t="shared" si="47"/>
        <v>むらかみ　こうせい</v>
      </c>
      <c r="F614" s="39" t="s">
        <v>1968</v>
      </c>
      <c r="G614" s="39" t="s">
        <v>7828</v>
      </c>
      <c r="H614" s="39" t="str">
        <f>("2014/01/31")</f>
        <v>2014/01/31</v>
      </c>
      <c r="I614" s="39">
        <v>6</v>
      </c>
      <c r="J614" s="39" t="s">
        <v>1478</v>
      </c>
      <c r="K614" s="39" t="s">
        <v>2122</v>
      </c>
      <c r="L614" s="39" t="s">
        <v>7830</v>
      </c>
      <c r="M614" s="39" t="s">
        <v>7831</v>
      </c>
      <c r="N614" s="39" t="str">
        <f>("0129507")</f>
        <v>0129507</v>
      </c>
      <c r="P614" s="39" t="s">
        <v>12101</v>
      </c>
      <c r="Q614" s="39" t="s">
        <v>8568</v>
      </c>
      <c r="R614" s="39" t="s">
        <v>8569</v>
      </c>
      <c r="S614" s="39" t="s">
        <v>8570</v>
      </c>
      <c r="AA614" s="39" t="s">
        <v>2035</v>
      </c>
      <c r="AB614" s="39" t="s">
        <v>7830</v>
      </c>
      <c r="AC614" s="39" t="s">
        <v>7831</v>
      </c>
      <c r="AD614" s="39" t="str">
        <f>("0286961")</f>
        <v>0286961</v>
      </c>
      <c r="AE614" s="39" t="s">
        <v>8583</v>
      </c>
      <c r="AK614" s="39" t="str">
        <f>("2025/03/17")</f>
        <v>2025/03/17</v>
      </c>
      <c r="AL614" s="39" t="str">
        <f t="shared" si="48"/>
        <v>2025/04/01</v>
      </c>
    </row>
    <row r="615" spans="1:38" x14ac:dyDescent="0.25">
      <c r="A615" s="39" t="str">
        <f>("1401310151")</f>
        <v>1401310151</v>
      </c>
      <c r="B615" s="39" t="s">
        <v>8960</v>
      </c>
      <c r="C615" s="39"/>
      <c r="D615" s="39" t="s">
        <v>4403</v>
      </c>
      <c r="E615" s="371" t="str">
        <f t="shared" si="47"/>
        <v>すど　ひろと</v>
      </c>
      <c r="F615" s="39" t="s">
        <v>856</v>
      </c>
      <c r="G615" s="39" t="s">
        <v>7828</v>
      </c>
      <c r="H615" s="39" t="str">
        <f>("2014/01/31")</f>
        <v>2014/01/31</v>
      </c>
      <c r="I615" s="39">
        <v>6</v>
      </c>
      <c r="J615" s="39" t="s">
        <v>1478</v>
      </c>
      <c r="K615" s="39" t="s">
        <v>2122</v>
      </c>
      <c r="L615" s="39" t="s">
        <v>7830</v>
      </c>
      <c r="M615" s="39" t="s">
        <v>7831</v>
      </c>
      <c r="N615" s="39" t="str">
        <f>("0130149")</f>
        <v>0130149</v>
      </c>
      <c r="P615" s="39" t="s">
        <v>12102</v>
      </c>
      <c r="Q615" s="39" t="s">
        <v>8568</v>
      </c>
      <c r="R615" s="39" t="s">
        <v>8569</v>
      </c>
      <c r="S615" s="39" t="s">
        <v>8570</v>
      </c>
      <c r="AK615" s="39" t="str">
        <f>("2025/03/17")</f>
        <v>2025/03/17</v>
      </c>
      <c r="AL615" s="39" t="str">
        <f t="shared" si="48"/>
        <v>2025/04/01</v>
      </c>
    </row>
    <row r="616" spans="1:38" x14ac:dyDescent="0.25">
      <c r="A616" s="39" t="str">
        <f>("1402010075")</f>
        <v>1402010075</v>
      </c>
      <c r="B616" s="39" t="s">
        <v>8961</v>
      </c>
      <c r="C616" s="39"/>
      <c r="D616" s="39" t="s">
        <v>5672</v>
      </c>
      <c r="E616" s="371" t="str">
        <f t="shared" si="47"/>
        <v>いのうえ　きしん</v>
      </c>
      <c r="F616" s="39" t="s">
        <v>2188</v>
      </c>
      <c r="G616" s="39" t="s">
        <v>7828</v>
      </c>
      <c r="H616" s="39" t="str">
        <f>("2014/02/01")</f>
        <v>2014/02/01</v>
      </c>
      <c r="I616" s="39">
        <v>6</v>
      </c>
      <c r="J616" s="39" t="s">
        <v>1478</v>
      </c>
      <c r="K616" s="39" t="s">
        <v>2122</v>
      </c>
      <c r="L616" s="39" t="s">
        <v>7830</v>
      </c>
      <c r="M616" s="39" t="s">
        <v>7831</v>
      </c>
      <c r="N616" s="39" t="str">
        <f>("0129596")</f>
        <v>0129596</v>
      </c>
      <c r="P616" s="39" t="s">
        <v>12103</v>
      </c>
      <c r="Q616" s="39" t="s">
        <v>8568</v>
      </c>
      <c r="R616" s="39" t="s">
        <v>8569</v>
      </c>
      <c r="S616" s="39" t="s">
        <v>8570</v>
      </c>
      <c r="AK616" s="39" t="str">
        <f>("2025/03/17")</f>
        <v>2025/03/17</v>
      </c>
      <c r="AL616" s="39" t="str">
        <f t="shared" si="48"/>
        <v>2025/04/01</v>
      </c>
    </row>
    <row r="617" spans="1:38" x14ac:dyDescent="0.25">
      <c r="A617" s="39" t="str">
        <f>("1402010114")</f>
        <v>1402010114</v>
      </c>
      <c r="C617" s="39"/>
      <c r="D617" s="39" t="s">
        <v>4243</v>
      </c>
      <c r="E617" s="371" t="str">
        <f t="shared" si="47"/>
        <v>ひらかわ　そうじろう</v>
      </c>
      <c r="F617" s="39" t="s">
        <v>2274</v>
      </c>
      <c r="G617" s="39" t="s">
        <v>7828</v>
      </c>
      <c r="H617" s="39" t="str">
        <f>("2014/02/01")</f>
        <v>2014/02/01</v>
      </c>
      <c r="I617" s="39">
        <v>6</v>
      </c>
      <c r="J617" s="39" t="s">
        <v>1478</v>
      </c>
      <c r="K617" s="39" t="s">
        <v>2122</v>
      </c>
      <c r="L617" s="39" t="s">
        <v>7830</v>
      </c>
      <c r="M617" s="39" t="s">
        <v>7831</v>
      </c>
      <c r="N617" s="39" t="str">
        <f>("0129563")</f>
        <v>0129563</v>
      </c>
      <c r="P617" s="39" t="s">
        <v>12104</v>
      </c>
      <c r="Q617" s="39" t="s">
        <v>8568</v>
      </c>
      <c r="R617" s="39" t="s">
        <v>8569</v>
      </c>
      <c r="S617" s="39" t="s">
        <v>8570</v>
      </c>
      <c r="AK617" s="39" t="str">
        <f>("2025/03/17")</f>
        <v>2025/03/17</v>
      </c>
      <c r="AL617" s="39" t="str">
        <f t="shared" si="48"/>
        <v>2025/04/01</v>
      </c>
    </row>
    <row r="618" spans="1:38" x14ac:dyDescent="0.25">
      <c r="A618" s="39" t="str">
        <f>("1402020096")</f>
        <v>1402020096</v>
      </c>
      <c r="C618" s="39"/>
      <c r="D618" s="39" t="s">
        <v>8962</v>
      </c>
      <c r="E618" s="371" t="str">
        <f t="shared" si="47"/>
        <v>にし　りょうせい</v>
      </c>
      <c r="F618" s="39" t="s">
        <v>1917</v>
      </c>
      <c r="G618" s="39" t="s">
        <v>7828</v>
      </c>
      <c r="H618" s="39" t="str">
        <f>("2014/02/02")</f>
        <v>2014/02/02</v>
      </c>
      <c r="I618" s="39">
        <v>6</v>
      </c>
      <c r="J618" s="39" t="s">
        <v>1478</v>
      </c>
      <c r="K618" s="39" t="s">
        <v>2122</v>
      </c>
      <c r="L618" s="39" t="s">
        <v>7830</v>
      </c>
      <c r="M618" s="39" t="s">
        <v>7831</v>
      </c>
      <c r="N618" s="39" t="str">
        <f>("1032161")</f>
        <v>1032161</v>
      </c>
      <c r="P618" s="39" t="s">
        <v>12105</v>
      </c>
      <c r="Q618" s="39" t="s">
        <v>8568</v>
      </c>
      <c r="R618" s="39" t="s">
        <v>8569</v>
      </c>
      <c r="S618" s="39" t="s">
        <v>8570</v>
      </c>
      <c r="AA618" s="39" t="s">
        <v>2035</v>
      </c>
      <c r="AB618" s="39" t="s">
        <v>7830</v>
      </c>
      <c r="AC618" s="39" t="s">
        <v>7831</v>
      </c>
      <c r="AD618" s="39" t="str">
        <f>("0412131")</f>
        <v>0412131</v>
      </c>
      <c r="AE618" s="39" t="s">
        <v>8963</v>
      </c>
      <c r="AK618" s="39" t="str">
        <f>("2025/04/28")</f>
        <v>2025/04/28</v>
      </c>
      <c r="AL618" s="39" t="str">
        <f>("2025/04/28")</f>
        <v>2025/04/28</v>
      </c>
    </row>
    <row r="619" spans="1:38" x14ac:dyDescent="0.25">
      <c r="A619" s="39" t="str">
        <f>("1402030101")</f>
        <v>1402030101</v>
      </c>
      <c r="C619" s="39"/>
      <c r="D619" s="39" t="s">
        <v>5722</v>
      </c>
      <c r="E619" s="371" t="str">
        <f t="shared" si="47"/>
        <v>つじ　はる</v>
      </c>
      <c r="F619" s="39" t="s">
        <v>834</v>
      </c>
      <c r="G619" s="39" t="s">
        <v>7828</v>
      </c>
      <c r="H619" s="39" t="str">
        <f>("2014/02/03")</f>
        <v>2014/02/03</v>
      </c>
      <c r="I619" s="39">
        <v>6</v>
      </c>
      <c r="J619" s="39" t="s">
        <v>1478</v>
      </c>
      <c r="K619" s="39" t="s">
        <v>2122</v>
      </c>
      <c r="L619" s="39" t="s">
        <v>7830</v>
      </c>
      <c r="M619" s="39" t="s">
        <v>7831</v>
      </c>
      <c r="N619" s="39" t="str">
        <f>("0129844")</f>
        <v>0129844</v>
      </c>
      <c r="P619" s="39" t="s">
        <v>12106</v>
      </c>
      <c r="Q619" s="39" t="s">
        <v>8568</v>
      </c>
      <c r="R619" s="39" t="s">
        <v>8569</v>
      </c>
      <c r="S619" s="39" t="s">
        <v>8570</v>
      </c>
      <c r="AK619" s="39" t="str">
        <f>("2025/03/17")</f>
        <v>2025/03/17</v>
      </c>
      <c r="AL619" s="39" t="str">
        <f t="shared" ref="AL619:AL624" si="49">("2025/04/01")</f>
        <v>2025/04/01</v>
      </c>
    </row>
    <row r="620" spans="1:38" x14ac:dyDescent="0.25">
      <c r="A620" s="39" t="str">
        <f>("1402030115")</f>
        <v>1402030115</v>
      </c>
      <c r="C620" s="39"/>
      <c r="D620" s="39" t="s">
        <v>5930</v>
      </c>
      <c r="E620" s="371" t="str">
        <f t="shared" si="47"/>
        <v>あんどう　ゆういちろう</v>
      </c>
      <c r="F620" s="39" t="s">
        <v>2556</v>
      </c>
      <c r="G620" s="39" t="s">
        <v>7828</v>
      </c>
      <c r="H620" s="39" t="str">
        <f>("2014/02/03")</f>
        <v>2014/02/03</v>
      </c>
      <c r="I620" s="39">
        <v>6</v>
      </c>
      <c r="J620" s="39" t="s">
        <v>1478</v>
      </c>
      <c r="K620" s="39" t="s">
        <v>2122</v>
      </c>
      <c r="L620" s="39" t="s">
        <v>7830</v>
      </c>
      <c r="M620" s="39" t="s">
        <v>7831</v>
      </c>
      <c r="N620" s="39" t="str">
        <f>("0130712")</f>
        <v>0130712</v>
      </c>
      <c r="P620" s="39" t="s">
        <v>12107</v>
      </c>
      <c r="Q620" s="39" t="s">
        <v>8568</v>
      </c>
      <c r="R620" s="39" t="s">
        <v>8569</v>
      </c>
      <c r="S620" s="39" t="s">
        <v>8570</v>
      </c>
      <c r="AK620" s="39" t="str">
        <f>("2025/03/27")</f>
        <v>2025/03/27</v>
      </c>
      <c r="AL620" s="39" t="str">
        <f t="shared" si="49"/>
        <v>2025/04/01</v>
      </c>
    </row>
    <row r="621" spans="1:38" x14ac:dyDescent="0.25">
      <c r="A621" s="39" t="str">
        <f>("1402030177")</f>
        <v>1402030177</v>
      </c>
      <c r="C621" s="39"/>
      <c r="D621" s="39" t="s">
        <v>4697</v>
      </c>
      <c r="E621" s="371" t="str">
        <f t="shared" si="47"/>
        <v>にしかわ　こうた</v>
      </c>
      <c r="F621" s="39" t="s">
        <v>2395</v>
      </c>
      <c r="G621" s="39" t="s">
        <v>7828</v>
      </c>
      <c r="H621" s="39" t="str">
        <f>("2014/02/03")</f>
        <v>2014/02/03</v>
      </c>
      <c r="I621" s="39">
        <v>6</v>
      </c>
      <c r="J621" s="39" t="s">
        <v>1478</v>
      </c>
      <c r="K621" s="39" t="s">
        <v>2122</v>
      </c>
      <c r="L621" s="39" t="s">
        <v>7830</v>
      </c>
      <c r="M621" s="39" t="s">
        <v>7831</v>
      </c>
      <c r="N621" s="39" t="str">
        <f>("0366735")</f>
        <v>0366735</v>
      </c>
      <c r="P621" s="39" t="s">
        <v>12108</v>
      </c>
      <c r="Q621" s="39" t="s">
        <v>8568</v>
      </c>
      <c r="R621" s="39" t="s">
        <v>8569</v>
      </c>
      <c r="S621" s="39" t="s">
        <v>8570</v>
      </c>
      <c r="AK621" s="39" t="str">
        <f>("2025/03/17")</f>
        <v>2025/03/17</v>
      </c>
      <c r="AL621" s="39" t="str">
        <f t="shared" si="49"/>
        <v>2025/04/01</v>
      </c>
    </row>
    <row r="622" spans="1:38" x14ac:dyDescent="0.25">
      <c r="A622" s="39" t="str">
        <f>("1402040039")</f>
        <v>1402040039</v>
      </c>
      <c r="C622" s="39"/>
      <c r="D622" s="39" t="s">
        <v>5984</v>
      </c>
      <c r="E622" s="371" t="str">
        <f t="shared" si="47"/>
        <v>まつお　しょうと</v>
      </c>
      <c r="F622" s="39" t="s">
        <v>2821</v>
      </c>
      <c r="G622" s="39" t="s">
        <v>7828</v>
      </c>
      <c r="H622" s="39" t="str">
        <f>("2014/02/04")</f>
        <v>2014/02/04</v>
      </c>
      <c r="I622" s="39">
        <v>6</v>
      </c>
      <c r="J622" s="39" t="s">
        <v>1478</v>
      </c>
      <c r="K622" s="39" t="s">
        <v>2122</v>
      </c>
      <c r="L622" s="39" t="s">
        <v>7830</v>
      </c>
      <c r="M622" s="39" t="s">
        <v>7831</v>
      </c>
      <c r="N622" s="39" t="str">
        <f>("0237631")</f>
        <v>0237631</v>
      </c>
      <c r="P622" s="39" t="s">
        <v>12109</v>
      </c>
      <c r="Q622" s="39" t="s">
        <v>8568</v>
      </c>
      <c r="R622" s="39" t="s">
        <v>8569</v>
      </c>
      <c r="S622" s="39" t="s">
        <v>8570</v>
      </c>
      <c r="AK622" s="39" t="str">
        <f>("2025/03/17")</f>
        <v>2025/03/17</v>
      </c>
      <c r="AL622" s="39" t="str">
        <f t="shared" si="49"/>
        <v>2025/04/01</v>
      </c>
    </row>
    <row r="623" spans="1:38" x14ac:dyDescent="0.25">
      <c r="A623" s="39" t="str">
        <f>("1402040109")</f>
        <v>1402040109</v>
      </c>
      <c r="B623" s="39" t="s">
        <v>8964</v>
      </c>
      <c r="C623" s="39"/>
      <c r="D623" s="39" t="s">
        <v>8965</v>
      </c>
      <c r="E623" s="371" t="str">
        <f t="shared" si="47"/>
        <v>かわづ　るい</v>
      </c>
      <c r="F623" s="39" t="s">
        <v>2651</v>
      </c>
      <c r="G623" s="39" t="s">
        <v>7828</v>
      </c>
      <c r="H623" s="39" t="str">
        <f>("2014/02/04")</f>
        <v>2014/02/04</v>
      </c>
      <c r="I623" s="39">
        <v>6</v>
      </c>
      <c r="J623" s="39" t="s">
        <v>1478</v>
      </c>
      <c r="K623" s="39" t="s">
        <v>2122</v>
      </c>
      <c r="L623" s="39" t="s">
        <v>7830</v>
      </c>
      <c r="M623" s="39" t="s">
        <v>7831</v>
      </c>
      <c r="N623" s="39" t="str">
        <f>("1067415")</f>
        <v>1067415</v>
      </c>
      <c r="P623" s="39" t="s">
        <v>12110</v>
      </c>
      <c r="Q623" s="39" t="s">
        <v>8568</v>
      </c>
      <c r="R623" s="39" t="s">
        <v>8569</v>
      </c>
      <c r="S623" s="39" t="s">
        <v>8570</v>
      </c>
      <c r="AK623" s="39" t="str">
        <f>("2025/03/21")</f>
        <v>2025/03/21</v>
      </c>
      <c r="AL623" s="39" t="str">
        <f t="shared" si="49"/>
        <v>2025/04/01</v>
      </c>
    </row>
    <row r="624" spans="1:38" x14ac:dyDescent="0.25">
      <c r="A624" s="39" t="str">
        <f>("1402050035")</f>
        <v>1402050035</v>
      </c>
      <c r="C624" s="39"/>
      <c r="D624" s="39" t="s">
        <v>5948</v>
      </c>
      <c r="E624" s="371" t="str">
        <f t="shared" si="47"/>
        <v>おの　いちか</v>
      </c>
      <c r="F624" s="39" t="s">
        <v>188</v>
      </c>
      <c r="G624" s="39" t="s">
        <v>7828</v>
      </c>
      <c r="H624" s="39" t="str">
        <f>("2014/02/05")</f>
        <v>2014/02/05</v>
      </c>
      <c r="I624" s="39">
        <v>6</v>
      </c>
      <c r="J624" s="39" t="s">
        <v>1480</v>
      </c>
      <c r="K624" s="39" t="s">
        <v>2122</v>
      </c>
      <c r="L624" s="39" t="s">
        <v>7830</v>
      </c>
      <c r="M624" s="39" t="s">
        <v>7831</v>
      </c>
      <c r="N624" s="39" t="str">
        <f>("0130734")</f>
        <v>0130734</v>
      </c>
      <c r="P624" s="39" t="s">
        <v>12111</v>
      </c>
      <c r="Q624" s="39" t="s">
        <v>8568</v>
      </c>
      <c r="R624" s="39" t="s">
        <v>8569</v>
      </c>
      <c r="S624" s="39" t="s">
        <v>8570</v>
      </c>
      <c r="AK624" s="39" t="str">
        <f>("2025/03/17")</f>
        <v>2025/03/17</v>
      </c>
      <c r="AL624" s="39" t="str">
        <f t="shared" si="49"/>
        <v>2025/04/01</v>
      </c>
    </row>
    <row r="625" spans="1:38" x14ac:dyDescent="0.25">
      <c r="A625" s="39" t="str">
        <f>("1402050110")</f>
        <v>1402050110</v>
      </c>
      <c r="B625" s="39" t="s">
        <v>8966</v>
      </c>
      <c r="C625" s="39"/>
      <c r="D625" s="39" t="s">
        <v>6287</v>
      </c>
      <c r="E625" s="371" t="str">
        <f t="shared" si="47"/>
        <v>にぶや　たいき</v>
      </c>
      <c r="F625" s="39" t="s">
        <v>2395</v>
      </c>
      <c r="G625" s="39" t="s">
        <v>7828</v>
      </c>
      <c r="H625" s="39" t="str">
        <f>("2014/02/05")</f>
        <v>2014/02/05</v>
      </c>
      <c r="I625" s="39">
        <v>6</v>
      </c>
      <c r="J625" s="39" t="s">
        <v>1478</v>
      </c>
      <c r="K625" s="39" t="s">
        <v>2122</v>
      </c>
      <c r="L625" s="39" t="s">
        <v>7830</v>
      </c>
      <c r="M625" s="39" t="s">
        <v>7831</v>
      </c>
      <c r="N625" s="39" t="str">
        <f>("0366735")</f>
        <v>0366735</v>
      </c>
      <c r="P625" s="39" t="s">
        <v>12112</v>
      </c>
      <c r="Q625" s="39" t="s">
        <v>8568</v>
      </c>
      <c r="R625" s="39" t="s">
        <v>8569</v>
      </c>
      <c r="S625" s="39" t="s">
        <v>8570</v>
      </c>
      <c r="AA625" s="39" t="s">
        <v>2122</v>
      </c>
      <c r="AB625" s="39" t="s">
        <v>7830</v>
      </c>
      <c r="AC625" s="39" t="s">
        <v>7831</v>
      </c>
      <c r="AD625" s="39" t="str">
        <f>("1110654")</f>
        <v>1110654</v>
      </c>
      <c r="AE625" s="39" t="s">
        <v>5621</v>
      </c>
      <c r="AF625" s="39" t="s">
        <v>2122</v>
      </c>
      <c r="AG625" s="39" t="s">
        <v>7830</v>
      </c>
      <c r="AH625" s="39" t="s">
        <v>7831</v>
      </c>
      <c r="AI625" s="39" t="str">
        <f>("0130442")</f>
        <v>0130442</v>
      </c>
      <c r="AJ625" s="39" t="s">
        <v>2033</v>
      </c>
      <c r="AK625" s="39" t="str">
        <f>("2025/04/14")</f>
        <v>2025/04/14</v>
      </c>
      <c r="AL625" s="39" t="str">
        <f>("2025/04/14")</f>
        <v>2025/04/14</v>
      </c>
    </row>
    <row r="626" spans="1:38" x14ac:dyDescent="0.25">
      <c r="A626" s="39" t="str">
        <f>("1402060122")</f>
        <v>1402060122</v>
      </c>
      <c r="B626" s="39" t="s">
        <v>8967</v>
      </c>
      <c r="C626" s="39"/>
      <c r="D626" s="39" t="s">
        <v>8968</v>
      </c>
      <c r="E626" s="371" t="str">
        <f t="shared" si="47"/>
        <v>かとう　みわ</v>
      </c>
      <c r="F626" s="39" t="s">
        <v>1158</v>
      </c>
      <c r="G626" s="39" t="s">
        <v>7828</v>
      </c>
      <c r="H626" s="39" t="str">
        <f>("2014/02/06")</f>
        <v>2014/02/06</v>
      </c>
      <c r="I626" s="39">
        <v>6</v>
      </c>
      <c r="J626" s="39" t="s">
        <v>1480</v>
      </c>
      <c r="K626" s="39" t="s">
        <v>2122</v>
      </c>
      <c r="L626" s="39" t="s">
        <v>7830</v>
      </c>
      <c r="M626" s="39" t="s">
        <v>7831</v>
      </c>
      <c r="N626" s="39" t="str">
        <f>("0130318")</f>
        <v>0130318</v>
      </c>
      <c r="P626" s="39" t="s">
        <v>12113</v>
      </c>
      <c r="Q626" s="39" t="s">
        <v>8568</v>
      </c>
      <c r="R626" s="39" t="s">
        <v>8569</v>
      </c>
      <c r="S626" s="39" t="s">
        <v>8570</v>
      </c>
      <c r="AK626" s="39" t="str">
        <f>("2025/03/17")</f>
        <v>2025/03/17</v>
      </c>
      <c r="AL626" s="39" t="str">
        <f t="shared" ref="AL626:AL658" si="50">("2025/04/01")</f>
        <v>2025/04/01</v>
      </c>
    </row>
    <row r="627" spans="1:38" x14ac:dyDescent="0.25">
      <c r="A627" s="39" t="str">
        <f>("1402060149")</f>
        <v>1402060149</v>
      </c>
      <c r="C627" s="39"/>
      <c r="D627" s="39" t="s">
        <v>6211</v>
      </c>
      <c r="E627" s="371" t="str">
        <f t="shared" si="47"/>
        <v>てらだ　しゅんや</v>
      </c>
      <c r="F627" s="39" t="s">
        <v>7864</v>
      </c>
      <c r="G627" s="39" t="s">
        <v>7828</v>
      </c>
      <c r="H627" s="39" t="str">
        <f>("2014/02/06")</f>
        <v>2014/02/06</v>
      </c>
      <c r="I627" s="39">
        <v>6</v>
      </c>
      <c r="J627" s="39" t="s">
        <v>1478</v>
      </c>
      <c r="K627" s="39" t="s">
        <v>2122</v>
      </c>
      <c r="L627" s="39" t="s">
        <v>7830</v>
      </c>
      <c r="M627" s="39" t="s">
        <v>7831</v>
      </c>
      <c r="N627" s="39" t="str">
        <f>("1039801")</f>
        <v>1039801</v>
      </c>
      <c r="P627" s="39" t="s">
        <v>12114</v>
      </c>
      <c r="Q627" s="39" t="s">
        <v>8568</v>
      </c>
      <c r="R627" s="39" t="s">
        <v>8569</v>
      </c>
      <c r="S627" s="39" t="s">
        <v>8570</v>
      </c>
      <c r="AK627" s="39" t="str">
        <f>("2025/03/24")</f>
        <v>2025/03/24</v>
      </c>
      <c r="AL627" s="39" t="str">
        <f t="shared" si="50"/>
        <v>2025/04/01</v>
      </c>
    </row>
    <row r="628" spans="1:38" x14ac:dyDescent="0.25">
      <c r="A628" s="39" t="str">
        <f>("1402060150")</f>
        <v>1402060150</v>
      </c>
      <c r="C628" s="39"/>
      <c r="D628" s="39" t="s">
        <v>8969</v>
      </c>
      <c r="E628" s="371" t="str">
        <f t="shared" si="47"/>
        <v>てらだ　ゆうや</v>
      </c>
      <c r="F628" s="39" t="s">
        <v>7864</v>
      </c>
      <c r="G628" s="39" t="s">
        <v>7828</v>
      </c>
      <c r="H628" s="39" t="str">
        <f>("2014/02/06")</f>
        <v>2014/02/06</v>
      </c>
      <c r="I628" s="39">
        <v>6</v>
      </c>
      <c r="J628" s="39" t="s">
        <v>1478</v>
      </c>
      <c r="K628" s="39" t="s">
        <v>2122</v>
      </c>
      <c r="L628" s="39" t="s">
        <v>7830</v>
      </c>
      <c r="M628" s="39" t="s">
        <v>7831</v>
      </c>
      <c r="N628" s="39" t="str">
        <f>("1039801")</f>
        <v>1039801</v>
      </c>
      <c r="P628" s="39" t="s">
        <v>12115</v>
      </c>
      <c r="Q628" s="39" t="s">
        <v>8568</v>
      </c>
      <c r="R628" s="39" t="s">
        <v>8569</v>
      </c>
      <c r="S628" s="39" t="s">
        <v>8570</v>
      </c>
      <c r="AK628" s="39" t="str">
        <f>("2025/03/24")</f>
        <v>2025/03/24</v>
      </c>
      <c r="AL628" s="39" t="str">
        <f t="shared" si="50"/>
        <v>2025/04/01</v>
      </c>
    </row>
    <row r="629" spans="1:38" x14ac:dyDescent="0.25">
      <c r="A629" s="39" t="str">
        <f>("1402070198")</f>
        <v>1402070198</v>
      </c>
      <c r="C629" s="39"/>
      <c r="D629" s="39" t="s">
        <v>6144</v>
      </c>
      <c r="E629" s="371" t="str">
        <f t="shared" si="47"/>
        <v>もりた　さく</v>
      </c>
      <c r="F629" s="39" t="s">
        <v>2323</v>
      </c>
      <c r="G629" s="39" t="s">
        <v>7828</v>
      </c>
      <c r="H629" s="39" t="str">
        <f>("2014/02/07")</f>
        <v>2014/02/07</v>
      </c>
      <c r="I629" s="39">
        <v>6</v>
      </c>
      <c r="J629" s="39" t="s">
        <v>1478</v>
      </c>
      <c r="K629" s="39" t="s">
        <v>2122</v>
      </c>
      <c r="L629" s="39" t="s">
        <v>7830</v>
      </c>
      <c r="M629" s="39" t="s">
        <v>7831</v>
      </c>
      <c r="N629" s="39" t="str">
        <f>("0472722")</f>
        <v>0472722</v>
      </c>
      <c r="P629" s="39" t="s">
        <v>12116</v>
      </c>
      <c r="Q629" s="39" t="s">
        <v>8568</v>
      </c>
      <c r="R629" s="39" t="s">
        <v>8569</v>
      </c>
      <c r="S629" s="39" t="s">
        <v>8570</v>
      </c>
      <c r="AK629" s="39" t="str">
        <f>("2025/03/17")</f>
        <v>2025/03/17</v>
      </c>
      <c r="AL629" s="39" t="str">
        <f t="shared" si="50"/>
        <v>2025/04/01</v>
      </c>
    </row>
    <row r="630" spans="1:38" x14ac:dyDescent="0.25">
      <c r="A630" s="39" t="str">
        <f>("1402080015")</f>
        <v>1402080015</v>
      </c>
      <c r="C630" s="39"/>
      <c r="D630" s="39" t="s">
        <v>4669</v>
      </c>
      <c r="E630" s="371" t="str">
        <f t="shared" si="47"/>
        <v>さだ　りょうすけ</v>
      </c>
      <c r="F630" s="39" t="s">
        <v>2575</v>
      </c>
      <c r="G630" s="39" t="s">
        <v>7828</v>
      </c>
      <c r="H630" s="39" t="str">
        <f>("2014/02/08")</f>
        <v>2014/02/08</v>
      </c>
      <c r="I630" s="39">
        <v>6</v>
      </c>
      <c r="J630" s="39" t="s">
        <v>1478</v>
      </c>
      <c r="K630" s="39" t="s">
        <v>2122</v>
      </c>
      <c r="L630" s="39" t="s">
        <v>7830</v>
      </c>
      <c r="M630" s="39" t="s">
        <v>7831</v>
      </c>
      <c r="N630" s="39" t="str">
        <f>("0303040")</f>
        <v>0303040</v>
      </c>
      <c r="P630" s="39" t="s">
        <v>12117</v>
      </c>
      <c r="Q630" s="39" t="s">
        <v>8568</v>
      </c>
      <c r="R630" s="39" t="s">
        <v>8569</v>
      </c>
      <c r="S630" s="39" t="s">
        <v>8570</v>
      </c>
      <c r="AK630" s="39" t="str">
        <f>("2025/03/17")</f>
        <v>2025/03/17</v>
      </c>
      <c r="AL630" s="39" t="str">
        <f t="shared" si="50"/>
        <v>2025/04/01</v>
      </c>
    </row>
    <row r="631" spans="1:38" x14ac:dyDescent="0.25">
      <c r="A631" s="39" t="str">
        <f>("1402080152")</f>
        <v>1402080152</v>
      </c>
      <c r="C631" s="39"/>
      <c r="D631" s="39" t="s">
        <v>8970</v>
      </c>
      <c r="E631" s="371" t="str">
        <f t="shared" si="47"/>
        <v>ふじさわ　ゆうと</v>
      </c>
      <c r="F631" s="39" t="s">
        <v>2557</v>
      </c>
      <c r="G631" s="39" t="s">
        <v>7828</v>
      </c>
      <c r="H631" s="39" t="str">
        <f>("2014/02/08")</f>
        <v>2014/02/08</v>
      </c>
      <c r="I631" s="39">
        <v>6</v>
      </c>
      <c r="J631" s="39" t="s">
        <v>1478</v>
      </c>
      <c r="K631" s="39" t="s">
        <v>2122</v>
      </c>
      <c r="L631" s="39" t="s">
        <v>7830</v>
      </c>
      <c r="M631" s="39" t="s">
        <v>7831</v>
      </c>
      <c r="N631" s="39" t="str">
        <f>("0130723")</f>
        <v>0130723</v>
      </c>
      <c r="P631" s="39" t="s">
        <v>12118</v>
      </c>
      <c r="Q631" s="39" t="s">
        <v>8568</v>
      </c>
      <c r="R631" s="39" t="s">
        <v>8569</v>
      </c>
      <c r="S631" s="39" t="s">
        <v>8570</v>
      </c>
      <c r="AK631" s="39" t="str">
        <f>("2025/03/17")</f>
        <v>2025/03/17</v>
      </c>
      <c r="AL631" s="39" t="str">
        <f t="shared" si="50"/>
        <v>2025/04/01</v>
      </c>
    </row>
    <row r="632" spans="1:38" x14ac:dyDescent="0.25">
      <c r="A632" s="39" t="str">
        <f>("1402100050")</f>
        <v>1402100050</v>
      </c>
      <c r="C632" s="39"/>
      <c r="D632" s="39" t="s">
        <v>4508</v>
      </c>
      <c r="E632" s="371" t="str">
        <f t="shared" si="47"/>
        <v>いわお　あやか</v>
      </c>
      <c r="F632" s="39" t="s">
        <v>2324</v>
      </c>
      <c r="G632" s="39" t="s">
        <v>7828</v>
      </c>
      <c r="H632" s="39" t="str">
        <f>("2014/02/10")</f>
        <v>2014/02/10</v>
      </c>
      <c r="I632" s="39">
        <v>6</v>
      </c>
      <c r="J632" s="39" t="s">
        <v>1480</v>
      </c>
      <c r="K632" s="39" t="s">
        <v>2122</v>
      </c>
      <c r="L632" s="39" t="s">
        <v>7830</v>
      </c>
      <c r="M632" s="39" t="s">
        <v>7831</v>
      </c>
      <c r="N632" s="39" t="str">
        <f>("0130486")</f>
        <v>0130486</v>
      </c>
      <c r="P632" s="39" t="s">
        <v>12119</v>
      </c>
      <c r="Q632" s="39" t="s">
        <v>8568</v>
      </c>
      <c r="R632" s="39" t="s">
        <v>8569</v>
      </c>
      <c r="S632" s="39" t="s">
        <v>8570</v>
      </c>
      <c r="AK632" s="39" t="str">
        <f>("2025/03/24")</f>
        <v>2025/03/24</v>
      </c>
      <c r="AL632" s="39" t="str">
        <f t="shared" si="50"/>
        <v>2025/04/01</v>
      </c>
    </row>
    <row r="633" spans="1:38" x14ac:dyDescent="0.25">
      <c r="A633" s="39" t="str">
        <f>("1402100113")</f>
        <v>1402100113</v>
      </c>
      <c r="C633" s="39"/>
      <c r="D633" s="39" t="s">
        <v>4269</v>
      </c>
      <c r="E633" s="371" t="str">
        <f t="shared" si="47"/>
        <v>よしだ　けいじ</v>
      </c>
      <c r="F633" s="39" t="s">
        <v>3866</v>
      </c>
      <c r="G633" s="39" t="s">
        <v>7828</v>
      </c>
      <c r="H633" s="39" t="str">
        <f>("2014/02/10")</f>
        <v>2014/02/10</v>
      </c>
      <c r="I633" s="39">
        <v>6</v>
      </c>
      <c r="J633" s="39" t="s">
        <v>1478</v>
      </c>
      <c r="K633" s="39" t="s">
        <v>2122</v>
      </c>
      <c r="L633" s="39" t="s">
        <v>7830</v>
      </c>
      <c r="M633" s="39" t="s">
        <v>7831</v>
      </c>
      <c r="N633" s="39" t="str">
        <f>("0129675")</f>
        <v>0129675</v>
      </c>
      <c r="P633" s="39" t="s">
        <v>12120</v>
      </c>
      <c r="Q633" s="39" t="s">
        <v>8568</v>
      </c>
      <c r="R633" s="39" t="s">
        <v>8569</v>
      </c>
      <c r="S633" s="39" t="s">
        <v>8570</v>
      </c>
      <c r="AK633" s="39" t="str">
        <f>("2025/04/01")</f>
        <v>2025/04/01</v>
      </c>
      <c r="AL633" s="39" t="str">
        <f t="shared" si="50"/>
        <v>2025/04/01</v>
      </c>
    </row>
    <row r="634" spans="1:38" x14ac:dyDescent="0.25">
      <c r="A634" s="39" t="str">
        <f>("1402130104")</f>
        <v>1402130104</v>
      </c>
      <c r="C634" s="39"/>
      <c r="D634" s="39" t="s">
        <v>4464</v>
      </c>
      <c r="E634" s="371" t="str">
        <f t="shared" si="47"/>
        <v>おかはら　みづき</v>
      </c>
      <c r="F634" s="39" t="s">
        <v>2531</v>
      </c>
      <c r="G634" s="39" t="s">
        <v>7828</v>
      </c>
      <c r="H634" s="39" t="str">
        <f>("2014/02/13")</f>
        <v>2014/02/13</v>
      </c>
      <c r="I634" s="39">
        <v>6</v>
      </c>
      <c r="J634" s="39" t="s">
        <v>1480</v>
      </c>
      <c r="K634" s="39" t="s">
        <v>2122</v>
      </c>
      <c r="L634" s="39" t="s">
        <v>7830</v>
      </c>
      <c r="M634" s="39" t="s">
        <v>7831</v>
      </c>
      <c r="N634" s="39" t="str">
        <f>("0130419")</f>
        <v>0130419</v>
      </c>
      <c r="P634" s="39" t="s">
        <v>12121</v>
      </c>
      <c r="Q634" s="39" t="s">
        <v>8568</v>
      </c>
      <c r="R634" s="39" t="s">
        <v>8569</v>
      </c>
      <c r="S634" s="39" t="s">
        <v>8570</v>
      </c>
      <c r="AK634" s="39" t="str">
        <f t="shared" ref="AK634:AK639" si="51">("2025/03/17")</f>
        <v>2025/03/17</v>
      </c>
      <c r="AL634" s="39" t="str">
        <f t="shared" si="50"/>
        <v>2025/04/01</v>
      </c>
    </row>
    <row r="635" spans="1:38" x14ac:dyDescent="0.25">
      <c r="A635" s="39" t="str">
        <f>("1402130118")</f>
        <v>1402130118</v>
      </c>
      <c r="C635" s="39"/>
      <c r="D635" s="39" t="s">
        <v>5957</v>
      </c>
      <c r="E635" s="371" t="str">
        <f t="shared" si="47"/>
        <v>まつもと　こうた</v>
      </c>
      <c r="F635" s="39" t="s">
        <v>5617</v>
      </c>
      <c r="G635" s="39" t="s">
        <v>7828</v>
      </c>
      <c r="H635" s="39" t="str">
        <f>("2014/02/13")</f>
        <v>2014/02/13</v>
      </c>
      <c r="I635" s="39">
        <v>6</v>
      </c>
      <c r="J635" s="39" t="s">
        <v>1478</v>
      </c>
      <c r="K635" s="39" t="s">
        <v>2122</v>
      </c>
      <c r="L635" s="39" t="s">
        <v>7830</v>
      </c>
      <c r="M635" s="39" t="s">
        <v>7831</v>
      </c>
      <c r="N635" s="39" t="str">
        <f>("0130756")</f>
        <v>0130756</v>
      </c>
      <c r="P635" s="39" t="s">
        <v>12122</v>
      </c>
      <c r="Q635" s="39" t="s">
        <v>8568</v>
      </c>
      <c r="R635" s="39" t="s">
        <v>8569</v>
      </c>
      <c r="S635" s="39" t="s">
        <v>8570</v>
      </c>
      <c r="AK635" s="39" t="str">
        <f t="shared" si="51"/>
        <v>2025/03/17</v>
      </c>
      <c r="AL635" s="39" t="str">
        <f t="shared" si="50"/>
        <v>2025/04/01</v>
      </c>
    </row>
    <row r="636" spans="1:38" x14ac:dyDescent="0.25">
      <c r="A636" s="39" t="str">
        <f>("1402130136")</f>
        <v>1402130136</v>
      </c>
      <c r="B636" s="39" t="s">
        <v>8971</v>
      </c>
      <c r="C636" s="39"/>
      <c r="D636" s="39" t="s">
        <v>3865</v>
      </c>
      <c r="E636" s="371" t="str">
        <f t="shared" si="47"/>
        <v>わたなべ　りくと</v>
      </c>
      <c r="F636" s="39" t="s">
        <v>2188</v>
      </c>
      <c r="G636" s="39" t="s">
        <v>7828</v>
      </c>
      <c r="H636" s="39" t="str">
        <f>("2014/02/23")</f>
        <v>2014/02/23</v>
      </c>
      <c r="I636" s="39">
        <v>6</v>
      </c>
      <c r="J636" s="39" t="s">
        <v>1478</v>
      </c>
      <c r="K636" s="39" t="s">
        <v>2122</v>
      </c>
      <c r="L636" s="39" t="s">
        <v>7830</v>
      </c>
      <c r="M636" s="39" t="s">
        <v>7831</v>
      </c>
      <c r="N636" s="39" t="str">
        <f>("0129596")</f>
        <v>0129596</v>
      </c>
      <c r="P636" s="39" t="s">
        <v>12123</v>
      </c>
      <c r="Q636" s="39" t="s">
        <v>8568</v>
      </c>
      <c r="R636" s="39" t="s">
        <v>8569</v>
      </c>
      <c r="S636" s="39" t="s">
        <v>8570</v>
      </c>
      <c r="AK636" s="39" t="str">
        <f t="shared" si="51"/>
        <v>2025/03/17</v>
      </c>
      <c r="AL636" s="39" t="str">
        <f t="shared" si="50"/>
        <v>2025/04/01</v>
      </c>
    </row>
    <row r="637" spans="1:38" x14ac:dyDescent="0.25">
      <c r="A637" s="39" t="str">
        <f>("1402130146")</f>
        <v>1402130146</v>
      </c>
      <c r="C637" s="39"/>
      <c r="D637" s="39" t="s">
        <v>4704</v>
      </c>
      <c r="E637" s="371" t="str">
        <f t="shared" si="47"/>
        <v>もりもと　ゆうと</v>
      </c>
      <c r="F637" s="39" t="s">
        <v>2584</v>
      </c>
      <c r="G637" s="39" t="s">
        <v>7828</v>
      </c>
      <c r="H637" s="39" t="str">
        <f>("2014/02/13")</f>
        <v>2014/02/13</v>
      </c>
      <c r="I637" s="39">
        <v>6</v>
      </c>
      <c r="J637" s="39" t="s">
        <v>1478</v>
      </c>
      <c r="K637" s="39" t="s">
        <v>2122</v>
      </c>
      <c r="L637" s="39" t="s">
        <v>7830</v>
      </c>
      <c r="M637" s="39" t="s">
        <v>7831</v>
      </c>
      <c r="N637" s="39" t="str">
        <f>("0374071")</f>
        <v>0374071</v>
      </c>
      <c r="P637" s="39" t="s">
        <v>12124</v>
      </c>
      <c r="Q637" s="39" t="s">
        <v>8568</v>
      </c>
      <c r="R637" s="39" t="s">
        <v>8569</v>
      </c>
      <c r="S637" s="39" t="s">
        <v>8570</v>
      </c>
      <c r="AK637" s="39" t="str">
        <f t="shared" si="51"/>
        <v>2025/03/17</v>
      </c>
      <c r="AL637" s="39" t="str">
        <f t="shared" si="50"/>
        <v>2025/04/01</v>
      </c>
    </row>
    <row r="638" spans="1:38" x14ac:dyDescent="0.25">
      <c r="A638" s="39" t="str">
        <f>("1402140011")</f>
        <v>1402140011</v>
      </c>
      <c r="C638" s="39"/>
      <c r="D638" s="39" t="s">
        <v>4593</v>
      </c>
      <c r="E638" s="371" t="str">
        <f t="shared" si="47"/>
        <v>おの　みなと</v>
      </c>
      <c r="F638" s="39" t="s">
        <v>2544</v>
      </c>
      <c r="G638" s="39" t="s">
        <v>7828</v>
      </c>
      <c r="H638" s="39" t="str">
        <f>("2014/02/14")</f>
        <v>2014/02/14</v>
      </c>
      <c r="I638" s="39">
        <v>6</v>
      </c>
      <c r="J638" s="39" t="s">
        <v>1478</v>
      </c>
      <c r="K638" s="39" t="s">
        <v>2122</v>
      </c>
      <c r="L638" s="39" t="s">
        <v>7830</v>
      </c>
      <c r="M638" s="39" t="s">
        <v>7831</v>
      </c>
      <c r="N638" s="39" t="str">
        <f>("0130644")</f>
        <v>0130644</v>
      </c>
      <c r="P638" s="39" t="s">
        <v>12125</v>
      </c>
      <c r="Q638" s="39" t="s">
        <v>8568</v>
      </c>
      <c r="R638" s="39" t="s">
        <v>8569</v>
      </c>
      <c r="S638" s="39" t="s">
        <v>8570</v>
      </c>
      <c r="AK638" s="39" t="str">
        <f t="shared" si="51"/>
        <v>2025/03/17</v>
      </c>
      <c r="AL638" s="39" t="str">
        <f t="shared" si="50"/>
        <v>2025/04/01</v>
      </c>
    </row>
    <row r="639" spans="1:38" x14ac:dyDescent="0.25">
      <c r="A639" s="39" t="str">
        <f>("1402140032")</f>
        <v>1402140032</v>
      </c>
      <c r="B639" s="39" t="s">
        <v>8972</v>
      </c>
      <c r="C639" s="39"/>
      <c r="D639" s="39" t="s">
        <v>4599</v>
      </c>
      <c r="E639" s="371" t="str">
        <f t="shared" si="47"/>
        <v>うしの　えいた</v>
      </c>
      <c r="F639" s="39" t="s">
        <v>2544</v>
      </c>
      <c r="G639" s="39" t="s">
        <v>7828</v>
      </c>
      <c r="H639" s="39" t="str">
        <f>("2014/02/14")</f>
        <v>2014/02/14</v>
      </c>
      <c r="I639" s="39">
        <v>6</v>
      </c>
      <c r="J639" s="39" t="s">
        <v>1478</v>
      </c>
      <c r="K639" s="39" t="s">
        <v>2122</v>
      </c>
      <c r="L639" s="39" t="s">
        <v>7830</v>
      </c>
      <c r="M639" s="39" t="s">
        <v>7831</v>
      </c>
      <c r="N639" s="39" t="str">
        <f>("0130644")</f>
        <v>0130644</v>
      </c>
      <c r="P639" s="39" t="s">
        <v>12126</v>
      </c>
      <c r="Q639" s="39" t="s">
        <v>8568</v>
      </c>
      <c r="R639" s="39" t="s">
        <v>8569</v>
      </c>
      <c r="S639" s="39" t="s">
        <v>8570</v>
      </c>
      <c r="AK639" s="39" t="str">
        <f t="shared" si="51"/>
        <v>2025/03/17</v>
      </c>
      <c r="AL639" s="39" t="str">
        <f t="shared" si="50"/>
        <v>2025/04/01</v>
      </c>
    </row>
    <row r="640" spans="1:38" x14ac:dyDescent="0.25">
      <c r="A640" s="39" t="str">
        <f>("1402140093")</f>
        <v>1402140093</v>
      </c>
      <c r="B640" s="39" t="s">
        <v>8973</v>
      </c>
      <c r="C640" s="39"/>
      <c r="D640" s="39" t="s">
        <v>4763</v>
      </c>
      <c r="E640" s="371" t="str">
        <f t="shared" si="47"/>
        <v>くどう　はると</v>
      </c>
      <c r="F640" s="39" t="s">
        <v>5621</v>
      </c>
      <c r="G640" s="39" t="s">
        <v>7828</v>
      </c>
      <c r="H640" s="39" t="str">
        <f>("2014/02/14")</f>
        <v>2014/02/14</v>
      </c>
      <c r="I640" s="39">
        <v>6</v>
      </c>
      <c r="J640" s="39" t="s">
        <v>1478</v>
      </c>
      <c r="K640" s="39" t="s">
        <v>2122</v>
      </c>
      <c r="L640" s="39" t="s">
        <v>7830</v>
      </c>
      <c r="M640" s="39" t="s">
        <v>7831</v>
      </c>
      <c r="N640" s="39" t="str">
        <f>("1110654")</f>
        <v>1110654</v>
      </c>
      <c r="P640" s="39" t="s">
        <v>12127</v>
      </c>
      <c r="Q640" s="39" t="s">
        <v>8568</v>
      </c>
      <c r="R640" s="39" t="s">
        <v>8569</v>
      </c>
      <c r="S640" s="39" t="s">
        <v>8570</v>
      </c>
      <c r="AA640" s="39" t="s">
        <v>2122</v>
      </c>
      <c r="AB640" s="39" t="s">
        <v>7830</v>
      </c>
      <c r="AC640" s="39" t="s">
        <v>7831</v>
      </c>
      <c r="AD640" s="39" t="str">
        <f>("0456892")</f>
        <v>0456892</v>
      </c>
      <c r="AE640" s="39" t="s">
        <v>2615</v>
      </c>
      <c r="AK640" s="39" t="str">
        <f>("2025/03/03")</f>
        <v>2025/03/03</v>
      </c>
      <c r="AL640" s="39" t="str">
        <f t="shared" si="50"/>
        <v>2025/04/01</v>
      </c>
    </row>
    <row r="641" spans="1:38" x14ac:dyDescent="0.25">
      <c r="A641" s="39" t="str">
        <f>("1402140155")</f>
        <v>1402140155</v>
      </c>
      <c r="C641" s="39"/>
      <c r="D641" s="39" t="s">
        <v>5646</v>
      </c>
      <c r="E641" s="371" t="str">
        <f t="shared" si="47"/>
        <v>みとま　ゆうか</v>
      </c>
      <c r="F641" s="39" t="s">
        <v>684</v>
      </c>
      <c r="G641" s="39" t="s">
        <v>7828</v>
      </c>
      <c r="H641" s="39" t="str">
        <f>("2014/02/14")</f>
        <v>2014/02/14</v>
      </c>
      <c r="I641" s="39">
        <v>6</v>
      </c>
      <c r="J641" s="39" t="s">
        <v>1480</v>
      </c>
      <c r="K641" s="39" t="s">
        <v>2122</v>
      </c>
      <c r="L641" s="39" t="s">
        <v>7830</v>
      </c>
      <c r="M641" s="39" t="s">
        <v>7831</v>
      </c>
      <c r="N641" s="39" t="str">
        <f>("0129518")</f>
        <v>0129518</v>
      </c>
      <c r="P641" s="39" t="s">
        <v>12128</v>
      </c>
      <c r="Q641" s="39" t="s">
        <v>8568</v>
      </c>
      <c r="R641" s="39" t="s">
        <v>8569</v>
      </c>
      <c r="S641" s="39" t="s">
        <v>8570</v>
      </c>
      <c r="AK641" s="39" t="str">
        <f>("2025/03/17")</f>
        <v>2025/03/17</v>
      </c>
      <c r="AL641" s="39" t="str">
        <f t="shared" si="50"/>
        <v>2025/04/01</v>
      </c>
    </row>
    <row r="642" spans="1:38" x14ac:dyDescent="0.25">
      <c r="A642" s="39" t="str">
        <f>("1402140183")</f>
        <v>1402140183</v>
      </c>
      <c r="C642" s="39"/>
      <c r="D642" s="39" t="s">
        <v>5941</v>
      </c>
      <c r="E642" s="371" t="str">
        <f t="shared" si="47"/>
        <v>ひらた　かける</v>
      </c>
      <c r="F642" s="39" t="s">
        <v>2557</v>
      </c>
      <c r="G642" s="39" t="s">
        <v>7828</v>
      </c>
      <c r="H642" s="39" t="str">
        <f>("2014/02/14")</f>
        <v>2014/02/14</v>
      </c>
      <c r="I642" s="39">
        <v>6</v>
      </c>
      <c r="J642" s="39" t="s">
        <v>1478</v>
      </c>
      <c r="K642" s="39" t="s">
        <v>2122</v>
      </c>
      <c r="L642" s="39" t="s">
        <v>7830</v>
      </c>
      <c r="M642" s="39" t="s">
        <v>7831</v>
      </c>
      <c r="N642" s="39" t="str">
        <f>("0130723")</f>
        <v>0130723</v>
      </c>
      <c r="P642" s="39" t="s">
        <v>12129</v>
      </c>
      <c r="Q642" s="39" t="s">
        <v>8568</v>
      </c>
      <c r="R642" s="39" t="s">
        <v>8569</v>
      </c>
      <c r="S642" s="39" t="s">
        <v>8570</v>
      </c>
      <c r="AK642" s="39" t="str">
        <f>("2025/03/17")</f>
        <v>2025/03/17</v>
      </c>
      <c r="AL642" s="39" t="str">
        <f t="shared" si="50"/>
        <v>2025/04/01</v>
      </c>
    </row>
    <row r="643" spans="1:38" x14ac:dyDescent="0.25">
      <c r="A643" s="39" t="str">
        <f>("1402150080")</f>
        <v>1402150080</v>
      </c>
      <c r="B643" s="39" t="s">
        <v>8974</v>
      </c>
      <c r="C643" s="39"/>
      <c r="D643" s="39" t="s">
        <v>8975</v>
      </c>
      <c r="E643" s="371" t="str">
        <f t="shared" ref="E643:E706" si="52">PHONETIC(P643)</f>
        <v>なかもと　だいき</v>
      </c>
      <c r="F643" s="39" t="s">
        <v>2188</v>
      </c>
      <c r="G643" s="39" t="s">
        <v>7828</v>
      </c>
      <c r="H643" s="39" t="str">
        <f>("2014/02/15")</f>
        <v>2014/02/15</v>
      </c>
      <c r="I643" s="39">
        <v>6</v>
      </c>
      <c r="J643" s="39" t="s">
        <v>1478</v>
      </c>
      <c r="K643" s="39" t="s">
        <v>2122</v>
      </c>
      <c r="L643" s="39" t="s">
        <v>7830</v>
      </c>
      <c r="M643" s="39" t="s">
        <v>7831</v>
      </c>
      <c r="N643" s="39" t="str">
        <f>("0129596")</f>
        <v>0129596</v>
      </c>
      <c r="P643" s="39" t="s">
        <v>12130</v>
      </c>
      <c r="Q643" s="39" t="s">
        <v>8568</v>
      </c>
      <c r="R643" s="39" t="s">
        <v>8569</v>
      </c>
      <c r="S643" s="39" t="s">
        <v>8570</v>
      </c>
      <c r="AK643" s="39" t="str">
        <f>("2025/03/17")</f>
        <v>2025/03/17</v>
      </c>
      <c r="AL643" s="39" t="str">
        <f t="shared" si="50"/>
        <v>2025/04/01</v>
      </c>
    </row>
    <row r="644" spans="1:38" x14ac:dyDescent="0.25">
      <c r="A644" s="39" t="str">
        <f>("1402160088")</f>
        <v>1402160088</v>
      </c>
      <c r="C644" s="39"/>
      <c r="D644" s="39" t="s">
        <v>4727</v>
      </c>
      <c r="E644" s="371" t="str">
        <f t="shared" si="52"/>
        <v>やの　はるひ</v>
      </c>
      <c r="F644" s="39" t="s">
        <v>2600</v>
      </c>
      <c r="G644" s="39" t="s">
        <v>7828</v>
      </c>
      <c r="H644" s="39" t="str">
        <f>("2014/02/16")</f>
        <v>2014/02/16</v>
      </c>
      <c r="I644" s="39">
        <v>6</v>
      </c>
      <c r="J644" s="39" t="s">
        <v>1478</v>
      </c>
      <c r="K644" s="39" t="s">
        <v>2122</v>
      </c>
      <c r="L644" s="39" t="s">
        <v>7830</v>
      </c>
      <c r="M644" s="39" t="s">
        <v>7831</v>
      </c>
      <c r="N644" s="39" t="str">
        <f>("0429757")</f>
        <v>0429757</v>
      </c>
      <c r="P644" s="39" t="s">
        <v>12131</v>
      </c>
      <c r="Q644" s="39" t="s">
        <v>8568</v>
      </c>
      <c r="R644" s="39" t="s">
        <v>8569</v>
      </c>
      <c r="S644" s="39" t="s">
        <v>8570</v>
      </c>
      <c r="AK644" s="39" t="str">
        <f>("2025/03/24")</f>
        <v>2025/03/24</v>
      </c>
      <c r="AL644" s="39" t="str">
        <f t="shared" si="50"/>
        <v>2025/04/01</v>
      </c>
    </row>
    <row r="645" spans="1:38" x14ac:dyDescent="0.25">
      <c r="A645" s="39" t="str">
        <f>("1402170067")</f>
        <v>1402170067</v>
      </c>
      <c r="C645" s="39"/>
      <c r="D645" s="39" t="s">
        <v>8976</v>
      </c>
      <c r="E645" s="371" t="str">
        <f t="shared" si="52"/>
        <v>たなか　れお</v>
      </c>
      <c r="F645" s="39" t="s">
        <v>1158</v>
      </c>
      <c r="G645" s="39" t="s">
        <v>7828</v>
      </c>
      <c r="H645" s="39" t="str">
        <f>("2014/02/17")</f>
        <v>2014/02/17</v>
      </c>
      <c r="I645" s="39">
        <v>6</v>
      </c>
      <c r="J645" s="39" t="s">
        <v>1478</v>
      </c>
      <c r="K645" s="39" t="s">
        <v>2122</v>
      </c>
      <c r="L645" s="39" t="s">
        <v>7830</v>
      </c>
      <c r="M645" s="39" t="s">
        <v>7831</v>
      </c>
      <c r="N645" s="39" t="str">
        <f>("0130318")</f>
        <v>0130318</v>
      </c>
      <c r="P645" s="39" t="s">
        <v>12132</v>
      </c>
      <c r="Q645" s="39" t="s">
        <v>8568</v>
      </c>
      <c r="R645" s="39" t="s">
        <v>8569</v>
      </c>
      <c r="S645" s="39" t="s">
        <v>8570</v>
      </c>
      <c r="AA645" s="39" t="s">
        <v>8977</v>
      </c>
      <c r="AB645" s="39" t="s">
        <v>7830</v>
      </c>
      <c r="AC645" s="39" t="s">
        <v>7831</v>
      </c>
      <c r="AD645" s="39" t="str">
        <f>("0370538")</f>
        <v>0370538</v>
      </c>
      <c r="AE645" s="39" t="s">
        <v>8978</v>
      </c>
      <c r="AK645" s="39" t="str">
        <f>("2025/03/17")</f>
        <v>2025/03/17</v>
      </c>
      <c r="AL645" s="39" t="str">
        <f t="shared" si="50"/>
        <v>2025/04/01</v>
      </c>
    </row>
    <row r="646" spans="1:38" x14ac:dyDescent="0.25">
      <c r="A646" s="39" t="str">
        <f>("1402170138")</f>
        <v>1402170138</v>
      </c>
      <c r="C646" s="39"/>
      <c r="D646" s="39" t="s">
        <v>6165</v>
      </c>
      <c r="E646" s="371" t="str">
        <f t="shared" si="52"/>
        <v>わたなべ　ひなた</v>
      </c>
      <c r="F646" s="39" t="s">
        <v>1095</v>
      </c>
      <c r="G646" s="39" t="s">
        <v>7828</v>
      </c>
      <c r="H646" s="39" t="str">
        <f>("2014/02/17")</f>
        <v>2014/02/17</v>
      </c>
      <c r="I646" s="39">
        <v>6</v>
      </c>
      <c r="J646" s="39" t="s">
        <v>1478</v>
      </c>
      <c r="K646" s="39" t="s">
        <v>2122</v>
      </c>
      <c r="L646" s="39" t="s">
        <v>7830</v>
      </c>
      <c r="M646" s="39" t="s">
        <v>7831</v>
      </c>
      <c r="N646" s="39" t="str">
        <f>("0487492")</f>
        <v>0487492</v>
      </c>
      <c r="P646" s="39" t="s">
        <v>12133</v>
      </c>
      <c r="Q646" s="39" t="s">
        <v>8568</v>
      </c>
      <c r="R646" s="39" t="s">
        <v>8569</v>
      </c>
      <c r="S646" s="39" t="s">
        <v>8570</v>
      </c>
      <c r="AK646" s="39" t="str">
        <f>("2025/03/21")</f>
        <v>2025/03/21</v>
      </c>
      <c r="AL646" s="39" t="str">
        <f t="shared" si="50"/>
        <v>2025/04/01</v>
      </c>
    </row>
    <row r="647" spans="1:38" x14ac:dyDescent="0.25">
      <c r="A647" s="39" t="str">
        <f>("1402180021")</f>
        <v>1402180021</v>
      </c>
      <c r="C647" s="39"/>
      <c r="D647" s="39" t="s">
        <v>5661</v>
      </c>
      <c r="E647" s="371" t="str">
        <f t="shared" si="52"/>
        <v>ひの　そうた</v>
      </c>
      <c r="F647" s="39" t="s">
        <v>2477</v>
      </c>
      <c r="G647" s="39" t="s">
        <v>7828</v>
      </c>
      <c r="H647" s="39" t="str">
        <f>("2014/02/18")</f>
        <v>2014/02/18</v>
      </c>
      <c r="I647" s="39">
        <v>6</v>
      </c>
      <c r="J647" s="39" t="s">
        <v>1478</v>
      </c>
      <c r="K647" s="39" t="s">
        <v>2122</v>
      </c>
      <c r="L647" s="39" t="s">
        <v>7830</v>
      </c>
      <c r="M647" s="39" t="s">
        <v>7831</v>
      </c>
      <c r="N647" s="39" t="str">
        <f>("0129541")</f>
        <v>0129541</v>
      </c>
      <c r="P647" s="39" t="s">
        <v>12134</v>
      </c>
      <c r="Q647" s="39" t="s">
        <v>8568</v>
      </c>
      <c r="R647" s="39" t="s">
        <v>8569</v>
      </c>
      <c r="S647" s="39" t="s">
        <v>8570</v>
      </c>
      <c r="AA647" s="39" t="s">
        <v>2122</v>
      </c>
      <c r="AB647" s="39" t="s">
        <v>7830</v>
      </c>
      <c r="AC647" s="39" t="s">
        <v>7831</v>
      </c>
      <c r="AD647" s="39" t="str">
        <f>("0129495")</f>
        <v>0129495</v>
      </c>
      <c r="AE647" s="39" t="s">
        <v>8799</v>
      </c>
      <c r="AF647" s="39" t="s">
        <v>2122</v>
      </c>
      <c r="AG647" s="39" t="s">
        <v>7830</v>
      </c>
      <c r="AH647" s="39" t="s">
        <v>7831</v>
      </c>
      <c r="AI647" s="39" t="str">
        <f>("0129484")</f>
        <v>0129484</v>
      </c>
      <c r="AJ647" s="39" t="s">
        <v>2878</v>
      </c>
      <c r="AK647" s="39" t="str">
        <f>("2025/03/27")</f>
        <v>2025/03/27</v>
      </c>
      <c r="AL647" s="39" t="str">
        <f t="shared" si="50"/>
        <v>2025/04/01</v>
      </c>
    </row>
    <row r="648" spans="1:38" x14ac:dyDescent="0.25">
      <c r="A648" s="39" t="str">
        <f>("1402190028")</f>
        <v>1402190028</v>
      </c>
      <c r="C648" s="39"/>
      <c r="D648" s="39" t="s">
        <v>4524</v>
      </c>
      <c r="E648" s="371" t="str">
        <f t="shared" si="52"/>
        <v>まつだ　みずき</v>
      </c>
      <c r="F648" s="39" t="s">
        <v>2533</v>
      </c>
      <c r="G648" s="39" t="s">
        <v>7828</v>
      </c>
      <c r="H648" s="39" t="str">
        <f>("2014/02/19")</f>
        <v>2014/02/19</v>
      </c>
      <c r="I648" s="39">
        <v>6</v>
      </c>
      <c r="J648" s="39" t="s">
        <v>1478</v>
      </c>
      <c r="K648" s="39" t="s">
        <v>2122</v>
      </c>
      <c r="L648" s="39" t="s">
        <v>7830</v>
      </c>
      <c r="M648" s="39" t="s">
        <v>7831</v>
      </c>
      <c r="N648" s="39" t="str">
        <f>("0130497")</f>
        <v>0130497</v>
      </c>
      <c r="P648" s="39" t="s">
        <v>12135</v>
      </c>
      <c r="Q648" s="39" t="s">
        <v>8568</v>
      </c>
      <c r="R648" s="39" t="s">
        <v>8569</v>
      </c>
      <c r="S648" s="39" t="s">
        <v>8570</v>
      </c>
      <c r="AK648" s="39" t="str">
        <f>("2025/03/17")</f>
        <v>2025/03/17</v>
      </c>
      <c r="AL648" s="39" t="str">
        <f t="shared" si="50"/>
        <v>2025/04/01</v>
      </c>
    </row>
    <row r="649" spans="1:38" x14ac:dyDescent="0.25">
      <c r="A649" s="39" t="str">
        <f>("1402190071")</f>
        <v>1402190071</v>
      </c>
      <c r="C649" s="39"/>
      <c r="D649" s="39" t="s">
        <v>4791</v>
      </c>
      <c r="E649" s="371" t="str">
        <f t="shared" si="52"/>
        <v>さいらいじ　あゆむ</v>
      </c>
      <c r="F649" s="39" t="s">
        <v>1446</v>
      </c>
      <c r="G649" s="39" t="s">
        <v>7828</v>
      </c>
      <c r="H649" s="39" t="str">
        <f>("2014/02/19")</f>
        <v>2014/02/19</v>
      </c>
      <c r="I649" s="39">
        <v>6</v>
      </c>
      <c r="J649" s="39" t="s">
        <v>1478</v>
      </c>
      <c r="K649" s="39" t="s">
        <v>2122</v>
      </c>
      <c r="L649" s="39" t="s">
        <v>7830</v>
      </c>
      <c r="M649" s="39" t="s">
        <v>7831</v>
      </c>
      <c r="N649" s="39" t="str">
        <f>("0478807")</f>
        <v>0478807</v>
      </c>
      <c r="P649" s="39" t="s">
        <v>12136</v>
      </c>
      <c r="Q649" s="39" t="s">
        <v>8568</v>
      </c>
      <c r="R649" s="39" t="s">
        <v>8569</v>
      </c>
      <c r="S649" s="39" t="s">
        <v>8570</v>
      </c>
      <c r="AK649" s="39" t="str">
        <f>("2025/03/21")</f>
        <v>2025/03/21</v>
      </c>
      <c r="AL649" s="39" t="str">
        <f t="shared" si="50"/>
        <v>2025/04/01</v>
      </c>
    </row>
    <row r="650" spans="1:38" x14ac:dyDescent="0.25">
      <c r="A650" s="39" t="str">
        <f>("1402190145")</f>
        <v>1402190145</v>
      </c>
      <c r="C650" s="39"/>
      <c r="D650" s="39" t="s">
        <v>8979</v>
      </c>
      <c r="E650" s="371" t="str">
        <f t="shared" si="52"/>
        <v>みさき　とうた</v>
      </c>
      <c r="F650" s="39" t="s">
        <v>2587</v>
      </c>
      <c r="G650" s="39" t="s">
        <v>7828</v>
      </c>
      <c r="H650" s="39" t="str">
        <f>("2014/02/19")</f>
        <v>2014/02/19</v>
      </c>
      <c r="I650" s="39">
        <v>6</v>
      </c>
      <c r="J650" s="39" t="s">
        <v>1478</v>
      </c>
      <c r="K650" s="39" t="s">
        <v>2122</v>
      </c>
      <c r="L650" s="39" t="s">
        <v>7830</v>
      </c>
      <c r="M650" s="39" t="s">
        <v>7831</v>
      </c>
      <c r="N650" s="39" t="str">
        <f>("0387334")</f>
        <v>0387334</v>
      </c>
      <c r="P650" s="39" t="s">
        <v>12137</v>
      </c>
      <c r="Q650" s="39" t="s">
        <v>8568</v>
      </c>
      <c r="R650" s="39" t="s">
        <v>8569</v>
      </c>
      <c r="S650" s="39" t="s">
        <v>8570</v>
      </c>
      <c r="AK650" s="39" t="str">
        <f>("2025/03/27")</f>
        <v>2025/03/27</v>
      </c>
      <c r="AL650" s="39" t="str">
        <f t="shared" si="50"/>
        <v>2025/04/01</v>
      </c>
    </row>
    <row r="651" spans="1:38" x14ac:dyDescent="0.25">
      <c r="A651" s="39" t="str">
        <f>("1402190189")</f>
        <v>1402190189</v>
      </c>
      <c r="C651" s="39"/>
      <c r="D651" s="39" t="s">
        <v>8980</v>
      </c>
      <c r="E651" s="371" t="str">
        <f t="shared" si="52"/>
        <v>やまぐち　えま</v>
      </c>
      <c r="F651" s="39" t="s">
        <v>2023</v>
      </c>
      <c r="G651" s="39" t="s">
        <v>7828</v>
      </c>
      <c r="H651" s="39" t="str">
        <f>("2014/02/19")</f>
        <v>2014/02/19</v>
      </c>
      <c r="I651" s="39">
        <v>6</v>
      </c>
      <c r="J651" s="39" t="s">
        <v>1480</v>
      </c>
      <c r="K651" s="39" t="s">
        <v>2122</v>
      </c>
      <c r="L651" s="39" t="s">
        <v>7830</v>
      </c>
      <c r="M651" s="39" t="s">
        <v>7831</v>
      </c>
      <c r="N651" s="39" t="str">
        <f>("0129967")</f>
        <v>0129967</v>
      </c>
      <c r="P651" s="39" t="s">
        <v>12138</v>
      </c>
      <c r="Q651" s="39" t="s">
        <v>8568</v>
      </c>
      <c r="R651" s="39" t="s">
        <v>8569</v>
      </c>
      <c r="S651" s="39" t="s">
        <v>8570</v>
      </c>
      <c r="AK651" s="39" t="str">
        <f>("2025/03/17")</f>
        <v>2025/03/17</v>
      </c>
      <c r="AL651" s="39" t="str">
        <f t="shared" si="50"/>
        <v>2025/04/01</v>
      </c>
    </row>
    <row r="652" spans="1:38" x14ac:dyDescent="0.25">
      <c r="A652" s="39" t="str">
        <f>("1402200065")</f>
        <v>1402200065</v>
      </c>
      <c r="C652" s="39"/>
      <c r="D652" s="39" t="s">
        <v>6246</v>
      </c>
      <c r="E652" s="371" t="str">
        <f t="shared" si="52"/>
        <v>はら　やまと</v>
      </c>
      <c r="F652" s="39" t="s">
        <v>1692</v>
      </c>
      <c r="G652" s="39" t="s">
        <v>7828</v>
      </c>
      <c r="H652" s="39" t="str">
        <f>("2014/02/20")</f>
        <v>2014/02/20</v>
      </c>
      <c r="I652" s="39">
        <v>6</v>
      </c>
      <c r="J652" s="39" t="s">
        <v>1478</v>
      </c>
      <c r="K652" s="39" t="s">
        <v>2122</v>
      </c>
      <c r="L652" s="39" t="s">
        <v>7830</v>
      </c>
      <c r="M652" s="39" t="s">
        <v>7831</v>
      </c>
      <c r="N652" s="39" t="str">
        <f>("1052299")</f>
        <v>1052299</v>
      </c>
      <c r="P652" s="39" t="s">
        <v>12139</v>
      </c>
      <c r="Q652" s="39" t="s">
        <v>8568</v>
      </c>
      <c r="R652" s="39" t="s">
        <v>8569</v>
      </c>
      <c r="S652" s="39" t="s">
        <v>8570</v>
      </c>
      <c r="AK652" s="39" t="str">
        <f>("2025/03/17")</f>
        <v>2025/03/17</v>
      </c>
      <c r="AL652" s="39" t="str">
        <f t="shared" si="50"/>
        <v>2025/04/01</v>
      </c>
    </row>
    <row r="653" spans="1:38" x14ac:dyDescent="0.25">
      <c r="A653" s="39" t="str">
        <f>("1402200110")</f>
        <v>1402200110</v>
      </c>
      <c r="C653" s="39"/>
      <c r="D653" s="39" t="s">
        <v>5708</v>
      </c>
      <c r="E653" s="371" t="str">
        <f t="shared" si="52"/>
        <v>むらかみ　たすく</v>
      </c>
      <c r="F653" s="39" t="s">
        <v>520</v>
      </c>
      <c r="G653" s="39" t="s">
        <v>7828</v>
      </c>
      <c r="H653" s="39" t="str">
        <f>("2014/02/20")</f>
        <v>2014/02/20</v>
      </c>
      <c r="I653" s="39">
        <v>6</v>
      </c>
      <c r="J653" s="39" t="s">
        <v>1478</v>
      </c>
      <c r="K653" s="39" t="s">
        <v>2122</v>
      </c>
      <c r="L653" s="39" t="s">
        <v>7830</v>
      </c>
      <c r="M653" s="39" t="s">
        <v>7831</v>
      </c>
      <c r="N653" s="39" t="str">
        <f>("0129765")</f>
        <v>0129765</v>
      </c>
      <c r="P653" s="39" t="s">
        <v>12140</v>
      </c>
      <c r="Q653" s="39" t="s">
        <v>8568</v>
      </c>
      <c r="R653" s="39" t="s">
        <v>8569</v>
      </c>
      <c r="S653" s="39" t="s">
        <v>8570</v>
      </c>
      <c r="AK653" s="39" t="str">
        <f>("2025/03/17")</f>
        <v>2025/03/17</v>
      </c>
      <c r="AL653" s="39" t="str">
        <f t="shared" si="50"/>
        <v>2025/04/01</v>
      </c>
    </row>
    <row r="654" spans="1:38" x14ac:dyDescent="0.25">
      <c r="A654" s="39" t="str">
        <f>("1402210068")</f>
        <v>1402210068</v>
      </c>
      <c r="C654" s="39"/>
      <c r="D654" s="39" t="s">
        <v>4373</v>
      </c>
      <c r="E654" s="371" t="str">
        <f t="shared" si="52"/>
        <v>つねなり　だいち</v>
      </c>
      <c r="F654" s="39" t="s">
        <v>3867</v>
      </c>
      <c r="G654" s="39" t="s">
        <v>7828</v>
      </c>
      <c r="H654" s="39" t="str">
        <f>("2014/02/21")</f>
        <v>2014/02/21</v>
      </c>
      <c r="I654" s="39">
        <v>6</v>
      </c>
      <c r="J654" s="39" t="s">
        <v>1478</v>
      </c>
      <c r="K654" s="39" t="s">
        <v>2122</v>
      </c>
      <c r="L654" s="39" t="s">
        <v>7830</v>
      </c>
      <c r="M654" s="39" t="s">
        <v>7831</v>
      </c>
      <c r="N654" s="39" t="str">
        <f>("0129990")</f>
        <v>0129990</v>
      </c>
      <c r="P654" s="39" t="s">
        <v>12141</v>
      </c>
      <c r="Q654" s="39" t="s">
        <v>8568</v>
      </c>
      <c r="R654" s="39" t="s">
        <v>8569</v>
      </c>
      <c r="S654" s="39" t="s">
        <v>8570</v>
      </c>
      <c r="AK654" s="39" t="str">
        <f>("2025/04/01")</f>
        <v>2025/04/01</v>
      </c>
      <c r="AL654" s="39" t="str">
        <f t="shared" si="50"/>
        <v>2025/04/01</v>
      </c>
    </row>
    <row r="655" spans="1:38" x14ac:dyDescent="0.25">
      <c r="A655" s="39" t="str">
        <f>("1402210089")</f>
        <v>1402210089</v>
      </c>
      <c r="C655" s="39"/>
      <c r="D655" s="39" t="s">
        <v>5955</v>
      </c>
      <c r="E655" s="371" t="str">
        <f t="shared" si="52"/>
        <v>たなか　ゆうと</v>
      </c>
      <c r="F655" s="39" t="s">
        <v>5617</v>
      </c>
      <c r="G655" s="39" t="s">
        <v>7828</v>
      </c>
      <c r="H655" s="39" t="str">
        <f>("2014/02/21")</f>
        <v>2014/02/21</v>
      </c>
      <c r="I655" s="39">
        <v>6</v>
      </c>
      <c r="J655" s="39" t="s">
        <v>1478</v>
      </c>
      <c r="K655" s="39" t="s">
        <v>2122</v>
      </c>
      <c r="L655" s="39" t="s">
        <v>7830</v>
      </c>
      <c r="M655" s="39" t="s">
        <v>7831</v>
      </c>
      <c r="N655" s="39" t="str">
        <f>("0130756")</f>
        <v>0130756</v>
      </c>
      <c r="P655" s="39" t="s">
        <v>12142</v>
      </c>
      <c r="Q655" s="39" t="s">
        <v>8568</v>
      </c>
      <c r="R655" s="39" t="s">
        <v>8569</v>
      </c>
      <c r="S655" s="39" t="s">
        <v>8570</v>
      </c>
      <c r="AK655" s="39" t="str">
        <f>("2025/03/17")</f>
        <v>2025/03/17</v>
      </c>
      <c r="AL655" s="39" t="str">
        <f t="shared" si="50"/>
        <v>2025/04/01</v>
      </c>
    </row>
    <row r="656" spans="1:38" x14ac:dyDescent="0.25">
      <c r="A656" s="39" t="str">
        <f>("1402230122")</f>
        <v>1402230122</v>
      </c>
      <c r="C656" s="39"/>
      <c r="D656" s="39" t="s">
        <v>5953</v>
      </c>
      <c r="E656" s="371" t="str">
        <f t="shared" si="52"/>
        <v>えとう　しゅんすけ</v>
      </c>
      <c r="F656" s="39" t="s">
        <v>5617</v>
      </c>
      <c r="G656" s="39" t="s">
        <v>7828</v>
      </c>
      <c r="H656" s="39" t="str">
        <f>("2014/02/23")</f>
        <v>2014/02/23</v>
      </c>
      <c r="I656" s="39">
        <v>6</v>
      </c>
      <c r="J656" s="39" t="s">
        <v>1478</v>
      </c>
      <c r="K656" s="39" t="s">
        <v>2122</v>
      </c>
      <c r="L656" s="39" t="s">
        <v>7830</v>
      </c>
      <c r="M656" s="39" t="s">
        <v>7831</v>
      </c>
      <c r="N656" s="39" t="str">
        <f>("0130756")</f>
        <v>0130756</v>
      </c>
      <c r="P656" s="39" t="s">
        <v>12143</v>
      </c>
      <c r="Q656" s="39" t="s">
        <v>8568</v>
      </c>
      <c r="R656" s="39" t="s">
        <v>8569</v>
      </c>
      <c r="S656" s="39" t="s">
        <v>8570</v>
      </c>
      <c r="AK656" s="39" t="str">
        <f>("2025/03/17")</f>
        <v>2025/03/17</v>
      </c>
      <c r="AL656" s="39" t="str">
        <f t="shared" si="50"/>
        <v>2025/04/01</v>
      </c>
    </row>
    <row r="657" spans="1:38" x14ac:dyDescent="0.25">
      <c r="A657" s="39" t="str">
        <f>("1402240054")</f>
        <v>1402240054</v>
      </c>
      <c r="C657" s="39"/>
      <c r="D657" s="39" t="s">
        <v>4344</v>
      </c>
      <c r="E657" s="371" t="str">
        <f t="shared" si="52"/>
        <v>いわお　なずな</v>
      </c>
      <c r="F657" s="39" t="s">
        <v>2505</v>
      </c>
      <c r="G657" s="39" t="s">
        <v>7828</v>
      </c>
      <c r="H657" s="39" t="str">
        <f>("2014/02/24")</f>
        <v>2014/02/24</v>
      </c>
      <c r="I657" s="39">
        <v>6</v>
      </c>
      <c r="J657" s="39" t="s">
        <v>1480</v>
      </c>
      <c r="K657" s="39" t="s">
        <v>2122</v>
      </c>
      <c r="L657" s="39" t="s">
        <v>7830</v>
      </c>
      <c r="M657" s="39" t="s">
        <v>7831</v>
      </c>
      <c r="N657" s="39" t="str">
        <f>("0129923")</f>
        <v>0129923</v>
      </c>
      <c r="P657" s="39" t="s">
        <v>12144</v>
      </c>
      <c r="Q657" s="39" t="s">
        <v>8568</v>
      </c>
      <c r="R657" s="39" t="s">
        <v>8569</v>
      </c>
      <c r="S657" s="39" t="s">
        <v>8570</v>
      </c>
      <c r="AK657" s="39" t="str">
        <f>("2025/03/17")</f>
        <v>2025/03/17</v>
      </c>
      <c r="AL657" s="39" t="str">
        <f t="shared" si="50"/>
        <v>2025/04/01</v>
      </c>
    </row>
    <row r="658" spans="1:38" x14ac:dyDescent="0.25">
      <c r="A658" s="39" t="str">
        <f>("1402240166")</f>
        <v>1402240166</v>
      </c>
      <c r="C658" s="39"/>
      <c r="D658" s="39" t="s">
        <v>8981</v>
      </c>
      <c r="E658" s="371" t="str">
        <f t="shared" si="52"/>
        <v>みやなが　のあ</v>
      </c>
      <c r="F658" s="39" t="s">
        <v>2557</v>
      </c>
      <c r="G658" s="39" t="s">
        <v>7828</v>
      </c>
      <c r="H658" s="39" t="str">
        <f>("2014/02/24")</f>
        <v>2014/02/24</v>
      </c>
      <c r="I658" s="39">
        <v>6</v>
      </c>
      <c r="J658" s="39" t="s">
        <v>1478</v>
      </c>
      <c r="K658" s="39" t="s">
        <v>2122</v>
      </c>
      <c r="L658" s="39" t="s">
        <v>7830</v>
      </c>
      <c r="M658" s="39" t="s">
        <v>7831</v>
      </c>
      <c r="N658" s="39" t="str">
        <f>("0130723")</f>
        <v>0130723</v>
      </c>
      <c r="P658" s="39" t="s">
        <v>12145</v>
      </c>
      <c r="Q658" s="39" t="s">
        <v>8568</v>
      </c>
      <c r="R658" s="39" t="s">
        <v>8569</v>
      </c>
      <c r="S658" s="39" t="s">
        <v>8570</v>
      </c>
      <c r="AK658" s="39" t="str">
        <f>("2025/03/17")</f>
        <v>2025/03/17</v>
      </c>
      <c r="AL658" s="39" t="str">
        <f t="shared" si="50"/>
        <v>2025/04/01</v>
      </c>
    </row>
    <row r="659" spans="1:38" x14ac:dyDescent="0.25">
      <c r="A659" s="39" t="str">
        <f>("1402240195")</f>
        <v>1402240195</v>
      </c>
      <c r="C659" s="39"/>
      <c r="D659" s="39" t="s">
        <v>8982</v>
      </c>
      <c r="E659" s="371" t="str">
        <f t="shared" si="52"/>
        <v>さとう　にこるじょい</v>
      </c>
      <c r="F659" s="39" t="s">
        <v>2651</v>
      </c>
      <c r="G659" s="39" t="s">
        <v>7828</v>
      </c>
      <c r="H659" s="39" t="str">
        <f>("2014/02/24")</f>
        <v>2014/02/24</v>
      </c>
      <c r="I659" s="39">
        <v>5</v>
      </c>
      <c r="J659" s="39" t="s">
        <v>1480</v>
      </c>
      <c r="K659" s="39" t="s">
        <v>2122</v>
      </c>
      <c r="L659" s="39" t="s">
        <v>7830</v>
      </c>
      <c r="M659" s="39" t="s">
        <v>7831</v>
      </c>
      <c r="N659" s="39" t="str">
        <f>("1067415")</f>
        <v>1067415</v>
      </c>
      <c r="P659" s="39" t="s">
        <v>12146</v>
      </c>
      <c r="Q659" s="39" t="s">
        <v>8568</v>
      </c>
      <c r="R659" s="39" t="s">
        <v>8569</v>
      </c>
      <c r="S659" s="39" t="s">
        <v>8570</v>
      </c>
      <c r="AK659" s="39" t="str">
        <f>("2025/06/19")</f>
        <v>2025/06/19</v>
      </c>
      <c r="AL659" s="39" t="str">
        <f>("2025/06/19")</f>
        <v>2025/06/19</v>
      </c>
    </row>
    <row r="660" spans="1:38" x14ac:dyDescent="0.25">
      <c r="A660" s="39" t="str">
        <f>("1402250188")</f>
        <v>1402250188</v>
      </c>
      <c r="C660" s="39"/>
      <c r="D660" s="39" t="s">
        <v>6233</v>
      </c>
      <c r="E660" s="371" t="str">
        <f t="shared" si="52"/>
        <v>もとなが　たくと</v>
      </c>
      <c r="F660" s="39" t="s">
        <v>2648</v>
      </c>
      <c r="G660" s="39" t="s">
        <v>7828</v>
      </c>
      <c r="H660" s="39" t="str">
        <f>("2014/02/25")</f>
        <v>2014/02/25</v>
      </c>
      <c r="I660" s="39">
        <v>6</v>
      </c>
      <c r="J660" s="39" t="s">
        <v>1478</v>
      </c>
      <c r="K660" s="39" t="s">
        <v>2122</v>
      </c>
      <c r="L660" s="39" t="s">
        <v>7830</v>
      </c>
      <c r="M660" s="39" t="s">
        <v>7831</v>
      </c>
      <c r="N660" s="39" t="str">
        <f>("1050097")</f>
        <v>1050097</v>
      </c>
      <c r="P660" s="39" t="s">
        <v>12147</v>
      </c>
      <c r="Q660" s="39" t="s">
        <v>8568</v>
      </c>
      <c r="R660" s="39" t="s">
        <v>8569</v>
      </c>
      <c r="S660" s="39" t="s">
        <v>8570</v>
      </c>
      <c r="AK660" s="39" t="str">
        <f>("2025/03/25")</f>
        <v>2025/03/25</v>
      </c>
      <c r="AL660" s="39" t="str">
        <f t="shared" ref="AL660:AL678" si="53">("2025/04/01")</f>
        <v>2025/04/01</v>
      </c>
    </row>
    <row r="661" spans="1:38" x14ac:dyDescent="0.25">
      <c r="A661" s="39" t="str">
        <f>("1402260169")</f>
        <v>1402260169</v>
      </c>
      <c r="C661" s="39"/>
      <c r="D661" s="39" t="s">
        <v>6080</v>
      </c>
      <c r="E661" s="371" t="str">
        <f t="shared" si="52"/>
        <v>あいざわ　たくみ</v>
      </c>
      <c r="F661" s="39" t="s">
        <v>829</v>
      </c>
      <c r="G661" s="39" t="s">
        <v>7828</v>
      </c>
      <c r="H661" s="39" t="str">
        <f>("2014/02/26")</f>
        <v>2014/02/26</v>
      </c>
      <c r="I661" s="39">
        <v>6</v>
      </c>
      <c r="J661" s="39" t="s">
        <v>1478</v>
      </c>
      <c r="K661" s="39" t="s">
        <v>2122</v>
      </c>
      <c r="L661" s="39" t="s">
        <v>7830</v>
      </c>
      <c r="M661" s="39" t="s">
        <v>7831</v>
      </c>
      <c r="N661" s="39" t="str">
        <f>("0426631")</f>
        <v>0426631</v>
      </c>
      <c r="P661" s="39" t="s">
        <v>12148</v>
      </c>
      <c r="Q661" s="39" t="s">
        <v>8568</v>
      </c>
      <c r="R661" s="39" t="s">
        <v>8569</v>
      </c>
      <c r="S661" s="39" t="s">
        <v>8570</v>
      </c>
      <c r="AK661" s="39" t="str">
        <f>("2025/03/21")</f>
        <v>2025/03/21</v>
      </c>
      <c r="AL661" s="39" t="str">
        <f t="shared" si="53"/>
        <v>2025/04/01</v>
      </c>
    </row>
    <row r="662" spans="1:38" x14ac:dyDescent="0.25">
      <c r="A662" s="39" t="str">
        <f>("1402270136")</f>
        <v>1402270136</v>
      </c>
      <c r="C662" s="39"/>
      <c r="D662" s="39" t="s">
        <v>5942</v>
      </c>
      <c r="E662" s="371" t="str">
        <f t="shared" si="52"/>
        <v>くしま　あきと</v>
      </c>
      <c r="F662" s="39" t="s">
        <v>2557</v>
      </c>
      <c r="G662" s="39" t="s">
        <v>7828</v>
      </c>
      <c r="H662" s="39" t="str">
        <f>("2014/02/27")</f>
        <v>2014/02/27</v>
      </c>
      <c r="I662" s="39">
        <v>6</v>
      </c>
      <c r="J662" s="39" t="s">
        <v>1478</v>
      </c>
      <c r="K662" s="39" t="s">
        <v>2122</v>
      </c>
      <c r="L662" s="39" t="s">
        <v>7830</v>
      </c>
      <c r="M662" s="39" t="s">
        <v>7831</v>
      </c>
      <c r="N662" s="39" t="str">
        <f>("0130723")</f>
        <v>0130723</v>
      </c>
      <c r="P662" s="39" t="s">
        <v>12149</v>
      </c>
      <c r="Q662" s="39" t="s">
        <v>8568</v>
      </c>
      <c r="R662" s="39" t="s">
        <v>8569</v>
      </c>
      <c r="S662" s="39" t="s">
        <v>8570</v>
      </c>
      <c r="AA662" s="39" t="s">
        <v>2122</v>
      </c>
      <c r="AB662" s="39" t="s">
        <v>7830</v>
      </c>
      <c r="AC662" s="39" t="s">
        <v>7831</v>
      </c>
      <c r="AD662" s="39" t="str">
        <f>("0426631")</f>
        <v>0426631</v>
      </c>
      <c r="AE662" s="39" t="s">
        <v>829</v>
      </c>
      <c r="AK662" s="39" t="str">
        <f>("2025/03/17")</f>
        <v>2025/03/17</v>
      </c>
      <c r="AL662" s="39" t="str">
        <f t="shared" si="53"/>
        <v>2025/04/01</v>
      </c>
    </row>
    <row r="663" spans="1:38" x14ac:dyDescent="0.25">
      <c r="A663" s="39" t="str">
        <f>("1402280148")</f>
        <v>1402280148</v>
      </c>
      <c r="C663" s="39"/>
      <c r="D663" s="39" t="s">
        <v>4230</v>
      </c>
      <c r="E663" s="371" t="str">
        <f t="shared" si="52"/>
        <v>いのうえ　たいち</v>
      </c>
      <c r="F663" s="39" t="s">
        <v>2878</v>
      </c>
      <c r="G663" s="39" t="s">
        <v>7828</v>
      </c>
      <c r="H663" s="39" t="str">
        <f>("2014/02/28")</f>
        <v>2014/02/28</v>
      </c>
      <c r="I663" s="39">
        <v>6</v>
      </c>
      <c r="J663" s="39" t="s">
        <v>1478</v>
      </c>
      <c r="K663" s="39" t="s">
        <v>2122</v>
      </c>
      <c r="L663" s="39" t="s">
        <v>7830</v>
      </c>
      <c r="M663" s="39" t="s">
        <v>7831</v>
      </c>
      <c r="N663" s="39" t="str">
        <f>("0129484")</f>
        <v>0129484</v>
      </c>
      <c r="P663" s="39" t="s">
        <v>12150</v>
      </c>
      <c r="Q663" s="39" t="s">
        <v>8568</v>
      </c>
      <c r="R663" s="39" t="s">
        <v>8569</v>
      </c>
      <c r="S663" s="39" t="s">
        <v>8570</v>
      </c>
      <c r="AK663" s="39" t="str">
        <f>("2025/03/17")</f>
        <v>2025/03/17</v>
      </c>
      <c r="AL663" s="39" t="str">
        <f t="shared" si="53"/>
        <v>2025/04/01</v>
      </c>
    </row>
    <row r="664" spans="1:38" x14ac:dyDescent="0.25">
      <c r="A664" s="39" t="str">
        <f>("1402280150")</f>
        <v>1402280150</v>
      </c>
      <c r="C664" s="39"/>
      <c r="D664" s="39" t="s">
        <v>5628</v>
      </c>
      <c r="E664" s="371" t="str">
        <f t="shared" si="52"/>
        <v>あなん　そうま</v>
      </c>
      <c r="F664" s="39" t="s">
        <v>2878</v>
      </c>
      <c r="G664" s="39" t="s">
        <v>7828</v>
      </c>
      <c r="H664" s="39" t="str">
        <f>("2014/02/28")</f>
        <v>2014/02/28</v>
      </c>
      <c r="I664" s="39">
        <v>6</v>
      </c>
      <c r="J664" s="39" t="s">
        <v>1478</v>
      </c>
      <c r="K664" s="39" t="s">
        <v>2122</v>
      </c>
      <c r="L664" s="39" t="s">
        <v>7830</v>
      </c>
      <c r="M664" s="39" t="s">
        <v>7831</v>
      </c>
      <c r="N664" s="39" t="str">
        <f>("0129484")</f>
        <v>0129484</v>
      </c>
      <c r="P664" s="39" t="s">
        <v>12151</v>
      </c>
      <c r="Q664" s="39" t="s">
        <v>8568</v>
      </c>
      <c r="R664" s="39" t="s">
        <v>8569</v>
      </c>
      <c r="S664" s="39" t="s">
        <v>8570</v>
      </c>
      <c r="AK664" s="39" t="str">
        <f>("2025/03/17")</f>
        <v>2025/03/17</v>
      </c>
      <c r="AL664" s="39" t="str">
        <f t="shared" si="53"/>
        <v>2025/04/01</v>
      </c>
    </row>
    <row r="665" spans="1:38" x14ac:dyDescent="0.25">
      <c r="A665" s="39" t="str">
        <f>("1402280187")</f>
        <v>1402280187</v>
      </c>
      <c r="C665" s="39"/>
      <c r="D665" s="39" t="s">
        <v>6032</v>
      </c>
      <c r="E665" s="371" t="str">
        <f t="shared" si="52"/>
        <v>きら　はると</v>
      </c>
      <c r="F665" s="39" t="s">
        <v>2350</v>
      </c>
      <c r="G665" s="39" t="s">
        <v>7828</v>
      </c>
      <c r="H665" s="39" t="str">
        <f>("2014/02/28")</f>
        <v>2014/02/28</v>
      </c>
      <c r="I665" s="39">
        <v>6</v>
      </c>
      <c r="J665" s="39" t="s">
        <v>1478</v>
      </c>
      <c r="K665" s="39" t="s">
        <v>2122</v>
      </c>
      <c r="L665" s="39" t="s">
        <v>7830</v>
      </c>
      <c r="M665" s="39" t="s">
        <v>7831</v>
      </c>
      <c r="N665" s="39" t="str">
        <f>("0360032")</f>
        <v>0360032</v>
      </c>
      <c r="P665" s="39" t="s">
        <v>12152</v>
      </c>
      <c r="Q665" s="39" t="s">
        <v>8568</v>
      </c>
      <c r="R665" s="39" t="s">
        <v>8569</v>
      </c>
      <c r="S665" s="39" t="s">
        <v>8570</v>
      </c>
      <c r="AK665" s="39" t="str">
        <f>("2025/03/17")</f>
        <v>2025/03/17</v>
      </c>
      <c r="AL665" s="39" t="str">
        <f t="shared" si="53"/>
        <v>2025/04/01</v>
      </c>
    </row>
    <row r="666" spans="1:38" x14ac:dyDescent="0.25">
      <c r="A666" s="39" t="str">
        <f>("1403020074")</f>
        <v>1403020074</v>
      </c>
      <c r="B666" s="39" t="s">
        <v>8983</v>
      </c>
      <c r="C666" s="39"/>
      <c r="D666" s="39" t="s">
        <v>8984</v>
      </c>
      <c r="E666" s="371" t="str">
        <f t="shared" si="52"/>
        <v>おばた　ひより</v>
      </c>
      <c r="F666" s="39" t="s">
        <v>2651</v>
      </c>
      <c r="G666" s="39" t="s">
        <v>7828</v>
      </c>
      <c r="H666" s="39" t="str">
        <f>("2014/03/02")</f>
        <v>2014/03/02</v>
      </c>
      <c r="I666" s="39">
        <v>6</v>
      </c>
      <c r="J666" s="39" t="s">
        <v>1480</v>
      </c>
      <c r="K666" s="39" t="s">
        <v>2122</v>
      </c>
      <c r="L666" s="39" t="s">
        <v>7830</v>
      </c>
      <c r="M666" s="39" t="s">
        <v>7831</v>
      </c>
      <c r="N666" s="39" t="str">
        <f>("1067415")</f>
        <v>1067415</v>
      </c>
      <c r="P666" s="39" t="s">
        <v>12153</v>
      </c>
      <c r="Q666" s="39" t="s">
        <v>8568</v>
      </c>
      <c r="R666" s="39" t="s">
        <v>8569</v>
      </c>
      <c r="S666" s="39" t="s">
        <v>8570</v>
      </c>
      <c r="AK666" s="39" t="str">
        <f>("2025/03/21")</f>
        <v>2025/03/21</v>
      </c>
      <c r="AL666" s="39" t="str">
        <f t="shared" si="53"/>
        <v>2025/04/01</v>
      </c>
    </row>
    <row r="667" spans="1:38" x14ac:dyDescent="0.25">
      <c r="A667" s="39" t="str">
        <f>("1403030131")</f>
        <v>1403030131</v>
      </c>
      <c r="B667" s="39" t="s">
        <v>8985</v>
      </c>
      <c r="C667" s="39"/>
      <c r="D667" s="39" t="s">
        <v>8986</v>
      </c>
      <c r="E667" s="371" t="str">
        <f t="shared" si="52"/>
        <v>みやもと　げん</v>
      </c>
      <c r="F667" s="39" t="s">
        <v>2587</v>
      </c>
      <c r="G667" s="39" t="s">
        <v>7828</v>
      </c>
      <c r="H667" s="39" t="str">
        <f>("2014/03/03")</f>
        <v>2014/03/03</v>
      </c>
      <c r="I667" s="39">
        <v>6</v>
      </c>
      <c r="J667" s="39" t="s">
        <v>1478</v>
      </c>
      <c r="K667" s="39" t="s">
        <v>2122</v>
      </c>
      <c r="L667" s="39" t="s">
        <v>7830</v>
      </c>
      <c r="M667" s="39" t="s">
        <v>7831</v>
      </c>
      <c r="N667" s="39" t="str">
        <f>("0387334")</f>
        <v>0387334</v>
      </c>
      <c r="P667" s="39" t="s">
        <v>12154</v>
      </c>
      <c r="Q667" s="39" t="s">
        <v>8568</v>
      </c>
      <c r="R667" s="39" t="s">
        <v>8569</v>
      </c>
      <c r="S667" s="39" t="s">
        <v>8570</v>
      </c>
      <c r="AK667" s="39" t="str">
        <f>("2025/03/27")</f>
        <v>2025/03/27</v>
      </c>
      <c r="AL667" s="39" t="str">
        <f t="shared" si="53"/>
        <v>2025/04/01</v>
      </c>
    </row>
    <row r="668" spans="1:38" x14ac:dyDescent="0.25">
      <c r="A668" s="39" t="str">
        <f>("1403040063")</f>
        <v>1403040063</v>
      </c>
      <c r="C668" s="39"/>
      <c r="D668" s="39" t="s">
        <v>5657</v>
      </c>
      <c r="E668" s="371" t="str">
        <f t="shared" si="52"/>
        <v>たろうら　げんと</v>
      </c>
      <c r="F668" s="39" t="s">
        <v>2477</v>
      </c>
      <c r="G668" s="39" t="s">
        <v>7828</v>
      </c>
      <c r="H668" s="39" t="str">
        <f>("2014/03/04")</f>
        <v>2014/03/04</v>
      </c>
      <c r="I668" s="39">
        <v>6</v>
      </c>
      <c r="J668" s="39" t="s">
        <v>1478</v>
      </c>
      <c r="K668" s="39" t="s">
        <v>2122</v>
      </c>
      <c r="L668" s="39" t="s">
        <v>7830</v>
      </c>
      <c r="M668" s="39" t="s">
        <v>7831</v>
      </c>
      <c r="N668" s="39" t="str">
        <f>("0129541")</f>
        <v>0129541</v>
      </c>
      <c r="P668" s="39" t="s">
        <v>12155</v>
      </c>
      <c r="Q668" s="39" t="s">
        <v>8568</v>
      </c>
      <c r="R668" s="39" t="s">
        <v>8569</v>
      </c>
      <c r="S668" s="39" t="s">
        <v>8570</v>
      </c>
      <c r="AK668" s="39" t="str">
        <f>("2025/03/27")</f>
        <v>2025/03/27</v>
      </c>
      <c r="AL668" s="39" t="str">
        <f t="shared" si="53"/>
        <v>2025/04/01</v>
      </c>
    </row>
    <row r="669" spans="1:38" x14ac:dyDescent="0.25">
      <c r="A669" s="39" t="str">
        <f>("1403050029")</f>
        <v>1403050029</v>
      </c>
      <c r="B669" s="39" t="s">
        <v>8987</v>
      </c>
      <c r="C669" s="39"/>
      <c r="D669" s="39" t="s">
        <v>5954</v>
      </c>
      <c r="E669" s="371" t="str">
        <f t="shared" si="52"/>
        <v>そえだ　はるき</v>
      </c>
      <c r="F669" s="39" t="s">
        <v>5617</v>
      </c>
      <c r="G669" s="39" t="s">
        <v>7828</v>
      </c>
      <c r="H669" s="39" t="str">
        <f>("2014/03/05")</f>
        <v>2014/03/05</v>
      </c>
      <c r="I669" s="39">
        <v>6</v>
      </c>
      <c r="J669" s="39" t="s">
        <v>1478</v>
      </c>
      <c r="K669" s="39" t="s">
        <v>2122</v>
      </c>
      <c r="L669" s="39" t="s">
        <v>7830</v>
      </c>
      <c r="M669" s="39" t="s">
        <v>7831</v>
      </c>
      <c r="N669" s="39" t="str">
        <f>("0130756")</f>
        <v>0130756</v>
      </c>
      <c r="P669" s="39" t="s">
        <v>12156</v>
      </c>
      <c r="Q669" s="39" t="s">
        <v>8568</v>
      </c>
      <c r="R669" s="39" t="s">
        <v>8569</v>
      </c>
      <c r="S669" s="39" t="s">
        <v>8570</v>
      </c>
      <c r="AK669" s="39" t="str">
        <f>("2025/03/17")</f>
        <v>2025/03/17</v>
      </c>
      <c r="AL669" s="39" t="str">
        <f t="shared" si="53"/>
        <v>2025/04/01</v>
      </c>
    </row>
    <row r="670" spans="1:38" x14ac:dyDescent="0.25">
      <c r="A670" s="39" t="str">
        <f>("1403050139")</f>
        <v>1403050139</v>
      </c>
      <c r="C670" s="39"/>
      <c r="D670" s="39" t="s">
        <v>8988</v>
      </c>
      <c r="E670" s="371" t="str">
        <f t="shared" si="52"/>
        <v>くが　りゅうと</v>
      </c>
      <c r="F670" s="39" t="s">
        <v>1207</v>
      </c>
      <c r="G670" s="39" t="s">
        <v>7828</v>
      </c>
      <c r="H670" s="39" t="str">
        <f>("2014/03/05")</f>
        <v>2014/03/05</v>
      </c>
      <c r="I670" s="39">
        <v>6</v>
      </c>
      <c r="J670" s="39" t="s">
        <v>1478</v>
      </c>
      <c r="K670" s="39" t="s">
        <v>2122</v>
      </c>
      <c r="L670" s="39" t="s">
        <v>7830</v>
      </c>
      <c r="M670" s="39" t="s">
        <v>7831</v>
      </c>
      <c r="N670" s="39" t="str">
        <f>("0381608")</f>
        <v>0381608</v>
      </c>
      <c r="P670" s="39" t="s">
        <v>12157</v>
      </c>
      <c r="Q670" s="39" t="s">
        <v>8568</v>
      </c>
      <c r="R670" s="39" t="s">
        <v>8569</v>
      </c>
      <c r="S670" s="39" t="s">
        <v>8570</v>
      </c>
      <c r="AK670" s="39" t="str">
        <f>("2025/03/21")</f>
        <v>2025/03/21</v>
      </c>
      <c r="AL670" s="39" t="str">
        <f t="shared" si="53"/>
        <v>2025/04/01</v>
      </c>
    </row>
    <row r="671" spans="1:38" x14ac:dyDescent="0.25">
      <c r="A671" s="39" t="str">
        <f>("1403050156")</f>
        <v>1403050156</v>
      </c>
      <c r="C671" s="39"/>
      <c r="D671" s="39" t="s">
        <v>5982</v>
      </c>
      <c r="E671" s="371" t="str">
        <f t="shared" si="52"/>
        <v>まごた　たくと</v>
      </c>
      <c r="F671" s="39" t="s">
        <v>2821</v>
      </c>
      <c r="G671" s="39" t="s">
        <v>7828</v>
      </c>
      <c r="H671" s="39" t="str">
        <f>("2014/03/05")</f>
        <v>2014/03/05</v>
      </c>
      <c r="I671" s="39">
        <v>6</v>
      </c>
      <c r="J671" s="39" t="s">
        <v>1478</v>
      </c>
      <c r="K671" s="39" t="s">
        <v>2122</v>
      </c>
      <c r="L671" s="39" t="s">
        <v>7830</v>
      </c>
      <c r="M671" s="39" t="s">
        <v>7831</v>
      </c>
      <c r="N671" s="39" t="str">
        <f>("0237631")</f>
        <v>0237631</v>
      </c>
      <c r="P671" s="39" t="s">
        <v>12158</v>
      </c>
      <c r="Q671" s="39" t="s">
        <v>8568</v>
      </c>
      <c r="R671" s="39" t="s">
        <v>8569</v>
      </c>
      <c r="S671" s="39" t="s">
        <v>8570</v>
      </c>
      <c r="AK671" s="39" t="str">
        <f>("2025/03/17")</f>
        <v>2025/03/17</v>
      </c>
      <c r="AL671" s="39" t="str">
        <f t="shared" si="53"/>
        <v>2025/04/01</v>
      </c>
    </row>
    <row r="672" spans="1:38" x14ac:dyDescent="0.25">
      <c r="A672" s="39" t="str">
        <f>("1403060009")</f>
        <v>1403060009</v>
      </c>
      <c r="B672" s="39" t="s">
        <v>8989</v>
      </c>
      <c r="C672" s="39"/>
      <c r="D672" s="39" t="s">
        <v>6040</v>
      </c>
      <c r="E672" s="371" t="str">
        <f t="shared" si="52"/>
        <v>いのうえ　せいと</v>
      </c>
      <c r="F672" s="39" t="s">
        <v>2584</v>
      </c>
      <c r="G672" s="39" t="s">
        <v>7828</v>
      </c>
      <c r="H672" s="39" t="str">
        <f>("2014/03/06")</f>
        <v>2014/03/06</v>
      </c>
      <c r="I672" s="39">
        <v>6</v>
      </c>
      <c r="J672" s="39" t="s">
        <v>1478</v>
      </c>
      <c r="K672" s="39" t="s">
        <v>2122</v>
      </c>
      <c r="L672" s="39" t="s">
        <v>7830</v>
      </c>
      <c r="M672" s="39" t="s">
        <v>7831</v>
      </c>
      <c r="N672" s="39" t="str">
        <f>("0374071")</f>
        <v>0374071</v>
      </c>
      <c r="P672" s="39" t="s">
        <v>12159</v>
      </c>
      <c r="Q672" s="39" t="s">
        <v>8568</v>
      </c>
      <c r="R672" s="39" t="s">
        <v>8569</v>
      </c>
      <c r="S672" s="39" t="s">
        <v>8570</v>
      </c>
      <c r="AK672" s="39" t="str">
        <f>("2025/03/17")</f>
        <v>2025/03/17</v>
      </c>
      <c r="AL672" s="39" t="str">
        <f t="shared" si="53"/>
        <v>2025/04/01</v>
      </c>
    </row>
    <row r="673" spans="1:38" x14ac:dyDescent="0.25">
      <c r="A673" s="39" t="str">
        <f>("1403060055")</f>
        <v>1403060055</v>
      </c>
      <c r="C673" s="39"/>
      <c r="D673" s="39" t="s">
        <v>5659</v>
      </c>
      <c r="E673" s="371" t="str">
        <f t="shared" si="52"/>
        <v>わたなべ　ゆうあ</v>
      </c>
      <c r="F673" s="39" t="s">
        <v>2477</v>
      </c>
      <c r="G673" s="39" t="s">
        <v>7828</v>
      </c>
      <c r="H673" s="39" t="str">
        <f>("2014/03/06")</f>
        <v>2014/03/06</v>
      </c>
      <c r="I673" s="39">
        <v>6</v>
      </c>
      <c r="J673" s="39" t="s">
        <v>1480</v>
      </c>
      <c r="K673" s="39" t="s">
        <v>2122</v>
      </c>
      <c r="L673" s="39" t="s">
        <v>7830</v>
      </c>
      <c r="M673" s="39" t="s">
        <v>7831</v>
      </c>
      <c r="N673" s="39" t="str">
        <f>("0129541")</f>
        <v>0129541</v>
      </c>
      <c r="P673" s="39" t="s">
        <v>12160</v>
      </c>
      <c r="Q673" s="39" t="s">
        <v>8568</v>
      </c>
      <c r="R673" s="39" t="s">
        <v>8569</v>
      </c>
      <c r="S673" s="39" t="s">
        <v>8570</v>
      </c>
      <c r="AK673" s="39" t="str">
        <f>("2025/03/27")</f>
        <v>2025/03/27</v>
      </c>
      <c r="AL673" s="39" t="str">
        <f t="shared" si="53"/>
        <v>2025/04/01</v>
      </c>
    </row>
    <row r="674" spans="1:38" x14ac:dyDescent="0.25">
      <c r="A674" s="39" t="str">
        <f>("1403060087")</f>
        <v>1403060087</v>
      </c>
      <c r="C674" s="39"/>
      <c r="D674" s="39" t="s">
        <v>4314</v>
      </c>
      <c r="E674" s="371" t="str">
        <f t="shared" si="52"/>
        <v>さかもと　まなと</v>
      </c>
      <c r="F674" s="39" t="s">
        <v>834</v>
      </c>
      <c r="G674" s="39" t="s">
        <v>7828</v>
      </c>
      <c r="H674" s="39" t="str">
        <f>("2014/03/06")</f>
        <v>2014/03/06</v>
      </c>
      <c r="I674" s="39">
        <v>6</v>
      </c>
      <c r="J674" s="39" t="s">
        <v>1478</v>
      </c>
      <c r="K674" s="39" t="s">
        <v>2122</v>
      </c>
      <c r="L674" s="39" t="s">
        <v>7830</v>
      </c>
      <c r="M674" s="39" t="s">
        <v>7831</v>
      </c>
      <c r="N674" s="39" t="str">
        <f>("0129844")</f>
        <v>0129844</v>
      </c>
      <c r="P674" s="39" t="s">
        <v>12161</v>
      </c>
      <c r="Q674" s="39" t="s">
        <v>8568</v>
      </c>
      <c r="R674" s="39" t="s">
        <v>8569</v>
      </c>
      <c r="S674" s="39" t="s">
        <v>8570</v>
      </c>
      <c r="AK674" s="39" t="str">
        <f>("2025/03/17")</f>
        <v>2025/03/17</v>
      </c>
      <c r="AL674" s="39" t="str">
        <f t="shared" si="53"/>
        <v>2025/04/01</v>
      </c>
    </row>
    <row r="675" spans="1:38" x14ac:dyDescent="0.25">
      <c r="A675" s="39" t="str">
        <f>("1403070013")</f>
        <v>1403070013</v>
      </c>
      <c r="B675" s="39" t="s">
        <v>8990</v>
      </c>
      <c r="C675" s="39"/>
      <c r="D675" s="39" t="s">
        <v>4809</v>
      </c>
      <c r="E675" s="371" t="str">
        <f t="shared" si="52"/>
        <v>やの　はる</v>
      </c>
      <c r="F675" s="39" t="s">
        <v>2156</v>
      </c>
      <c r="G675" s="39" t="s">
        <v>7828</v>
      </c>
      <c r="H675" s="39" t="str">
        <f>("2014/03/07")</f>
        <v>2014/03/07</v>
      </c>
      <c r="I675" s="39">
        <v>6</v>
      </c>
      <c r="J675" s="39" t="s">
        <v>1478</v>
      </c>
      <c r="K675" s="39" t="s">
        <v>2122</v>
      </c>
      <c r="L675" s="39" t="s">
        <v>7830</v>
      </c>
      <c r="M675" s="39" t="s">
        <v>7831</v>
      </c>
      <c r="N675" s="39" t="str">
        <f>("0493040")</f>
        <v>0493040</v>
      </c>
      <c r="P675" s="39" t="s">
        <v>12162</v>
      </c>
      <c r="Q675" s="39" t="s">
        <v>8568</v>
      </c>
      <c r="R675" s="39" t="s">
        <v>8569</v>
      </c>
      <c r="S675" s="39" t="s">
        <v>8570</v>
      </c>
      <c r="AK675" s="39" t="str">
        <f>("2025/03/17")</f>
        <v>2025/03/17</v>
      </c>
      <c r="AL675" s="39" t="str">
        <f t="shared" si="53"/>
        <v>2025/04/01</v>
      </c>
    </row>
    <row r="676" spans="1:38" x14ac:dyDescent="0.25">
      <c r="A676" s="39" t="str">
        <f>("1403100014")</f>
        <v>1403100014</v>
      </c>
      <c r="B676" s="39" t="s">
        <v>8991</v>
      </c>
      <c r="C676" s="39"/>
      <c r="D676" s="39" t="s">
        <v>5964</v>
      </c>
      <c r="E676" s="371" t="str">
        <f t="shared" si="52"/>
        <v>かとう　しゅう</v>
      </c>
      <c r="F676" s="39" t="s">
        <v>2325</v>
      </c>
      <c r="G676" s="39" t="s">
        <v>7828</v>
      </c>
      <c r="H676" s="39" t="str">
        <f>("2014/03/10")</f>
        <v>2014/03/10</v>
      </c>
      <c r="I676" s="39">
        <v>6</v>
      </c>
      <c r="J676" s="39" t="s">
        <v>1478</v>
      </c>
      <c r="K676" s="39" t="s">
        <v>2122</v>
      </c>
      <c r="L676" s="39" t="s">
        <v>7830</v>
      </c>
      <c r="M676" s="39" t="s">
        <v>7831</v>
      </c>
      <c r="N676" s="39" t="str">
        <f>("0155034")</f>
        <v>0155034</v>
      </c>
      <c r="P676" s="39" t="s">
        <v>12163</v>
      </c>
      <c r="Q676" s="39" t="s">
        <v>8568</v>
      </c>
      <c r="R676" s="39" t="s">
        <v>8569</v>
      </c>
      <c r="S676" s="39" t="s">
        <v>8570</v>
      </c>
      <c r="AK676" s="39" t="str">
        <f>("2025/03/17")</f>
        <v>2025/03/17</v>
      </c>
      <c r="AL676" s="39" t="str">
        <f t="shared" si="53"/>
        <v>2025/04/01</v>
      </c>
    </row>
    <row r="677" spans="1:38" x14ac:dyDescent="0.25">
      <c r="A677" s="39" t="str">
        <f>("1403110010")</f>
        <v>1403110010</v>
      </c>
      <c r="C677" s="39"/>
      <c r="D677" s="39" t="s">
        <v>3879</v>
      </c>
      <c r="E677" s="371" t="str">
        <f t="shared" si="52"/>
        <v>よしたに　かいと</v>
      </c>
      <c r="F677" s="39" t="s">
        <v>2878</v>
      </c>
      <c r="G677" s="39" t="s">
        <v>7828</v>
      </c>
      <c r="H677" s="39" t="str">
        <f t="shared" ref="H677:H682" si="54">("2014/03/11")</f>
        <v>2014/03/11</v>
      </c>
      <c r="I677" s="39">
        <v>6</v>
      </c>
      <c r="J677" s="39" t="s">
        <v>1478</v>
      </c>
      <c r="K677" s="39" t="s">
        <v>2122</v>
      </c>
      <c r="L677" s="39" t="s">
        <v>7830</v>
      </c>
      <c r="M677" s="39" t="s">
        <v>7831</v>
      </c>
      <c r="N677" s="39" t="str">
        <f>("0129484")</f>
        <v>0129484</v>
      </c>
      <c r="P677" s="39" t="s">
        <v>12164</v>
      </c>
      <c r="Q677" s="39" t="s">
        <v>8568</v>
      </c>
      <c r="R677" s="39" t="s">
        <v>8569</v>
      </c>
      <c r="S677" s="39" t="s">
        <v>8570</v>
      </c>
      <c r="AK677" s="39" t="str">
        <f>("2025/03/17")</f>
        <v>2025/03/17</v>
      </c>
      <c r="AL677" s="39" t="str">
        <f t="shared" si="53"/>
        <v>2025/04/01</v>
      </c>
    </row>
    <row r="678" spans="1:38" x14ac:dyDescent="0.25">
      <c r="A678" s="39" t="str">
        <f>("1403110025")</f>
        <v>1403110025</v>
      </c>
      <c r="C678" s="39"/>
      <c r="D678" s="39" t="s">
        <v>2335</v>
      </c>
      <c r="E678" s="371" t="str">
        <f t="shared" si="52"/>
        <v>はらだ　こうや</v>
      </c>
      <c r="F678" s="39" t="s">
        <v>639</v>
      </c>
      <c r="G678" s="39" t="s">
        <v>7828</v>
      </c>
      <c r="H678" s="39" t="str">
        <f t="shared" si="54"/>
        <v>2014/03/11</v>
      </c>
      <c r="I678" s="39">
        <v>6</v>
      </c>
      <c r="J678" s="39" t="s">
        <v>1478</v>
      </c>
      <c r="K678" s="39" t="s">
        <v>2122</v>
      </c>
      <c r="L678" s="39" t="s">
        <v>7830</v>
      </c>
      <c r="M678" s="39" t="s">
        <v>7831</v>
      </c>
      <c r="N678" s="39" t="str">
        <f>("0130633")</f>
        <v>0130633</v>
      </c>
      <c r="P678" s="39" t="s">
        <v>12165</v>
      </c>
      <c r="Q678" s="39" t="s">
        <v>8568</v>
      </c>
      <c r="R678" s="39" t="s">
        <v>8569</v>
      </c>
      <c r="S678" s="39" t="s">
        <v>8570</v>
      </c>
      <c r="AK678" s="39" t="str">
        <f>("2025/03/17")</f>
        <v>2025/03/17</v>
      </c>
      <c r="AL678" s="39" t="str">
        <f t="shared" si="53"/>
        <v>2025/04/01</v>
      </c>
    </row>
    <row r="679" spans="1:38" x14ac:dyDescent="0.25">
      <c r="A679" s="39" t="str">
        <f>("1403110095")</f>
        <v>1403110095</v>
      </c>
      <c r="B679" s="39" t="s">
        <v>8992</v>
      </c>
      <c r="C679" s="39"/>
      <c r="D679" s="39" t="s">
        <v>6021</v>
      </c>
      <c r="E679" s="371" t="str">
        <f t="shared" si="52"/>
        <v>わたなべ　まさむね</v>
      </c>
      <c r="F679" s="39" t="s">
        <v>2549</v>
      </c>
      <c r="G679" s="39" t="s">
        <v>7828</v>
      </c>
      <c r="H679" s="39" t="str">
        <f t="shared" si="54"/>
        <v>2014/03/11</v>
      </c>
      <c r="I679" s="39">
        <v>6</v>
      </c>
      <c r="J679" s="39" t="s">
        <v>1478</v>
      </c>
      <c r="K679" s="39" t="s">
        <v>2122</v>
      </c>
      <c r="L679" s="39" t="s">
        <v>7830</v>
      </c>
      <c r="M679" s="39" t="s">
        <v>7831</v>
      </c>
      <c r="N679" s="39" t="str">
        <f>("0130688")</f>
        <v>0130688</v>
      </c>
      <c r="P679" s="39" t="s">
        <v>12166</v>
      </c>
      <c r="Q679" s="39" t="s">
        <v>8568</v>
      </c>
      <c r="R679" s="39" t="s">
        <v>8569</v>
      </c>
      <c r="S679" s="39" t="s">
        <v>8570</v>
      </c>
      <c r="AA679" s="39" t="s">
        <v>2122</v>
      </c>
      <c r="AB679" s="39" t="s">
        <v>7830</v>
      </c>
      <c r="AC679" s="39" t="s">
        <v>7831</v>
      </c>
      <c r="AD679" s="39" t="str">
        <f>("0354901")</f>
        <v>0354901</v>
      </c>
      <c r="AE679" s="39" t="s">
        <v>2025</v>
      </c>
      <c r="AK679" s="39" t="str">
        <f>("2025/07/11")</f>
        <v>2025/07/11</v>
      </c>
      <c r="AL679" s="39" t="str">
        <f>("2025/07/11")</f>
        <v>2025/07/11</v>
      </c>
    </row>
    <row r="680" spans="1:38" x14ac:dyDescent="0.25">
      <c r="A680" s="39" t="str">
        <f>("1403110098")</f>
        <v>1403110098</v>
      </c>
      <c r="B680" s="39" t="s">
        <v>8993</v>
      </c>
      <c r="C680" s="39"/>
      <c r="D680" s="39" t="s">
        <v>4552</v>
      </c>
      <c r="E680" s="371" t="str">
        <f t="shared" si="52"/>
        <v>はまおか　せいや</v>
      </c>
      <c r="F680" s="39" t="s">
        <v>2243</v>
      </c>
      <c r="G680" s="39" t="s">
        <v>7828</v>
      </c>
      <c r="H680" s="39" t="str">
        <f t="shared" si="54"/>
        <v>2014/03/11</v>
      </c>
      <c r="I680" s="39">
        <v>6</v>
      </c>
      <c r="J680" s="39" t="s">
        <v>1478</v>
      </c>
      <c r="K680" s="39" t="s">
        <v>2122</v>
      </c>
      <c r="L680" s="39" t="s">
        <v>7830</v>
      </c>
      <c r="M680" s="39" t="s">
        <v>7831</v>
      </c>
      <c r="N680" s="39" t="str">
        <f>("0130565")</f>
        <v>0130565</v>
      </c>
      <c r="P680" s="39" t="s">
        <v>12167</v>
      </c>
      <c r="Q680" s="39" t="s">
        <v>8568</v>
      </c>
      <c r="R680" s="39" t="s">
        <v>8569</v>
      </c>
      <c r="S680" s="39" t="s">
        <v>8570</v>
      </c>
      <c r="AK680" s="39" t="str">
        <f>("2025/03/17")</f>
        <v>2025/03/17</v>
      </c>
      <c r="AL680" s="39" t="str">
        <f>("2025/04/01")</f>
        <v>2025/04/01</v>
      </c>
    </row>
    <row r="681" spans="1:38" x14ac:dyDescent="0.25">
      <c r="A681" s="39" t="str">
        <f>("1403110159")</f>
        <v>1403110159</v>
      </c>
      <c r="C681" s="39"/>
      <c r="D681" s="39" t="s">
        <v>6225</v>
      </c>
      <c r="E681" s="371" t="str">
        <f t="shared" si="52"/>
        <v>はたなか　りと</v>
      </c>
      <c r="F681" s="39" t="s">
        <v>2648</v>
      </c>
      <c r="G681" s="39" t="s">
        <v>7828</v>
      </c>
      <c r="H681" s="39" t="str">
        <f t="shared" si="54"/>
        <v>2014/03/11</v>
      </c>
      <c r="I681" s="39">
        <v>6</v>
      </c>
      <c r="J681" s="39" t="s">
        <v>1478</v>
      </c>
      <c r="K681" s="39" t="s">
        <v>2122</v>
      </c>
      <c r="L681" s="39" t="s">
        <v>7830</v>
      </c>
      <c r="M681" s="39" t="s">
        <v>7831</v>
      </c>
      <c r="N681" s="39" t="str">
        <f>("1050097")</f>
        <v>1050097</v>
      </c>
      <c r="P681" s="39" t="s">
        <v>12168</v>
      </c>
      <c r="Q681" s="39" t="s">
        <v>8568</v>
      </c>
      <c r="R681" s="39" t="s">
        <v>8569</v>
      </c>
      <c r="S681" s="39" t="s">
        <v>8570</v>
      </c>
      <c r="AK681" s="39" t="str">
        <f>("2025/03/25")</f>
        <v>2025/03/25</v>
      </c>
      <c r="AL681" s="39" t="str">
        <f>("2025/04/01")</f>
        <v>2025/04/01</v>
      </c>
    </row>
    <row r="682" spans="1:38" x14ac:dyDescent="0.25">
      <c r="A682" s="39" t="str">
        <f>("1403110213")</f>
        <v>1403110213</v>
      </c>
      <c r="C682" s="39"/>
      <c r="D682" s="39" t="s">
        <v>8994</v>
      </c>
      <c r="E682" s="371" t="str">
        <f t="shared" si="52"/>
        <v>いわもと　いつき</v>
      </c>
      <c r="F682" s="39" t="s">
        <v>2323</v>
      </c>
      <c r="G682" s="39" t="s">
        <v>7828</v>
      </c>
      <c r="H682" s="39" t="str">
        <f t="shared" si="54"/>
        <v>2014/03/11</v>
      </c>
      <c r="I682" s="39">
        <v>6</v>
      </c>
      <c r="J682" s="39" t="s">
        <v>1478</v>
      </c>
      <c r="K682" s="39" t="s">
        <v>2122</v>
      </c>
      <c r="L682" s="39" t="s">
        <v>7830</v>
      </c>
      <c r="M682" s="39" t="s">
        <v>7831</v>
      </c>
      <c r="N682" s="39" t="str">
        <f>("0472722")</f>
        <v>0472722</v>
      </c>
      <c r="P682" s="39" t="s">
        <v>12169</v>
      </c>
      <c r="Q682" s="39" t="s">
        <v>8568</v>
      </c>
      <c r="R682" s="39" t="s">
        <v>8569</v>
      </c>
      <c r="S682" s="39" t="s">
        <v>8570</v>
      </c>
      <c r="AK682" s="39" t="str">
        <f>("2025/04/18")</f>
        <v>2025/04/18</v>
      </c>
      <c r="AL682" s="39" t="str">
        <f>("2025/04/18")</f>
        <v>2025/04/18</v>
      </c>
    </row>
    <row r="683" spans="1:38" x14ac:dyDescent="0.25">
      <c r="A683" s="39" t="str">
        <f>("1403120004")</f>
        <v>1403120004</v>
      </c>
      <c r="B683" s="39" t="s">
        <v>8995</v>
      </c>
      <c r="C683" s="39"/>
      <c r="D683" s="39" t="s">
        <v>4638</v>
      </c>
      <c r="E683" s="371" t="str">
        <f t="shared" si="52"/>
        <v>ばば　えいた</v>
      </c>
      <c r="F683" s="39" t="s">
        <v>2325</v>
      </c>
      <c r="G683" s="39" t="s">
        <v>7828</v>
      </c>
      <c r="H683" s="39" t="str">
        <f>("2014/03/12")</f>
        <v>2014/03/12</v>
      </c>
      <c r="I683" s="39">
        <v>6</v>
      </c>
      <c r="J683" s="39" t="s">
        <v>1478</v>
      </c>
      <c r="K683" s="39" t="s">
        <v>2122</v>
      </c>
      <c r="L683" s="39" t="s">
        <v>7830</v>
      </c>
      <c r="M683" s="39" t="s">
        <v>7831</v>
      </c>
      <c r="N683" s="39" t="str">
        <f>("0155034")</f>
        <v>0155034</v>
      </c>
      <c r="P683" s="39" t="s">
        <v>12170</v>
      </c>
      <c r="Q683" s="39" t="s">
        <v>8568</v>
      </c>
      <c r="R683" s="39" t="s">
        <v>8569</v>
      </c>
      <c r="S683" s="39" t="s">
        <v>8570</v>
      </c>
      <c r="AK683" s="39" t="str">
        <f>("2025/03/17")</f>
        <v>2025/03/17</v>
      </c>
      <c r="AL683" s="39" t="str">
        <f t="shared" ref="AL683:AL703" si="55">("2025/04/01")</f>
        <v>2025/04/01</v>
      </c>
    </row>
    <row r="684" spans="1:38" x14ac:dyDescent="0.25">
      <c r="A684" s="39" t="str">
        <f>("1403120027")</f>
        <v>1403120027</v>
      </c>
      <c r="B684" s="39" t="s">
        <v>8996</v>
      </c>
      <c r="C684" s="39"/>
      <c r="D684" s="39" t="s">
        <v>5962</v>
      </c>
      <c r="E684" s="371" t="str">
        <f t="shared" si="52"/>
        <v>ばば　そうた</v>
      </c>
      <c r="F684" s="39" t="s">
        <v>2325</v>
      </c>
      <c r="G684" s="39" t="s">
        <v>7828</v>
      </c>
      <c r="H684" s="39" t="str">
        <f>("2014/03/12")</f>
        <v>2014/03/12</v>
      </c>
      <c r="I684" s="39">
        <v>6</v>
      </c>
      <c r="J684" s="39" t="s">
        <v>1478</v>
      </c>
      <c r="K684" s="39" t="s">
        <v>2122</v>
      </c>
      <c r="L684" s="39" t="s">
        <v>7830</v>
      </c>
      <c r="M684" s="39" t="s">
        <v>7831</v>
      </c>
      <c r="N684" s="39" t="str">
        <f>("0155034")</f>
        <v>0155034</v>
      </c>
      <c r="P684" s="39" t="s">
        <v>12171</v>
      </c>
      <c r="Q684" s="39" t="s">
        <v>8568</v>
      </c>
      <c r="R684" s="39" t="s">
        <v>8569</v>
      </c>
      <c r="S684" s="39" t="s">
        <v>8570</v>
      </c>
      <c r="AK684" s="39" t="str">
        <f>("2025/03/17")</f>
        <v>2025/03/17</v>
      </c>
      <c r="AL684" s="39" t="str">
        <f t="shared" si="55"/>
        <v>2025/04/01</v>
      </c>
    </row>
    <row r="685" spans="1:38" x14ac:dyDescent="0.25">
      <c r="A685" s="39" t="str">
        <f>("1403120066")</f>
        <v>1403120066</v>
      </c>
      <c r="C685" s="39"/>
      <c r="D685" s="39" t="s">
        <v>4369</v>
      </c>
      <c r="E685" s="371" t="str">
        <f t="shared" si="52"/>
        <v>ほりべ　こはる</v>
      </c>
      <c r="F685" s="39" t="s">
        <v>3867</v>
      </c>
      <c r="G685" s="39" t="s">
        <v>7828</v>
      </c>
      <c r="H685" s="39" t="str">
        <f>("2014/03/12")</f>
        <v>2014/03/12</v>
      </c>
      <c r="I685" s="39">
        <v>6</v>
      </c>
      <c r="J685" s="39" t="s">
        <v>1480</v>
      </c>
      <c r="K685" s="39" t="s">
        <v>2122</v>
      </c>
      <c r="L685" s="39" t="s">
        <v>7830</v>
      </c>
      <c r="M685" s="39" t="s">
        <v>7831</v>
      </c>
      <c r="N685" s="39" t="str">
        <f>("0129990")</f>
        <v>0129990</v>
      </c>
      <c r="P685" s="39" t="s">
        <v>12172</v>
      </c>
      <c r="Q685" s="39" t="s">
        <v>8568</v>
      </c>
      <c r="R685" s="39" t="s">
        <v>8569</v>
      </c>
      <c r="S685" s="39" t="s">
        <v>8570</v>
      </c>
      <c r="AK685" s="39" t="str">
        <f>("2025/04/01")</f>
        <v>2025/04/01</v>
      </c>
      <c r="AL685" s="39" t="str">
        <f t="shared" si="55"/>
        <v>2025/04/01</v>
      </c>
    </row>
    <row r="686" spans="1:38" x14ac:dyDescent="0.25">
      <c r="A686" s="39" t="str">
        <f>("1403120154")</f>
        <v>1403120154</v>
      </c>
      <c r="C686" s="39"/>
      <c r="D686" s="39" t="s">
        <v>8997</v>
      </c>
      <c r="E686" s="371" t="str">
        <f t="shared" si="52"/>
        <v>いわき　あさひ</v>
      </c>
      <c r="F686" s="39" t="s">
        <v>2587</v>
      </c>
      <c r="G686" s="39" t="s">
        <v>7828</v>
      </c>
      <c r="H686" s="39" t="str">
        <f>("2014/03/12")</f>
        <v>2014/03/12</v>
      </c>
      <c r="I686" s="39">
        <v>6</v>
      </c>
      <c r="J686" s="39" t="s">
        <v>1478</v>
      </c>
      <c r="K686" s="39" t="s">
        <v>2122</v>
      </c>
      <c r="L686" s="39" t="s">
        <v>7830</v>
      </c>
      <c r="M686" s="39" t="s">
        <v>7831</v>
      </c>
      <c r="N686" s="39" t="str">
        <f>("0387334")</f>
        <v>0387334</v>
      </c>
      <c r="P686" s="39" t="s">
        <v>12173</v>
      </c>
      <c r="Q686" s="39" t="s">
        <v>8568</v>
      </c>
      <c r="R686" s="39" t="s">
        <v>8569</v>
      </c>
      <c r="S686" s="39" t="s">
        <v>8570</v>
      </c>
      <c r="AK686" s="39" t="str">
        <f>("2025/03/27")</f>
        <v>2025/03/27</v>
      </c>
      <c r="AL686" s="39" t="str">
        <f t="shared" si="55"/>
        <v>2025/04/01</v>
      </c>
    </row>
    <row r="687" spans="1:38" x14ac:dyDescent="0.25">
      <c r="A687" s="39" t="str">
        <f>("1403130157")</f>
        <v>1403130157</v>
      </c>
      <c r="C687" s="39"/>
      <c r="D687" s="39" t="s">
        <v>6084</v>
      </c>
      <c r="E687" s="371" t="str">
        <f t="shared" si="52"/>
        <v>こが　はるや</v>
      </c>
      <c r="F687" s="39" t="s">
        <v>829</v>
      </c>
      <c r="G687" s="39" t="s">
        <v>7828</v>
      </c>
      <c r="H687" s="39" t="str">
        <f>("2014/03/13")</f>
        <v>2014/03/13</v>
      </c>
      <c r="I687" s="39">
        <v>6</v>
      </c>
      <c r="J687" s="39" t="s">
        <v>1478</v>
      </c>
      <c r="K687" s="39" t="s">
        <v>2122</v>
      </c>
      <c r="L687" s="39" t="s">
        <v>7830</v>
      </c>
      <c r="M687" s="39" t="s">
        <v>7831</v>
      </c>
      <c r="N687" s="39" t="str">
        <f>("0426631")</f>
        <v>0426631</v>
      </c>
      <c r="P687" s="39" t="s">
        <v>12174</v>
      </c>
      <c r="Q687" s="39" t="s">
        <v>8568</v>
      </c>
      <c r="R687" s="39" t="s">
        <v>8569</v>
      </c>
      <c r="S687" s="39" t="s">
        <v>8570</v>
      </c>
      <c r="AK687" s="39" t="str">
        <f>("2025/03/21")</f>
        <v>2025/03/21</v>
      </c>
      <c r="AL687" s="39" t="str">
        <f t="shared" si="55"/>
        <v>2025/04/01</v>
      </c>
    </row>
    <row r="688" spans="1:38" x14ac:dyDescent="0.25">
      <c r="A688" s="39" t="str">
        <f>("1403130197")</f>
        <v>1403130197</v>
      </c>
      <c r="C688" s="39"/>
      <c r="D688" s="39" t="s">
        <v>8998</v>
      </c>
      <c r="E688" s="371" t="str">
        <f t="shared" si="52"/>
        <v>うめむら　かりん</v>
      </c>
      <c r="F688" s="39" t="s">
        <v>7910</v>
      </c>
      <c r="G688" s="39" t="s">
        <v>7828</v>
      </c>
      <c r="H688" s="39" t="str">
        <f>("2014/03/13")</f>
        <v>2014/03/13</v>
      </c>
      <c r="I688" s="39">
        <v>6</v>
      </c>
      <c r="J688" s="39" t="s">
        <v>1480</v>
      </c>
      <c r="K688" s="39" t="s">
        <v>2122</v>
      </c>
      <c r="L688" s="39" t="s">
        <v>7830</v>
      </c>
      <c r="M688" s="39" t="s">
        <v>7831</v>
      </c>
      <c r="N688" s="39" t="str">
        <f>("1111064")</f>
        <v>1111064</v>
      </c>
      <c r="P688" s="39" t="s">
        <v>12175</v>
      </c>
      <c r="Q688" s="39" t="s">
        <v>8568</v>
      </c>
      <c r="R688" s="39" t="s">
        <v>8569</v>
      </c>
      <c r="S688" s="39" t="s">
        <v>8570</v>
      </c>
      <c r="AK688" s="39" t="str">
        <f>("2025/03/17")</f>
        <v>2025/03/17</v>
      </c>
      <c r="AL688" s="39" t="str">
        <f t="shared" si="55"/>
        <v>2025/04/01</v>
      </c>
    </row>
    <row r="689" spans="1:38" x14ac:dyDescent="0.25">
      <c r="A689" s="39" t="str">
        <f>("1403140011")</f>
        <v>1403140011</v>
      </c>
      <c r="C689" s="39"/>
      <c r="D689" s="39" t="s">
        <v>4386</v>
      </c>
      <c r="E689" s="371" t="str">
        <f t="shared" si="52"/>
        <v>ふくいずみ　さき</v>
      </c>
      <c r="F689" s="39" t="s">
        <v>2514</v>
      </c>
      <c r="G689" s="39" t="s">
        <v>7828</v>
      </c>
      <c r="H689" s="39" t="str">
        <f>("2014/03/14")</f>
        <v>2014/03/14</v>
      </c>
      <c r="I689" s="39">
        <v>6</v>
      </c>
      <c r="J689" s="39" t="s">
        <v>1480</v>
      </c>
      <c r="K689" s="39" t="s">
        <v>2122</v>
      </c>
      <c r="L689" s="39" t="s">
        <v>7830</v>
      </c>
      <c r="M689" s="39" t="s">
        <v>7831</v>
      </c>
      <c r="N689" s="39" t="str">
        <f>("0130093")</f>
        <v>0130093</v>
      </c>
      <c r="P689" s="39" t="s">
        <v>12176</v>
      </c>
      <c r="Q689" s="39" t="s">
        <v>8568</v>
      </c>
      <c r="R689" s="39" t="s">
        <v>8569</v>
      </c>
      <c r="S689" s="39" t="s">
        <v>8570</v>
      </c>
      <c r="AA689" s="39" t="s">
        <v>2122</v>
      </c>
      <c r="AB689" s="39" t="s">
        <v>7830</v>
      </c>
      <c r="AC689" s="39" t="s">
        <v>7831</v>
      </c>
      <c r="AD689" s="39" t="str">
        <f>("0130082")</f>
        <v>0130082</v>
      </c>
      <c r="AE689" s="39" t="s">
        <v>2138</v>
      </c>
      <c r="AK689" s="39" t="str">
        <f>("2025/04/01")</f>
        <v>2025/04/01</v>
      </c>
      <c r="AL689" s="39" t="str">
        <f t="shared" si="55"/>
        <v>2025/04/01</v>
      </c>
    </row>
    <row r="690" spans="1:38" x14ac:dyDescent="0.25">
      <c r="A690" s="39" t="str">
        <f>("1403140102")</f>
        <v>1403140102</v>
      </c>
      <c r="B690" s="39" t="s">
        <v>8999</v>
      </c>
      <c r="C690" s="39"/>
      <c r="D690" s="39" t="s">
        <v>5816</v>
      </c>
      <c r="E690" s="371" t="str">
        <f t="shared" si="52"/>
        <v>たなべ　ゆうだい</v>
      </c>
      <c r="F690" s="39" t="s">
        <v>2022</v>
      </c>
      <c r="G690" s="39" t="s">
        <v>7828</v>
      </c>
      <c r="H690" s="39" t="str">
        <f>("2014/03/14")</f>
        <v>2014/03/14</v>
      </c>
      <c r="I690" s="39">
        <v>6</v>
      </c>
      <c r="J690" s="39" t="s">
        <v>1478</v>
      </c>
      <c r="K690" s="39" t="s">
        <v>2122</v>
      </c>
      <c r="L690" s="39" t="s">
        <v>7830</v>
      </c>
      <c r="M690" s="39" t="s">
        <v>7831</v>
      </c>
      <c r="N690" s="39" t="str">
        <f>("0130329")</f>
        <v>0130329</v>
      </c>
      <c r="P690" s="39" t="s">
        <v>12177</v>
      </c>
      <c r="Q690" s="39" t="s">
        <v>8568</v>
      </c>
      <c r="R690" s="39" t="s">
        <v>8569</v>
      </c>
      <c r="S690" s="39" t="s">
        <v>8570</v>
      </c>
      <c r="AA690" s="39" t="s">
        <v>2122</v>
      </c>
      <c r="AB690" s="39" t="s">
        <v>7830</v>
      </c>
      <c r="AC690" s="39" t="s">
        <v>7831</v>
      </c>
      <c r="AD690" s="39" t="str">
        <f>("0436902")</f>
        <v>0436902</v>
      </c>
      <c r="AE690" s="39" t="s">
        <v>413</v>
      </c>
      <c r="AK690" s="39" t="str">
        <f>("2025/03/17")</f>
        <v>2025/03/17</v>
      </c>
      <c r="AL690" s="39" t="str">
        <f t="shared" si="55"/>
        <v>2025/04/01</v>
      </c>
    </row>
    <row r="691" spans="1:38" x14ac:dyDescent="0.25">
      <c r="A691" s="39" t="str">
        <f>("1403150024")</f>
        <v>1403150024</v>
      </c>
      <c r="C691" s="39"/>
      <c r="D691" s="39" t="s">
        <v>4094</v>
      </c>
      <c r="E691" s="371" t="str">
        <f t="shared" si="52"/>
        <v>うえの　あきと</v>
      </c>
      <c r="F691" s="39" t="s">
        <v>1865</v>
      </c>
      <c r="G691" s="39" t="s">
        <v>7828</v>
      </c>
      <c r="H691" s="39" t="str">
        <f>("2014/03/15")</f>
        <v>2014/03/15</v>
      </c>
      <c r="I691" s="39">
        <v>6</v>
      </c>
      <c r="J691" s="39" t="s">
        <v>1478</v>
      </c>
      <c r="K691" s="39" t="s">
        <v>2122</v>
      </c>
      <c r="L691" s="39" t="s">
        <v>7830</v>
      </c>
      <c r="M691" s="39" t="s">
        <v>7831</v>
      </c>
      <c r="N691" s="39" t="str">
        <f>("0310565")</f>
        <v>0310565</v>
      </c>
      <c r="P691" s="39" t="s">
        <v>12178</v>
      </c>
      <c r="Q691" s="39" t="s">
        <v>8568</v>
      </c>
      <c r="R691" s="39" t="s">
        <v>8569</v>
      </c>
      <c r="S691" s="39" t="s">
        <v>8570</v>
      </c>
      <c r="AK691" s="39" t="str">
        <f>("2025/03/17")</f>
        <v>2025/03/17</v>
      </c>
      <c r="AL691" s="39" t="str">
        <f t="shared" si="55"/>
        <v>2025/04/01</v>
      </c>
    </row>
    <row r="692" spans="1:38" x14ac:dyDescent="0.25">
      <c r="A692" s="39" t="str">
        <f>("1403150041")</f>
        <v>1403150041</v>
      </c>
      <c r="B692" s="39" t="s">
        <v>9000</v>
      </c>
      <c r="C692" s="39"/>
      <c r="D692" s="39" t="s">
        <v>4504</v>
      </c>
      <c r="E692" s="371" t="str">
        <f t="shared" si="52"/>
        <v>かい　れんすけ</v>
      </c>
      <c r="F692" s="39" t="s">
        <v>2324</v>
      </c>
      <c r="G692" s="39" t="s">
        <v>7828</v>
      </c>
      <c r="H692" s="39" t="str">
        <f>("2014/03/15")</f>
        <v>2014/03/15</v>
      </c>
      <c r="I692" s="39">
        <v>6</v>
      </c>
      <c r="J692" s="39" t="s">
        <v>1478</v>
      </c>
      <c r="K692" s="39" t="s">
        <v>2122</v>
      </c>
      <c r="L692" s="39" t="s">
        <v>7830</v>
      </c>
      <c r="M692" s="39" t="s">
        <v>7831</v>
      </c>
      <c r="N692" s="39" t="str">
        <f>("0130486")</f>
        <v>0130486</v>
      </c>
      <c r="P692" s="39" t="s">
        <v>12179</v>
      </c>
      <c r="Q692" s="39" t="s">
        <v>8568</v>
      </c>
      <c r="R692" s="39" t="s">
        <v>8569</v>
      </c>
      <c r="S692" s="39" t="s">
        <v>8570</v>
      </c>
      <c r="AK692" s="39" t="str">
        <f>("2025/03/24")</f>
        <v>2025/03/24</v>
      </c>
      <c r="AL692" s="39" t="str">
        <f t="shared" si="55"/>
        <v>2025/04/01</v>
      </c>
    </row>
    <row r="693" spans="1:38" x14ac:dyDescent="0.25">
      <c r="A693" s="39" t="str">
        <f>("1403150075")</f>
        <v>1403150075</v>
      </c>
      <c r="B693" s="39" t="s">
        <v>9001</v>
      </c>
      <c r="C693" s="39"/>
      <c r="D693" s="39" t="s">
        <v>4719</v>
      </c>
      <c r="E693" s="371" t="str">
        <f t="shared" si="52"/>
        <v>おおつか　はるき</v>
      </c>
      <c r="F693" s="39" t="s">
        <v>1917</v>
      </c>
      <c r="G693" s="39" t="s">
        <v>7828</v>
      </c>
      <c r="H693" s="39" t="str">
        <f>("2014/03/15")</f>
        <v>2014/03/15</v>
      </c>
      <c r="I693" s="39">
        <v>6</v>
      </c>
      <c r="J693" s="39" t="s">
        <v>1478</v>
      </c>
      <c r="K693" s="39" t="s">
        <v>2122</v>
      </c>
      <c r="L693" s="39" t="s">
        <v>7830</v>
      </c>
      <c r="M693" s="39" t="s">
        <v>7831</v>
      </c>
      <c r="N693" s="39" t="str">
        <f>("1032161")</f>
        <v>1032161</v>
      </c>
      <c r="P693" s="39" t="s">
        <v>12180</v>
      </c>
      <c r="Q693" s="39" t="s">
        <v>8568</v>
      </c>
      <c r="R693" s="39" t="s">
        <v>8569</v>
      </c>
      <c r="S693" s="39" t="s">
        <v>8570</v>
      </c>
      <c r="AA693" s="39" t="s">
        <v>2122</v>
      </c>
      <c r="AB693" s="39" t="s">
        <v>7830</v>
      </c>
      <c r="AC693" s="39" t="s">
        <v>7831</v>
      </c>
      <c r="AD693" s="39" t="str">
        <f>("0424583")</f>
        <v>0424583</v>
      </c>
      <c r="AE693" s="39" t="s">
        <v>2594</v>
      </c>
      <c r="AK693" s="39" t="str">
        <f>("2025/03/21")</f>
        <v>2025/03/21</v>
      </c>
      <c r="AL693" s="39" t="str">
        <f t="shared" si="55"/>
        <v>2025/04/01</v>
      </c>
    </row>
    <row r="694" spans="1:38" x14ac:dyDescent="0.25">
      <c r="A694" s="39" t="str">
        <f>("1403160126")</f>
        <v>1403160126</v>
      </c>
      <c r="C694" s="39"/>
      <c r="D694" s="39" t="s">
        <v>6082</v>
      </c>
      <c r="E694" s="371" t="str">
        <f t="shared" si="52"/>
        <v>やだ　てんすけ</v>
      </c>
      <c r="F694" s="39" t="s">
        <v>829</v>
      </c>
      <c r="G694" s="39" t="s">
        <v>7828</v>
      </c>
      <c r="H694" s="39" t="str">
        <f>("2014/03/16")</f>
        <v>2014/03/16</v>
      </c>
      <c r="I694" s="39">
        <v>6</v>
      </c>
      <c r="J694" s="39" t="s">
        <v>1478</v>
      </c>
      <c r="K694" s="39" t="s">
        <v>2122</v>
      </c>
      <c r="L694" s="39" t="s">
        <v>7830</v>
      </c>
      <c r="M694" s="39" t="s">
        <v>7831</v>
      </c>
      <c r="N694" s="39" t="str">
        <f>("0426631")</f>
        <v>0426631</v>
      </c>
      <c r="P694" s="39" t="s">
        <v>12181</v>
      </c>
      <c r="Q694" s="39" t="s">
        <v>8568</v>
      </c>
      <c r="R694" s="39" t="s">
        <v>8569</v>
      </c>
      <c r="S694" s="39" t="s">
        <v>8570</v>
      </c>
      <c r="AK694" s="39" t="str">
        <f>("2025/03/21")</f>
        <v>2025/03/21</v>
      </c>
      <c r="AL694" s="39" t="str">
        <f t="shared" si="55"/>
        <v>2025/04/01</v>
      </c>
    </row>
    <row r="695" spans="1:38" x14ac:dyDescent="0.25">
      <c r="A695" s="39" t="str">
        <f>("1403170151")</f>
        <v>1403170151</v>
      </c>
      <c r="C695" s="39"/>
      <c r="D695" s="39" t="s">
        <v>5983</v>
      </c>
      <c r="E695" s="371" t="str">
        <f t="shared" si="52"/>
        <v>たなか　りょうた</v>
      </c>
      <c r="F695" s="39" t="s">
        <v>2821</v>
      </c>
      <c r="G695" s="39" t="s">
        <v>7828</v>
      </c>
      <c r="H695" s="39" t="str">
        <f>("2014/03/17")</f>
        <v>2014/03/17</v>
      </c>
      <c r="I695" s="39">
        <v>6</v>
      </c>
      <c r="J695" s="39" t="s">
        <v>1478</v>
      </c>
      <c r="K695" s="39" t="s">
        <v>2122</v>
      </c>
      <c r="L695" s="39" t="s">
        <v>7830</v>
      </c>
      <c r="M695" s="39" t="s">
        <v>7831</v>
      </c>
      <c r="N695" s="39" t="str">
        <f>("0237631")</f>
        <v>0237631</v>
      </c>
      <c r="P695" s="39" t="s">
        <v>12182</v>
      </c>
      <c r="Q695" s="39" t="s">
        <v>8568</v>
      </c>
      <c r="R695" s="39" t="s">
        <v>8569</v>
      </c>
      <c r="S695" s="39" t="s">
        <v>8570</v>
      </c>
      <c r="AK695" s="39" t="str">
        <f>("2025/03/17")</f>
        <v>2025/03/17</v>
      </c>
      <c r="AL695" s="39" t="str">
        <f t="shared" si="55"/>
        <v>2025/04/01</v>
      </c>
    </row>
    <row r="696" spans="1:38" x14ac:dyDescent="0.25">
      <c r="A696" s="39" t="str">
        <f>("1403180028")</f>
        <v>1403180028</v>
      </c>
      <c r="C696" s="39"/>
      <c r="D696" s="39" t="s">
        <v>4043</v>
      </c>
      <c r="E696" s="371" t="str">
        <f t="shared" si="52"/>
        <v>にしだ　はると</v>
      </c>
      <c r="F696" s="39" t="s">
        <v>5621</v>
      </c>
      <c r="G696" s="39" t="s">
        <v>7828</v>
      </c>
      <c r="H696" s="39" t="str">
        <f>("2014/03/18")</f>
        <v>2014/03/18</v>
      </c>
      <c r="I696" s="39">
        <v>6</v>
      </c>
      <c r="J696" s="39" t="s">
        <v>1478</v>
      </c>
      <c r="K696" s="39" t="s">
        <v>2122</v>
      </c>
      <c r="L696" s="39" t="s">
        <v>7830</v>
      </c>
      <c r="M696" s="39" t="s">
        <v>7831</v>
      </c>
      <c r="N696" s="39" t="str">
        <f>("1110654")</f>
        <v>1110654</v>
      </c>
      <c r="P696" s="39" t="s">
        <v>12183</v>
      </c>
      <c r="Q696" s="39" t="s">
        <v>8568</v>
      </c>
      <c r="R696" s="39" t="s">
        <v>8569</v>
      </c>
      <c r="S696" s="39" t="s">
        <v>8570</v>
      </c>
      <c r="AA696" s="39" t="s">
        <v>2122</v>
      </c>
      <c r="AB696" s="39" t="s">
        <v>7830</v>
      </c>
      <c r="AC696" s="39" t="s">
        <v>7831</v>
      </c>
      <c r="AD696" s="39" t="str">
        <f>("1032161")</f>
        <v>1032161</v>
      </c>
      <c r="AE696" s="39" t="s">
        <v>1917</v>
      </c>
      <c r="AF696" s="39" t="s">
        <v>2122</v>
      </c>
      <c r="AG696" s="39" t="s">
        <v>7830</v>
      </c>
      <c r="AH696" s="39" t="s">
        <v>7831</v>
      </c>
      <c r="AI696" s="39" t="str">
        <f>("0130699")</f>
        <v>0130699</v>
      </c>
      <c r="AJ696" s="39" t="s">
        <v>2422</v>
      </c>
      <c r="AK696" s="39" t="str">
        <f>("2025/03/03")</f>
        <v>2025/03/03</v>
      </c>
      <c r="AL696" s="39" t="str">
        <f t="shared" si="55"/>
        <v>2025/04/01</v>
      </c>
    </row>
    <row r="697" spans="1:38" x14ac:dyDescent="0.25">
      <c r="A697" s="39" t="str">
        <f>("1403180208")</f>
        <v>1403180208</v>
      </c>
      <c r="C697" s="39"/>
      <c r="D697" s="39" t="s">
        <v>5934</v>
      </c>
      <c r="E697" s="371" t="str">
        <f t="shared" si="52"/>
        <v>かわじり　はるや</v>
      </c>
      <c r="F697" s="39" t="s">
        <v>2556</v>
      </c>
      <c r="G697" s="39" t="s">
        <v>7828</v>
      </c>
      <c r="H697" s="39" t="str">
        <f>("2014/03/18")</f>
        <v>2014/03/18</v>
      </c>
      <c r="I697" s="39">
        <v>6</v>
      </c>
      <c r="J697" s="39" t="s">
        <v>1478</v>
      </c>
      <c r="K697" s="39" t="s">
        <v>2122</v>
      </c>
      <c r="L697" s="39" t="s">
        <v>7830</v>
      </c>
      <c r="M697" s="39" t="s">
        <v>7831</v>
      </c>
      <c r="N697" s="39" t="str">
        <f>("0130712")</f>
        <v>0130712</v>
      </c>
      <c r="P697" s="39" t="s">
        <v>12184</v>
      </c>
      <c r="Q697" s="39" t="s">
        <v>8568</v>
      </c>
      <c r="R697" s="39" t="s">
        <v>8569</v>
      </c>
      <c r="S697" s="39" t="s">
        <v>8570</v>
      </c>
      <c r="AK697" s="39" t="str">
        <f>("2025/03/27")</f>
        <v>2025/03/27</v>
      </c>
      <c r="AL697" s="39" t="str">
        <f t="shared" si="55"/>
        <v>2025/04/01</v>
      </c>
    </row>
    <row r="698" spans="1:38" x14ac:dyDescent="0.25">
      <c r="A698" s="39" t="str">
        <f>("1403190195")</f>
        <v>1403190195</v>
      </c>
      <c r="C698" s="39"/>
      <c r="D698" s="39" t="s">
        <v>9002</v>
      </c>
      <c r="E698" s="371" t="str">
        <f t="shared" si="52"/>
        <v>わたぬき　そうま</v>
      </c>
      <c r="F698" s="39" t="s">
        <v>2619</v>
      </c>
      <c r="G698" s="39" t="s">
        <v>7828</v>
      </c>
      <c r="H698" s="39" t="str">
        <f>("2014/03/19")</f>
        <v>2014/03/19</v>
      </c>
      <c r="I698" s="39">
        <v>6</v>
      </c>
      <c r="J698" s="39" t="s">
        <v>1478</v>
      </c>
      <c r="K698" s="39" t="s">
        <v>2122</v>
      </c>
      <c r="L698" s="39" t="s">
        <v>7830</v>
      </c>
      <c r="M698" s="39" t="s">
        <v>7831</v>
      </c>
      <c r="N698" s="39" t="str">
        <f>("0472823")</f>
        <v>0472823</v>
      </c>
      <c r="P698" s="39" t="s">
        <v>12185</v>
      </c>
      <c r="Q698" s="39" t="s">
        <v>8568</v>
      </c>
      <c r="R698" s="39" t="s">
        <v>8569</v>
      </c>
      <c r="S698" s="39" t="s">
        <v>8570</v>
      </c>
      <c r="AK698" s="39" t="str">
        <f>("2025/03/17")</f>
        <v>2025/03/17</v>
      </c>
      <c r="AL698" s="39" t="str">
        <f t="shared" si="55"/>
        <v>2025/04/01</v>
      </c>
    </row>
    <row r="699" spans="1:38" x14ac:dyDescent="0.25">
      <c r="A699" s="39" t="str">
        <f>("1403210077")</f>
        <v>1403210077</v>
      </c>
      <c r="C699" s="39"/>
      <c r="D699" s="39" t="s">
        <v>4066</v>
      </c>
      <c r="E699" s="371" t="str">
        <f t="shared" si="52"/>
        <v>しももと　はるき</v>
      </c>
      <c r="F699" s="39" t="s">
        <v>188</v>
      </c>
      <c r="G699" s="39" t="s">
        <v>7828</v>
      </c>
      <c r="H699" s="39" t="str">
        <f>("2014/03/21")</f>
        <v>2014/03/21</v>
      </c>
      <c r="I699" s="39">
        <v>6</v>
      </c>
      <c r="J699" s="39" t="s">
        <v>1478</v>
      </c>
      <c r="K699" s="39" t="s">
        <v>2122</v>
      </c>
      <c r="L699" s="39" t="s">
        <v>7830</v>
      </c>
      <c r="M699" s="39" t="s">
        <v>7831</v>
      </c>
      <c r="N699" s="39" t="str">
        <f>("0130734")</f>
        <v>0130734</v>
      </c>
      <c r="P699" s="39" t="s">
        <v>12186</v>
      </c>
      <c r="Q699" s="39" t="s">
        <v>8568</v>
      </c>
      <c r="R699" s="39" t="s">
        <v>8569</v>
      </c>
      <c r="S699" s="39" t="s">
        <v>8570</v>
      </c>
      <c r="AK699" s="39" t="str">
        <f>("2025/03/17")</f>
        <v>2025/03/17</v>
      </c>
      <c r="AL699" s="39" t="str">
        <f t="shared" si="55"/>
        <v>2025/04/01</v>
      </c>
    </row>
    <row r="700" spans="1:38" x14ac:dyDescent="0.25">
      <c r="A700" s="39" t="str">
        <f>("1403220133")</f>
        <v>1403220133</v>
      </c>
      <c r="C700" s="39"/>
      <c r="D700" s="39" t="s">
        <v>9003</v>
      </c>
      <c r="E700" s="371" t="str">
        <f t="shared" si="52"/>
        <v>にのみや　ゆうき</v>
      </c>
      <c r="F700" s="39" t="s">
        <v>1917</v>
      </c>
      <c r="G700" s="39" t="s">
        <v>7828</v>
      </c>
      <c r="H700" s="39" t="str">
        <f>("2014/03/22")</f>
        <v>2014/03/22</v>
      </c>
      <c r="I700" s="39">
        <v>6</v>
      </c>
      <c r="J700" s="39" t="s">
        <v>1478</v>
      </c>
      <c r="K700" s="39" t="s">
        <v>2122</v>
      </c>
      <c r="L700" s="39" t="s">
        <v>7830</v>
      </c>
      <c r="M700" s="39" t="s">
        <v>7831</v>
      </c>
      <c r="N700" s="39" t="str">
        <f>("1032161")</f>
        <v>1032161</v>
      </c>
      <c r="P700" s="39" t="s">
        <v>12187</v>
      </c>
      <c r="Q700" s="39" t="s">
        <v>8568</v>
      </c>
      <c r="R700" s="39" t="s">
        <v>8569</v>
      </c>
      <c r="S700" s="39" t="s">
        <v>8570</v>
      </c>
      <c r="AK700" s="39" t="str">
        <f>("2025/03/21")</f>
        <v>2025/03/21</v>
      </c>
      <c r="AL700" s="39" t="str">
        <f t="shared" si="55"/>
        <v>2025/04/01</v>
      </c>
    </row>
    <row r="701" spans="1:38" x14ac:dyDescent="0.25">
      <c r="A701" s="39" t="str">
        <f>("1403240064")</f>
        <v>1403240064</v>
      </c>
      <c r="C701" s="39"/>
      <c r="D701" s="39" t="s">
        <v>4371</v>
      </c>
      <c r="E701" s="371" t="str">
        <f t="shared" si="52"/>
        <v>つねとう　ゆいと</v>
      </c>
      <c r="F701" s="39" t="s">
        <v>3867</v>
      </c>
      <c r="G701" s="39" t="s">
        <v>7828</v>
      </c>
      <c r="H701" s="39" t="str">
        <f>("2014/03/24")</f>
        <v>2014/03/24</v>
      </c>
      <c r="I701" s="39">
        <v>6</v>
      </c>
      <c r="J701" s="39" t="s">
        <v>1478</v>
      </c>
      <c r="K701" s="39" t="s">
        <v>2122</v>
      </c>
      <c r="L701" s="39" t="s">
        <v>7830</v>
      </c>
      <c r="M701" s="39" t="s">
        <v>7831</v>
      </c>
      <c r="N701" s="39" t="str">
        <f>("0129990")</f>
        <v>0129990</v>
      </c>
      <c r="P701" s="39" t="s">
        <v>12188</v>
      </c>
      <c r="Q701" s="39" t="s">
        <v>8568</v>
      </c>
      <c r="R701" s="39" t="s">
        <v>8569</v>
      </c>
      <c r="S701" s="39" t="s">
        <v>8570</v>
      </c>
      <c r="AK701" s="39" t="str">
        <f>("2025/04/01")</f>
        <v>2025/04/01</v>
      </c>
      <c r="AL701" s="39" t="str">
        <f t="shared" si="55"/>
        <v>2025/04/01</v>
      </c>
    </row>
    <row r="702" spans="1:38" x14ac:dyDescent="0.25">
      <c r="A702" s="39" t="str">
        <f>("1403240158")</f>
        <v>1403240158</v>
      </c>
      <c r="C702" s="39"/>
      <c r="D702" s="39" t="s">
        <v>9004</v>
      </c>
      <c r="E702" s="371" t="str">
        <f t="shared" si="52"/>
        <v>かわべ　ゆりな</v>
      </c>
      <c r="F702" s="39" t="s">
        <v>2557</v>
      </c>
      <c r="G702" s="39" t="s">
        <v>7828</v>
      </c>
      <c r="H702" s="39" t="str">
        <f>("2014/03/24")</f>
        <v>2014/03/24</v>
      </c>
      <c r="I702" s="39">
        <v>6</v>
      </c>
      <c r="J702" s="39" t="s">
        <v>1480</v>
      </c>
      <c r="K702" s="39" t="s">
        <v>2122</v>
      </c>
      <c r="L702" s="39" t="s">
        <v>7830</v>
      </c>
      <c r="M702" s="39" t="s">
        <v>7831</v>
      </c>
      <c r="N702" s="39" t="str">
        <f>("0130723")</f>
        <v>0130723</v>
      </c>
      <c r="P702" s="39" t="s">
        <v>12189</v>
      </c>
      <c r="Q702" s="39" t="s">
        <v>8568</v>
      </c>
      <c r="R702" s="39" t="s">
        <v>8569</v>
      </c>
      <c r="S702" s="39" t="s">
        <v>8570</v>
      </c>
      <c r="AK702" s="39" t="str">
        <f>("2025/03/17")</f>
        <v>2025/03/17</v>
      </c>
      <c r="AL702" s="39" t="str">
        <f t="shared" si="55"/>
        <v>2025/04/01</v>
      </c>
    </row>
    <row r="703" spans="1:38" x14ac:dyDescent="0.25">
      <c r="A703" s="39" t="str">
        <f>("1403250003")</f>
        <v>1403250003</v>
      </c>
      <c r="B703" s="39" t="s">
        <v>9005</v>
      </c>
      <c r="C703" s="39"/>
      <c r="D703" s="39" t="s">
        <v>5885</v>
      </c>
      <c r="E703" s="371" t="str">
        <f t="shared" si="52"/>
        <v>あきやま　みなと</v>
      </c>
      <c r="F703" s="39" t="s">
        <v>4220</v>
      </c>
      <c r="G703" s="39" t="s">
        <v>7828</v>
      </c>
      <c r="H703" s="39" t="str">
        <f>("2014/03/25")</f>
        <v>2014/03/25</v>
      </c>
      <c r="I703" s="39">
        <v>6</v>
      </c>
      <c r="J703" s="39" t="s">
        <v>1478</v>
      </c>
      <c r="K703" s="39" t="s">
        <v>2122</v>
      </c>
      <c r="L703" s="39" t="s">
        <v>7830</v>
      </c>
      <c r="M703" s="39" t="s">
        <v>7831</v>
      </c>
      <c r="N703" s="39" t="str">
        <f>("0130543")</f>
        <v>0130543</v>
      </c>
      <c r="P703" s="39" t="s">
        <v>12190</v>
      </c>
      <c r="Q703" s="39" t="s">
        <v>8568</v>
      </c>
      <c r="R703" s="39" t="s">
        <v>8569</v>
      </c>
      <c r="S703" s="39" t="s">
        <v>8570</v>
      </c>
      <c r="AA703" s="39" t="s">
        <v>2122</v>
      </c>
      <c r="AB703" s="39" t="s">
        <v>7830</v>
      </c>
      <c r="AC703" s="39" t="s">
        <v>7831</v>
      </c>
      <c r="AD703" s="39" t="str">
        <f>("0130352")</f>
        <v>0130352</v>
      </c>
      <c r="AE703" s="39" t="s">
        <v>8933</v>
      </c>
      <c r="AK703" s="39" t="str">
        <f>("2025/03/17")</f>
        <v>2025/03/17</v>
      </c>
      <c r="AL703" s="39" t="str">
        <f t="shared" si="55"/>
        <v>2025/04/01</v>
      </c>
    </row>
    <row r="704" spans="1:38" x14ac:dyDescent="0.25">
      <c r="A704" s="39" t="str">
        <f>("1403250018")</f>
        <v>1403250018</v>
      </c>
      <c r="C704" s="39"/>
      <c r="D704" s="39" t="s">
        <v>4107</v>
      </c>
      <c r="E704" s="371" t="str">
        <f t="shared" si="52"/>
        <v>まさむら　はる</v>
      </c>
      <c r="F704" s="39" t="s">
        <v>5619</v>
      </c>
      <c r="G704" s="39" t="s">
        <v>7828</v>
      </c>
      <c r="H704" s="39" t="str">
        <f>("2014/03/25")</f>
        <v>2014/03/25</v>
      </c>
      <c r="I704" s="39">
        <v>6</v>
      </c>
      <c r="J704" s="39" t="s">
        <v>1478</v>
      </c>
      <c r="K704" s="39" t="s">
        <v>2122</v>
      </c>
      <c r="L704" s="39" t="s">
        <v>7830</v>
      </c>
      <c r="M704" s="39" t="s">
        <v>7831</v>
      </c>
      <c r="N704" s="39" t="str">
        <f>("1089004")</f>
        <v>1089004</v>
      </c>
      <c r="P704" s="39" t="s">
        <v>12191</v>
      </c>
      <c r="Q704" s="39" t="s">
        <v>8568</v>
      </c>
      <c r="R704" s="39" t="s">
        <v>8569</v>
      </c>
      <c r="S704" s="39" t="s">
        <v>8570</v>
      </c>
      <c r="AA704" s="39" t="s">
        <v>2122</v>
      </c>
      <c r="AB704" s="39" t="s">
        <v>7830</v>
      </c>
      <c r="AC704" s="39" t="s">
        <v>7831</v>
      </c>
      <c r="AD704" s="39" t="str">
        <f>("0354901")</f>
        <v>0354901</v>
      </c>
      <c r="AE704" s="39" t="s">
        <v>2025</v>
      </c>
      <c r="AK704" s="39" t="str">
        <f>("2025/08/21")</f>
        <v>2025/08/21</v>
      </c>
      <c r="AL704" s="39" t="str">
        <f>("2025/08/21")</f>
        <v>2025/08/21</v>
      </c>
    </row>
    <row r="705" spans="1:38" x14ac:dyDescent="0.25">
      <c r="A705" s="39" t="str">
        <f>("1403270038")</f>
        <v>1403270038</v>
      </c>
      <c r="B705" s="39" t="s">
        <v>9006</v>
      </c>
      <c r="C705" s="39"/>
      <c r="D705" s="39" t="s">
        <v>5956</v>
      </c>
      <c r="E705" s="371" t="str">
        <f t="shared" si="52"/>
        <v>つゆき　みゆ</v>
      </c>
      <c r="F705" s="39" t="s">
        <v>5617</v>
      </c>
      <c r="G705" s="39" t="s">
        <v>7828</v>
      </c>
      <c r="H705" s="39" t="str">
        <f>("2014/03/27")</f>
        <v>2014/03/27</v>
      </c>
      <c r="I705" s="39">
        <v>6</v>
      </c>
      <c r="J705" s="39" t="s">
        <v>1480</v>
      </c>
      <c r="K705" s="39" t="s">
        <v>2122</v>
      </c>
      <c r="L705" s="39" t="s">
        <v>7830</v>
      </c>
      <c r="M705" s="39" t="s">
        <v>7831</v>
      </c>
      <c r="N705" s="39" t="str">
        <f>("0130756")</f>
        <v>0130756</v>
      </c>
      <c r="P705" s="39" t="s">
        <v>12192</v>
      </c>
      <c r="Q705" s="39" t="s">
        <v>8568</v>
      </c>
      <c r="R705" s="39" t="s">
        <v>8569</v>
      </c>
      <c r="S705" s="39" t="s">
        <v>8570</v>
      </c>
      <c r="AK705" s="39" t="str">
        <f>("2025/03/17")</f>
        <v>2025/03/17</v>
      </c>
      <c r="AL705" s="39" t="str">
        <f t="shared" ref="AL705:AL725" si="56">("2025/04/01")</f>
        <v>2025/04/01</v>
      </c>
    </row>
    <row r="706" spans="1:38" x14ac:dyDescent="0.25">
      <c r="A706" s="39" t="str">
        <f>("1403270101")</f>
        <v>1403270101</v>
      </c>
      <c r="C706" s="39"/>
      <c r="D706" s="39" t="s">
        <v>5929</v>
      </c>
      <c r="E706" s="371" t="str">
        <f t="shared" si="52"/>
        <v>かたの　しょうた</v>
      </c>
      <c r="F706" s="39" t="s">
        <v>2556</v>
      </c>
      <c r="G706" s="39" t="s">
        <v>7828</v>
      </c>
      <c r="H706" s="39" t="str">
        <f>("2014/03/27")</f>
        <v>2014/03/27</v>
      </c>
      <c r="I706" s="39">
        <v>6</v>
      </c>
      <c r="J706" s="39" t="s">
        <v>1478</v>
      </c>
      <c r="K706" s="39" t="s">
        <v>2122</v>
      </c>
      <c r="L706" s="39" t="s">
        <v>7830</v>
      </c>
      <c r="M706" s="39" t="s">
        <v>7831</v>
      </c>
      <c r="N706" s="39" t="str">
        <f>("0130712")</f>
        <v>0130712</v>
      </c>
      <c r="P706" s="39" t="s">
        <v>12193</v>
      </c>
      <c r="Q706" s="39" t="s">
        <v>8568</v>
      </c>
      <c r="R706" s="39" t="s">
        <v>8569</v>
      </c>
      <c r="S706" s="39" t="s">
        <v>8570</v>
      </c>
      <c r="AK706" s="39" t="str">
        <f>("2025/03/27")</f>
        <v>2025/03/27</v>
      </c>
      <c r="AL706" s="39" t="str">
        <f t="shared" si="56"/>
        <v>2025/04/01</v>
      </c>
    </row>
    <row r="707" spans="1:38" x14ac:dyDescent="0.25">
      <c r="A707" s="39" t="str">
        <f>("1403270130")</f>
        <v>1403270130</v>
      </c>
      <c r="B707" s="39" t="s">
        <v>9007</v>
      </c>
      <c r="C707" s="39"/>
      <c r="D707" s="39" t="s">
        <v>5694</v>
      </c>
      <c r="E707" s="371" t="str">
        <f t="shared" ref="E707:E770" si="57">PHONETIC(P707)</f>
        <v>いなよし　れい</v>
      </c>
      <c r="F707" s="39" t="s">
        <v>3866</v>
      </c>
      <c r="G707" s="39" t="s">
        <v>7828</v>
      </c>
      <c r="H707" s="39" t="str">
        <f>("2014/03/27")</f>
        <v>2014/03/27</v>
      </c>
      <c r="I707" s="39">
        <v>6</v>
      </c>
      <c r="J707" s="39" t="s">
        <v>1478</v>
      </c>
      <c r="K707" s="39" t="s">
        <v>2122</v>
      </c>
      <c r="L707" s="39" t="s">
        <v>7830</v>
      </c>
      <c r="M707" s="39" t="s">
        <v>7831</v>
      </c>
      <c r="N707" s="39" t="str">
        <f>("0129675")</f>
        <v>0129675</v>
      </c>
      <c r="P707" s="39" t="s">
        <v>12194</v>
      </c>
      <c r="Q707" s="39" t="s">
        <v>8568</v>
      </c>
      <c r="R707" s="39" t="s">
        <v>8569</v>
      </c>
      <c r="S707" s="39" t="s">
        <v>8570</v>
      </c>
      <c r="AA707" s="39" t="s">
        <v>2122</v>
      </c>
      <c r="AB707" s="39" t="s">
        <v>7830</v>
      </c>
      <c r="AC707" s="39" t="s">
        <v>7831</v>
      </c>
      <c r="AD707" s="39" t="str">
        <f>("0129631")</f>
        <v>0129631</v>
      </c>
      <c r="AE707" s="39" t="s">
        <v>8919</v>
      </c>
      <c r="AK707" s="39" t="str">
        <f>("2025/04/01")</f>
        <v>2025/04/01</v>
      </c>
      <c r="AL707" s="39" t="str">
        <f t="shared" si="56"/>
        <v>2025/04/01</v>
      </c>
    </row>
    <row r="708" spans="1:38" x14ac:dyDescent="0.25">
      <c r="A708" s="39" t="str">
        <f>("1403290036")</f>
        <v>1403290036</v>
      </c>
      <c r="C708" s="39"/>
      <c r="D708" s="39" t="s">
        <v>9008</v>
      </c>
      <c r="E708" s="371" t="str">
        <f t="shared" si="57"/>
        <v>たかお　いぶき</v>
      </c>
      <c r="F708" s="39" t="s">
        <v>1968</v>
      </c>
      <c r="G708" s="39" t="s">
        <v>7828</v>
      </c>
      <c r="H708" s="39" t="str">
        <f>("2014/03/29")</f>
        <v>2014/03/29</v>
      </c>
      <c r="I708" s="39">
        <v>6</v>
      </c>
      <c r="J708" s="39" t="s">
        <v>1478</v>
      </c>
      <c r="K708" s="39" t="s">
        <v>2122</v>
      </c>
      <c r="L708" s="39" t="s">
        <v>7830</v>
      </c>
      <c r="M708" s="39" t="s">
        <v>7831</v>
      </c>
      <c r="N708" s="39" t="str">
        <f>("0129507")</f>
        <v>0129507</v>
      </c>
      <c r="P708" s="39" t="s">
        <v>12195</v>
      </c>
      <c r="Q708" s="39" t="s">
        <v>8568</v>
      </c>
      <c r="R708" s="39" t="s">
        <v>8569</v>
      </c>
      <c r="S708" s="39" t="s">
        <v>8570</v>
      </c>
      <c r="AK708" s="39" t="str">
        <f>("2025/03/17")</f>
        <v>2025/03/17</v>
      </c>
      <c r="AL708" s="39" t="str">
        <f t="shared" si="56"/>
        <v>2025/04/01</v>
      </c>
    </row>
    <row r="709" spans="1:38" x14ac:dyDescent="0.25">
      <c r="A709" s="39" t="str">
        <f>("1403290118")</f>
        <v>1403290118</v>
      </c>
      <c r="B709" s="39" t="s">
        <v>9009</v>
      </c>
      <c r="C709" s="39"/>
      <c r="D709" s="39" t="s">
        <v>9010</v>
      </c>
      <c r="E709" s="371" t="str">
        <f t="shared" si="57"/>
        <v>かしま　ひろなり</v>
      </c>
      <c r="F709" s="39" t="s">
        <v>2243</v>
      </c>
      <c r="G709" s="39" t="s">
        <v>7828</v>
      </c>
      <c r="H709" s="39" t="str">
        <f>("2014/03/29")</f>
        <v>2014/03/29</v>
      </c>
      <c r="I709" s="39">
        <v>6</v>
      </c>
      <c r="J709" s="39" t="s">
        <v>1478</v>
      </c>
      <c r="K709" s="39" t="s">
        <v>2122</v>
      </c>
      <c r="L709" s="39" t="s">
        <v>7830</v>
      </c>
      <c r="M709" s="39" t="s">
        <v>7831</v>
      </c>
      <c r="N709" s="39" t="str">
        <f>("0130565")</f>
        <v>0130565</v>
      </c>
      <c r="P709" s="39" t="s">
        <v>12196</v>
      </c>
      <c r="Q709" s="39" t="s">
        <v>8568</v>
      </c>
      <c r="R709" s="39" t="s">
        <v>8569</v>
      </c>
      <c r="S709" s="39" t="s">
        <v>8570</v>
      </c>
      <c r="AK709" s="39" t="str">
        <f>("2025/03/17")</f>
        <v>2025/03/17</v>
      </c>
      <c r="AL709" s="39" t="str">
        <f t="shared" si="56"/>
        <v>2025/04/01</v>
      </c>
    </row>
    <row r="710" spans="1:38" x14ac:dyDescent="0.25">
      <c r="A710" s="39" t="str">
        <f>("1403300101")</f>
        <v>1403300101</v>
      </c>
      <c r="C710" s="39"/>
      <c r="D710" s="39" t="s">
        <v>6147</v>
      </c>
      <c r="E710" s="371" t="str">
        <f t="shared" si="57"/>
        <v>みき　ほのか</v>
      </c>
      <c r="F710" s="39" t="s">
        <v>2323</v>
      </c>
      <c r="G710" s="39" t="s">
        <v>7828</v>
      </c>
      <c r="H710" s="39" t="str">
        <f>("2014/03/30")</f>
        <v>2014/03/30</v>
      </c>
      <c r="I710" s="39">
        <v>6</v>
      </c>
      <c r="J710" s="39" t="s">
        <v>1480</v>
      </c>
      <c r="K710" s="39" t="s">
        <v>2122</v>
      </c>
      <c r="L710" s="39" t="s">
        <v>7830</v>
      </c>
      <c r="M710" s="39" t="s">
        <v>7831</v>
      </c>
      <c r="N710" s="39" t="str">
        <f>("0472722")</f>
        <v>0472722</v>
      </c>
      <c r="P710" s="39" t="s">
        <v>12197</v>
      </c>
      <c r="Q710" s="39" t="s">
        <v>8568</v>
      </c>
      <c r="R710" s="39" t="s">
        <v>8569</v>
      </c>
      <c r="S710" s="39" t="s">
        <v>8570</v>
      </c>
      <c r="AK710" s="39" t="str">
        <f>("2025/03/17")</f>
        <v>2025/03/17</v>
      </c>
      <c r="AL710" s="39" t="str">
        <f t="shared" si="56"/>
        <v>2025/04/01</v>
      </c>
    </row>
    <row r="711" spans="1:38" x14ac:dyDescent="0.25">
      <c r="A711" s="39" t="str">
        <f>("1403300137")</f>
        <v>1403300137</v>
      </c>
      <c r="C711" s="39"/>
      <c r="D711" s="39" t="s">
        <v>9011</v>
      </c>
      <c r="E711" s="371" t="str">
        <f t="shared" si="57"/>
        <v>むこはた　しゅんすけ</v>
      </c>
      <c r="F711" s="39" t="s">
        <v>1158</v>
      </c>
      <c r="G711" s="39" t="s">
        <v>7828</v>
      </c>
      <c r="H711" s="39" t="str">
        <f>("2014/03/30")</f>
        <v>2014/03/30</v>
      </c>
      <c r="I711" s="39">
        <v>6</v>
      </c>
      <c r="J711" s="39" t="s">
        <v>1478</v>
      </c>
      <c r="K711" s="39" t="s">
        <v>2122</v>
      </c>
      <c r="L711" s="39" t="s">
        <v>7830</v>
      </c>
      <c r="M711" s="39" t="s">
        <v>7831</v>
      </c>
      <c r="N711" s="39" t="str">
        <f>("0130318")</f>
        <v>0130318</v>
      </c>
      <c r="P711" s="39" t="s">
        <v>12198</v>
      </c>
      <c r="Q711" s="39" t="s">
        <v>8568</v>
      </c>
      <c r="R711" s="39" t="s">
        <v>8569</v>
      </c>
      <c r="S711" s="39" t="s">
        <v>8570</v>
      </c>
      <c r="AK711" s="39" t="str">
        <f>("2025/03/17")</f>
        <v>2025/03/17</v>
      </c>
      <c r="AL711" s="39" t="str">
        <f t="shared" si="56"/>
        <v>2025/04/01</v>
      </c>
    </row>
    <row r="712" spans="1:38" x14ac:dyDescent="0.25">
      <c r="A712" s="39" t="str">
        <f>("1403310151")</f>
        <v>1403310151</v>
      </c>
      <c r="C712" s="39"/>
      <c r="D712" s="39" t="s">
        <v>9012</v>
      </c>
      <c r="E712" s="371" t="str">
        <f t="shared" si="57"/>
        <v>いわなみ　かつき</v>
      </c>
      <c r="F712" s="39" t="s">
        <v>838</v>
      </c>
      <c r="G712" s="39" t="s">
        <v>7828</v>
      </c>
      <c r="H712" s="39" t="str">
        <f>("2014/03/31")</f>
        <v>2014/03/31</v>
      </c>
      <c r="I712" s="39">
        <v>6</v>
      </c>
      <c r="J712" s="39" t="s">
        <v>1478</v>
      </c>
      <c r="K712" s="39" t="s">
        <v>2122</v>
      </c>
      <c r="L712" s="39" t="s">
        <v>7830</v>
      </c>
      <c r="M712" s="39" t="s">
        <v>7831</v>
      </c>
      <c r="N712" s="39" t="str">
        <f>("0360021")</f>
        <v>0360021</v>
      </c>
      <c r="P712" s="39" t="s">
        <v>12199</v>
      </c>
      <c r="Q712" s="39" t="s">
        <v>8568</v>
      </c>
      <c r="R712" s="39" t="s">
        <v>8569</v>
      </c>
      <c r="S712" s="39" t="s">
        <v>8570</v>
      </c>
      <c r="AK712" s="39" t="str">
        <f>("2025/03/17")</f>
        <v>2025/03/17</v>
      </c>
      <c r="AL712" s="39" t="str">
        <f t="shared" si="56"/>
        <v>2025/04/01</v>
      </c>
    </row>
    <row r="713" spans="1:38" x14ac:dyDescent="0.25">
      <c r="A713" s="39" t="str">
        <f>("1403310157")</f>
        <v>1403310157</v>
      </c>
      <c r="C713" s="39"/>
      <c r="D713" s="39" t="s">
        <v>6228</v>
      </c>
      <c r="E713" s="371" t="str">
        <f t="shared" si="57"/>
        <v>たるみ　だいち</v>
      </c>
      <c r="F713" s="39" t="s">
        <v>2648</v>
      </c>
      <c r="G713" s="39" t="s">
        <v>7828</v>
      </c>
      <c r="H713" s="39" t="str">
        <f>("2014/03/31")</f>
        <v>2014/03/31</v>
      </c>
      <c r="I713" s="39">
        <v>6</v>
      </c>
      <c r="J713" s="39" t="s">
        <v>1478</v>
      </c>
      <c r="K713" s="39" t="s">
        <v>2122</v>
      </c>
      <c r="L713" s="39" t="s">
        <v>7830</v>
      </c>
      <c r="M713" s="39" t="s">
        <v>7831</v>
      </c>
      <c r="N713" s="39" t="str">
        <f>("1050097")</f>
        <v>1050097</v>
      </c>
      <c r="P713" s="39" t="s">
        <v>12200</v>
      </c>
      <c r="Q713" s="39" t="s">
        <v>8568</v>
      </c>
      <c r="R713" s="39" t="s">
        <v>8569</v>
      </c>
      <c r="S713" s="39" t="s">
        <v>8570</v>
      </c>
      <c r="AK713" s="39" t="str">
        <f>("2025/03/25")</f>
        <v>2025/03/25</v>
      </c>
      <c r="AL713" s="39" t="str">
        <f t="shared" si="56"/>
        <v>2025/04/01</v>
      </c>
    </row>
    <row r="714" spans="1:38" x14ac:dyDescent="0.25">
      <c r="A714" s="39" t="str">
        <f>("1404010098")</f>
        <v>1404010098</v>
      </c>
      <c r="C714" s="39"/>
      <c r="D714" s="39" t="s">
        <v>6052</v>
      </c>
      <c r="E714" s="371" t="str">
        <f t="shared" si="57"/>
        <v>なかざき　ゆうだい</v>
      </c>
      <c r="F714" s="39" t="s">
        <v>1207</v>
      </c>
      <c r="G714" s="39" t="s">
        <v>7828</v>
      </c>
      <c r="H714" s="39" t="str">
        <f>("2014/04/01")</f>
        <v>2014/04/01</v>
      </c>
      <c r="I714" s="39">
        <v>6</v>
      </c>
      <c r="J714" s="39" t="s">
        <v>1478</v>
      </c>
      <c r="K714" s="39" t="s">
        <v>2122</v>
      </c>
      <c r="L714" s="39" t="s">
        <v>7830</v>
      </c>
      <c r="M714" s="39" t="s">
        <v>7831</v>
      </c>
      <c r="N714" s="39" t="str">
        <f>("0381608")</f>
        <v>0381608</v>
      </c>
      <c r="P714" s="39" t="s">
        <v>12201</v>
      </c>
      <c r="Q714" s="39" t="s">
        <v>8568</v>
      </c>
      <c r="R714" s="39" t="s">
        <v>8569</v>
      </c>
      <c r="S714" s="39" t="s">
        <v>8570</v>
      </c>
      <c r="AK714" s="39" t="str">
        <f>("2025/03/21")</f>
        <v>2025/03/21</v>
      </c>
      <c r="AL714" s="39" t="str">
        <f t="shared" si="56"/>
        <v>2025/04/01</v>
      </c>
    </row>
    <row r="715" spans="1:38" x14ac:dyDescent="0.25">
      <c r="A715" s="39" t="str">
        <f>("1404030033")</f>
        <v>1404030033</v>
      </c>
      <c r="C715" s="39"/>
      <c r="D715" s="39" t="s">
        <v>4223</v>
      </c>
      <c r="E715" s="371" t="str">
        <f t="shared" si="57"/>
        <v>うつみ　ひまる</v>
      </c>
      <c r="F715" s="39" t="s">
        <v>2469</v>
      </c>
      <c r="G715" s="39" t="s">
        <v>7828</v>
      </c>
      <c r="H715" s="39" t="str">
        <f>("2014/04/03")</f>
        <v>2014/04/03</v>
      </c>
      <c r="I715" s="39">
        <v>5</v>
      </c>
      <c r="J715" s="39" t="s">
        <v>1478</v>
      </c>
      <c r="K715" s="39" t="s">
        <v>2122</v>
      </c>
      <c r="L715" s="39" t="s">
        <v>7830</v>
      </c>
      <c r="M715" s="39" t="s">
        <v>7831</v>
      </c>
      <c r="N715" s="39" t="str">
        <f>("0129462")</f>
        <v>0129462</v>
      </c>
      <c r="P715" s="39" t="s">
        <v>12202</v>
      </c>
      <c r="Q715" s="39" t="s">
        <v>8568</v>
      </c>
      <c r="R715" s="39" t="s">
        <v>8569</v>
      </c>
      <c r="S715" s="39" t="s">
        <v>8570</v>
      </c>
      <c r="AK715" s="39" t="str">
        <f>("2025/03/21")</f>
        <v>2025/03/21</v>
      </c>
      <c r="AL715" s="39" t="str">
        <f t="shared" si="56"/>
        <v>2025/04/01</v>
      </c>
    </row>
    <row r="716" spans="1:38" x14ac:dyDescent="0.25">
      <c r="A716" s="39" t="str">
        <f>("1404030065")</f>
        <v>1404030065</v>
      </c>
      <c r="C716" s="39"/>
      <c r="D716" s="39" t="s">
        <v>7832</v>
      </c>
      <c r="E716" s="371" t="str">
        <f t="shared" si="57"/>
        <v>わきぐち　はるか</v>
      </c>
      <c r="F716" s="39" t="s">
        <v>2544</v>
      </c>
      <c r="G716" s="39" t="s">
        <v>7828</v>
      </c>
      <c r="H716" s="39" t="str">
        <f>("2014/04/03")</f>
        <v>2014/04/03</v>
      </c>
      <c r="I716" s="39">
        <v>5</v>
      </c>
      <c r="J716" s="39" t="s">
        <v>1478</v>
      </c>
      <c r="K716" s="39" t="s">
        <v>2122</v>
      </c>
      <c r="L716" s="39" t="s">
        <v>7830</v>
      </c>
      <c r="M716" s="39" t="s">
        <v>7831</v>
      </c>
      <c r="N716" s="39" t="str">
        <f>("0130644")</f>
        <v>0130644</v>
      </c>
      <c r="P716" s="39" t="s">
        <v>12203</v>
      </c>
      <c r="Q716" s="39" t="s">
        <v>8568</v>
      </c>
      <c r="R716" s="39" t="s">
        <v>8569</v>
      </c>
      <c r="S716" s="39" t="s">
        <v>8570</v>
      </c>
      <c r="AA716" s="39" t="s">
        <v>9013</v>
      </c>
      <c r="AB716" s="39" t="s">
        <v>7830</v>
      </c>
      <c r="AC716" s="39" t="s">
        <v>7831</v>
      </c>
      <c r="AD716" s="39" t="str">
        <f>("0201519")</f>
        <v>0201519</v>
      </c>
      <c r="AE716" s="39" t="s">
        <v>9014</v>
      </c>
      <c r="AK716" s="39" t="str">
        <f>("2025/03/17")</f>
        <v>2025/03/17</v>
      </c>
      <c r="AL716" s="39" t="str">
        <f t="shared" si="56"/>
        <v>2025/04/01</v>
      </c>
    </row>
    <row r="717" spans="1:38" x14ac:dyDescent="0.25">
      <c r="A717" s="39" t="str">
        <f>("1404030218")</f>
        <v>1404030218</v>
      </c>
      <c r="C717" s="39"/>
      <c r="D717" s="39" t="s">
        <v>7833</v>
      </c>
      <c r="E717" s="371" t="str">
        <f t="shared" si="57"/>
        <v>ごとう　せいや</v>
      </c>
      <c r="F717" s="39" t="s">
        <v>2350</v>
      </c>
      <c r="G717" s="39" t="s">
        <v>7828</v>
      </c>
      <c r="H717" s="39" t="str">
        <f>("2014/04/03")</f>
        <v>2014/04/03</v>
      </c>
      <c r="I717" s="39">
        <v>5</v>
      </c>
      <c r="J717" s="39" t="s">
        <v>1478</v>
      </c>
      <c r="K717" s="39" t="s">
        <v>2122</v>
      </c>
      <c r="L717" s="39" t="s">
        <v>7830</v>
      </c>
      <c r="M717" s="39" t="s">
        <v>7831</v>
      </c>
      <c r="N717" s="39" t="str">
        <f>("0360032")</f>
        <v>0360032</v>
      </c>
      <c r="P717" s="39" t="s">
        <v>12204</v>
      </c>
      <c r="Q717" s="39" t="s">
        <v>8568</v>
      </c>
      <c r="R717" s="39" t="s">
        <v>8569</v>
      </c>
      <c r="S717" s="39" t="s">
        <v>8570</v>
      </c>
      <c r="AK717" s="39" t="str">
        <f>("2025/03/17")</f>
        <v>2025/03/17</v>
      </c>
      <c r="AL717" s="39" t="str">
        <f t="shared" si="56"/>
        <v>2025/04/01</v>
      </c>
    </row>
    <row r="718" spans="1:38" x14ac:dyDescent="0.25">
      <c r="A718" s="39" t="str">
        <f>("1404040026")</f>
        <v>1404040026</v>
      </c>
      <c r="C718" s="39"/>
      <c r="D718" s="39" t="s">
        <v>5926</v>
      </c>
      <c r="E718" s="371" t="str">
        <f t="shared" si="57"/>
        <v>なかむら　ゆいと</v>
      </c>
      <c r="F718" s="39" t="s">
        <v>2422</v>
      </c>
      <c r="G718" s="39" t="s">
        <v>7828</v>
      </c>
      <c r="H718" s="39" t="str">
        <f>("2014/04/04")</f>
        <v>2014/04/04</v>
      </c>
      <c r="I718" s="39">
        <v>5</v>
      </c>
      <c r="J718" s="39" t="s">
        <v>1478</v>
      </c>
      <c r="K718" s="39" t="s">
        <v>2122</v>
      </c>
      <c r="L718" s="39" t="s">
        <v>7830</v>
      </c>
      <c r="M718" s="39" t="s">
        <v>7831</v>
      </c>
      <c r="N718" s="39" t="str">
        <f>("0130699")</f>
        <v>0130699</v>
      </c>
      <c r="P718" s="39" t="s">
        <v>12205</v>
      </c>
      <c r="Q718" s="39" t="s">
        <v>8568</v>
      </c>
      <c r="R718" s="39" t="s">
        <v>8569</v>
      </c>
      <c r="S718" s="39" t="s">
        <v>8570</v>
      </c>
      <c r="AK718" s="39" t="str">
        <f>("2025/03/17")</f>
        <v>2025/03/17</v>
      </c>
      <c r="AL718" s="39" t="str">
        <f t="shared" si="56"/>
        <v>2025/04/01</v>
      </c>
    </row>
    <row r="719" spans="1:38" x14ac:dyDescent="0.25">
      <c r="A719" s="39" t="str">
        <f>("1404040180")</f>
        <v>1404040180</v>
      </c>
      <c r="C719" s="39"/>
      <c r="D719" s="39" t="s">
        <v>7834</v>
      </c>
      <c r="E719" s="371" t="str">
        <f t="shared" si="57"/>
        <v>まつたか　ひろと</v>
      </c>
      <c r="F719" s="39" t="s">
        <v>2299</v>
      </c>
      <c r="G719" s="39" t="s">
        <v>7828</v>
      </c>
      <c r="H719" s="39" t="str">
        <f>("2014/04/04")</f>
        <v>2014/04/04</v>
      </c>
      <c r="I719" s="39">
        <v>5</v>
      </c>
      <c r="J719" s="39" t="s">
        <v>1478</v>
      </c>
      <c r="K719" s="39" t="s">
        <v>2122</v>
      </c>
      <c r="L719" s="39" t="s">
        <v>7830</v>
      </c>
      <c r="M719" s="39" t="s">
        <v>7831</v>
      </c>
      <c r="N719" s="39" t="str">
        <f>("1066647")</f>
        <v>1066647</v>
      </c>
      <c r="P719" s="39" t="s">
        <v>12206</v>
      </c>
      <c r="Q719" s="39" t="s">
        <v>8568</v>
      </c>
      <c r="R719" s="39" t="s">
        <v>8569</v>
      </c>
      <c r="S719" s="39" t="s">
        <v>8570</v>
      </c>
      <c r="AK719" s="39" t="str">
        <f>("2025/03/21")</f>
        <v>2025/03/21</v>
      </c>
      <c r="AL719" s="39" t="str">
        <f t="shared" si="56"/>
        <v>2025/04/01</v>
      </c>
    </row>
    <row r="720" spans="1:38" x14ac:dyDescent="0.25">
      <c r="A720" s="39" t="str">
        <f>("1404040186")</f>
        <v>1404040186</v>
      </c>
      <c r="C720" s="39"/>
      <c r="D720" s="39" t="s">
        <v>7835</v>
      </c>
      <c r="E720" s="371" t="str">
        <f t="shared" si="57"/>
        <v>まつなり　あいか</v>
      </c>
      <c r="F720" s="39" t="s">
        <v>2299</v>
      </c>
      <c r="G720" s="39" t="s">
        <v>7828</v>
      </c>
      <c r="H720" s="39" t="str">
        <f>("2014/04/04")</f>
        <v>2014/04/04</v>
      </c>
      <c r="I720" s="39">
        <v>5</v>
      </c>
      <c r="J720" s="39" t="s">
        <v>1480</v>
      </c>
      <c r="K720" s="39" t="s">
        <v>2122</v>
      </c>
      <c r="L720" s="39" t="s">
        <v>7830</v>
      </c>
      <c r="M720" s="39" t="s">
        <v>7831</v>
      </c>
      <c r="N720" s="39" t="str">
        <f>("1066647")</f>
        <v>1066647</v>
      </c>
      <c r="P720" s="39" t="s">
        <v>12207</v>
      </c>
      <c r="Q720" s="39" t="s">
        <v>8568</v>
      </c>
      <c r="R720" s="39" t="s">
        <v>8569</v>
      </c>
      <c r="S720" s="39" t="s">
        <v>8570</v>
      </c>
      <c r="AK720" s="39" t="str">
        <f>("2025/03/21")</f>
        <v>2025/03/21</v>
      </c>
      <c r="AL720" s="39" t="str">
        <f t="shared" si="56"/>
        <v>2025/04/01</v>
      </c>
    </row>
    <row r="721" spans="1:39" x14ac:dyDescent="0.25">
      <c r="A721" s="39" t="str">
        <f>("1404040195")</f>
        <v>1404040195</v>
      </c>
      <c r="C721" s="39"/>
      <c r="D721" s="39" t="s">
        <v>7836</v>
      </c>
      <c r="E721" s="371" t="str">
        <f t="shared" si="57"/>
        <v>やおか　ゆずる</v>
      </c>
      <c r="F721" s="39" t="s">
        <v>2648</v>
      </c>
      <c r="G721" s="39" t="s">
        <v>7828</v>
      </c>
      <c r="H721" s="39" t="str">
        <f>("2014/04/04")</f>
        <v>2014/04/04</v>
      </c>
      <c r="I721" s="39">
        <v>5</v>
      </c>
      <c r="J721" s="39" t="s">
        <v>1478</v>
      </c>
      <c r="K721" s="39" t="s">
        <v>2122</v>
      </c>
      <c r="L721" s="39" t="s">
        <v>7830</v>
      </c>
      <c r="M721" s="39" t="s">
        <v>7831</v>
      </c>
      <c r="N721" s="39" t="str">
        <f>("1050097")</f>
        <v>1050097</v>
      </c>
      <c r="P721" s="39" t="s">
        <v>12208</v>
      </c>
      <c r="Q721" s="39" t="s">
        <v>8568</v>
      </c>
      <c r="R721" s="39" t="s">
        <v>8569</v>
      </c>
      <c r="S721" s="39" t="s">
        <v>8570</v>
      </c>
      <c r="AK721" s="39" t="str">
        <f>("2025/03/25")</f>
        <v>2025/03/25</v>
      </c>
      <c r="AL721" s="39" t="str">
        <f t="shared" si="56"/>
        <v>2025/04/01</v>
      </c>
    </row>
    <row r="722" spans="1:39" x14ac:dyDescent="0.25">
      <c r="A722" s="39" t="str">
        <f>("1404040220")</f>
        <v>1404040220</v>
      </c>
      <c r="C722" s="39"/>
      <c r="D722" s="39" t="s">
        <v>7837</v>
      </c>
      <c r="E722" s="371" t="str">
        <f t="shared" si="57"/>
        <v>ふるた　かい</v>
      </c>
      <c r="F722" s="39" t="s">
        <v>2479</v>
      </c>
      <c r="G722" s="39" t="s">
        <v>7828</v>
      </c>
      <c r="H722" s="39" t="str">
        <f>("2014/04/04")</f>
        <v>2014/04/04</v>
      </c>
      <c r="I722" s="39">
        <v>5</v>
      </c>
      <c r="J722" s="39" t="s">
        <v>1478</v>
      </c>
      <c r="K722" s="39" t="s">
        <v>2122</v>
      </c>
      <c r="L722" s="39" t="s">
        <v>7830</v>
      </c>
      <c r="M722" s="39" t="s">
        <v>7831</v>
      </c>
      <c r="N722" s="39" t="str">
        <f>("0129608")</f>
        <v>0129608</v>
      </c>
      <c r="P722" s="39" t="s">
        <v>12209</v>
      </c>
      <c r="Q722" s="39" t="s">
        <v>8568</v>
      </c>
      <c r="R722" s="39" t="s">
        <v>8569</v>
      </c>
      <c r="S722" s="39" t="s">
        <v>8570</v>
      </c>
      <c r="AK722" s="39" t="str">
        <f>("2025/03/17")</f>
        <v>2025/03/17</v>
      </c>
      <c r="AL722" s="39" t="str">
        <f t="shared" si="56"/>
        <v>2025/04/01</v>
      </c>
    </row>
    <row r="723" spans="1:39" x14ac:dyDescent="0.25">
      <c r="A723" s="39" t="str">
        <f>("1404050163")</f>
        <v>1404050163</v>
      </c>
      <c r="C723" s="39"/>
      <c r="D723" s="39" t="s">
        <v>9015</v>
      </c>
      <c r="E723" s="371" t="str">
        <f t="shared" si="57"/>
        <v>やまさき　ことね</v>
      </c>
      <c r="F723" s="39" t="s">
        <v>2619</v>
      </c>
      <c r="G723" s="39" t="s">
        <v>7828</v>
      </c>
      <c r="H723" s="39" t="str">
        <f>("2013/04/05")</f>
        <v>2013/04/05</v>
      </c>
      <c r="I723" s="39">
        <v>6</v>
      </c>
      <c r="J723" s="39" t="s">
        <v>1480</v>
      </c>
      <c r="K723" s="39" t="s">
        <v>2122</v>
      </c>
      <c r="L723" s="39" t="s">
        <v>7830</v>
      </c>
      <c r="M723" s="39" t="s">
        <v>7831</v>
      </c>
      <c r="N723" s="39" t="str">
        <f>("0472823")</f>
        <v>0472823</v>
      </c>
      <c r="P723" s="39" t="s">
        <v>12210</v>
      </c>
      <c r="Q723" s="39" t="s">
        <v>8568</v>
      </c>
      <c r="R723" s="39" t="s">
        <v>8569</v>
      </c>
      <c r="S723" s="39" t="s">
        <v>8570</v>
      </c>
      <c r="AK723" s="39" t="str">
        <f>("2025/03/17")</f>
        <v>2025/03/17</v>
      </c>
      <c r="AL723" s="39" t="str">
        <f t="shared" si="56"/>
        <v>2025/04/01</v>
      </c>
      <c r="AM723" s="39" t="str">
        <f>("2025/12/17")</f>
        <v>2025/12/17</v>
      </c>
    </row>
    <row r="724" spans="1:39" x14ac:dyDescent="0.25">
      <c r="A724" s="39" t="str">
        <f>("1404060128")</f>
        <v>1404060128</v>
      </c>
      <c r="C724" s="39"/>
      <c r="D724" s="39" t="s">
        <v>7838</v>
      </c>
      <c r="E724" s="371" t="str">
        <f t="shared" si="57"/>
        <v>ふじわら　そうた</v>
      </c>
      <c r="F724" s="39" t="s">
        <v>2647</v>
      </c>
      <c r="G724" s="39" t="s">
        <v>7828</v>
      </c>
      <c r="H724" s="39" t="str">
        <f>("2014/04/06")</f>
        <v>2014/04/06</v>
      </c>
      <c r="I724" s="39">
        <v>5</v>
      </c>
      <c r="J724" s="39" t="s">
        <v>1478</v>
      </c>
      <c r="K724" s="39" t="s">
        <v>2122</v>
      </c>
      <c r="L724" s="39" t="s">
        <v>7830</v>
      </c>
      <c r="M724" s="39" t="s">
        <v>7831</v>
      </c>
      <c r="N724" s="39" t="str">
        <f>("1036817")</f>
        <v>1036817</v>
      </c>
      <c r="P724" s="39" t="s">
        <v>11522</v>
      </c>
      <c r="Q724" s="39" t="s">
        <v>8568</v>
      </c>
      <c r="R724" s="39" t="s">
        <v>8569</v>
      </c>
      <c r="S724" s="39" t="s">
        <v>8570</v>
      </c>
      <c r="AK724" s="39" t="str">
        <f>("2025/03/17")</f>
        <v>2025/03/17</v>
      </c>
      <c r="AL724" s="39" t="str">
        <f t="shared" si="56"/>
        <v>2025/04/01</v>
      </c>
    </row>
    <row r="725" spans="1:39" x14ac:dyDescent="0.25">
      <c r="A725" s="39" t="str">
        <f>("1404060162")</f>
        <v>1404060162</v>
      </c>
      <c r="C725" s="39"/>
      <c r="D725" s="39" t="s">
        <v>7839</v>
      </c>
      <c r="E725" s="371" t="str">
        <f t="shared" si="57"/>
        <v>たにぐち　こはる</v>
      </c>
      <c r="F725" s="39" t="s">
        <v>2299</v>
      </c>
      <c r="G725" s="39" t="s">
        <v>7828</v>
      </c>
      <c r="H725" s="39" t="str">
        <f>("2014/04/06")</f>
        <v>2014/04/06</v>
      </c>
      <c r="I725" s="39">
        <v>5</v>
      </c>
      <c r="J725" s="39" t="s">
        <v>1480</v>
      </c>
      <c r="K725" s="39" t="s">
        <v>2122</v>
      </c>
      <c r="L725" s="39" t="s">
        <v>7830</v>
      </c>
      <c r="M725" s="39" t="s">
        <v>7831</v>
      </c>
      <c r="N725" s="39" t="str">
        <f>("1066647")</f>
        <v>1066647</v>
      </c>
      <c r="P725" s="39" t="s">
        <v>12211</v>
      </c>
      <c r="Q725" s="39" t="s">
        <v>8568</v>
      </c>
      <c r="R725" s="39" t="s">
        <v>8569</v>
      </c>
      <c r="S725" s="39" t="s">
        <v>8570</v>
      </c>
      <c r="AK725" s="39" t="str">
        <f>("2025/03/21")</f>
        <v>2025/03/21</v>
      </c>
      <c r="AL725" s="39" t="str">
        <f t="shared" si="56"/>
        <v>2025/04/01</v>
      </c>
    </row>
    <row r="726" spans="1:39" x14ac:dyDescent="0.25">
      <c r="A726" s="39" t="str">
        <f>("1404060183")</f>
        <v>1404060183</v>
      </c>
      <c r="C726" s="39"/>
      <c r="D726" s="39" t="s">
        <v>7840</v>
      </c>
      <c r="E726" s="371" t="str">
        <f t="shared" si="57"/>
        <v>そのだ　こうすけ</v>
      </c>
      <c r="F726" s="39" t="s">
        <v>2878</v>
      </c>
      <c r="G726" s="39" t="s">
        <v>7828</v>
      </c>
      <c r="H726" s="39" t="str">
        <f>("2014/04/06")</f>
        <v>2014/04/06</v>
      </c>
      <c r="I726" s="39">
        <v>5</v>
      </c>
      <c r="J726" s="39" t="s">
        <v>1478</v>
      </c>
      <c r="K726" s="39" t="s">
        <v>2122</v>
      </c>
      <c r="L726" s="39" t="s">
        <v>7830</v>
      </c>
      <c r="M726" s="39" t="s">
        <v>7831</v>
      </c>
      <c r="N726" s="39" t="str">
        <f>("0129484")</f>
        <v>0129484</v>
      </c>
      <c r="P726" s="39" t="s">
        <v>12212</v>
      </c>
      <c r="Q726" s="39" t="s">
        <v>8568</v>
      </c>
      <c r="R726" s="39" t="s">
        <v>8569</v>
      </c>
      <c r="S726" s="39" t="s">
        <v>8570</v>
      </c>
      <c r="AK726" s="39" t="str">
        <f>("2025/05/22")</f>
        <v>2025/05/22</v>
      </c>
      <c r="AL726" s="39" t="str">
        <f>("2025/05/22")</f>
        <v>2025/05/22</v>
      </c>
    </row>
    <row r="727" spans="1:39" x14ac:dyDescent="0.25">
      <c r="A727" s="39" t="str">
        <f>("1404070050")</f>
        <v>1404070050</v>
      </c>
      <c r="B727" s="39" t="s">
        <v>7841</v>
      </c>
      <c r="C727" s="39"/>
      <c r="D727" s="39" t="s">
        <v>7842</v>
      </c>
      <c r="E727" s="371" t="str">
        <f t="shared" si="57"/>
        <v>いとう　そうし</v>
      </c>
      <c r="F727" s="39" t="s">
        <v>7843</v>
      </c>
      <c r="G727" s="39" t="s">
        <v>7828</v>
      </c>
      <c r="H727" s="39" t="str">
        <f>("2014/04/07")</f>
        <v>2014/04/07</v>
      </c>
      <c r="I727" s="39">
        <v>5</v>
      </c>
      <c r="J727" s="39" t="s">
        <v>1478</v>
      </c>
      <c r="K727" s="39" t="s">
        <v>2122</v>
      </c>
      <c r="L727" s="39" t="s">
        <v>7830</v>
      </c>
      <c r="M727" s="39" t="s">
        <v>7831</v>
      </c>
      <c r="N727" s="39" t="str">
        <f>("1117332")</f>
        <v>1117332</v>
      </c>
      <c r="P727" s="39" t="s">
        <v>12213</v>
      </c>
      <c r="Q727" s="39" t="s">
        <v>8568</v>
      </c>
      <c r="R727" s="39" t="s">
        <v>8569</v>
      </c>
      <c r="S727" s="39" t="s">
        <v>8570</v>
      </c>
      <c r="AA727" s="39" t="s">
        <v>2122</v>
      </c>
      <c r="AB727" s="39" t="s">
        <v>7830</v>
      </c>
      <c r="AC727" s="39" t="s">
        <v>7831</v>
      </c>
      <c r="AD727" s="39" t="str">
        <f>("1073454")</f>
        <v>1073454</v>
      </c>
      <c r="AE727" s="39" t="s">
        <v>8749</v>
      </c>
      <c r="AF727" s="39" t="s">
        <v>2122</v>
      </c>
      <c r="AG727" s="39" t="s">
        <v>7830</v>
      </c>
      <c r="AH727" s="39" t="s">
        <v>7831</v>
      </c>
      <c r="AI727" s="39" t="str">
        <f>("0366735")</f>
        <v>0366735</v>
      </c>
      <c r="AJ727" s="39" t="s">
        <v>2395</v>
      </c>
      <c r="AK727" s="39" t="str">
        <f>("2025/03/17")</f>
        <v>2025/03/17</v>
      </c>
      <c r="AL727" s="39" t="str">
        <f t="shared" ref="AL727:AL735" si="58">("2025/04/01")</f>
        <v>2025/04/01</v>
      </c>
    </row>
    <row r="728" spans="1:39" x14ac:dyDescent="0.25">
      <c r="A728" s="39" t="str">
        <f>("1404080138")</f>
        <v>1404080138</v>
      </c>
      <c r="C728" s="39"/>
      <c r="D728" s="39" t="s">
        <v>7844</v>
      </c>
      <c r="E728" s="371" t="str">
        <f t="shared" si="57"/>
        <v>とよだ　まなき</v>
      </c>
      <c r="F728" s="39" t="s">
        <v>2299</v>
      </c>
      <c r="G728" s="39" t="s">
        <v>7828</v>
      </c>
      <c r="H728" s="39" t="str">
        <f>("2014/04/08")</f>
        <v>2014/04/08</v>
      </c>
      <c r="I728" s="39">
        <v>5</v>
      </c>
      <c r="J728" s="39" t="s">
        <v>1478</v>
      </c>
      <c r="K728" s="39" t="s">
        <v>2122</v>
      </c>
      <c r="L728" s="39" t="s">
        <v>7830</v>
      </c>
      <c r="M728" s="39" t="s">
        <v>7831</v>
      </c>
      <c r="N728" s="39" t="str">
        <f>("1066647")</f>
        <v>1066647</v>
      </c>
      <c r="P728" s="39" t="s">
        <v>12214</v>
      </c>
      <c r="Q728" s="39" t="s">
        <v>8568</v>
      </c>
      <c r="R728" s="39" t="s">
        <v>8569</v>
      </c>
      <c r="S728" s="39" t="s">
        <v>8570</v>
      </c>
      <c r="AK728" s="39" t="str">
        <f>("2025/03/21")</f>
        <v>2025/03/21</v>
      </c>
      <c r="AL728" s="39" t="str">
        <f t="shared" si="58"/>
        <v>2025/04/01</v>
      </c>
    </row>
    <row r="729" spans="1:39" x14ac:dyDescent="0.25">
      <c r="A729" s="39" t="str">
        <f>("1404080142")</f>
        <v>1404080142</v>
      </c>
      <c r="B729" s="39" t="s">
        <v>7845</v>
      </c>
      <c r="C729" s="39"/>
      <c r="D729" s="39" t="s">
        <v>7846</v>
      </c>
      <c r="E729" s="371" t="str">
        <f t="shared" si="57"/>
        <v>みやけ　せいや</v>
      </c>
      <c r="F729" s="39" t="s">
        <v>2530</v>
      </c>
      <c r="G729" s="39" t="s">
        <v>7828</v>
      </c>
      <c r="H729" s="39" t="str">
        <f>("2014/04/08")</f>
        <v>2014/04/08</v>
      </c>
      <c r="I729" s="39">
        <v>5</v>
      </c>
      <c r="J729" s="39" t="s">
        <v>1478</v>
      </c>
      <c r="K729" s="39" t="s">
        <v>2122</v>
      </c>
      <c r="L729" s="39" t="s">
        <v>7830</v>
      </c>
      <c r="M729" s="39" t="s">
        <v>7831</v>
      </c>
      <c r="N729" s="39" t="str">
        <f>("0338756")</f>
        <v>0338756</v>
      </c>
      <c r="P729" s="39" t="s">
        <v>12215</v>
      </c>
      <c r="Q729" s="39" t="s">
        <v>8568</v>
      </c>
      <c r="R729" s="39" t="s">
        <v>8569</v>
      </c>
      <c r="S729" s="39" t="s">
        <v>8570</v>
      </c>
      <c r="AK729" s="39" t="str">
        <f>("2025/04/01")</f>
        <v>2025/04/01</v>
      </c>
      <c r="AL729" s="39" t="str">
        <f t="shared" si="58"/>
        <v>2025/04/01</v>
      </c>
    </row>
    <row r="730" spans="1:39" x14ac:dyDescent="0.25">
      <c r="A730" s="39" t="str">
        <f>("1404090072")</f>
        <v>1404090072</v>
      </c>
      <c r="C730" s="39"/>
      <c r="D730" s="39" t="s">
        <v>4296</v>
      </c>
      <c r="E730" s="371" t="str">
        <f t="shared" si="57"/>
        <v>あだち　こうのすけ</v>
      </c>
      <c r="F730" s="39" t="s">
        <v>2139</v>
      </c>
      <c r="G730" s="39" t="s">
        <v>7828</v>
      </c>
      <c r="H730" s="39" t="str">
        <f>("2014/04/09")</f>
        <v>2014/04/09</v>
      </c>
      <c r="I730" s="39">
        <v>5</v>
      </c>
      <c r="J730" s="39" t="s">
        <v>1478</v>
      </c>
      <c r="K730" s="39" t="s">
        <v>2122</v>
      </c>
      <c r="L730" s="39" t="s">
        <v>7830</v>
      </c>
      <c r="M730" s="39" t="s">
        <v>7831</v>
      </c>
      <c r="N730" s="39" t="str">
        <f>("0129798")</f>
        <v>0129798</v>
      </c>
      <c r="P730" s="39" t="s">
        <v>12216</v>
      </c>
      <c r="Q730" s="39" t="s">
        <v>8568</v>
      </c>
      <c r="R730" s="39" t="s">
        <v>8569</v>
      </c>
      <c r="S730" s="39" t="s">
        <v>8570</v>
      </c>
      <c r="AK730" s="39" t="str">
        <f>("2025/03/27")</f>
        <v>2025/03/27</v>
      </c>
      <c r="AL730" s="39" t="str">
        <f t="shared" si="58"/>
        <v>2025/04/01</v>
      </c>
    </row>
    <row r="731" spans="1:39" x14ac:dyDescent="0.25">
      <c r="A731" s="39" t="str">
        <f>("1404090104")</f>
        <v>1404090104</v>
      </c>
      <c r="C731" s="39"/>
      <c r="D731" s="39" t="s">
        <v>7847</v>
      </c>
      <c r="E731" s="371" t="str">
        <f t="shared" si="57"/>
        <v>たけの　こうすけ</v>
      </c>
      <c r="F731" s="39" t="s">
        <v>2573</v>
      </c>
      <c r="G731" s="39" t="s">
        <v>7828</v>
      </c>
      <c r="H731" s="39" t="str">
        <f>("2014/04/09")</f>
        <v>2014/04/09</v>
      </c>
      <c r="I731" s="39">
        <v>5</v>
      </c>
      <c r="J731" s="39" t="s">
        <v>1478</v>
      </c>
      <c r="K731" s="39" t="s">
        <v>2122</v>
      </c>
      <c r="L731" s="39" t="s">
        <v>7830</v>
      </c>
      <c r="M731" s="39" t="s">
        <v>7831</v>
      </c>
      <c r="N731" s="39" t="str">
        <f>("0230982")</f>
        <v>0230982</v>
      </c>
      <c r="P731" s="39" t="s">
        <v>12217</v>
      </c>
      <c r="Q731" s="39" t="s">
        <v>8568</v>
      </c>
      <c r="R731" s="39" t="s">
        <v>8569</v>
      </c>
      <c r="S731" s="39" t="s">
        <v>8570</v>
      </c>
      <c r="AK731" s="39" t="str">
        <f>("2025/03/17")</f>
        <v>2025/03/17</v>
      </c>
      <c r="AL731" s="39" t="str">
        <f t="shared" si="58"/>
        <v>2025/04/01</v>
      </c>
    </row>
    <row r="732" spans="1:39" x14ac:dyDescent="0.25">
      <c r="A732" s="39" t="str">
        <f>("1404090135")</f>
        <v>1404090135</v>
      </c>
      <c r="C732" s="39"/>
      <c r="D732" s="39" t="s">
        <v>5856</v>
      </c>
      <c r="E732" s="371" t="str">
        <f t="shared" si="57"/>
        <v>なかの　ひなた</v>
      </c>
      <c r="F732" s="39" t="s">
        <v>1751</v>
      </c>
      <c r="G732" s="39" t="s">
        <v>7828</v>
      </c>
      <c r="H732" s="39" t="str">
        <f>("2014/04/09")</f>
        <v>2014/04/09</v>
      </c>
      <c r="I732" s="39">
        <v>5</v>
      </c>
      <c r="J732" s="39" t="s">
        <v>1478</v>
      </c>
      <c r="K732" s="39" t="s">
        <v>2122</v>
      </c>
      <c r="L732" s="39" t="s">
        <v>7830</v>
      </c>
      <c r="M732" s="39" t="s">
        <v>7831</v>
      </c>
      <c r="N732" s="39" t="str">
        <f>("0130453")</f>
        <v>0130453</v>
      </c>
      <c r="P732" s="39" t="s">
        <v>12218</v>
      </c>
      <c r="Q732" s="39" t="s">
        <v>8568</v>
      </c>
      <c r="R732" s="39" t="s">
        <v>8569</v>
      </c>
      <c r="S732" s="39" t="s">
        <v>8570</v>
      </c>
      <c r="AK732" s="39" t="str">
        <f>("2025/03/17")</f>
        <v>2025/03/17</v>
      </c>
      <c r="AL732" s="39" t="str">
        <f t="shared" si="58"/>
        <v>2025/04/01</v>
      </c>
    </row>
    <row r="733" spans="1:39" x14ac:dyDescent="0.25">
      <c r="A733" s="39" t="str">
        <f>("1404090220")</f>
        <v>1404090220</v>
      </c>
      <c r="C733" s="39"/>
      <c r="D733" s="39" t="s">
        <v>7848</v>
      </c>
      <c r="E733" s="371" t="str">
        <f t="shared" si="57"/>
        <v>なかの　ひさと</v>
      </c>
      <c r="F733" s="39" t="s">
        <v>2323</v>
      </c>
      <c r="G733" s="39" t="s">
        <v>7828</v>
      </c>
      <c r="H733" s="39" t="str">
        <f>("2014/04/09")</f>
        <v>2014/04/09</v>
      </c>
      <c r="I733" s="39">
        <v>5</v>
      </c>
      <c r="J733" s="39" t="s">
        <v>1478</v>
      </c>
      <c r="K733" s="39" t="s">
        <v>2122</v>
      </c>
      <c r="L733" s="39" t="s">
        <v>7830</v>
      </c>
      <c r="M733" s="39" t="s">
        <v>7831</v>
      </c>
      <c r="N733" s="39" t="str">
        <f>("0472722")</f>
        <v>0472722</v>
      </c>
      <c r="P733" s="39" t="s">
        <v>12219</v>
      </c>
      <c r="Q733" s="39" t="s">
        <v>8568</v>
      </c>
      <c r="R733" s="39" t="s">
        <v>8569</v>
      </c>
      <c r="S733" s="39" t="s">
        <v>8570</v>
      </c>
      <c r="AK733" s="39" t="str">
        <f>("2025/03/17")</f>
        <v>2025/03/17</v>
      </c>
      <c r="AL733" s="39" t="str">
        <f t="shared" si="58"/>
        <v>2025/04/01</v>
      </c>
    </row>
    <row r="734" spans="1:39" x14ac:dyDescent="0.25">
      <c r="A734" s="39" t="str">
        <f>("1404100084")</f>
        <v>1404100084</v>
      </c>
      <c r="B734" s="39" t="s">
        <v>7849</v>
      </c>
      <c r="C734" s="39"/>
      <c r="D734" s="39" t="s">
        <v>7850</v>
      </c>
      <c r="E734" s="371" t="str">
        <f t="shared" si="57"/>
        <v>こくし　ゆうせい</v>
      </c>
      <c r="F734" s="39" t="s">
        <v>2022</v>
      </c>
      <c r="G734" s="39" t="s">
        <v>7828</v>
      </c>
      <c r="H734" s="39" t="str">
        <f>("2014/04/10")</f>
        <v>2014/04/10</v>
      </c>
      <c r="I734" s="39">
        <v>5</v>
      </c>
      <c r="J734" s="39" t="s">
        <v>1478</v>
      </c>
      <c r="K734" s="39" t="s">
        <v>2122</v>
      </c>
      <c r="L734" s="39" t="s">
        <v>7830</v>
      </c>
      <c r="M734" s="39" t="s">
        <v>7831</v>
      </c>
      <c r="N734" s="39" t="str">
        <f>("0130329")</f>
        <v>0130329</v>
      </c>
      <c r="P734" s="39" t="s">
        <v>12220</v>
      </c>
      <c r="Q734" s="39" t="s">
        <v>8568</v>
      </c>
      <c r="R734" s="39" t="s">
        <v>8569</v>
      </c>
      <c r="S734" s="39" t="s">
        <v>8570</v>
      </c>
      <c r="AK734" s="39" t="str">
        <f>("2025/03/17")</f>
        <v>2025/03/17</v>
      </c>
      <c r="AL734" s="39" t="str">
        <f t="shared" si="58"/>
        <v>2025/04/01</v>
      </c>
    </row>
    <row r="735" spans="1:39" x14ac:dyDescent="0.25">
      <c r="A735" s="39" t="str">
        <f>("1404100127")</f>
        <v>1404100127</v>
      </c>
      <c r="C735" s="39"/>
      <c r="D735" s="39" t="s">
        <v>4271</v>
      </c>
      <c r="E735" s="371" t="str">
        <f t="shared" si="57"/>
        <v>ひらの　あさひ</v>
      </c>
      <c r="F735" s="39" t="s">
        <v>3866</v>
      </c>
      <c r="G735" s="39" t="s">
        <v>7828</v>
      </c>
      <c r="H735" s="39" t="str">
        <f>("2014/04/10")</f>
        <v>2014/04/10</v>
      </c>
      <c r="I735" s="39">
        <v>5</v>
      </c>
      <c r="J735" s="39" t="s">
        <v>1480</v>
      </c>
      <c r="K735" s="39" t="s">
        <v>2122</v>
      </c>
      <c r="L735" s="39" t="s">
        <v>7830</v>
      </c>
      <c r="M735" s="39" t="s">
        <v>7831</v>
      </c>
      <c r="N735" s="39" t="str">
        <f>("0129675")</f>
        <v>0129675</v>
      </c>
      <c r="P735" s="39" t="s">
        <v>12221</v>
      </c>
      <c r="Q735" s="39" t="s">
        <v>8568</v>
      </c>
      <c r="R735" s="39" t="s">
        <v>8569</v>
      </c>
      <c r="S735" s="39" t="s">
        <v>8570</v>
      </c>
      <c r="AK735" s="39" t="str">
        <f>("2025/04/01")</f>
        <v>2025/04/01</v>
      </c>
      <c r="AL735" s="39" t="str">
        <f t="shared" si="58"/>
        <v>2025/04/01</v>
      </c>
    </row>
    <row r="736" spans="1:39" x14ac:dyDescent="0.25">
      <c r="A736" s="39" t="str">
        <f>("1404100286")</f>
        <v>1404100286</v>
      </c>
      <c r="C736" s="39"/>
      <c r="D736" s="39" t="s">
        <v>7851</v>
      </c>
      <c r="E736" s="371" t="str">
        <f t="shared" si="57"/>
        <v>にしだ　りゅうのすけ</v>
      </c>
      <c r="F736" s="39" t="s">
        <v>2619</v>
      </c>
      <c r="G736" s="39" t="s">
        <v>7828</v>
      </c>
      <c r="H736" s="39" t="str">
        <f>("2014/04/10")</f>
        <v>2014/04/10</v>
      </c>
      <c r="I736" s="39">
        <v>5</v>
      </c>
      <c r="J736" s="39" t="s">
        <v>1478</v>
      </c>
      <c r="K736" s="39" t="s">
        <v>2122</v>
      </c>
      <c r="L736" s="39" t="s">
        <v>7830</v>
      </c>
      <c r="M736" s="39" t="s">
        <v>7831</v>
      </c>
      <c r="N736" s="39" t="str">
        <f>("0472823")</f>
        <v>0472823</v>
      </c>
      <c r="P736" s="39" t="s">
        <v>12222</v>
      </c>
      <c r="Q736" s="39" t="s">
        <v>8568</v>
      </c>
      <c r="R736" s="39" t="s">
        <v>8569</v>
      </c>
      <c r="S736" s="39" t="s">
        <v>8570</v>
      </c>
      <c r="AK736" s="39" t="str">
        <f>("2025/09/12")</f>
        <v>2025/09/12</v>
      </c>
      <c r="AL736" s="39" t="str">
        <f>("2025/09/12")</f>
        <v>2025/09/12</v>
      </c>
    </row>
    <row r="737" spans="1:39" x14ac:dyDescent="0.25">
      <c r="A737" s="39" t="str">
        <f>("1404110009")</f>
        <v>1404110009</v>
      </c>
      <c r="C737" s="39"/>
      <c r="D737" s="39" t="s">
        <v>7852</v>
      </c>
      <c r="E737" s="371" t="str">
        <f t="shared" si="57"/>
        <v>はましま　ゆうと</v>
      </c>
      <c r="F737" s="39" t="s">
        <v>1977</v>
      </c>
      <c r="G737" s="39" t="s">
        <v>7828</v>
      </c>
      <c r="H737" s="39" t="str">
        <f>("2014/04/11")</f>
        <v>2014/04/11</v>
      </c>
      <c r="I737" s="39">
        <v>5</v>
      </c>
      <c r="J737" s="39" t="s">
        <v>1478</v>
      </c>
      <c r="K737" s="39" t="s">
        <v>2122</v>
      </c>
      <c r="L737" s="39" t="s">
        <v>7830</v>
      </c>
      <c r="M737" s="39" t="s">
        <v>7831</v>
      </c>
      <c r="N737" s="39" t="str">
        <f>("0395254")</f>
        <v>0395254</v>
      </c>
      <c r="P737" s="39" t="s">
        <v>12223</v>
      </c>
      <c r="Q737" s="39" t="s">
        <v>8568</v>
      </c>
      <c r="R737" s="39" t="s">
        <v>8569</v>
      </c>
      <c r="S737" s="39" t="s">
        <v>8570</v>
      </c>
      <c r="AK737" s="39" t="str">
        <f>("2025/03/17")</f>
        <v>2025/03/17</v>
      </c>
      <c r="AL737" s="39" t="str">
        <f t="shared" ref="AL737:AL743" si="59">("2025/04/01")</f>
        <v>2025/04/01</v>
      </c>
    </row>
    <row r="738" spans="1:39" x14ac:dyDescent="0.25">
      <c r="A738" s="39" t="str">
        <f>("1404110126")</f>
        <v>1404110126</v>
      </c>
      <c r="B738" s="39" t="s">
        <v>7853</v>
      </c>
      <c r="C738" s="39"/>
      <c r="D738" s="39" t="s">
        <v>7854</v>
      </c>
      <c r="E738" s="371" t="str">
        <f t="shared" si="57"/>
        <v>きもと　ゆうせい</v>
      </c>
      <c r="F738" s="39" t="s">
        <v>2325</v>
      </c>
      <c r="G738" s="39" t="s">
        <v>7828</v>
      </c>
      <c r="H738" s="39" t="str">
        <f>("2014/04/11")</f>
        <v>2014/04/11</v>
      </c>
      <c r="I738" s="39">
        <v>5</v>
      </c>
      <c r="J738" s="39" t="s">
        <v>1478</v>
      </c>
      <c r="K738" s="39" t="s">
        <v>2122</v>
      </c>
      <c r="L738" s="39" t="s">
        <v>7830</v>
      </c>
      <c r="M738" s="39" t="s">
        <v>7831</v>
      </c>
      <c r="N738" s="39" t="str">
        <f>("0155034")</f>
        <v>0155034</v>
      </c>
      <c r="P738" s="39" t="s">
        <v>12224</v>
      </c>
      <c r="Q738" s="39" t="s">
        <v>8568</v>
      </c>
      <c r="R738" s="39" t="s">
        <v>8569</v>
      </c>
      <c r="S738" s="39" t="s">
        <v>8570</v>
      </c>
      <c r="AK738" s="39" t="str">
        <f>("2025/03/17")</f>
        <v>2025/03/17</v>
      </c>
      <c r="AL738" s="39" t="str">
        <f t="shared" si="59"/>
        <v>2025/04/01</v>
      </c>
    </row>
    <row r="739" spans="1:39" x14ac:dyDescent="0.25">
      <c r="A739" s="39" t="str">
        <f>("1404110128")</f>
        <v>1404110128</v>
      </c>
      <c r="B739" s="39" t="s">
        <v>7855</v>
      </c>
      <c r="C739" s="39"/>
      <c r="D739" s="39" t="s">
        <v>7856</v>
      </c>
      <c r="E739" s="371" t="str">
        <f t="shared" si="57"/>
        <v>はしやま　しゅん</v>
      </c>
      <c r="F739" s="39" t="s">
        <v>2530</v>
      </c>
      <c r="G739" s="39" t="s">
        <v>7828</v>
      </c>
      <c r="H739" s="39" t="str">
        <f>("2014/04/11")</f>
        <v>2014/04/11</v>
      </c>
      <c r="I739" s="39">
        <v>5</v>
      </c>
      <c r="J739" s="39" t="s">
        <v>1478</v>
      </c>
      <c r="K739" s="39" t="s">
        <v>2122</v>
      </c>
      <c r="L739" s="39" t="s">
        <v>7830</v>
      </c>
      <c r="M739" s="39" t="s">
        <v>7831</v>
      </c>
      <c r="N739" s="39" t="str">
        <f>("0338756")</f>
        <v>0338756</v>
      </c>
      <c r="P739" s="39" t="s">
        <v>12225</v>
      </c>
      <c r="Q739" s="39" t="s">
        <v>8568</v>
      </c>
      <c r="R739" s="39" t="s">
        <v>8569</v>
      </c>
      <c r="S739" s="39" t="s">
        <v>8570</v>
      </c>
      <c r="AK739" s="39" t="str">
        <f>("2025/04/01")</f>
        <v>2025/04/01</v>
      </c>
      <c r="AL739" s="39" t="str">
        <f t="shared" si="59"/>
        <v>2025/04/01</v>
      </c>
    </row>
    <row r="740" spans="1:39" x14ac:dyDescent="0.25">
      <c r="A740" s="39" t="str">
        <f>("1404120015")</f>
        <v>1404120015</v>
      </c>
      <c r="B740" s="39" t="s">
        <v>7857</v>
      </c>
      <c r="C740" s="39"/>
      <c r="D740" s="39" t="s">
        <v>5850</v>
      </c>
      <c r="E740" s="371" t="str">
        <f t="shared" si="57"/>
        <v>おぎもと　けい</v>
      </c>
      <c r="F740" s="39" t="s">
        <v>2033</v>
      </c>
      <c r="G740" s="39" t="s">
        <v>7828</v>
      </c>
      <c r="H740" s="39" t="str">
        <f>("2014/04/12")</f>
        <v>2014/04/12</v>
      </c>
      <c r="I740" s="39">
        <v>5</v>
      </c>
      <c r="J740" s="39" t="s">
        <v>1478</v>
      </c>
      <c r="K740" s="39" t="s">
        <v>2122</v>
      </c>
      <c r="L740" s="39" t="s">
        <v>7830</v>
      </c>
      <c r="M740" s="39" t="s">
        <v>7831</v>
      </c>
      <c r="N740" s="39" t="str">
        <f>("0130442")</f>
        <v>0130442</v>
      </c>
      <c r="P740" s="39" t="s">
        <v>12226</v>
      </c>
      <c r="Q740" s="39" t="s">
        <v>8568</v>
      </c>
      <c r="R740" s="39" t="s">
        <v>8569</v>
      </c>
      <c r="S740" s="39" t="s">
        <v>8570</v>
      </c>
      <c r="AK740" s="39" t="str">
        <f>("2025/04/04")</f>
        <v>2025/04/04</v>
      </c>
      <c r="AL740" s="39" t="str">
        <f t="shared" si="59"/>
        <v>2025/04/01</v>
      </c>
    </row>
    <row r="741" spans="1:39" x14ac:dyDescent="0.25">
      <c r="A741" s="39" t="str">
        <f>("1404120061")</f>
        <v>1404120061</v>
      </c>
      <c r="B741" s="39" t="s">
        <v>7858</v>
      </c>
      <c r="C741" s="39"/>
      <c r="D741" s="39" t="s">
        <v>4576</v>
      </c>
      <c r="E741" s="371" t="str">
        <f t="shared" si="57"/>
        <v>くまたばら　ゆうま</v>
      </c>
      <c r="F741" s="39" t="s">
        <v>1330</v>
      </c>
      <c r="G741" s="39" t="s">
        <v>7828</v>
      </c>
      <c r="H741" s="39" t="str">
        <f>("2014/04/12")</f>
        <v>2014/04/12</v>
      </c>
      <c r="I741" s="39">
        <v>5</v>
      </c>
      <c r="J741" s="39" t="s">
        <v>1478</v>
      </c>
      <c r="K741" s="39" t="s">
        <v>2122</v>
      </c>
      <c r="L741" s="39" t="s">
        <v>7830</v>
      </c>
      <c r="M741" s="39" t="s">
        <v>7831</v>
      </c>
      <c r="N741" s="39" t="str">
        <f>("0130598")</f>
        <v>0130598</v>
      </c>
      <c r="P741" s="39" t="s">
        <v>12227</v>
      </c>
      <c r="Q741" s="39" t="s">
        <v>8568</v>
      </c>
      <c r="R741" s="39" t="s">
        <v>8569</v>
      </c>
      <c r="S741" s="39" t="s">
        <v>8570</v>
      </c>
      <c r="AK741" s="39" t="str">
        <f>("2025/03/17")</f>
        <v>2025/03/17</v>
      </c>
      <c r="AL741" s="39" t="str">
        <f t="shared" si="59"/>
        <v>2025/04/01</v>
      </c>
    </row>
    <row r="742" spans="1:39" x14ac:dyDescent="0.25">
      <c r="A742" s="39" t="str">
        <f>("1404120162")</f>
        <v>1404120162</v>
      </c>
      <c r="C742" s="39"/>
      <c r="D742" s="39" t="s">
        <v>6138</v>
      </c>
      <c r="E742" s="371" t="str">
        <f t="shared" si="57"/>
        <v>むらかみ　だいと</v>
      </c>
      <c r="F742" s="39" t="s">
        <v>1082</v>
      </c>
      <c r="G742" s="39" t="s">
        <v>7828</v>
      </c>
      <c r="H742" s="39" t="str">
        <f>("2014/04/12")</f>
        <v>2014/04/12</v>
      </c>
      <c r="I742" s="39">
        <v>5</v>
      </c>
      <c r="J742" s="39" t="s">
        <v>1478</v>
      </c>
      <c r="K742" s="39" t="s">
        <v>2122</v>
      </c>
      <c r="L742" s="39" t="s">
        <v>7830</v>
      </c>
      <c r="M742" s="39" t="s">
        <v>7831</v>
      </c>
      <c r="N742" s="39" t="str">
        <f>("0450009")</f>
        <v>0450009</v>
      </c>
      <c r="P742" s="39" t="s">
        <v>12228</v>
      </c>
      <c r="Q742" s="39" t="s">
        <v>8568</v>
      </c>
      <c r="R742" s="39" t="s">
        <v>8569</v>
      </c>
      <c r="S742" s="39" t="s">
        <v>8570</v>
      </c>
      <c r="AK742" s="39" t="str">
        <f>("2025/03/17")</f>
        <v>2025/03/17</v>
      </c>
      <c r="AL742" s="39" t="str">
        <f t="shared" si="59"/>
        <v>2025/04/01</v>
      </c>
    </row>
    <row r="743" spans="1:39" x14ac:dyDescent="0.25">
      <c r="A743" s="39" t="str">
        <f>("1404130017")</f>
        <v>1404130017</v>
      </c>
      <c r="C743" s="39"/>
      <c r="D743" s="39" t="s">
        <v>6284</v>
      </c>
      <c r="E743" s="371" t="str">
        <f t="shared" si="57"/>
        <v>えんどう　やまと</v>
      </c>
      <c r="F743" s="39" t="s">
        <v>5621</v>
      </c>
      <c r="G743" s="39" t="s">
        <v>7828</v>
      </c>
      <c r="H743" s="39" t="str">
        <f>("2014/04/13")</f>
        <v>2014/04/13</v>
      </c>
      <c r="I743" s="39">
        <v>5</v>
      </c>
      <c r="J743" s="39" t="s">
        <v>1478</v>
      </c>
      <c r="K743" s="39" t="s">
        <v>2122</v>
      </c>
      <c r="L743" s="39" t="s">
        <v>7830</v>
      </c>
      <c r="M743" s="39" t="s">
        <v>7831</v>
      </c>
      <c r="N743" s="39" t="str">
        <f>("1110654")</f>
        <v>1110654</v>
      </c>
      <c r="P743" s="39" t="s">
        <v>12229</v>
      </c>
      <c r="Q743" s="39" t="s">
        <v>8568</v>
      </c>
      <c r="R743" s="39" t="s">
        <v>8569</v>
      </c>
      <c r="S743" s="39" t="s">
        <v>8570</v>
      </c>
      <c r="AA743" s="39" t="s">
        <v>2122</v>
      </c>
      <c r="AB743" s="39" t="s">
        <v>7830</v>
      </c>
      <c r="AC743" s="39" t="s">
        <v>7831</v>
      </c>
      <c r="AD743" s="39" t="str">
        <f>("0130442")</f>
        <v>0130442</v>
      </c>
      <c r="AE743" s="39" t="s">
        <v>2033</v>
      </c>
      <c r="AK743" s="39" t="str">
        <f>("2025/03/03")</f>
        <v>2025/03/03</v>
      </c>
      <c r="AL743" s="39" t="str">
        <f t="shared" si="59"/>
        <v>2025/04/01</v>
      </c>
    </row>
    <row r="744" spans="1:39" x14ac:dyDescent="0.25">
      <c r="A744" s="39" t="str">
        <f>("1404130056")</f>
        <v>1404130056</v>
      </c>
      <c r="C744" s="39"/>
      <c r="D744" s="39" t="s">
        <v>7859</v>
      </c>
      <c r="E744" s="371" t="str">
        <f t="shared" si="57"/>
        <v>きくち　こうが</v>
      </c>
      <c r="F744" s="39" t="s">
        <v>5619</v>
      </c>
      <c r="G744" s="39" t="s">
        <v>7828</v>
      </c>
      <c r="H744" s="39" t="str">
        <f>("2014/04/13")</f>
        <v>2014/04/13</v>
      </c>
      <c r="I744" s="39">
        <v>5</v>
      </c>
      <c r="J744" s="39" t="s">
        <v>1478</v>
      </c>
      <c r="K744" s="39" t="s">
        <v>2122</v>
      </c>
      <c r="L744" s="39" t="s">
        <v>7830</v>
      </c>
      <c r="M744" s="39" t="s">
        <v>7831</v>
      </c>
      <c r="N744" s="39" t="str">
        <f>("1089004")</f>
        <v>1089004</v>
      </c>
      <c r="P744" s="39" t="s">
        <v>12230</v>
      </c>
      <c r="Q744" s="39" t="s">
        <v>8568</v>
      </c>
      <c r="R744" s="39" t="s">
        <v>8569</v>
      </c>
      <c r="S744" s="39" t="s">
        <v>8570</v>
      </c>
      <c r="AA744" s="39" t="s">
        <v>2122</v>
      </c>
      <c r="AB744" s="39" t="s">
        <v>7830</v>
      </c>
      <c r="AC744" s="39" t="s">
        <v>7831</v>
      </c>
      <c r="AD744" s="39" t="str">
        <f>("0130598")</f>
        <v>0130598</v>
      </c>
      <c r="AE744" s="39" t="s">
        <v>1330</v>
      </c>
      <c r="AK744" s="39" t="str">
        <f>("2025/05/27")</f>
        <v>2025/05/27</v>
      </c>
      <c r="AL744" s="39" t="str">
        <f>("2025/05/27")</f>
        <v>2025/05/27</v>
      </c>
    </row>
    <row r="745" spans="1:39" x14ac:dyDescent="0.25">
      <c r="A745" s="39" t="str">
        <f>("1404140122")</f>
        <v>1404140122</v>
      </c>
      <c r="C745" s="39"/>
      <c r="D745" s="39" t="s">
        <v>7860</v>
      </c>
      <c r="E745" s="371" t="str">
        <f t="shared" si="57"/>
        <v>やくしじ　はると</v>
      </c>
      <c r="F745" s="39" t="s">
        <v>2350</v>
      </c>
      <c r="G745" s="39" t="s">
        <v>7828</v>
      </c>
      <c r="H745" s="39" t="str">
        <f>("2014/04/14")</f>
        <v>2014/04/14</v>
      </c>
      <c r="I745" s="39">
        <v>5</v>
      </c>
      <c r="J745" s="39" t="s">
        <v>1478</v>
      </c>
      <c r="K745" s="39" t="s">
        <v>2122</v>
      </c>
      <c r="L745" s="39" t="s">
        <v>7830</v>
      </c>
      <c r="M745" s="39" t="s">
        <v>7831</v>
      </c>
      <c r="N745" s="39" t="str">
        <f>("0360032")</f>
        <v>0360032</v>
      </c>
      <c r="P745" s="39" t="s">
        <v>12231</v>
      </c>
      <c r="Q745" s="39" t="s">
        <v>8568</v>
      </c>
      <c r="R745" s="39" t="s">
        <v>8569</v>
      </c>
      <c r="S745" s="39" t="s">
        <v>8570</v>
      </c>
      <c r="AK745" s="39" t="str">
        <f>("2025/03/17")</f>
        <v>2025/03/17</v>
      </c>
      <c r="AL745" s="39" t="str">
        <f>("2025/04/01")</f>
        <v>2025/04/01</v>
      </c>
    </row>
    <row r="746" spans="1:39" x14ac:dyDescent="0.25">
      <c r="A746" s="39" t="str">
        <f>("1404140143")</f>
        <v>1404140143</v>
      </c>
      <c r="B746" s="39" t="s">
        <v>7861</v>
      </c>
      <c r="C746" s="39"/>
      <c r="D746" s="39" t="s">
        <v>7862</v>
      </c>
      <c r="E746" s="371" t="str">
        <f t="shared" si="57"/>
        <v>こばやし　わたる</v>
      </c>
      <c r="F746" s="39" t="s">
        <v>2188</v>
      </c>
      <c r="G746" s="39" t="s">
        <v>7828</v>
      </c>
      <c r="H746" s="39" t="str">
        <f>("2014/11/12")</f>
        <v>2014/11/12</v>
      </c>
      <c r="I746" s="39">
        <v>5</v>
      </c>
      <c r="J746" s="39" t="s">
        <v>1478</v>
      </c>
      <c r="K746" s="39" t="s">
        <v>2122</v>
      </c>
      <c r="L746" s="39" t="s">
        <v>7830</v>
      </c>
      <c r="M746" s="39" t="s">
        <v>7831</v>
      </c>
      <c r="N746" s="39" t="str">
        <f>("0129596")</f>
        <v>0129596</v>
      </c>
      <c r="P746" s="39" t="s">
        <v>12232</v>
      </c>
      <c r="Q746" s="39" t="s">
        <v>8568</v>
      </c>
      <c r="R746" s="39" t="s">
        <v>8569</v>
      </c>
      <c r="S746" s="39" t="s">
        <v>8570</v>
      </c>
      <c r="AK746" s="39" t="str">
        <f>("2025/03/17")</f>
        <v>2025/03/17</v>
      </c>
      <c r="AL746" s="39" t="str">
        <f>("2025/04/01")</f>
        <v>2025/04/01</v>
      </c>
    </row>
    <row r="747" spans="1:39" x14ac:dyDescent="0.25">
      <c r="A747" s="39" t="str">
        <f>("1404140217")</f>
        <v>1404140217</v>
      </c>
      <c r="C747" s="39"/>
      <c r="D747" s="39" t="s">
        <v>7863</v>
      </c>
      <c r="E747" s="371" t="str">
        <f t="shared" si="57"/>
        <v>さとう　はるた</v>
      </c>
      <c r="F747" s="39" t="s">
        <v>827</v>
      </c>
      <c r="G747" s="39" t="s">
        <v>7828</v>
      </c>
      <c r="H747" s="39" t="str">
        <f>("2014/04/14")</f>
        <v>2014/04/14</v>
      </c>
      <c r="I747" s="39">
        <v>5</v>
      </c>
      <c r="J747" s="39" t="s">
        <v>1478</v>
      </c>
      <c r="K747" s="39" t="s">
        <v>2122</v>
      </c>
      <c r="L747" s="39" t="s">
        <v>7830</v>
      </c>
      <c r="M747" s="39" t="s">
        <v>7831</v>
      </c>
      <c r="N747" s="39" t="str">
        <f>("0504908")</f>
        <v>0504908</v>
      </c>
      <c r="P747" s="39" t="s">
        <v>12233</v>
      </c>
      <c r="Q747" s="39" t="s">
        <v>8568</v>
      </c>
      <c r="R747" s="39" t="s">
        <v>8569</v>
      </c>
      <c r="S747" s="39" t="s">
        <v>8570</v>
      </c>
      <c r="AK747" s="39" t="str">
        <f>("2025/03/21")</f>
        <v>2025/03/21</v>
      </c>
      <c r="AL747" s="39" t="str">
        <f>("2025/04/01")</f>
        <v>2025/04/01</v>
      </c>
    </row>
    <row r="748" spans="1:39" x14ac:dyDescent="0.25">
      <c r="A748" s="39" t="str">
        <f>("1404150035")</f>
        <v>1404150035</v>
      </c>
      <c r="C748" s="39"/>
      <c r="D748" s="39" t="s">
        <v>4632</v>
      </c>
      <c r="E748" s="371" t="str">
        <f t="shared" si="57"/>
        <v>おがわ　かける</v>
      </c>
      <c r="F748" s="39" t="s">
        <v>7864</v>
      </c>
      <c r="G748" s="39" t="s">
        <v>7828</v>
      </c>
      <c r="H748" s="39" t="str">
        <f t="shared" ref="H748:H753" si="60">("2014/04/15")</f>
        <v>2014/04/15</v>
      </c>
      <c r="I748" s="39">
        <v>5</v>
      </c>
      <c r="J748" s="39" t="s">
        <v>1478</v>
      </c>
      <c r="K748" s="39" t="s">
        <v>2122</v>
      </c>
      <c r="L748" s="39" t="s">
        <v>7830</v>
      </c>
      <c r="M748" s="39" t="s">
        <v>7831</v>
      </c>
      <c r="N748" s="39" t="str">
        <f>("1039801")</f>
        <v>1039801</v>
      </c>
      <c r="P748" s="39" t="s">
        <v>12234</v>
      </c>
      <c r="Q748" s="39" t="s">
        <v>8568</v>
      </c>
      <c r="R748" s="39" t="s">
        <v>8569</v>
      </c>
      <c r="S748" s="39" t="s">
        <v>8570</v>
      </c>
      <c r="AA748" s="39" t="s">
        <v>2122</v>
      </c>
      <c r="AB748" s="39" t="s">
        <v>7830</v>
      </c>
      <c r="AC748" s="39" t="s">
        <v>7831</v>
      </c>
      <c r="AD748" s="39" t="str">
        <f>("0130745")</f>
        <v>0130745</v>
      </c>
      <c r="AE748" s="39" t="s">
        <v>686</v>
      </c>
      <c r="AK748" s="39" t="str">
        <f>("2025/06/10")</f>
        <v>2025/06/10</v>
      </c>
      <c r="AL748" s="39" t="str">
        <f>("2025/06/10")</f>
        <v>2025/06/10</v>
      </c>
    </row>
    <row r="749" spans="1:39" x14ac:dyDescent="0.25">
      <c r="A749" s="39" t="str">
        <f>("1404150046")</f>
        <v>1404150046</v>
      </c>
      <c r="B749" s="39" t="s">
        <v>7865</v>
      </c>
      <c r="C749" s="39"/>
      <c r="D749" s="39" t="s">
        <v>7866</v>
      </c>
      <c r="E749" s="371" t="str">
        <f t="shared" si="57"/>
        <v>ふるかわ　たいち</v>
      </c>
      <c r="F749" s="39" t="s">
        <v>2024</v>
      </c>
      <c r="G749" s="39" t="s">
        <v>7828</v>
      </c>
      <c r="H749" s="39" t="str">
        <f t="shared" si="60"/>
        <v>2014/04/15</v>
      </c>
      <c r="I749" s="39">
        <v>5</v>
      </c>
      <c r="J749" s="39" t="s">
        <v>1478</v>
      </c>
      <c r="K749" s="39" t="s">
        <v>2122</v>
      </c>
      <c r="L749" s="39" t="s">
        <v>7830</v>
      </c>
      <c r="M749" s="39" t="s">
        <v>7831</v>
      </c>
      <c r="N749" s="39" t="str">
        <f>("0130475")</f>
        <v>0130475</v>
      </c>
      <c r="P749" s="39" t="s">
        <v>12235</v>
      </c>
      <c r="Q749" s="39" t="s">
        <v>8568</v>
      </c>
      <c r="R749" s="39" t="s">
        <v>8569</v>
      </c>
      <c r="S749" s="39" t="s">
        <v>8570</v>
      </c>
      <c r="AK749" s="39" t="str">
        <f>("2025/04/04")</f>
        <v>2025/04/04</v>
      </c>
      <c r="AL749" s="39" t="str">
        <f t="shared" ref="AL749:AL754" si="61">("2025/04/01")</f>
        <v>2025/04/01</v>
      </c>
    </row>
    <row r="750" spans="1:39" x14ac:dyDescent="0.25">
      <c r="A750" s="39" t="str">
        <f>("1404150062")</f>
        <v>1404150062</v>
      </c>
      <c r="C750" s="39"/>
      <c r="D750" s="39" t="s">
        <v>6042</v>
      </c>
      <c r="E750" s="371" t="str">
        <f t="shared" si="57"/>
        <v>きよはら　しょうき</v>
      </c>
      <c r="F750" s="39" t="s">
        <v>2584</v>
      </c>
      <c r="G750" s="39" t="s">
        <v>7828</v>
      </c>
      <c r="H750" s="39" t="str">
        <f t="shared" si="60"/>
        <v>2014/04/15</v>
      </c>
      <c r="I750" s="39">
        <v>5</v>
      </c>
      <c r="J750" s="39" t="s">
        <v>1478</v>
      </c>
      <c r="K750" s="39" t="s">
        <v>2122</v>
      </c>
      <c r="L750" s="39" t="s">
        <v>7830</v>
      </c>
      <c r="M750" s="39" t="s">
        <v>7831</v>
      </c>
      <c r="N750" s="39" t="str">
        <f>("0374071")</f>
        <v>0374071</v>
      </c>
      <c r="P750" s="39" t="s">
        <v>12236</v>
      </c>
      <c r="Q750" s="39" t="s">
        <v>8568</v>
      </c>
      <c r="R750" s="39" t="s">
        <v>8569</v>
      </c>
      <c r="S750" s="39" t="s">
        <v>8570</v>
      </c>
      <c r="AK750" s="39" t="str">
        <f>("2025/03/17")</f>
        <v>2025/03/17</v>
      </c>
      <c r="AL750" s="39" t="str">
        <f t="shared" si="61"/>
        <v>2025/04/01</v>
      </c>
    </row>
    <row r="751" spans="1:39" x14ac:dyDescent="0.25">
      <c r="A751" s="39" t="str">
        <f>("1404150128")</f>
        <v>1404150128</v>
      </c>
      <c r="C751" s="39"/>
      <c r="D751" s="39" t="s">
        <v>7867</v>
      </c>
      <c r="E751" s="371" t="str">
        <f t="shared" si="57"/>
        <v>たけやま　おうすけ</v>
      </c>
      <c r="F751" s="39" t="s">
        <v>520</v>
      </c>
      <c r="G751" s="39" t="s">
        <v>7828</v>
      </c>
      <c r="H751" s="39" t="str">
        <f t="shared" si="60"/>
        <v>2014/04/15</v>
      </c>
      <c r="I751" s="39">
        <v>5</v>
      </c>
      <c r="J751" s="39" t="s">
        <v>1478</v>
      </c>
      <c r="K751" s="39" t="s">
        <v>2122</v>
      </c>
      <c r="L751" s="39" t="s">
        <v>7830</v>
      </c>
      <c r="M751" s="39" t="s">
        <v>7831</v>
      </c>
      <c r="N751" s="39" t="str">
        <f>("0129765")</f>
        <v>0129765</v>
      </c>
      <c r="P751" s="39" t="s">
        <v>12237</v>
      </c>
      <c r="Q751" s="39" t="s">
        <v>8568</v>
      </c>
      <c r="R751" s="39" t="s">
        <v>8569</v>
      </c>
      <c r="S751" s="39" t="s">
        <v>8570</v>
      </c>
      <c r="AK751" s="39" t="str">
        <f>("2025/03/17")</f>
        <v>2025/03/17</v>
      </c>
      <c r="AL751" s="39" t="str">
        <f t="shared" si="61"/>
        <v>2025/04/01</v>
      </c>
    </row>
    <row r="752" spans="1:39" x14ac:dyDescent="0.25">
      <c r="A752" s="39" t="str">
        <f>("1404150181")</f>
        <v>1404150181</v>
      </c>
      <c r="C752" s="39"/>
      <c r="D752" s="39" t="s">
        <v>7868</v>
      </c>
      <c r="E752" s="371" t="str">
        <f t="shared" si="57"/>
        <v>つる　ゆあと</v>
      </c>
      <c r="F752" s="39" t="s">
        <v>2584</v>
      </c>
      <c r="G752" s="39" t="s">
        <v>7828</v>
      </c>
      <c r="H752" s="39" t="str">
        <f t="shared" si="60"/>
        <v>2014/04/15</v>
      </c>
      <c r="I752" s="39">
        <v>5</v>
      </c>
      <c r="J752" s="39" t="s">
        <v>1478</v>
      </c>
      <c r="K752" s="39" t="s">
        <v>2122</v>
      </c>
      <c r="L752" s="39" t="s">
        <v>7830</v>
      </c>
      <c r="M752" s="39" t="s">
        <v>7831</v>
      </c>
      <c r="N752" s="39" t="str">
        <f>("0374071")</f>
        <v>0374071</v>
      </c>
      <c r="P752" s="39" t="s">
        <v>12238</v>
      </c>
      <c r="Q752" s="39" t="s">
        <v>8568</v>
      </c>
      <c r="R752" s="39" t="s">
        <v>8569</v>
      </c>
      <c r="S752" s="39" t="s">
        <v>8570</v>
      </c>
      <c r="AK752" s="39" t="str">
        <f>("2025/03/17")</f>
        <v>2025/03/17</v>
      </c>
      <c r="AL752" s="39" t="str">
        <f t="shared" si="61"/>
        <v>2025/04/01</v>
      </c>
      <c r="AM752" s="39" t="str">
        <f>("2025/09/01")</f>
        <v>2025/09/01</v>
      </c>
    </row>
    <row r="753" spans="1:39" x14ac:dyDescent="0.25">
      <c r="A753" s="39" t="str">
        <f>("1404150268")</f>
        <v>1404150268</v>
      </c>
      <c r="C753" s="39"/>
      <c r="D753" s="39" t="s">
        <v>7869</v>
      </c>
      <c r="E753" s="371" t="str">
        <f t="shared" si="57"/>
        <v>たつかわ　しんば</v>
      </c>
      <c r="F753" s="39" t="s">
        <v>2619</v>
      </c>
      <c r="G753" s="39" t="s">
        <v>7828</v>
      </c>
      <c r="H753" s="39" t="str">
        <f t="shared" si="60"/>
        <v>2014/04/15</v>
      </c>
      <c r="I753" s="39">
        <v>5</v>
      </c>
      <c r="J753" s="39" t="s">
        <v>1478</v>
      </c>
      <c r="K753" s="39" t="s">
        <v>2122</v>
      </c>
      <c r="L753" s="39" t="s">
        <v>7830</v>
      </c>
      <c r="M753" s="39" t="s">
        <v>7831</v>
      </c>
      <c r="N753" s="39" t="str">
        <f>("0472823")</f>
        <v>0472823</v>
      </c>
      <c r="P753" s="39" t="s">
        <v>12239</v>
      </c>
      <c r="Q753" s="39" t="s">
        <v>8568</v>
      </c>
      <c r="R753" s="39" t="s">
        <v>8569</v>
      </c>
      <c r="S753" s="39" t="s">
        <v>8570</v>
      </c>
      <c r="AK753" s="39" t="str">
        <f>("2025/04/01")</f>
        <v>2025/04/01</v>
      </c>
      <c r="AL753" s="39" t="str">
        <f t="shared" si="61"/>
        <v>2025/04/01</v>
      </c>
    </row>
    <row r="754" spans="1:39" x14ac:dyDescent="0.25">
      <c r="A754" s="39" t="str">
        <f>("1404160052")</f>
        <v>1404160052</v>
      </c>
      <c r="C754" s="39"/>
      <c r="D754" s="39" t="s">
        <v>4651</v>
      </c>
      <c r="E754" s="371" t="str">
        <f t="shared" si="57"/>
        <v>たかい　りゅうが</v>
      </c>
      <c r="F754" s="39" t="s">
        <v>2573</v>
      </c>
      <c r="G754" s="39" t="s">
        <v>7828</v>
      </c>
      <c r="H754" s="39" t="str">
        <f>("2014/04/16")</f>
        <v>2014/04/16</v>
      </c>
      <c r="I754" s="39">
        <v>5</v>
      </c>
      <c r="J754" s="39" t="s">
        <v>1478</v>
      </c>
      <c r="K754" s="39" t="s">
        <v>2122</v>
      </c>
      <c r="L754" s="39" t="s">
        <v>7830</v>
      </c>
      <c r="M754" s="39" t="s">
        <v>7831</v>
      </c>
      <c r="N754" s="39" t="str">
        <f>("0230982")</f>
        <v>0230982</v>
      </c>
      <c r="P754" s="39" t="s">
        <v>12240</v>
      </c>
      <c r="Q754" s="39" t="s">
        <v>8568</v>
      </c>
      <c r="R754" s="39" t="s">
        <v>8569</v>
      </c>
      <c r="S754" s="39" t="s">
        <v>8570</v>
      </c>
      <c r="AK754" s="39" t="str">
        <f>("2025/03/17")</f>
        <v>2025/03/17</v>
      </c>
      <c r="AL754" s="39" t="str">
        <f t="shared" si="61"/>
        <v>2025/04/01</v>
      </c>
    </row>
    <row r="755" spans="1:39" x14ac:dyDescent="0.25">
      <c r="A755" s="39" t="str">
        <f>("1404160064")</f>
        <v>1404160064</v>
      </c>
      <c r="C755" s="39"/>
      <c r="D755" s="39" t="s">
        <v>4290</v>
      </c>
      <c r="E755" s="371" t="str">
        <f t="shared" si="57"/>
        <v>おがわ　はると</v>
      </c>
      <c r="F755" s="39" t="s">
        <v>2188</v>
      </c>
      <c r="G755" s="39" t="s">
        <v>7828</v>
      </c>
      <c r="H755" s="39" t="str">
        <f>("2014/04/16")</f>
        <v>2014/04/16</v>
      </c>
      <c r="I755" s="39">
        <v>5</v>
      </c>
      <c r="J755" s="39" t="s">
        <v>1478</v>
      </c>
      <c r="K755" s="39" t="s">
        <v>2122</v>
      </c>
      <c r="L755" s="39" t="s">
        <v>7830</v>
      </c>
      <c r="M755" s="39" t="s">
        <v>7831</v>
      </c>
      <c r="N755" s="39" t="str">
        <f>("0129596")</f>
        <v>0129596</v>
      </c>
      <c r="P755" s="39" t="s">
        <v>12241</v>
      </c>
      <c r="Q755" s="39" t="s">
        <v>8568</v>
      </c>
      <c r="R755" s="39" t="s">
        <v>8569</v>
      </c>
      <c r="S755" s="39" t="s">
        <v>8570</v>
      </c>
      <c r="AA755" s="39" t="s">
        <v>2122</v>
      </c>
      <c r="AB755" s="39" t="s">
        <v>7830</v>
      </c>
      <c r="AC755" s="39" t="s">
        <v>7831</v>
      </c>
      <c r="AD755" s="39" t="str">
        <f>("0129585")</f>
        <v>0129585</v>
      </c>
      <c r="AE755" s="39" t="s">
        <v>1239</v>
      </c>
      <c r="AK755" s="39" t="str">
        <f>("2025/07/17")</f>
        <v>2025/07/17</v>
      </c>
      <c r="AL755" s="39" t="str">
        <f>("2025/07/17")</f>
        <v>2025/07/17</v>
      </c>
    </row>
    <row r="756" spans="1:39" x14ac:dyDescent="0.25">
      <c r="A756" s="39" t="str">
        <f>("1404160122")</f>
        <v>1404160122</v>
      </c>
      <c r="B756" s="39" t="s">
        <v>7870</v>
      </c>
      <c r="C756" s="39"/>
      <c r="D756" s="39" t="s">
        <v>7871</v>
      </c>
      <c r="E756" s="371" t="str">
        <f t="shared" si="57"/>
        <v>ひがし　ちはや</v>
      </c>
      <c r="F756" s="39" t="s">
        <v>2530</v>
      </c>
      <c r="G756" s="39" t="s">
        <v>7828</v>
      </c>
      <c r="H756" s="39" t="str">
        <f>("2014/04/16")</f>
        <v>2014/04/16</v>
      </c>
      <c r="I756" s="39">
        <v>5</v>
      </c>
      <c r="J756" s="39" t="s">
        <v>1478</v>
      </c>
      <c r="K756" s="39" t="s">
        <v>2122</v>
      </c>
      <c r="L756" s="39" t="s">
        <v>7830</v>
      </c>
      <c r="M756" s="39" t="s">
        <v>7831</v>
      </c>
      <c r="N756" s="39" t="str">
        <f>("0338756")</f>
        <v>0338756</v>
      </c>
      <c r="P756" s="39" t="s">
        <v>12242</v>
      </c>
      <c r="Q756" s="39" t="s">
        <v>8568</v>
      </c>
      <c r="R756" s="39" t="s">
        <v>8569</v>
      </c>
      <c r="S756" s="39" t="s">
        <v>8570</v>
      </c>
      <c r="AK756" s="39" t="str">
        <f>("2025/04/01")</f>
        <v>2025/04/01</v>
      </c>
      <c r="AL756" s="39" t="str">
        <f>("2025/04/01")</f>
        <v>2025/04/01</v>
      </c>
    </row>
    <row r="757" spans="1:39" x14ac:dyDescent="0.25">
      <c r="A757" s="39" t="str">
        <f>("1404160136")</f>
        <v>1404160136</v>
      </c>
      <c r="B757" s="39" t="s">
        <v>7872</v>
      </c>
      <c r="C757" s="39"/>
      <c r="D757" s="39" t="s">
        <v>6009</v>
      </c>
      <c r="E757" s="371" t="str">
        <f t="shared" si="57"/>
        <v>たなか　りょうた</v>
      </c>
      <c r="F757" s="39" t="s">
        <v>1865</v>
      </c>
      <c r="G757" s="39" t="s">
        <v>7828</v>
      </c>
      <c r="H757" s="39" t="str">
        <f>("2014/04/16")</f>
        <v>2014/04/16</v>
      </c>
      <c r="I757" s="39">
        <v>5</v>
      </c>
      <c r="J757" s="39" t="s">
        <v>1478</v>
      </c>
      <c r="K757" s="39" t="s">
        <v>2122</v>
      </c>
      <c r="L757" s="39" t="s">
        <v>7830</v>
      </c>
      <c r="M757" s="39" t="s">
        <v>7831</v>
      </c>
      <c r="N757" s="39" t="str">
        <f>("0310565")</f>
        <v>0310565</v>
      </c>
      <c r="P757" s="39" t="s">
        <v>12182</v>
      </c>
      <c r="Q757" s="39" t="s">
        <v>8568</v>
      </c>
      <c r="R757" s="39" t="s">
        <v>8569</v>
      </c>
      <c r="S757" s="39" t="s">
        <v>8570</v>
      </c>
      <c r="AK757" s="39" t="str">
        <f>("2025/03/17")</f>
        <v>2025/03/17</v>
      </c>
      <c r="AL757" s="39" t="str">
        <f>("2025/04/01")</f>
        <v>2025/04/01</v>
      </c>
    </row>
    <row r="758" spans="1:39" x14ac:dyDescent="0.25">
      <c r="A758" s="39" t="str">
        <f>("1404160252")</f>
        <v>1404160252</v>
      </c>
      <c r="C758" s="39"/>
      <c r="D758" s="39" t="s">
        <v>7873</v>
      </c>
      <c r="E758" s="371" t="str">
        <f t="shared" si="57"/>
        <v>わたうち　はると</v>
      </c>
      <c r="F758" s="39" t="s">
        <v>1446</v>
      </c>
      <c r="G758" s="39" t="s">
        <v>7828</v>
      </c>
      <c r="H758" s="39" t="str">
        <f>("2014/04/16")</f>
        <v>2014/04/16</v>
      </c>
      <c r="I758" s="39">
        <v>5</v>
      </c>
      <c r="J758" s="39" t="s">
        <v>1478</v>
      </c>
      <c r="K758" s="39" t="s">
        <v>2122</v>
      </c>
      <c r="L758" s="39" t="s">
        <v>7830</v>
      </c>
      <c r="M758" s="39" t="s">
        <v>7831</v>
      </c>
      <c r="N758" s="39" t="str">
        <f>("0478807")</f>
        <v>0478807</v>
      </c>
      <c r="P758" s="39" t="s">
        <v>12243</v>
      </c>
      <c r="Q758" s="39" t="s">
        <v>8568</v>
      </c>
      <c r="R758" s="39" t="s">
        <v>8569</v>
      </c>
      <c r="S758" s="39" t="s">
        <v>8570</v>
      </c>
      <c r="AK758" s="39" t="str">
        <f>("2025/09/12")</f>
        <v>2025/09/12</v>
      </c>
      <c r="AL758" s="39" t="str">
        <f>("2025/09/12")</f>
        <v>2025/09/12</v>
      </c>
    </row>
    <row r="759" spans="1:39" x14ac:dyDescent="0.25">
      <c r="A759" s="39" t="str">
        <f>("1404170049")</f>
        <v>1404170049</v>
      </c>
      <c r="C759" s="39"/>
      <c r="D759" s="39" t="s">
        <v>7874</v>
      </c>
      <c r="E759" s="371" t="str">
        <f t="shared" si="57"/>
        <v>ひらつか　りゅうき</v>
      </c>
      <c r="F759" s="39" t="s">
        <v>2573</v>
      </c>
      <c r="G759" s="39" t="s">
        <v>7828</v>
      </c>
      <c r="H759" s="39" t="str">
        <f>("2014/04/17")</f>
        <v>2014/04/17</v>
      </c>
      <c r="I759" s="39">
        <v>5</v>
      </c>
      <c r="J759" s="39" t="s">
        <v>1478</v>
      </c>
      <c r="K759" s="39" t="s">
        <v>2122</v>
      </c>
      <c r="L759" s="39" t="s">
        <v>7830</v>
      </c>
      <c r="M759" s="39" t="s">
        <v>7831</v>
      </c>
      <c r="N759" s="39" t="str">
        <f>("0230982")</f>
        <v>0230982</v>
      </c>
      <c r="P759" s="39" t="s">
        <v>12244</v>
      </c>
      <c r="Q759" s="39" t="s">
        <v>8568</v>
      </c>
      <c r="R759" s="39" t="s">
        <v>8569</v>
      </c>
      <c r="S759" s="39" t="s">
        <v>8570</v>
      </c>
      <c r="AK759" s="39" t="str">
        <f>("2025/03/17")</f>
        <v>2025/03/17</v>
      </c>
      <c r="AL759" s="39" t="str">
        <f>("2025/04/01")</f>
        <v>2025/04/01</v>
      </c>
    </row>
    <row r="760" spans="1:39" x14ac:dyDescent="0.25">
      <c r="A760" s="39" t="str">
        <f>("1404170122")</f>
        <v>1404170122</v>
      </c>
      <c r="B760" s="39" t="s">
        <v>7875</v>
      </c>
      <c r="C760" s="39"/>
      <c r="D760" s="39" t="s">
        <v>6121</v>
      </c>
      <c r="E760" s="371" t="str">
        <f t="shared" si="57"/>
        <v>こいけ　まこなり</v>
      </c>
      <c r="F760" s="39" t="s">
        <v>413</v>
      </c>
      <c r="G760" s="39" t="s">
        <v>7828</v>
      </c>
      <c r="H760" s="39" t="str">
        <f>("2014/04/17")</f>
        <v>2014/04/17</v>
      </c>
      <c r="I760" s="39">
        <v>5</v>
      </c>
      <c r="J760" s="39" t="s">
        <v>1478</v>
      </c>
      <c r="K760" s="39" t="s">
        <v>2122</v>
      </c>
      <c r="L760" s="39" t="s">
        <v>7830</v>
      </c>
      <c r="M760" s="39" t="s">
        <v>7831</v>
      </c>
      <c r="N760" s="39" t="str">
        <f>("0436902")</f>
        <v>0436902</v>
      </c>
      <c r="P760" s="39" t="s">
        <v>12245</v>
      </c>
      <c r="Q760" s="39" t="s">
        <v>8568</v>
      </c>
      <c r="R760" s="39" t="s">
        <v>8569</v>
      </c>
      <c r="S760" s="39" t="s">
        <v>8570</v>
      </c>
      <c r="AK760" s="39" t="str">
        <f>("2025/03/24")</f>
        <v>2025/03/24</v>
      </c>
      <c r="AL760" s="39" t="str">
        <f>("2025/04/01")</f>
        <v>2025/04/01</v>
      </c>
    </row>
    <row r="761" spans="1:39" x14ac:dyDescent="0.25">
      <c r="A761" s="39" t="str">
        <f>("1404180194")</f>
        <v>1404180194</v>
      </c>
      <c r="C761" s="39"/>
      <c r="D761" s="39" t="s">
        <v>5806</v>
      </c>
      <c r="E761" s="371" t="str">
        <f t="shared" si="57"/>
        <v>ながの　たいき</v>
      </c>
      <c r="F761" s="39" t="s">
        <v>2342</v>
      </c>
      <c r="G761" s="39" t="s">
        <v>7828</v>
      </c>
      <c r="H761" s="39" t="str">
        <f>("2014/04/18")</f>
        <v>2014/04/18</v>
      </c>
      <c r="I761" s="39">
        <v>5</v>
      </c>
      <c r="J761" s="39" t="s">
        <v>1478</v>
      </c>
      <c r="K761" s="39" t="s">
        <v>2122</v>
      </c>
      <c r="L761" s="39" t="s">
        <v>7830</v>
      </c>
      <c r="M761" s="39" t="s">
        <v>7831</v>
      </c>
      <c r="N761" s="39" t="str">
        <f>("0130307")</f>
        <v>0130307</v>
      </c>
      <c r="P761" s="39" t="s">
        <v>12246</v>
      </c>
      <c r="Q761" s="39" t="s">
        <v>8568</v>
      </c>
      <c r="R761" s="39" t="s">
        <v>8569</v>
      </c>
      <c r="S761" s="39" t="s">
        <v>8570</v>
      </c>
      <c r="AK761" s="39" t="str">
        <f>("2025/03/17")</f>
        <v>2025/03/17</v>
      </c>
      <c r="AL761" s="39" t="str">
        <f>("2025/04/01")</f>
        <v>2025/04/01</v>
      </c>
    </row>
    <row r="762" spans="1:39" x14ac:dyDescent="0.25">
      <c r="A762" s="39" t="str">
        <f>("1404180235")</f>
        <v>1404180235</v>
      </c>
      <c r="C762" s="39"/>
      <c r="D762" s="39" t="s">
        <v>7877</v>
      </c>
      <c r="E762" s="371" t="str">
        <f t="shared" si="57"/>
        <v>かい　こうし</v>
      </c>
      <c r="F762" s="39" t="s">
        <v>1014</v>
      </c>
      <c r="G762" s="39" t="s">
        <v>7876</v>
      </c>
      <c r="H762" s="39" t="str">
        <f>("2014/04/18")</f>
        <v>2014/04/18</v>
      </c>
      <c r="I762" s="39">
        <v>5</v>
      </c>
      <c r="J762" s="39" t="s">
        <v>1478</v>
      </c>
      <c r="K762" s="39" t="s">
        <v>2122</v>
      </c>
      <c r="L762" s="39" t="s">
        <v>7830</v>
      </c>
      <c r="M762" s="39" t="s">
        <v>7831</v>
      </c>
      <c r="N762" s="39" t="str">
        <f>("0513313")</f>
        <v>0513313</v>
      </c>
      <c r="P762" s="39" t="s">
        <v>12247</v>
      </c>
      <c r="Q762" s="39" t="s">
        <v>8568</v>
      </c>
      <c r="R762" s="39" t="s">
        <v>8569</v>
      </c>
      <c r="S762" s="39" t="s">
        <v>8570</v>
      </c>
      <c r="AK762" s="39" t="str">
        <f>("2025/05/12")</f>
        <v>2025/05/12</v>
      </c>
      <c r="AL762" s="39" t="str">
        <f>("2025/05/12")</f>
        <v>2025/05/12</v>
      </c>
      <c r="AM762" s="39" t="str">
        <f>("2025/08/27")</f>
        <v>2025/08/27</v>
      </c>
    </row>
    <row r="763" spans="1:39" x14ac:dyDescent="0.25">
      <c r="A763" s="39" t="str">
        <f>("1404180236")</f>
        <v>1404180236</v>
      </c>
      <c r="C763" s="39"/>
      <c r="D763" s="39" t="s">
        <v>7878</v>
      </c>
      <c r="E763" s="371" t="str">
        <f t="shared" si="57"/>
        <v>かい　そうし</v>
      </c>
      <c r="F763" s="39" t="s">
        <v>1014</v>
      </c>
      <c r="G763" s="39" t="s">
        <v>7876</v>
      </c>
      <c r="H763" s="39" t="str">
        <f>("2014/04/18")</f>
        <v>2014/04/18</v>
      </c>
      <c r="I763" s="39">
        <v>5</v>
      </c>
      <c r="J763" s="39" t="s">
        <v>1478</v>
      </c>
      <c r="K763" s="39" t="s">
        <v>2122</v>
      </c>
      <c r="L763" s="39" t="s">
        <v>7830</v>
      </c>
      <c r="M763" s="39" t="s">
        <v>7831</v>
      </c>
      <c r="N763" s="39" t="str">
        <f>("0513313")</f>
        <v>0513313</v>
      </c>
      <c r="P763" s="39" t="s">
        <v>12248</v>
      </c>
      <c r="Q763" s="39" t="s">
        <v>8568</v>
      </c>
      <c r="R763" s="39" t="s">
        <v>8569</v>
      </c>
      <c r="S763" s="39" t="s">
        <v>8570</v>
      </c>
      <c r="AK763" s="39" t="str">
        <f>("2025/05/12")</f>
        <v>2025/05/12</v>
      </c>
      <c r="AL763" s="39" t="str">
        <f>("2025/05/12")</f>
        <v>2025/05/12</v>
      </c>
      <c r="AM763" s="39" t="str">
        <f>("2025/08/27")</f>
        <v>2025/08/27</v>
      </c>
    </row>
    <row r="764" spans="1:39" x14ac:dyDescent="0.25">
      <c r="A764" s="39" t="str">
        <f>("1404190148")</f>
        <v>1404190148</v>
      </c>
      <c r="C764" s="39"/>
      <c r="D764" s="39" t="s">
        <v>7879</v>
      </c>
      <c r="E764" s="371" t="str">
        <f t="shared" si="57"/>
        <v>はら　しゅうた</v>
      </c>
      <c r="F764" s="39" t="s">
        <v>827</v>
      </c>
      <c r="G764" s="39" t="s">
        <v>7828</v>
      </c>
      <c r="H764" s="39" t="str">
        <f>("2014/04/19")</f>
        <v>2014/04/19</v>
      </c>
      <c r="I764" s="39">
        <v>5</v>
      </c>
      <c r="J764" s="39" t="s">
        <v>1478</v>
      </c>
      <c r="K764" s="39" t="s">
        <v>2122</v>
      </c>
      <c r="L764" s="39" t="s">
        <v>7830</v>
      </c>
      <c r="M764" s="39" t="s">
        <v>7831</v>
      </c>
      <c r="N764" s="39" t="str">
        <f>("0504908")</f>
        <v>0504908</v>
      </c>
      <c r="P764" s="39" t="s">
        <v>12249</v>
      </c>
      <c r="Q764" s="39" t="s">
        <v>8568</v>
      </c>
      <c r="R764" s="39" t="s">
        <v>8569</v>
      </c>
      <c r="S764" s="39" t="s">
        <v>8570</v>
      </c>
      <c r="AK764" s="39" t="str">
        <f>("2025/03/21")</f>
        <v>2025/03/21</v>
      </c>
      <c r="AL764" s="39" t="str">
        <f t="shared" ref="AL764:AL777" si="62">("2025/04/01")</f>
        <v>2025/04/01</v>
      </c>
    </row>
    <row r="765" spans="1:39" x14ac:dyDescent="0.25">
      <c r="A765" s="39" t="str">
        <f>("1404200007")</f>
        <v>1404200007</v>
      </c>
      <c r="C765" s="39"/>
      <c r="D765" s="39" t="s">
        <v>6071</v>
      </c>
      <c r="E765" s="371" t="str">
        <f t="shared" si="57"/>
        <v>さかもと　れんた</v>
      </c>
      <c r="F765" s="39" t="s">
        <v>1977</v>
      </c>
      <c r="G765" s="39" t="s">
        <v>7828</v>
      </c>
      <c r="H765" s="39" t="str">
        <f>("2014/04/20")</f>
        <v>2014/04/20</v>
      </c>
      <c r="I765" s="39">
        <v>5</v>
      </c>
      <c r="J765" s="39" t="s">
        <v>1478</v>
      </c>
      <c r="K765" s="39" t="s">
        <v>2122</v>
      </c>
      <c r="L765" s="39" t="s">
        <v>7830</v>
      </c>
      <c r="M765" s="39" t="s">
        <v>7831</v>
      </c>
      <c r="N765" s="39" t="str">
        <f>("0395254")</f>
        <v>0395254</v>
      </c>
      <c r="P765" s="39" t="s">
        <v>12250</v>
      </c>
      <c r="Q765" s="39" t="s">
        <v>8568</v>
      </c>
      <c r="R765" s="39" t="s">
        <v>8569</v>
      </c>
      <c r="S765" s="39" t="s">
        <v>8570</v>
      </c>
      <c r="AK765" s="39" t="str">
        <f>("2025/03/17")</f>
        <v>2025/03/17</v>
      </c>
      <c r="AL765" s="39" t="str">
        <f t="shared" si="62"/>
        <v>2025/04/01</v>
      </c>
    </row>
    <row r="766" spans="1:39" x14ac:dyDescent="0.25">
      <c r="A766" s="39" t="str">
        <f>("1404200130")</f>
        <v>1404200130</v>
      </c>
      <c r="C766" s="39"/>
      <c r="D766" s="39" t="s">
        <v>7880</v>
      </c>
      <c r="E766" s="371" t="str">
        <f t="shared" si="57"/>
        <v>はたの　るい</v>
      </c>
      <c r="F766" s="39" t="s">
        <v>1207</v>
      </c>
      <c r="G766" s="39" t="s">
        <v>7828</v>
      </c>
      <c r="H766" s="39" t="str">
        <f>("2014/04/20")</f>
        <v>2014/04/20</v>
      </c>
      <c r="I766" s="39">
        <v>5</v>
      </c>
      <c r="J766" s="39" t="s">
        <v>1478</v>
      </c>
      <c r="K766" s="39" t="s">
        <v>2122</v>
      </c>
      <c r="L766" s="39" t="s">
        <v>7830</v>
      </c>
      <c r="M766" s="39" t="s">
        <v>7831</v>
      </c>
      <c r="N766" s="39" t="str">
        <f>("0381608")</f>
        <v>0381608</v>
      </c>
      <c r="P766" s="39" t="s">
        <v>12251</v>
      </c>
      <c r="Q766" s="39" t="s">
        <v>8568</v>
      </c>
      <c r="R766" s="39" t="s">
        <v>8569</v>
      </c>
      <c r="S766" s="39" t="s">
        <v>8570</v>
      </c>
      <c r="AK766" s="39" t="str">
        <f>("2025/03/21")</f>
        <v>2025/03/21</v>
      </c>
      <c r="AL766" s="39" t="str">
        <f t="shared" si="62"/>
        <v>2025/04/01</v>
      </c>
    </row>
    <row r="767" spans="1:39" x14ac:dyDescent="0.25">
      <c r="A767" s="39" t="str">
        <f>("1404210161")</f>
        <v>1404210161</v>
      </c>
      <c r="C767" s="39"/>
      <c r="D767" s="39" t="s">
        <v>5632</v>
      </c>
      <c r="E767" s="371" t="str">
        <f t="shared" si="57"/>
        <v>ざいつ　ひかり</v>
      </c>
      <c r="F767" s="39" t="s">
        <v>2878</v>
      </c>
      <c r="G767" s="39" t="s">
        <v>7828</v>
      </c>
      <c r="H767" s="39" t="str">
        <f>("2014/04/21")</f>
        <v>2014/04/21</v>
      </c>
      <c r="I767" s="39">
        <v>5</v>
      </c>
      <c r="J767" s="39" t="s">
        <v>1478</v>
      </c>
      <c r="K767" s="39" t="s">
        <v>2122</v>
      </c>
      <c r="L767" s="39" t="s">
        <v>7830</v>
      </c>
      <c r="M767" s="39" t="s">
        <v>7831</v>
      </c>
      <c r="N767" s="39" t="str">
        <f>("0129484")</f>
        <v>0129484</v>
      </c>
      <c r="P767" s="39" t="s">
        <v>12252</v>
      </c>
      <c r="Q767" s="39" t="s">
        <v>8568</v>
      </c>
      <c r="R767" s="39" t="s">
        <v>8569</v>
      </c>
      <c r="S767" s="39" t="s">
        <v>8570</v>
      </c>
      <c r="AK767" s="39" t="str">
        <f>("2025/03/17")</f>
        <v>2025/03/17</v>
      </c>
      <c r="AL767" s="39" t="str">
        <f t="shared" si="62"/>
        <v>2025/04/01</v>
      </c>
    </row>
    <row r="768" spans="1:39" x14ac:dyDescent="0.25">
      <c r="A768" s="39" t="str">
        <f>("1404210193")</f>
        <v>1404210193</v>
      </c>
      <c r="C768" s="39"/>
      <c r="D768" s="39" t="s">
        <v>7881</v>
      </c>
      <c r="E768" s="371" t="str">
        <f t="shared" si="57"/>
        <v>こうの　れい</v>
      </c>
      <c r="F768" s="39" t="s">
        <v>2573</v>
      </c>
      <c r="G768" s="39" t="s">
        <v>7828</v>
      </c>
      <c r="H768" s="39" t="str">
        <f>("2014/04/21")</f>
        <v>2014/04/21</v>
      </c>
      <c r="I768" s="39">
        <v>5</v>
      </c>
      <c r="J768" s="39" t="s">
        <v>1478</v>
      </c>
      <c r="K768" s="39" t="s">
        <v>2122</v>
      </c>
      <c r="L768" s="39" t="s">
        <v>7830</v>
      </c>
      <c r="M768" s="39" t="s">
        <v>7831</v>
      </c>
      <c r="N768" s="39" t="str">
        <f>("0230982")</f>
        <v>0230982</v>
      </c>
      <c r="P768" s="39" t="s">
        <v>12253</v>
      </c>
      <c r="Q768" s="39" t="s">
        <v>8568</v>
      </c>
      <c r="R768" s="39" t="s">
        <v>8569</v>
      </c>
      <c r="S768" s="39" t="s">
        <v>8570</v>
      </c>
      <c r="AK768" s="39" t="str">
        <f>("2025/03/17")</f>
        <v>2025/03/17</v>
      </c>
      <c r="AL768" s="39" t="str">
        <f t="shared" si="62"/>
        <v>2025/04/01</v>
      </c>
    </row>
    <row r="769" spans="1:39" x14ac:dyDescent="0.25">
      <c r="A769" s="39" t="str">
        <f>("1404210194")</f>
        <v>1404210194</v>
      </c>
      <c r="C769" s="39"/>
      <c r="D769" s="39" t="s">
        <v>7882</v>
      </c>
      <c r="E769" s="371" t="str">
        <f t="shared" si="57"/>
        <v>さんみや　あおのすけ</v>
      </c>
      <c r="F769" s="39" t="s">
        <v>2556</v>
      </c>
      <c r="G769" s="39" t="s">
        <v>7828</v>
      </c>
      <c r="H769" s="39" t="str">
        <f>("2014/04/21")</f>
        <v>2014/04/21</v>
      </c>
      <c r="I769" s="39">
        <v>5</v>
      </c>
      <c r="J769" s="39" t="s">
        <v>1478</v>
      </c>
      <c r="K769" s="39" t="s">
        <v>2122</v>
      </c>
      <c r="L769" s="39" t="s">
        <v>7830</v>
      </c>
      <c r="M769" s="39" t="s">
        <v>7831</v>
      </c>
      <c r="N769" s="39" t="str">
        <f>("0130712")</f>
        <v>0130712</v>
      </c>
      <c r="P769" s="39" t="s">
        <v>12254</v>
      </c>
      <c r="Q769" s="39" t="s">
        <v>8568</v>
      </c>
      <c r="R769" s="39" t="s">
        <v>8569</v>
      </c>
      <c r="S769" s="39" t="s">
        <v>8570</v>
      </c>
      <c r="AK769" s="39" t="str">
        <f>("2025/03/27")</f>
        <v>2025/03/27</v>
      </c>
      <c r="AL769" s="39" t="str">
        <f t="shared" si="62"/>
        <v>2025/04/01</v>
      </c>
    </row>
    <row r="770" spans="1:39" x14ac:dyDescent="0.25">
      <c r="A770" s="39" t="str">
        <f>("1404220014")</f>
        <v>1404220014</v>
      </c>
      <c r="C770" s="39"/>
      <c r="D770" s="39" t="s">
        <v>6005</v>
      </c>
      <c r="E770" s="371" t="str">
        <f t="shared" si="57"/>
        <v>かどた　あつき</v>
      </c>
      <c r="F770" s="39" t="s">
        <v>2575</v>
      </c>
      <c r="G770" s="39" t="s">
        <v>7828</v>
      </c>
      <c r="H770" s="39" t="str">
        <f>("2014/04/22")</f>
        <v>2014/04/22</v>
      </c>
      <c r="I770" s="39">
        <v>5</v>
      </c>
      <c r="J770" s="39" t="s">
        <v>1478</v>
      </c>
      <c r="K770" s="39" t="s">
        <v>2122</v>
      </c>
      <c r="L770" s="39" t="s">
        <v>7830</v>
      </c>
      <c r="M770" s="39" t="s">
        <v>7831</v>
      </c>
      <c r="N770" s="39" t="str">
        <f>("0303040")</f>
        <v>0303040</v>
      </c>
      <c r="P770" s="39" t="s">
        <v>12255</v>
      </c>
      <c r="Q770" s="39" t="s">
        <v>8568</v>
      </c>
      <c r="R770" s="39" t="s">
        <v>8569</v>
      </c>
      <c r="S770" s="39" t="s">
        <v>8570</v>
      </c>
      <c r="AK770" s="39" t="str">
        <f>("2025/03/17")</f>
        <v>2025/03/17</v>
      </c>
      <c r="AL770" s="39" t="str">
        <f t="shared" si="62"/>
        <v>2025/04/01</v>
      </c>
    </row>
    <row r="771" spans="1:39" x14ac:dyDescent="0.25">
      <c r="A771" s="39" t="str">
        <f>("1404220042")</f>
        <v>1404220042</v>
      </c>
      <c r="C771" s="39"/>
      <c r="D771" s="39" t="s">
        <v>4868</v>
      </c>
      <c r="E771" s="371" t="str">
        <f t="shared" ref="E771:E834" si="63">PHONETIC(P771)</f>
        <v>かわづ　じょう</v>
      </c>
      <c r="F771" s="39" t="s">
        <v>3104</v>
      </c>
      <c r="G771" s="39" t="s">
        <v>7828</v>
      </c>
      <c r="H771" s="39" t="str">
        <f>("2014/04/22")</f>
        <v>2014/04/22</v>
      </c>
      <c r="I771" s="39">
        <v>5</v>
      </c>
      <c r="J771" s="39" t="s">
        <v>1478</v>
      </c>
      <c r="K771" s="39" t="s">
        <v>2122</v>
      </c>
      <c r="L771" s="39" t="s">
        <v>7830</v>
      </c>
      <c r="M771" s="39" t="s">
        <v>7831</v>
      </c>
      <c r="N771" s="39" t="str">
        <f>("1076189")</f>
        <v>1076189</v>
      </c>
      <c r="P771" s="39" t="s">
        <v>12256</v>
      </c>
      <c r="Q771" s="39" t="s">
        <v>8568</v>
      </c>
      <c r="R771" s="39" t="s">
        <v>8569</v>
      </c>
      <c r="S771" s="39" t="s">
        <v>8570</v>
      </c>
      <c r="AK771" s="39" t="str">
        <f>("2025/03/24")</f>
        <v>2025/03/24</v>
      </c>
      <c r="AL771" s="39" t="str">
        <f t="shared" si="62"/>
        <v>2025/04/01</v>
      </c>
    </row>
    <row r="772" spans="1:39" x14ac:dyDescent="0.25">
      <c r="A772" s="39" t="str">
        <f>("1404220096")</f>
        <v>1404220096</v>
      </c>
      <c r="C772" s="39"/>
      <c r="D772" s="39" t="s">
        <v>7883</v>
      </c>
      <c r="E772" s="371" t="str">
        <f t="shared" si="63"/>
        <v>やまぐち　はるま</v>
      </c>
      <c r="F772" s="39" t="s">
        <v>2619</v>
      </c>
      <c r="G772" s="39" t="s">
        <v>7828</v>
      </c>
      <c r="H772" s="39" t="str">
        <f>("2014/04/22")</f>
        <v>2014/04/22</v>
      </c>
      <c r="I772" s="39">
        <v>5</v>
      </c>
      <c r="J772" s="39" t="s">
        <v>1478</v>
      </c>
      <c r="K772" s="39" t="s">
        <v>2122</v>
      </c>
      <c r="L772" s="39" t="s">
        <v>7830</v>
      </c>
      <c r="M772" s="39" t="s">
        <v>7831</v>
      </c>
      <c r="N772" s="39" t="str">
        <f>("0472823")</f>
        <v>0472823</v>
      </c>
      <c r="P772" s="39" t="s">
        <v>12257</v>
      </c>
      <c r="Q772" s="39" t="s">
        <v>8568</v>
      </c>
      <c r="R772" s="39" t="s">
        <v>8569</v>
      </c>
      <c r="S772" s="39" t="s">
        <v>8570</v>
      </c>
      <c r="AK772" s="39" t="str">
        <f>("2025/03/17")</f>
        <v>2025/03/17</v>
      </c>
      <c r="AL772" s="39" t="str">
        <f t="shared" si="62"/>
        <v>2025/04/01</v>
      </c>
    </row>
    <row r="773" spans="1:39" x14ac:dyDescent="0.25">
      <c r="A773" s="39" t="str">
        <f>("1404220185")</f>
        <v>1404220185</v>
      </c>
      <c r="C773" s="39"/>
      <c r="D773" s="39" t="s">
        <v>7884</v>
      </c>
      <c r="E773" s="371" t="str">
        <f t="shared" si="63"/>
        <v>あだち　はる</v>
      </c>
      <c r="F773" s="39" t="s">
        <v>829</v>
      </c>
      <c r="G773" s="39" t="s">
        <v>7828</v>
      </c>
      <c r="H773" s="39" t="str">
        <f>("2014/04/22")</f>
        <v>2014/04/22</v>
      </c>
      <c r="I773" s="39">
        <v>5</v>
      </c>
      <c r="J773" s="39" t="s">
        <v>1478</v>
      </c>
      <c r="K773" s="39" t="s">
        <v>2122</v>
      </c>
      <c r="L773" s="39" t="s">
        <v>7830</v>
      </c>
      <c r="M773" s="39" t="s">
        <v>7831</v>
      </c>
      <c r="N773" s="39" t="str">
        <f>("0426631")</f>
        <v>0426631</v>
      </c>
      <c r="P773" s="39" t="s">
        <v>12258</v>
      </c>
      <c r="Q773" s="39" t="s">
        <v>8568</v>
      </c>
      <c r="R773" s="39" t="s">
        <v>8569</v>
      </c>
      <c r="S773" s="39" t="s">
        <v>8570</v>
      </c>
      <c r="AK773" s="39" t="str">
        <f>("2025/03/21")</f>
        <v>2025/03/21</v>
      </c>
      <c r="AL773" s="39" t="str">
        <f t="shared" si="62"/>
        <v>2025/04/01</v>
      </c>
    </row>
    <row r="774" spans="1:39" x14ac:dyDescent="0.25">
      <c r="A774" s="39" t="str">
        <f>("1404220209")</f>
        <v>1404220209</v>
      </c>
      <c r="C774" s="39"/>
      <c r="D774" s="39" t="s">
        <v>7885</v>
      </c>
      <c r="E774" s="371" t="str">
        <f t="shared" si="63"/>
        <v>ひので　るき</v>
      </c>
      <c r="F774" s="39" t="s">
        <v>686</v>
      </c>
      <c r="G774" s="39" t="s">
        <v>7876</v>
      </c>
      <c r="H774" s="39" t="str">
        <f>("2014/04/22")</f>
        <v>2014/04/22</v>
      </c>
      <c r="I774" s="39">
        <v>5</v>
      </c>
      <c r="J774" s="39" t="s">
        <v>1478</v>
      </c>
      <c r="K774" s="39" t="s">
        <v>2122</v>
      </c>
      <c r="L774" s="39" t="s">
        <v>7830</v>
      </c>
      <c r="M774" s="39" t="s">
        <v>7831</v>
      </c>
      <c r="N774" s="39" t="str">
        <f>("0130745")</f>
        <v>0130745</v>
      </c>
      <c r="P774" s="39" t="s">
        <v>12259</v>
      </c>
      <c r="Q774" s="39" t="s">
        <v>8568</v>
      </c>
      <c r="R774" s="39" t="s">
        <v>8569</v>
      </c>
      <c r="S774" s="39" t="s">
        <v>8570</v>
      </c>
      <c r="AK774" s="39" t="str">
        <f>("2025/03/17")</f>
        <v>2025/03/17</v>
      </c>
      <c r="AL774" s="39" t="str">
        <f t="shared" si="62"/>
        <v>2025/04/01</v>
      </c>
      <c r="AM774" s="39" t="str">
        <f>("2025/12/29")</f>
        <v>2025/12/29</v>
      </c>
    </row>
    <row r="775" spans="1:39" x14ac:dyDescent="0.25">
      <c r="A775" s="39" t="str">
        <f>("1404230135")</f>
        <v>1404230135</v>
      </c>
      <c r="C775" s="39"/>
      <c r="D775" s="39" t="s">
        <v>7886</v>
      </c>
      <c r="E775" s="371" t="str">
        <f t="shared" si="63"/>
        <v>しん　たけひろ</v>
      </c>
      <c r="F775" s="39" t="s">
        <v>1917</v>
      </c>
      <c r="G775" s="39" t="s">
        <v>7828</v>
      </c>
      <c r="H775" s="39" t="str">
        <f>("2014/04/23")</f>
        <v>2014/04/23</v>
      </c>
      <c r="I775" s="39">
        <v>5</v>
      </c>
      <c r="J775" s="39" t="s">
        <v>1478</v>
      </c>
      <c r="K775" s="39" t="s">
        <v>2122</v>
      </c>
      <c r="L775" s="39" t="s">
        <v>7830</v>
      </c>
      <c r="M775" s="39" t="s">
        <v>7831</v>
      </c>
      <c r="N775" s="39" t="str">
        <f>("1032161")</f>
        <v>1032161</v>
      </c>
      <c r="P775" s="39" t="s">
        <v>12260</v>
      </c>
      <c r="Q775" s="39" t="s">
        <v>8568</v>
      </c>
      <c r="R775" s="39" t="s">
        <v>8569</v>
      </c>
      <c r="S775" s="39" t="s">
        <v>8570</v>
      </c>
      <c r="AA775" s="39" t="s">
        <v>2122</v>
      </c>
      <c r="AB775" s="39" t="s">
        <v>7830</v>
      </c>
      <c r="AC775" s="39" t="s">
        <v>7831</v>
      </c>
      <c r="AD775" s="39" t="str">
        <f>("0472722")</f>
        <v>0472722</v>
      </c>
      <c r="AE775" s="39" t="s">
        <v>2323</v>
      </c>
      <c r="AK775" s="39" t="str">
        <f>("2025/03/21")</f>
        <v>2025/03/21</v>
      </c>
      <c r="AL775" s="39" t="str">
        <f t="shared" si="62"/>
        <v>2025/04/01</v>
      </c>
    </row>
    <row r="776" spans="1:39" x14ac:dyDescent="0.25">
      <c r="A776" s="39" t="str">
        <f>("1404230141")</f>
        <v>1404230141</v>
      </c>
      <c r="C776" s="39"/>
      <c r="D776" s="39" t="s">
        <v>7887</v>
      </c>
      <c r="E776" s="371" t="str">
        <f t="shared" si="63"/>
        <v>こじま　いぶき</v>
      </c>
      <c r="F776" s="39" t="s">
        <v>947</v>
      </c>
      <c r="G776" s="39" t="s">
        <v>7828</v>
      </c>
      <c r="H776" s="39" t="str">
        <f>("2014/04/23")</f>
        <v>2014/04/23</v>
      </c>
      <c r="I776" s="39">
        <v>5</v>
      </c>
      <c r="J776" s="39" t="s">
        <v>1478</v>
      </c>
      <c r="K776" s="39" t="s">
        <v>2122</v>
      </c>
      <c r="L776" s="39" t="s">
        <v>7830</v>
      </c>
      <c r="M776" s="39" t="s">
        <v>7831</v>
      </c>
      <c r="N776" s="39" t="str">
        <f>("0130183")</f>
        <v>0130183</v>
      </c>
      <c r="P776" s="39" t="s">
        <v>12261</v>
      </c>
      <c r="Q776" s="39" t="s">
        <v>8568</v>
      </c>
      <c r="R776" s="39" t="s">
        <v>8569</v>
      </c>
      <c r="S776" s="39" t="s">
        <v>8570</v>
      </c>
      <c r="AK776" s="39" t="str">
        <f>("2025/03/27")</f>
        <v>2025/03/27</v>
      </c>
      <c r="AL776" s="39" t="str">
        <f t="shared" si="62"/>
        <v>2025/04/01</v>
      </c>
    </row>
    <row r="777" spans="1:39" x14ac:dyDescent="0.25">
      <c r="A777" s="39" t="str">
        <f>("1404230180")</f>
        <v>1404230180</v>
      </c>
      <c r="B777" s="39" t="s">
        <v>7888</v>
      </c>
      <c r="C777" s="39"/>
      <c r="D777" s="39" t="s">
        <v>7889</v>
      </c>
      <c r="E777" s="371" t="str">
        <f t="shared" si="63"/>
        <v>やつなみ　ここな</v>
      </c>
      <c r="F777" s="39" t="s">
        <v>5615</v>
      </c>
      <c r="G777" s="39" t="s">
        <v>7828</v>
      </c>
      <c r="H777" s="39" t="str">
        <f>("2014/04/23")</f>
        <v>2014/04/23</v>
      </c>
      <c r="I777" s="39">
        <v>5</v>
      </c>
      <c r="J777" s="39" t="s">
        <v>1480</v>
      </c>
      <c r="K777" s="39" t="s">
        <v>2122</v>
      </c>
      <c r="L777" s="39" t="s">
        <v>7830</v>
      </c>
      <c r="M777" s="39" t="s">
        <v>7831</v>
      </c>
      <c r="N777" s="39" t="str">
        <f>("0129642")</f>
        <v>0129642</v>
      </c>
      <c r="P777" s="39" t="s">
        <v>12262</v>
      </c>
      <c r="Q777" s="39" t="s">
        <v>8568</v>
      </c>
      <c r="R777" s="39" t="s">
        <v>8569</v>
      </c>
      <c r="S777" s="39" t="s">
        <v>8570</v>
      </c>
      <c r="AK777" s="39" t="str">
        <f>("2025/03/24")</f>
        <v>2025/03/24</v>
      </c>
      <c r="AL777" s="39" t="str">
        <f t="shared" si="62"/>
        <v>2025/04/01</v>
      </c>
    </row>
    <row r="778" spans="1:39" x14ac:dyDescent="0.25">
      <c r="A778" s="39" t="str">
        <f>("1404240060")</f>
        <v>1404240060</v>
      </c>
      <c r="B778" s="39" t="s">
        <v>7890</v>
      </c>
      <c r="C778" s="39"/>
      <c r="D778" s="39" t="s">
        <v>7891</v>
      </c>
      <c r="E778" s="371" t="str">
        <f t="shared" si="63"/>
        <v>なかむら　あすと</v>
      </c>
      <c r="F778" s="39" t="s">
        <v>2299</v>
      </c>
      <c r="G778" s="39" t="s">
        <v>7828</v>
      </c>
      <c r="H778" s="39" t="str">
        <f>("2014/04/24")</f>
        <v>2014/04/24</v>
      </c>
      <c r="I778" s="39">
        <v>5</v>
      </c>
      <c r="J778" s="39" t="s">
        <v>1478</v>
      </c>
      <c r="K778" s="39" t="s">
        <v>2122</v>
      </c>
      <c r="L778" s="39" t="s">
        <v>7830</v>
      </c>
      <c r="M778" s="39" t="s">
        <v>7831</v>
      </c>
      <c r="N778" s="39" t="str">
        <f>("1066647")</f>
        <v>1066647</v>
      </c>
      <c r="P778" s="39" t="s">
        <v>12263</v>
      </c>
      <c r="Q778" s="39" t="s">
        <v>8568</v>
      </c>
      <c r="R778" s="39" t="s">
        <v>8569</v>
      </c>
      <c r="S778" s="39" t="s">
        <v>8570</v>
      </c>
      <c r="AA778" s="39" t="s">
        <v>2122</v>
      </c>
      <c r="AB778" s="39" t="s">
        <v>7830</v>
      </c>
      <c r="AC778" s="39" t="s">
        <v>7831</v>
      </c>
      <c r="AD778" s="39" t="str">
        <f>("1067415")</f>
        <v>1067415</v>
      </c>
      <c r="AE778" s="39" t="s">
        <v>2651</v>
      </c>
      <c r="AK778" s="39" t="str">
        <f>("2025/04/14")</f>
        <v>2025/04/14</v>
      </c>
      <c r="AL778" s="39" t="str">
        <f>("2025/04/14")</f>
        <v>2025/04/14</v>
      </c>
    </row>
    <row r="779" spans="1:39" x14ac:dyDescent="0.25">
      <c r="A779" s="39" t="str">
        <f>("1404240134")</f>
        <v>1404240134</v>
      </c>
      <c r="C779" s="39"/>
      <c r="D779" s="39" t="s">
        <v>7892</v>
      </c>
      <c r="E779" s="371" t="str">
        <f t="shared" si="63"/>
        <v>かばた　れお</v>
      </c>
      <c r="F779" s="39" t="s">
        <v>2022</v>
      </c>
      <c r="G779" s="39" t="s">
        <v>7828</v>
      </c>
      <c r="H779" s="39" t="str">
        <f>("2014/04/24")</f>
        <v>2014/04/24</v>
      </c>
      <c r="I779" s="39">
        <v>5</v>
      </c>
      <c r="J779" s="39" t="s">
        <v>1478</v>
      </c>
      <c r="K779" s="39" t="s">
        <v>2122</v>
      </c>
      <c r="L779" s="39" t="s">
        <v>7830</v>
      </c>
      <c r="M779" s="39" t="s">
        <v>7831</v>
      </c>
      <c r="N779" s="39" t="str">
        <f>("0130329")</f>
        <v>0130329</v>
      </c>
      <c r="P779" s="39" t="s">
        <v>12264</v>
      </c>
      <c r="Q779" s="39" t="s">
        <v>8568</v>
      </c>
      <c r="R779" s="39" t="s">
        <v>8569</v>
      </c>
      <c r="S779" s="39" t="s">
        <v>8570</v>
      </c>
      <c r="AA779" s="39" t="s">
        <v>2122</v>
      </c>
      <c r="AB779" s="39" t="s">
        <v>7830</v>
      </c>
      <c r="AC779" s="39" t="s">
        <v>7831</v>
      </c>
      <c r="AD779" s="39" t="str">
        <f>("1039801")</f>
        <v>1039801</v>
      </c>
      <c r="AE779" s="39" t="s">
        <v>7864</v>
      </c>
      <c r="AK779" s="39" t="str">
        <f>("2025/03/17")</f>
        <v>2025/03/17</v>
      </c>
      <c r="AL779" s="39" t="str">
        <f>("2025/04/01")</f>
        <v>2025/04/01</v>
      </c>
    </row>
    <row r="780" spans="1:39" x14ac:dyDescent="0.25">
      <c r="A780" s="39" t="str">
        <f>("1404240191")</f>
        <v>1404240191</v>
      </c>
      <c r="C780" s="39"/>
      <c r="D780" s="39" t="s">
        <v>7893</v>
      </c>
      <c r="E780" s="371" t="str">
        <f t="shared" si="63"/>
        <v>うらもと　はると</v>
      </c>
      <c r="F780" s="39" t="s">
        <v>2648</v>
      </c>
      <c r="G780" s="39" t="s">
        <v>7828</v>
      </c>
      <c r="H780" s="39" t="str">
        <f>("2014/04/24")</f>
        <v>2014/04/24</v>
      </c>
      <c r="I780" s="39">
        <v>5</v>
      </c>
      <c r="J780" s="39" t="s">
        <v>1478</v>
      </c>
      <c r="K780" s="39" t="s">
        <v>2122</v>
      </c>
      <c r="L780" s="39" t="s">
        <v>7830</v>
      </c>
      <c r="M780" s="39" t="s">
        <v>7831</v>
      </c>
      <c r="N780" s="39" t="str">
        <f>("1050097")</f>
        <v>1050097</v>
      </c>
      <c r="P780" s="39" t="s">
        <v>12265</v>
      </c>
      <c r="Q780" s="39" t="s">
        <v>8568</v>
      </c>
      <c r="R780" s="39" t="s">
        <v>8569</v>
      </c>
      <c r="S780" s="39" t="s">
        <v>8570</v>
      </c>
      <c r="AK780" s="39" t="str">
        <f>("2025/03/25")</f>
        <v>2025/03/25</v>
      </c>
      <c r="AL780" s="39" t="str">
        <f>("2025/04/01")</f>
        <v>2025/04/01</v>
      </c>
    </row>
    <row r="781" spans="1:39" x14ac:dyDescent="0.25">
      <c r="A781" s="39" t="str">
        <f>("1404250108")</f>
        <v>1404250108</v>
      </c>
      <c r="B781" s="39" t="s">
        <v>7894</v>
      </c>
      <c r="C781" s="39"/>
      <c r="D781" s="39" t="s">
        <v>7895</v>
      </c>
      <c r="E781" s="371" t="str">
        <f t="shared" si="63"/>
        <v>いわさき　かずと</v>
      </c>
      <c r="F781" s="39" t="s">
        <v>2530</v>
      </c>
      <c r="G781" s="39" t="s">
        <v>7828</v>
      </c>
      <c r="H781" s="39" t="str">
        <f>("2014/04/25")</f>
        <v>2014/04/25</v>
      </c>
      <c r="I781" s="39">
        <v>5</v>
      </c>
      <c r="J781" s="39" t="s">
        <v>1478</v>
      </c>
      <c r="K781" s="39" t="s">
        <v>2122</v>
      </c>
      <c r="L781" s="39" t="s">
        <v>7830</v>
      </c>
      <c r="M781" s="39" t="s">
        <v>7831</v>
      </c>
      <c r="N781" s="39" t="str">
        <f>("0338756")</f>
        <v>0338756</v>
      </c>
      <c r="P781" s="39" t="s">
        <v>12266</v>
      </c>
      <c r="Q781" s="39" t="s">
        <v>8568</v>
      </c>
      <c r="R781" s="39" t="s">
        <v>8569</v>
      </c>
      <c r="S781" s="39" t="s">
        <v>8570</v>
      </c>
      <c r="AA781" s="39" t="s">
        <v>2122</v>
      </c>
      <c r="AB781" s="39" t="s">
        <v>7830</v>
      </c>
      <c r="AC781" s="39" t="s">
        <v>7831</v>
      </c>
      <c r="AD781" s="39" t="str">
        <f>("0472823")</f>
        <v>0472823</v>
      </c>
      <c r="AE781" s="39" t="s">
        <v>2619</v>
      </c>
      <c r="AK781" s="39" t="str">
        <f>("2025/04/01")</f>
        <v>2025/04/01</v>
      </c>
      <c r="AL781" s="39" t="str">
        <f>("2025/04/01")</f>
        <v>2025/04/01</v>
      </c>
    </row>
    <row r="782" spans="1:39" x14ac:dyDescent="0.25">
      <c r="A782" s="39" t="str">
        <f>("1404250124")</f>
        <v>1404250124</v>
      </c>
      <c r="C782" s="39"/>
      <c r="D782" s="39" t="s">
        <v>5678</v>
      </c>
      <c r="E782" s="371" t="str">
        <f t="shared" si="63"/>
        <v>とくなが　たくま</v>
      </c>
      <c r="F782" s="39" t="s">
        <v>2479</v>
      </c>
      <c r="G782" s="39" t="s">
        <v>7828</v>
      </c>
      <c r="H782" s="39" t="str">
        <f>("2014/04/25")</f>
        <v>2014/04/25</v>
      </c>
      <c r="I782" s="39">
        <v>5</v>
      </c>
      <c r="J782" s="39" t="s">
        <v>1478</v>
      </c>
      <c r="K782" s="39" t="s">
        <v>2122</v>
      </c>
      <c r="L782" s="39" t="s">
        <v>7830</v>
      </c>
      <c r="M782" s="39" t="s">
        <v>7831</v>
      </c>
      <c r="N782" s="39" t="str">
        <f>("0129608")</f>
        <v>0129608</v>
      </c>
      <c r="P782" s="39" t="s">
        <v>12267</v>
      </c>
      <c r="Q782" s="39" t="s">
        <v>8568</v>
      </c>
      <c r="R782" s="39" t="s">
        <v>8569</v>
      </c>
      <c r="S782" s="39" t="s">
        <v>8570</v>
      </c>
      <c r="AK782" s="39" t="str">
        <f>("2025/03/17")</f>
        <v>2025/03/17</v>
      </c>
      <c r="AL782" s="39" t="str">
        <f>("2025/04/01")</f>
        <v>2025/04/01</v>
      </c>
    </row>
    <row r="783" spans="1:39" x14ac:dyDescent="0.25">
      <c r="A783" s="39" t="str">
        <f>("1404250204")</f>
        <v>1404250204</v>
      </c>
      <c r="C783" s="39"/>
      <c r="D783" s="39" t="s">
        <v>6022</v>
      </c>
      <c r="E783" s="371" t="str">
        <f t="shared" si="63"/>
        <v>まい　けんしろう</v>
      </c>
      <c r="F783" s="39" t="s">
        <v>5619</v>
      </c>
      <c r="G783" s="39" t="s">
        <v>7828</v>
      </c>
      <c r="H783" s="39" t="str">
        <f>("2014/04/25")</f>
        <v>2014/04/25</v>
      </c>
      <c r="I783" s="39">
        <v>5</v>
      </c>
      <c r="J783" s="39" t="s">
        <v>1478</v>
      </c>
      <c r="K783" s="39" t="s">
        <v>2122</v>
      </c>
      <c r="L783" s="39" t="s">
        <v>7830</v>
      </c>
      <c r="M783" s="39" t="s">
        <v>7831</v>
      </c>
      <c r="N783" s="39" t="str">
        <f>("1089004")</f>
        <v>1089004</v>
      </c>
      <c r="P783" s="39" t="s">
        <v>12268</v>
      </c>
      <c r="Q783" s="39" t="s">
        <v>8568</v>
      </c>
      <c r="R783" s="39" t="s">
        <v>8569</v>
      </c>
      <c r="S783" s="39" t="s">
        <v>8570</v>
      </c>
      <c r="AA783" s="39" t="s">
        <v>2122</v>
      </c>
      <c r="AB783" s="39" t="s">
        <v>7830</v>
      </c>
      <c r="AC783" s="39" t="s">
        <v>7831</v>
      </c>
      <c r="AD783" s="39" t="str">
        <f>("0354901")</f>
        <v>0354901</v>
      </c>
      <c r="AE783" s="39" t="s">
        <v>2025</v>
      </c>
      <c r="AK783" s="39" t="str">
        <f>("2025/08/21")</f>
        <v>2025/08/21</v>
      </c>
      <c r="AL783" s="39" t="str">
        <f>("2025/08/21")</f>
        <v>2025/08/21</v>
      </c>
    </row>
    <row r="784" spans="1:39" x14ac:dyDescent="0.25">
      <c r="A784" s="39" t="str">
        <f>("1404260046")</f>
        <v>1404260046</v>
      </c>
      <c r="B784" s="39" t="s">
        <v>7896</v>
      </c>
      <c r="C784" s="39"/>
      <c r="D784" s="39" t="s">
        <v>4657</v>
      </c>
      <c r="E784" s="371" t="str">
        <f t="shared" si="63"/>
        <v>ますい　そうすけ</v>
      </c>
      <c r="F784" s="39" t="s">
        <v>2574</v>
      </c>
      <c r="G784" s="39" t="s">
        <v>7828</v>
      </c>
      <c r="H784" s="39" t="str">
        <f>("2014/04/26")</f>
        <v>2014/04/26</v>
      </c>
      <c r="I784" s="39">
        <v>5</v>
      </c>
      <c r="J784" s="39" t="s">
        <v>1478</v>
      </c>
      <c r="K784" s="39" t="s">
        <v>2122</v>
      </c>
      <c r="L784" s="39" t="s">
        <v>7830</v>
      </c>
      <c r="M784" s="39" t="s">
        <v>7831</v>
      </c>
      <c r="N784" s="39" t="str">
        <f>("0237620")</f>
        <v>0237620</v>
      </c>
      <c r="P784" s="39" t="s">
        <v>12269</v>
      </c>
      <c r="Q784" s="39" t="s">
        <v>8568</v>
      </c>
      <c r="R784" s="39" t="s">
        <v>8569</v>
      </c>
      <c r="S784" s="39" t="s">
        <v>8570</v>
      </c>
      <c r="AK784" s="39" t="str">
        <f>("2025/03/17")</f>
        <v>2025/03/17</v>
      </c>
      <c r="AL784" s="39" t="str">
        <f>("2025/04/01")</f>
        <v>2025/04/01</v>
      </c>
    </row>
    <row r="785" spans="1:38" x14ac:dyDescent="0.25">
      <c r="A785" s="39" t="str">
        <f>("1404260123")</f>
        <v>1404260123</v>
      </c>
      <c r="C785" s="39"/>
      <c r="D785" s="39" t="s">
        <v>7897</v>
      </c>
      <c r="E785" s="371" t="str">
        <f t="shared" si="63"/>
        <v>ふくなが　ぜんしろう</v>
      </c>
      <c r="F785" s="39" t="s">
        <v>520</v>
      </c>
      <c r="G785" s="39" t="s">
        <v>7828</v>
      </c>
      <c r="H785" s="39" t="str">
        <f>("2014/04/26")</f>
        <v>2014/04/26</v>
      </c>
      <c r="I785" s="39">
        <v>5</v>
      </c>
      <c r="J785" s="39" t="s">
        <v>1478</v>
      </c>
      <c r="K785" s="39" t="s">
        <v>2122</v>
      </c>
      <c r="L785" s="39" t="s">
        <v>7830</v>
      </c>
      <c r="M785" s="39" t="s">
        <v>7831</v>
      </c>
      <c r="N785" s="39" t="str">
        <f>("0129765")</f>
        <v>0129765</v>
      </c>
      <c r="P785" s="39" t="s">
        <v>12270</v>
      </c>
      <c r="Q785" s="39" t="s">
        <v>8568</v>
      </c>
      <c r="R785" s="39" t="s">
        <v>8569</v>
      </c>
      <c r="S785" s="39" t="s">
        <v>8570</v>
      </c>
      <c r="AK785" s="39" t="str">
        <f>("2025/03/17")</f>
        <v>2025/03/17</v>
      </c>
      <c r="AL785" s="39" t="str">
        <f>("2025/04/01")</f>
        <v>2025/04/01</v>
      </c>
    </row>
    <row r="786" spans="1:38" x14ac:dyDescent="0.25">
      <c r="A786" s="39" t="str">
        <f>("1404270126")</f>
        <v>1404270126</v>
      </c>
      <c r="C786" s="39"/>
      <c r="D786" s="39" t="s">
        <v>7898</v>
      </c>
      <c r="E786" s="371" t="str">
        <f t="shared" si="63"/>
        <v>さとう　はる</v>
      </c>
      <c r="F786" s="39" t="s">
        <v>947</v>
      </c>
      <c r="G786" s="39" t="s">
        <v>7828</v>
      </c>
      <c r="H786" s="39" t="str">
        <f>("2014/04/27")</f>
        <v>2014/04/27</v>
      </c>
      <c r="I786" s="39">
        <v>5</v>
      </c>
      <c r="J786" s="39" t="s">
        <v>1478</v>
      </c>
      <c r="K786" s="39" t="s">
        <v>2122</v>
      </c>
      <c r="L786" s="39" t="s">
        <v>7830</v>
      </c>
      <c r="M786" s="39" t="s">
        <v>7831</v>
      </c>
      <c r="N786" s="39" t="str">
        <f>("0130183")</f>
        <v>0130183</v>
      </c>
      <c r="P786" s="39" t="s">
        <v>12271</v>
      </c>
      <c r="Q786" s="39" t="s">
        <v>8568</v>
      </c>
      <c r="R786" s="39" t="s">
        <v>8569</v>
      </c>
      <c r="S786" s="39" t="s">
        <v>8570</v>
      </c>
      <c r="AA786" s="39" t="s">
        <v>2122</v>
      </c>
      <c r="AB786" s="39" t="s">
        <v>7830</v>
      </c>
      <c r="AC786" s="39" t="s">
        <v>7831</v>
      </c>
      <c r="AD786" s="39" t="str">
        <f>("0129822")</f>
        <v>0129822</v>
      </c>
      <c r="AE786" s="39" t="s">
        <v>2491</v>
      </c>
      <c r="AK786" s="39" t="str">
        <f>("2025/03/27")</f>
        <v>2025/03/27</v>
      </c>
      <c r="AL786" s="39" t="str">
        <f>("2025/04/01")</f>
        <v>2025/04/01</v>
      </c>
    </row>
    <row r="787" spans="1:38" x14ac:dyDescent="0.25">
      <c r="A787" s="39" t="str">
        <f>("1404270129")</f>
        <v>1404270129</v>
      </c>
      <c r="C787" s="39"/>
      <c r="D787" s="39" t="s">
        <v>6202</v>
      </c>
      <c r="E787" s="371" t="str">
        <f t="shared" si="63"/>
        <v>やすなみ　おうじろう</v>
      </c>
      <c r="F787" s="39" t="s">
        <v>2647</v>
      </c>
      <c r="G787" s="39" t="s">
        <v>7828</v>
      </c>
      <c r="H787" s="39" t="str">
        <f>("2014/04/27")</f>
        <v>2014/04/27</v>
      </c>
      <c r="I787" s="39">
        <v>5</v>
      </c>
      <c r="J787" s="39" t="s">
        <v>1478</v>
      </c>
      <c r="K787" s="39" t="s">
        <v>2122</v>
      </c>
      <c r="L787" s="39" t="s">
        <v>7830</v>
      </c>
      <c r="M787" s="39" t="s">
        <v>7831</v>
      </c>
      <c r="N787" s="39" t="str">
        <f>("1036817")</f>
        <v>1036817</v>
      </c>
      <c r="P787" s="39" t="s">
        <v>12272</v>
      </c>
      <c r="Q787" s="39" t="s">
        <v>8568</v>
      </c>
      <c r="R787" s="39" t="s">
        <v>8569</v>
      </c>
      <c r="S787" s="39" t="s">
        <v>8570</v>
      </c>
      <c r="AK787" s="39" t="str">
        <f>("2025/03/17")</f>
        <v>2025/03/17</v>
      </c>
      <c r="AL787" s="39" t="str">
        <f>("2025/04/01")</f>
        <v>2025/04/01</v>
      </c>
    </row>
    <row r="788" spans="1:38" x14ac:dyDescent="0.25">
      <c r="A788" s="39" t="str">
        <f>("1404280113")</f>
        <v>1404280113</v>
      </c>
      <c r="B788" s="39" t="s">
        <v>7899</v>
      </c>
      <c r="C788" s="39"/>
      <c r="D788" s="39" t="s">
        <v>4773</v>
      </c>
      <c r="E788" s="371" t="str">
        <f t="shared" si="63"/>
        <v>えんどう　はるき</v>
      </c>
      <c r="F788" s="39" t="s">
        <v>7864</v>
      </c>
      <c r="G788" s="39" t="s">
        <v>7828</v>
      </c>
      <c r="H788" s="39" t="str">
        <f>("2014/04/28")</f>
        <v>2014/04/28</v>
      </c>
      <c r="I788" s="39">
        <v>5</v>
      </c>
      <c r="J788" s="39" t="s">
        <v>1478</v>
      </c>
      <c r="K788" s="39" t="s">
        <v>2122</v>
      </c>
      <c r="L788" s="39" t="s">
        <v>7830</v>
      </c>
      <c r="M788" s="39" t="s">
        <v>7831</v>
      </c>
      <c r="N788" s="39" t="str">
        <f>("1039801")</f>
        <v>1039801</v>
      </c>
      <c r="P788" s="39" t="s">
        <v>12273</v>
      </c>
      <c r="Q788" s="39" t="s">
        <v>8568</v>
      </c>
      <c r="R788" s="39" t="s">
        <v>8569</v>
      </c>
      <c r="S788" s="39" t="s">
        <v>8570</v>
      </c>
      <c r="AA788" s="39" t="s">
        <v>2122</v>
      </c>
      <c r="AB788" s="39" t="s">
        <v>7830</v>
      </c>
      <c r="AC788" s="39" t="s">
        <v>7831</v>
      </c>
      <c r="AD788" s="39" t="str">
        <f>("0456892")</f>
        <v>0456892</v>
      </c>
      <c r="AE788" s="39" t="s">
        <v>2615</v>
      </c>
      <c r="AK788" s="39" t="str">
        <f>("2025/04/04")</f>
        <v>2025/04/04</v>
      </c>
      <c r="AL788" s="39" t="str">
        <f>("2025/04/04")</f>
        <v>2025/04/04</v>
      </c>
    </row>
    <row r="789" spans="1:38" x14ac:dyDescent="0.25">
      <c r="A789" s="39" t="str">
        <f>("1404280183")</f>
        <v>1404280183</v>
      </c>
      <c r="C789" s="39"/>
      <c r="D789" s="39" t="s">
        <v>7900</v>
      </c>
      <c r="E789" s="371" t="str">
        <f t="shared" si="63"/>
        <v>さがら　みずき</v>
      </c>
      <c r="F789" s="39" t="s">
        <v>520</v>
      </c>
      <c r="G789" s="39" t="s">
        <v>7828</v>
      </c>
      <c r="H789" s="39" t="str">
        <f>("2014/04/28")</f>
        <v>2014/04/28</v>
      </c>
      <c r="I789" s="39">
        <v>5</v>
      </c>
      <c r="J789" s="39" t="s">
        <v>1478</v>
      </c>
      <c r="K789" s="39" t="s">
        <v>2122</v>
      </c>
      <c r="L789" s="39" t="s">
        <v>7830</v>
      </c>
      <c r="M789" s="39" t="s">
        <v>7831</v>
      </c>
      <c r="N789" s="39" t="str">
        <f>("0129765")</f>
        <v>0129765</v>
      </c>
      <c r="P789" s="39" t="s">
        <v>12274</v>
      </c>
      <c r="Q789" s="39" t="s">
        <v>8568</v>
      </c>
      <c r="R789" s="39" t="s">
        <v>8569</v>
      </c>
      <c r="S789" s="39" t="s">
        <v>8570</v>
      </c>
      <c r="AK789" s="39" t="str">
        <f>("2025/03/17")</f>
        <v>2025/03/17</v>
      </c>
      <c r="AL789" s="39" t="str">
        <f>("2025/04/01")</f>
        <v>2025/04/01</v>
      </c>
    </row>
    <row r="790" spans="1:38" x14ac:dyDescent="0.25">
      <c r="A790" s="39" t="str">
        <f>("1404290017")</f>
        <v>1404290017</v>
      </c>
      <c r="B790" s="39" t="s">
        <v>7901</v>
      </c>
      <c r="C790" s="39"/>
      <c r="D790" s="39" t="s">
        <v>5990</v>
      </c>
      <c r="E790" s="371" t="str">
        <f t="shared" si="63"/>
        <v>あんどう　たくま</v>
      </c>
      <c r="F790" s="39" t="s">
        <v>2821</v>
      </c>
      <c r="G790" s="39" t="s">
        <v>7828</v>
      </c>
      <c r="H790" s="39" t="str">
        <f>("2014/04/29")</f>
        <v>2014/04/29</v>
      </c>
      <c r="I790" s="39">
        <v>5</v>
      </c>
      <c r="J790" s="39" t="s">
        <v>1478</v>
      </c>
      <c r="K790" s="39" t="s">
        <v>2122</v>
      </c>
      <c r="L790" s="39" t="s">
        <v>7830</v>
      </c>
      <c r="M790" s="39" t="s">
        <v>7831</v>
      </c>
      <c r="N790" s="39" t="str">
        <f>("0237631")</f>
        <v>0237631</v>
      </c>
      <c r="P790" s="39" t="s">
        <v>12275</v>
      </c>
      <c r="Q790" s="39" t="s">
        <v>8568</v>
      </c>
      <c r="R790" s="39" t="s">
        <v>8569</v>
      </c>
      <c r="S790" s="39" t="s">
        <v>8570</v>
      </c>
      <c r="AK790" s="39" t="str">
        <f>("2025/03/17")</f>
        <v>2025/03/17</v>
      </c>
      <c r="AL790" s="39" t="str">
        <f>("2025/04/01")</f>
        <v>2025/04/01</v>
      </c>
    </row>
    <row r="791" spans="1:38" x14ac:dyDescent="0.25">
      <c r="A791" s="39" t="str">
        <f>("1404290194")</f>
        <v>1404290194</v>
      </c>
      <c r="C791" s="39"/>
      <c r="D791" s="39" t="s">
        <v>7902</v>
      </c>
      <c r="E791" s="371" t="str">
        <f t="shared" si="63"/>
        <v>えとう　こはな</v>
      </c>
      <c r="F791" s="39" t="s">
        <v>2469</v>
      </c>
      <c r="G791" s="39" t="s">
        <v>7828</v>
      </c>
      <c r="H791" s="39" t="str">
        <f>("2014/04/29")</f>
        <v>2014/04/29</v>
      </c>
      <c r="I791" s="39">
        <v>5</v>
      </c>
      <c r="J791" s="39" t="s">
        <v>1480</v>
      </c>
      <c r="K791" s="39" t="s">
        <v>2122</v>
      </c>
      <c r="L791" s="39" t="s">
        <v>7830</v>
      </c>
      <c r="M791" s="39" t="s">
        <v>7831</v>
      </c>
      <c r="N791" s="39" t="str">
        <f>("0129462")</f>
        <v>0129462</v>
      </c>
      <c r="P791" s="39" t="s">
        <v>12276</v>
      </c>
      <c r="Q791" s="39" t="s">
        <v>8568</v>
      </c>
      <c r="R791" s="39" t="s">
        <v>8569</v>
      </c>
      <c r="S791" s="39" t="s">
        <v>8570</v>
      </c>
      <c r="AK791" s="39" t="str">
        <f>("2025/09/09")</f>
        <v>2025/09/09</v>
      </c>
      <c r="AL791" s="39" t="str">
        <f>("2025/09/09")</f>
        <v>2025/09/09</v>
      </c>
    </row>
    <row r="792" spans="1:38" x14ac:dyDescent="0.25">
      <c r="A792" s="39" t="str">
        <f>("1405010168")</f>
        <v>1405010168</v>
      </c>
      <c r="B792" s="39" t="s">
        <v>7903</v>
      </c>
      <c r="C792" s="39"/>
      <c r="D792" s="39" t="s">
        <v>7904</v>
      </c>
      <c r="E792" s="371" t="str">
        <f t="shared" si="63"/>
        <v>しゅとう　みなと</v>
      </c>
      <c r="F792" s="39" t="s">
        <v>2325</v>
      </c>
      <c r="G792" s="39" t="s">
        <v>7828</v>
      </c>
      <c r="H792" s="39" t="str">
        <f>("2014/05/01")</f>
        <v>2014/05/01</v>
      </c>
      <c r="I792" s="39">
        <v>5</v>
      </c>
      <c r="J792" s="39" t="s">
        <v>1478</v>
      </c>
      <c r="K792" s="39" t="s">
        <v>2122</v>
      </c>
      <c r="L792" s="39" t="s">
        <v>7830</v>
      </c>
      <c r="M792" s="39" t="s">
        <v>7831</v>
      </c>
      <c r="N792" s="39" t="str">
        <f>("0155034")</f>
        <v>0155034</v>
      </c>
      <c r="P792" s="39" t="s">
        <v>12277</v>
      </c>
      <c r="Q792" s="39" t="s">
        <v>8568</v>
      </c>
      <c r="R792" s="39" t="s">
        <v>8569</v>
      </c>
      <c r="S792" s="39" t="s">
        <v>8570</v>
      </c>
      <c r="AK792" s="39" t="str">
        <f>("2025/03/17")</f>
        <v>2025/03/17</v>
      </c>
      <c r="AL792" s="39" t="str">
        <f>("2025/04/01")</f>
        <v>2025/04/01</v>
      </c>
    </row>
    <row r="793" spans="1:38" x14ac:dyDescent="0.25">
      <c r="A793" s="39" t="str">
        <f>("1405020248")</f>
        <v>1405020248</v>
      </c>
      <c r="C793" s="39"/>
      <c r="D793" s="39" t="s">
        <v>7905</v>
      </c>
      <c r="E793" s="371" t="str">
        <f t="shared" si="63"/>
        <v>やまもと　あゆむ</v>
      </c>
      <c r="F793" s="39" t="s">
        <v>827</v>
      </c>
      <c r="G793" s="39" t="s">
        <v>7828</v>
      </c>
      <c r="H793" s="39" t="str">
        <f>("2014/05/02")</f>
        <v>2014/05/02</v>
      </c>
      <c r="I793" s="39">
        <v>5</v>
      </c>
      <c r="J793" s="39" t="s">
        <v>1478</v>
      </c>
      <c r="K793" s="39" t="s">
        <v>2122</v>
      </c>
      <c r="L793" s="39" t="s">
        <v>7830</v>
      </c>
      <c r="M793" s="39" t="s">
        <v>7831</v>
      </c>
      <c r="N793" s="39" t="str">
        <f>("0504908")</f>
        <v>0504908</v>
      </c>
      <c r="P793" s="39" t="s">
        <v>12278</v>
      </c>
      <c r="Q793" s="39" t="s">
        <v>8568</v>
      </c>
      <c r="R793" s="39" t="s">
        <v>8569</v>
      </c>
      <c r="S793" s="39" t="s">
        <v>8570</v>
      </c>
      <c r="AK793" s="39" t="str">
        <f>("2025/03/21")</f>
        <v>2025/03/21</v>
      </c>
      <c r="AL793" s="39" t="str">
        <f>("2025/04/01")</f>
        <v>2025/04/01</v>
      </c>
    </row>
    <row r="794" spans="1:38" x14ac:dyDescent="0.25">
      <c r="A794" s="39" t="str">
        <f>("1405030190")</f>
        <v>1405030190</v>
      </c>
      <c r="C794" s="39"/>
      <c r="D794" s="39" t="s">
        <v>7906</v>
      </c>
      <c r="E794" s="371" t="str">
        <f t="shared" si="63"/>
        <v>たけいし　きりゅう</v>
      </c>
      <c r="F794" s="39" t="s">
        <v>2600</v>
      </c>
      <c r="G794" s="39" t="s">
        <v>7828</v>
      </c>
      <c r="H794" s="39" t="str">
        <f>("2014/05/03")</f>
        <v>2014/05/03</v>
      </c>
      <c r="I794" s="39">
        <v>5</v>
      </c>
      <c r="J794" s="39" t="s">
        <v>1478</v>
      </c>
      <c r="K794" s="39" t="s">
        <v>2122</v>
      </c>
      <c r="L794" s="39" t="s">
        <v>7830</v>
      </c>
      <c r="M794" s="39" t="s">
        <v>7831</v>
      </c>
      <c r="N794" s="39" t="str">
        <f>("0429757")</f>
        <v>0429757</v>
      </c>
      <c r="P794" s="39" t="s">
        <v>12279</v>
      </c>
      <c r="Q794" s="39" t="s">
        <v>8568</v>
      </c>
      <c r="R794" s="39" t="s">
        <v>8569</v>
      </c>
      <c r="S794" s="39" t="s">
        <v>8570</v>
      </c>
      <c r="AK794" s="39" t="str">
        <f>("2025/04/04")</f>
        <v>2025/04/04</v>
      </c>
      <c r="AL794" s="39" t="str">
        <f>("2025/04/04")</f>
        <v>2025/04/04</v>
      </c>
    </row>
    <row r="795" spans="1:38" x14ac:dyDescent="0.25">
      <c r="A795" s="39" t="str">
        <f>("1405040128")</f>
        <v>1405040128</v>
      </c>
      <c r="C795" s="39"/>
      <c r="D795" s="39" t="s">
        <v>7907</v>
      </c>
      <c r="E795" s="371" t="str">
        <f t="shared" si="63"/>
        <v>つるた　こうだい</v>
      </c>
      <c r="F795" s="39" t="s">
        <v>1207</v>
      </c>
      <c r="G795" s="39" t="s">
        <v>7828</v>
      </c>
      <c r="H795" s="39" t="str">
        <f>("2014/05/04")</f>
        <v>2014/05/04</v>
      </c>
      <c r="I795" s="39">
        <v>5</v>
      </c>
      <c r="J795" s="39" t="s">
        <v>1478</v>
      </c>
      <c r="K795" s="39" t="s">
        <v>2122</v>
      </c>
      <c r="L795" s="39" t="s">
        <v>7830</v>
      </c>
      <c r="M795" s="39" t="s">
        <v>7831</v>
      </c>
      <c r="N795" s="39" t="str">
        <f>("0381608")</f>
        <v>0381608</v>
      </c>
      <c r="P795" s="39" t="s">
        <v>12280</v>
      </c>
      <c r="Q795" s="39" t="s">
        <v>8568</v>
      </c>
      <c r="R795" s="39" t="s">
        <v>8569</v>
      </c>
      <c r="S795" s="39" t="s">
        <v>8570</v>
      </c>
      <c r="AK795" s="39" t="str">
        <f>("2025/03/21")</f>
        <v>2025/03/21</v>
      </c>
      <c r="AL795" s="39" t="str">
        <f>("2025/04/01")</f>
        <v>2025/04/01</v>
      </c>
    </row>
    <row r="796" spans="1:38" x14ac:dyDescent="0.25">
      <c r="A796" s="39" t="str">
        <f>("1405040142")</f>
        <v>1405040142</v>
      </c>
      <c r="C796" s="39"/>
      <c r="D796" s="39" t="s">
        <v>7908</v>
      </c>
      <c r="E796" s="371" t="str">
        <f t="shared" si="63"/>
        <v>いなお　りゅうま</v>
      </c>
      <c r="F796" s="39" t="s">
        <v>2342</v>
      </c>
      <c r="G796" s="39" t="s">
        <v>7828</v>
      </c>
      <c r="H796" s="39" t="str">
        <f>("2014/05/04")</f>
        <v>2014/05/04</v>
      </c>
      <c r="I796" s="39">
        <v>5</v>
      </c>
      <c r="J796" s="39" t="s">
        <v>1478</v>
      </c>
      <c r="K796" s="39" t="s">
        <v>2122</v>
      </c>
      <c r="L796" s="39" t="s">
        <v>7830</v>
      </c>
      <c r="M796" s="39" t="s">
        <v>7831</v>
      </c>
      <c r="N796" s="39" t="str">
        <f>("0130307")</f>
        <v>0130307</v>
      </c>
      <c r="P796" s="39" t="s">
        <v>12281</v>
      </c>
      <c r="Q796" s="39" t="s">
        <v>8568</v>
      </c>
      <c r="R796" s="39" t="s">
        <v>8569</v>
      </c>
      <c r="S796" s="39" t="s">
        <v>8570</v>
      </c>
      <c r="AK796" s="39" t="str">
        <f>("2025/03/17")</f>
        <v>2025/03/17</v>
      </c>
      <c r="AL796" s="39" t="str">
        <f>("2025/04/01")</f>
        <v>2025/04/01</v>
      </c>
    </row>
    <row r="797" spans="1:38" x14ac:dyDescent="0.25">
      <c r="A797" s="39" t="str">
        <f>("1405050191")</f>
        <v>1405050191</v>
      </c>
      <c r="C797" s="39"/>
      <c r="D797" s="39" t="s">
        <v>7909</v>
      </c>
      <c r="E797" s="371" t="str">
        <f t="shared" si="63"/>
        <v>さいとう　あさひ</v>
      </c>
      <c r="F797" s="39" t="s">
        <v>7910</v>
      </c>
      <c r="G797" s="39" t="s">
        <v>7828</v>
      </c>
      <c r="H797" s="39" t="str">
        <f>("2014/05/05")</f>
        <v>2014/05/05</v>
      </c>
      <c r="I797" s="39">
        <v>5</v>
      </c>
      <c r="J797" s="39" t="s">
        <v>1478</v>
      </c>
      <c r="K797" s="39" t="s">
        <v>2122</v>
      </c>
      <c r="L797" s="39" t="s">
        <v>7830</v>
      </c>
      <c r="M797" s="39" t="s">
        <v>7831</v>
      </c>
      <c r="N797" s="39" t="str">
        <f>("1111064")</f>
        <v>1111064</v>
      </c>
      <c r="P797" s="39" t="s">
        <v>12282</v>
      </c>
      <c r="Q797" s="39" t="s">
        <v>8568</v>
      </c>
      <c r="R797" s="39" t="s">
        <v>8569</v>
      </c>
      <c r="S797" s="39" t="s">
        <v>8570</v>
      </c>
      <c r="AK797" s="39" t="str">
        <f>("2025/03/17")</f>
        <v>2025/03/17</v>
      </c>
      <c r="AL797" s="39" t="str">
        <f>("2025/04/01")</f>
        <v>2025/04/01</v>
      </c>
    </row>
    <row r="798" spans="1:38" x14ac:dyDescent="0.25">
      <c r="A798" s="39" t="str">
        <f>("1405070008")</f>
        <v>1405070008</v>
      </c>
      <c r="C798" s="39"/>
      <c r="D798" s="39" t="s">
        <v>7911</v>
      </c>
      <c r="E798" s="371" t="str">
        <f t="shared" si="63"/>
        <v>えとう　たいよう</v>
      </c>
      <c r="F798" s="39" t="s">
        <v>1917</v>
      </c>
      <c r="G798" s="39" t="s">
        <v>7828</v>
      </c>
      <c r="H798" s="39" t="str">
        <f>("2014/05/07")</f>
        <v>2014/05/07</v>
      </c>
      <c r="I798" s="39">
        <v>5</v>
      </c>
      <c r="J798" s="39" t="s">
        <v>1478</v>
      </c>
      <c r="K798" s="39" t="s">
        <v>2122</v>
      </c>
      <c r="L798" s="39" t="s">
        <v>7830</v>
      </c>
      <c r="M798" s="39" t="s">
        <v>7831</v>
      </c>
      <c r="N798" s="39" t="str">
        <f>("1032161")</f>
        <v>1032161</v>
      </c>
      <c r="P798" s="39" t="s">
        <v>12283</v>
      </c>
      <c r="Q798" s="39" t="s">
        <v>8568</v>
      </c>
      <c r="R798" s="39" t="s">
        <v>8569</v>
      </c>
      <c r="S798" s="39" t="s">
        <v>8570</v>
      </c>
      <c r="AA798" s="39" t="s">
        <v>2122</v>
      </c>
      <c r="AB798" s="39" t="s">
        <v>7830</v>
      </c>
      <c r="AC798" s="39" t="s">
        <v>7831</v>
      </c>
      <c r="AD798" s="39" t="str">
        <f>("0130756")</f>
        <v>0130756</v>
      </c>
      <c r="AE798" s="39" t="s">
        <v>5617</v>
      </c>
      <c r="AK798" s="39" t="str">
        <f>("2025/03/21")</f>
        <v>2025/03/21</v>
      </c>
      <c r="AL798" s="39" t="str">
        <f>("2025/04/01")</f>
        <v>2025/04/01</v>
      </c>
    </row>
    <row r="799" spans="1:38" x14ac:dyDescent="0.25">
      <c r="A799" s="39" t="str">
        <f>("1405070015")</f>
        <v>1405070015</v>
      </c>
      <c r="C799" s="39"/>
      <c r="D799" s="39" t="s">
        <v>7912</v>
      </c>
      <c r="E799" s="371" t="str">
        <f t="shared" si="63"/>
        <v>なかはた　しょうや</v>
      </c>
      <c r="F799" s="39" t="s">
        <v>7864</v>
      </c>
      <c r="G799" s="39" t="s">
        <v>7828</v>
      </c>
      <c r="H799" s="39" t="str">
        <f>("2014/05/07")</f>
        <v>2014/05/07</v>
      </c>
      <c r="I799" s="39">
        <v>5</v>
      </c>
      <c r="J799" s="39" t="s">
        <v>1478</v>
      </c>
      <c r="K799" s="39" t="s">
        <v>2122</v>
      </c>
      <c r="L799" s="39" t="s">
        <v>7830</v>
      </c>
      <c r="M799" s="39" t="s">
        <v>7831</v>
      </c>
      <c r="N799" s="39" t="str">
        <f>("1039801")</f>
        <v>1039801</v>
      </c>
      <c r="P799" s="39" t="s">
        <v>12284</v>
      </c>
      <c r="Q799" s="39" t="s">
        <v>8568</v>
      </c>
      <c r="R799" s="39" t="s">
        <v>8569</v>
      </c>
      <c r="S799" s="39" t="s">
        <v>8570</v>
      </c>
      <c r="AA799" s="39" t="s">
        <v>2122</v>
      </c>
      <c r="AB799" s="39" t="s">
        <v>7830</v>
      </c>
      <c r="AC799" s="39" t="s">
        <v>7831</v>
      </c>
      <c r="AD799" s="39" t="str">
        <f>("0237631")</f>
        <v>0237631</v>
      </c>
      <c r="AE799" s="39" t="s">
        <v>2821</v>
      </c>
      <c r="AK799" s="39" t="str">
        <f>("2025/08/29")</f>
        <v>2025/08/29</v>
      </c>
      <c r="AL799" s="39" t="str">
        <f>("2025/08/29")</f>
        <v>2025/08/29</v>
      </c>
    </row>
    <row r="800" spans="1:38" x14ac:dyDescent="0.25">
      <c r="A800" s="39" t="str">
        <f>("1405070145")</f>
        <v>1405070145</v>
      </c>
      <c r="B800" s="39" t="s">
        <v>7913</v>
      </c>
      <c r="C800" s="39"/>
      <c r="D800" s="39" t="s">
        <v>6007</v>
      </c>
      <c r="E800" s="371" t="str">
        <f t="shared" si="63"/>
        <v>さとう　たいせい</v>
      </c>
      <c r="F800" s="39" t="s">
        <v>1865</v>
      </c>
      <c r="G800" s="39" t="s">
        <v>7828</v>
      </c>
      <c r="H800" s="39" t="str">
        <f>("2014/05/07")</f>
        <v>2014/05/07</v>
      </c>
      <c r="I800" s="39">
        <v>5</v>
      </c>
      <c r="J800" s="39" t="s">
        <v>1478</v>
      </c>
      <c r="K800" s="39" t="s">
        <v>2122</v>
      </c>
      <c r="L800" s="39" t="s">
        <v>7830</v>
      </c>
      <c r="M800" s="39" t="s">
        <v>7831</v>
      </c>
      <c r="N800" s="39" t="str">
        <f>("0310565")</f>
        <v>0310565</v>
      </c>
      <c r="P800" s="39" t="s">
        <v>12285</v>
      </c>
      <c r="Q800" s="39" t="s">
        <v>8568</v>
      </c>
      <c r="R800" s="39" t="s">
        <v>8569</v>
      </c>
      <c r="S800" s="39" t="s">
        <v>8570</v>
      </c>
      <c r="AK800" s="39" t="str">
        <f>("2025/03/17")</f>
        <v>2025/03/17</v>
      </c>
      <c r="AL800" s="39" t="str">
        <f>("2025/04/01")</f>
        <v>2025/04/01</v>
      </c>
    </row>
    <row r="801" spans="1:39" x14ac:dyDescent="0.25">
      <c r="A801" s="39" t="str">
        <f>("1405080141")</f>
        <v>1405080141</v>
      </c>
      <c r="C801" s="39"/>
      <c r="D801" s="39" t="s">
        <v>7914</v>
      </c>
      <c r="E801" s="371" t="str">
        <f t="shared" si="63"/>
        <v>はざま　そうたろう</v>
      </c>
      <c r="F801" s="39" t="s">
        <v>2619</v>
      </c>
      <c r="G801" s="39" t="s">
        <v>7828</v>
      </c>
      <c r="H801" s="39" t="str">
        <f>("2014/05/08")</f>
        <v>2014/05/08</v>
      </c>
      <c r="I801" s="39">
        <v>5</v>
      </c>
      <c r="J801" s="39" t="s">
        <v>1478</v>
      </c>
      <c r="K801" s="39" t="s">
        <v>2122</v>
      </c>
      <c r="L801" s="39" t="s">
        <v>7830</v>
      </c>
      <c r="M801" s="39" t="s">
        <v>7831</v>
      </c>
      <c r="N801" s="39" t="str">
        <f>("0472823")</f>
        <v>0472823</v>
      </c>
      <c r="P801" s="39" t="s">
        <v>12286</v>
      </c>
      <c r="Q801" s="39" t="s">
        <v>8568</v>
      </c>
      <c r="R801" s="39" t="s">
        <v>8569</v>
      </c>
      <c r="S801" s="39" t="s">
        <v>8570</v>
      </c>
      <c r="AK801" s="39" t="str">
        <f>("2025/03/17")</f>
        <v>2025/03/17</v>
      </c>
      <c r="AL801" s="39" t="str">
        <f>("2025/04/01")</f>
        <v>2025/04/01</v>
      </c>
    </row>
    <row r="802" spans="1:39" x14ac:dyDescent="0.25">
      <c r="A802" s="39" t="str">
        <f>("1405080142")</f>
        <v>1405080142</v>
      </c>
      <c r="C802" s="39"/>
      <c r="D802" s="39" t="s">
        <v>4327</v>
      </c>
      <c r="E802" s="371" t="str">
        <f t="shared" si="63"/>
        <v>かがわ　とうま</v>
      </c>
      <c r="F802" s="39" t="s">
        <v>1207</v>
      </c>
      <c r="G802" s="39" t="s">
        <v>7828</v>
      </c>
      <c r="H802" s="39" t="str">
        <f>("2014/05/08")</f>
        <v>2014/05/08</v>
      </c>
      <c r="I802" s="39">
        <v>5</v>
      </c>
      <c r="J802" s="39" t="s">
        <v>1478</v>
      </c>
      <c r="K802" s="39" t="s">
        <v>2122</v>
      </c>
      <c r="L802" s="39" t="s">
        <v>7830</v>
      </c>
      <c r="M802" s="39" t="s">
        <v>7831</v>
      </c>
      <c r="N802" s="39" t="str">
        <f>("0381608")</f>
        <v>0381608</v>
      </c>
      <c r="P802" s="39" t="s">
        <v>12287</v>
      </c>
      <c r="Q802" s="39" t="s">
        <v>8568</v>
      </c>
      <c r="R802" s="39" t="s">
        <v>8569</v>
      </c>
      <c r="S802" s="39" t="s">
        <v>8570</v>
      </c>
      <c r="AA802" s="39" t="s">
        <v>2122</v>
      </c>
      <c r="AB802" s="39" t="s">
        <v>7830</v>
      </c>
      <c r="AC802" s="39" t="s">
        <v>7831</v>
      </c>
      <c r="AD802" s="39" t="str">
        <f>("0129855")</f>
        <v>0129855</v>
      </c>
      <c r="AE802" s="39" t="s">
        <v>2496</v>
      </c>
      <c r="AK802" s="39" t="str">
        <f>("2026/01/08")</f>
        <v>2026/01/08</v>
      </c>
      <c r="AL802" s="39" t="str">
        <f>("2026/01/08")</f>
        <v>2026/01/08</v>
      </c>
    </row>
    <row r="803" spans="1:39" x14ac:dyDescent="0.25">
      <c r="A803" s="39" t="str">
        <f>("1405080210")</f>
        <v>1405080210</v>
      </c>
      <c r="C803" s="39"/>
      <c r="D803" s="39" t="s">
        <v>6164</v>
      </c>
      <c r="E803" s="371" t="str">
        <f t="shared" si="63"/>
        <v>ないき　つなと</v>
      </c>
      <c r="F803" s="39" t="s">
        <v>1095</v>
      </c>
      <c r="G803" s="39" t="s">
        <v>7828</v>
      </c>
      <c r="H803" s="39" t="str">
        <f>("2014/05/08")</f>
        <v>2014/05/08</v>
      </c>
      <c r="I803" s="39">
        <v>5</v>
      </c>
      <c r="J803" s="39" t="s">
        <v>1478</v>
      </c>
      <c r="K803" s="39" t="s">
        <v>2122</v>
      </c>
      <c r="L803" s="39" t="s">
        <v>7830</v>
      </c>
      <c r="M803" s="39" t="s">
        <v>7831</v>
      </c>
      <c r="N803" s="39" t="str">
        <f>("0487492")</f>
        <v>0487492</v>
      </c>
      <c r="P803" s="39" t="s">
        <v>12288</v>
      </c>
      <c r="Q803" s="39" t="s">
        <v>8568</v>
      </c>
      <c r="R803" s="39" t="s">
        <v>8569</v>
      </c>
      <c r="S803" s="39" t="s">
        <v>8570</v>
      </c>
      <c r="AK803" s="39" t="str">
        <f>("2025/03/21")</f>
        <v>2025/03/21</v>
      </c>
      <c r="AL803" s="39" t="str">
        <f t="shared" ref="AL803:AL815" si="64">("2025/04/01")</f>
        <v>2025/04/01</v>
      </c>
      <c r="AM803" s="39" t="str">
        <f>("2025/04/11")</f>
        <v>2025/04/11</v>
      </c>
    </row>
    <row r="804" spans="1:39" x14ac:dyDescent="0.25">
      <c r="A804" s="39" t="str">
        <f>("1405090007")</f>
        <v>1405090007</v>
      </c>
      <c r="B804" s="39" t="s">
        <v>7915</v>
      </c>
      <c r="C804" s="39"/>
      <c r="D804" s="39" t="s">
        <v>4673</v>
      </c>
      <c r="E804" s="371" t="str">
        <f t="shared" si="63"/>
        <v>むらかみ　まいと</v>
      </c>
      <c r="F804" s="39" t="s">
        <v>2575</v>
      </c>
      <c r="G804" s="39" t="s">
        <v>7828</v>
      </c>
      <c r="H804" s="39" t="str">
        <f>("2014/05/09")</f>
        <v>2014/05/09</v>
      </c>
      <c r="I804" s="39">
        <v>5</v>
      </c>
      <c r="J804" s="39" t="s">
        <v>1478</v>
      </c>
      <c r="K804" s="39" t="s">
        <v>2122</v>
      </c>
      <c r="L804" s="39" t="s">
        <v>7830</v>
      </c>
      <c r="M804" s="39" t="s">
        <v>7831</v>
      </c>
      <c r="N804" s="39" t="str">
        <f>("0303040")</f>
        <v>0303040</v>
      </c>
      <c r="P804" s="39" t="s">
        <v>12289</v>
      </c>
      <c r="Q804" s="39" t="s">
        <v>8568</v>
      </c>
      <c r="R804" s="39" t="s">
        <v>8569</v>
      </c>
      <c r="S804" s="39" t="s">
        <v>8570</v>
      </c>
      <c r="AK804" s="39" t="str">
        <f>("2025/03/17")</f>
        <v>2025/03/17</v>
      </c>
      <c r="AL804" s="39" t="str">
        <f t="shared" si="64"/>
        <v>2025/04/01</v>
      </c>
    </row>
    <row r="805" spans="1:39" x14ac:dyDescent="0.25">
      <c r="A805" s="39" t="str">
        <f>("1405090036")</f>
        <v>1405090036</v>
      </c>
      <c r="C805" s="39"/>
      <c r="D805" s="39" t="s">
        <v>4862</v>
      </c>
      <c r="E805" s="371" t="str">
        <f t="shared" si="63"/>
        <v>まえやま　はるき</v>
      </c>
      <c r="F805" s="39" t="s">
        <v>2299</v>
      </c>
      <c r="G805" s="39" t="s">
        <v>7828</v>
      </c>
      <c r="H805" s="39" t="str">
        <f>("2014/05/09")</f>
        <v>2014/05/09</v>
      </c>
      <c r="I805" s="39">
        <v>5</v>
      </c>
      <c r="J805" s="39" t="s">
        <v>1478</v>
      </c>
      <c r="K805" s="39" t="s">
        <v>2122</v>
      </c>
      <c r="L805" s="39" t="s">
        <v>7830</v>
      </c>
      <c r="M805" s="39" t="s">
        <v>7831</v>
      </c>
      <c r="N805" s="39" t="str">
        <f>("1066647")</f>
        <v>1066647</v>
      </c>
      <c r="P805" s="39" t="s">
        <v>12290</v>
      </c>
      <c r="Q805" s="39" t="s">
        <v>8568</v>
      </c>
      <c r="R805" s="39" t="s">
        <v>8569</v>
      </c>
      <c r="S805" s="39" t="s">
        <v>8570</v>
      </c>
      <c r="AK805" s="39" t="str">
        <f>("2025/03/21")</f>
        <v>2025/03/21</v>
      </c>
      <c r="AL805" s="39" t="str">
        <f t="shared" si="64"/>
        <v>2025/04/01</v>
      </c>
    </row>
    <row r="806" spans="1:39" x14ac:dyDescent="0.25">
      <c r="A806" s="39" t="str">
        <f>("1405090175")</f>
        <v>1405090175</v>
      </c>
      <c r="C806" s="39"/>
      <c r="D806" s="39" t="s">
        <v>7916</v>
      </c>
      <c r="E806" s="371" t="str">
        <f t="shared" si="63"/>
        <v>やました　ようへい</v>
      </c>
      <c r="F806" s="39" t="s">
        <v>2587</v>
      </c>
      <c r="G806" s="39" t="s">
        <v>7828</v>
      </c>
      <c r="H806" s="39" t="str">
        <f>("2014/05/09")</f>
        <v>2014/05/09</v>
      </c>
      <c r="I806" s="39">
        <v>5</v>
      </c>
      <c r="J806" s="39" t="s">
        <v>1478</v>
      </c>
      <c r="K806" s="39" t="s">
        <v>2122</v>
      </c>
      <c r="L806" s="39" t="s">
        <v>7830</v>
      </c>
      <c r="M806" s="39" t="s">
        <v>7831</v>
      </c>
      <c r="N806" s="39" t="str">
        <f>("0387334")</f>
        <v>0387334</v>
      </c>
      <c r="P806" s="39" t="s">
        <v>12291</v>
      </c>
      <c r="Q806" s="39" t="s">
        <v>8568</v>
      </c>
      <c r="R806" s="39" t="s">
        <v>8569</v>
      </c>
      <c r="S806" s="39" t="s">
        <v>8570</v>
      </c>
      <c r="AK806" s="39" t="str">
        <f>("2025/03/27")</f>
        <v>2025/03/27</v>
      </c>
      <c r="AL806" s="39" t="str">
        <f t="shared" si="64"/>
        <v>2025/04/01</v>
      </c>
    </row>
    <row r="807" spans="1:39" x14ac:dyDescent="0.25">
      <c r="A807" s="39" t="str">
        <f>("1405120030")</f>
        <v>1405120030</v>
      </c>
      <c r="B807" s="39" t="s">
        <v>7917</v>
      </c>
      <c r="C807" s="39"/>
      <c r="D807" s="39" t="s">
        <v>4879</v>
      </c>
      <c r="E807" s="371" t="str">
        <f t="shared" si="63"/>
        <v>ほそかわ　はると</v>
      </c>
      <c r="F807" s="39" t="s">
        <v>3870</v>
      </c>
      <c r="G807" s="39" t="s">
        <v>7828</v>
      </c>
      <c r="H807" s="39" t="str">
        <f>("2014/05/12")</f>
        <v>2014/05/12</v>
      </c>
      <c r="I807" s="39">
        <v>5</v>
      </c>
      <c r="J807" s="39" t="s">
        <v>1478</v>
      </c>
      <c r="K807" s="39" t="s">
        <v>2122</v>
      </c>
      <c r="L807" s="39" t="s">
        <v>7830</v>
      </c>
      <c r="M807" s="39" t="s">
        <v>7831</v>
      </c>
      <c r="N807" s="39" t="str">
        <f>("1094183")</f>
        <v>1094183</v>
      </c>
      <c r="P807" s="39" t="s">
        <v>12292</v>
      </c>
      <c r="Q807" s="39" t="s">
        <v>8568</v>
      </c>
      <c r="R807" s="39" t="s">
        <v>8569</v>
      </c>
      <c r="S807" s="39" t="s">
        <v>8570</v>
      </c>
      <c r="AK807" s="39" t="str">
        <f>("2025/03/27")</f>
        <v>2025/03/27</v>
      </c>
      <c r="AL807" s="39" t="str">
        <f t="shared" si="64"/>
        <v>2025/04/01</v>
      </c>
    </row>
    <row r="808" spans="1:39" x14ac:dyDescent="0.25">
      <c r="A808" s="39" t="str">
        <f>("1405120082")</f>
        <v>1405120082</v>
      </c>
      <c r="B808" s="39" t="s">
        <v>7918</v>
      </c>
      <c r="C808" s="39"/>
      <c r="D808" s="39" t="s">
        <v>7919</v>
      </c>
      <c r="E808" s="371" t="str">
        <f t="shared" si="63"/>
        <v>まき　かなた</v>
      </c>
      <c r="F808" s="39" t="s">
        <v>1330</v>
      </c>
      <c r="G808" s="39" t="s">
        <v>7828</v>
      </c>
      <c r="H808" s="39" t="str">
        <f>("2014/05/12")</f>
        <v>2014/05/12</v>
      </c>
      <c r="I808" s="39">
        <v>5</v>
      </c>
      <c r="J808" s="39" t="s">
        <v>1478</v>
      </c>
      <c r="K808" s="39" t="s">
        <v>2122</v>
      </c>
      <c r="L808" s="39" t="s">
        <v>7830</v>
      </c>
      <c r="M808" s="39" t="s">
        <v>7831</v>
      </c>
      <c r="N808" s="39" t="str">
        <f>("0130598")</f>
        <v>0130598</v>
      </c>
      <c r="P808" s="39" t="s">
        <v>12293</v>
      </c>
      <c r="Q808" s="39" t="s">
        <v>8568</v>
      </c>
      <c r="R808" s="39" t="s">
        <v>8569</v>
      </c>
      <c r="S808" s="39" t="s">
        <v>8570</v>
      </c>
      <c r="AK808" s="39" t="str">
        <f>("2025/03/17")</f>
        <v>2025/03/17</v>
      </c>
      <c r="AL808" s="39" t="str">
        <f t="shared" si="64"/>
        <v>2025/04/01</v>
      </c>
    </row>
    <row r="809" spans="1:39" x14ac:dyDescent="0.25">
      <c r="A809" s="39" t="str">
        <f>("1405120172")</f>
        <v>1405120172</v>
      </c>
      <c r="C809" s="39"/>
      <c r="D809" s="39" t="s">
        <v>7920</v>
      </c>
      <c r="E809" s="371" t="str">
        <f t="shared" si="63"/>
        <v>まつき　たいせい</v>
      </c>
      <c r="F809" s="39" t="s">
        <v>1190</v>
      </c>
      <c r="G809" s="39" t="s">
        <v>7828</v>
      </c>
      <c r="H809" s="39" t="str">
        <f>("2014/05/12")</f>
        <v>2014/05/12</v>
      </c>
      <c r="I809" s="39">
        <v>5</v>
      </c>
      <c r="J809" s="39" t="s">
        <v>1478</v>
      </c>
      <c r="K809" s="39" t="s">
        <v>2122</v>
      </c>
      <c r="L809" s="39" t="s">
        <v>7830</v>
      </c>
      <c r="M809" s="39" t="s">
        <v>7831</v>
      </c>
      <c r="N809" s="39" t="str">
        <f>("0130554")</f>
        <v>0130554</v>
      </c>
      <c r="P809" s="39" t="s">
        <v>12294</v>
      </c>
      <c r="Q809" s="39" t="s">
        <v>8568</v>
      </c>
      <c r="R809" s="39" t="s">
        <v>8569</v>
      </c>
      <c r="S809" s="39" t="s">
        <v>8570</v>
      </c>
      <c r="AK809" s="39" t="str">
        <f>("2025/03/17")</f>
        <v>2025/03/17</v>
      </c>
      <c r="AL809" s="39" t="str">
        <f t="shared" si="64"/>
        <v>2025/04/01</v>
      </c>
    </row>
    <row r="810" spans="1:39" x14ac:dyDescent="0.25">
      <c r="A810" s="39" t="str">
        <f>("1405120221")</f>
        <v>1405120221</v>
      </c>
      <c r="C810" s="39"/>
      <c r="D810" s="39" t="s">
        <v>7921</v>
      </c>
      <c r="E810" s="371" t="str">
        <f t="shared" si="63"/>
        <v>ごとう　かいり</v>
      </c>
      <c r="F810" s="39" t="s">
        <v>2557</v>
      </c>
      <c r="G810" s="39" t="s">
        <v>7828</v>
      </c>
      <c r="H810" s="39" t="str">
        <f>("2014/05/12")</f>
        <v>2014/05/12</v>
      </c>
      <c r="I810" s="39">
        <v>5</v>
      </c>
      <c r="J810" s="39" t="s">
        <v>1478</v>
      </c>
      <c r="K810" s="39" t="s">
        <v>2122</v>
      </c>
      <c r="L810" s="39" t="s">
        <v>7830</v>
      </c>
      <c r="M810" s="39" t="s">
        <v>7831</v>
      </c>
      <c r="N810" s="39" t="str">
        <f>("0130723")</f>
        <v>0130723</v>
      </c>
      <c r="P810" s="39" t="s">
        <v>11819</v>
      </c>
      <c r="Q810" s="39" t="s">
        <v>8568</v>
      </c>
      <c r="R810" s="39" t="s">
        <v>8569</v>
      </c>
      <c r="S810" s="39" t="s">
        <v>8570</v>
      </c>
      <c r="AK810" s="39" t="str">
        <f>("2025/03/17")</f>
        <v>2025/03/17</v>
      </c>
      <c r="AL810" s="39" t="str">
        <f t="shared" si="64"/>
        <v>2025/04/01</v>
      </c>
    </row>
    <row r="811" spans="1:39" x14ac:dyDescent="0.25">
      <c r="A811" s="39" t="str">
        <f>("1405130164")</f>
        <v>1405130164</v>
      </c>
      <c r="C811" s="39"/>
      <c r="D811" s="39" t="s">
        <v>7922</v>
      </c>
      <c r="E811" s="371" t="str">
        <f t="shared" si="63"/>
        <v>ごうはら　しゅうま</v>
      </c>
      <c r="F811" s="39" t="s">
        <v>1751</v>
      </c>
      <c r="G811" s="39" t="s">
        <v>7828</v>
      </c>
      <c r="H811" s="39" t="str">
        <f>("2014/05/13")</f>
        <v>2014/05/13</v>
      </c>
      <c r="I811" s="39">
        <v>5</v>
      </c>
      <c r="J811" s="39" t="s">
        <v>1478</v>
      </c>
      <c r="K811" s="39" t="s">
        <v>2122</v>
      </c>
      <c r="L811" s="39" t="s">
        <v>7830</v>
      </c>
      <c r="M811" s="39" t="s">
        <v>7831</v>
      </c>
      <c r="N811" s="39" t="str">
        <f>("0130453")</f>
        <v>0130453</v>
      </c>
      <c r="P811" s="39" t="s">
        <v>12295</v>
      </c>
      <c r="Q811" s="39" t="s">
        <v>8568</v>
      </c>
      <c r="R811" s="39" t="s">
        <v>8569</v>
      </c>
      <c r="S811" s="39" t="s">
        <v>8570</v>
      </c>
      <c r="AK811" s="39" t="str">
        <f>("2025/03/17")</f>
        <v>2025/03/17</v>
      </c>
      <c r="AL811" s="39" t="str">
        <f t="shared" si="64"/>
        <v>2025/04/01</v>
      </c>
    </row>
    <row r="812" spans="1:39" x14ac:dyDescent="0.25">
      <c r="A812" s="39" t="str">
        <f>("1405130215")</f>
        <v>1405130215</v>
      </c>
      <c r="C812" s="39"/>
      <c r="D812" s="39" t="s">
        <v>7923</v>
      </c>
      <c r="E812" s="371" t="str">
        <f t="shared" si="63"/>
        <v>あべ　ふたば</v>
      </c>
      <c r="F812" s="39" t="s">
        <v>2587</v>
      </c>
      <c r="G812" s="39" t="s">
        <v>7828</v>
      </c>
      <c r="H812" s="39" t="str">
        <f>("2014/05/13")</f>
        <v>2014/05/13</v>
      </c>
      <c r="I812" s="39">
        <v>5</v>
      </c>
      <c r="J812" s="39" t="s">
        <v>1480</v>
      </c>
      <c r="K812" s="39" t="s">
        <v>2122</v>
      </c>
      <c r="L812" s="39" t="s">
        <v>7830</v>
      </c>
      <c r="M812" s="39" t="s">
        <v>7831</v>
      </c>
      <c r="N812" s="39" t="str">
        <f>("0387334")</f>
        <v>0387334</v>
      </c>
      <c r="P812" s="39" t="s">
        <v>12296</v>
      </c>
      <c r="Q812" s="39" t="s">
        <v>8568</v>
      </c>
      <c r="R812" s="39" t="s">
        <v>8569</v>
      </c>
      <c r="S812" s="39" t="s">
        <v>8570</v>
      </c>
      <c r="AK812" s="39" t="str">
        <f>("2025/03/27")</f>
        <v>2025/03/27</v>
      </c>
      <c r="AL812" s="39" t="str">
        <f t="shared" si="64"/>
        <v>2025/04/01</v>
      </c>
    </row>
    <row r="813" spans="1:39" x14ac:dyDescent="0.25">
      <c r="A813" s="39" t="str">
        <f>("1405130222")</f>
        <v>1405130222</v>
      </c>
      <c r="C813" s="39"/>
      <c r="D813" s="39" t="s">
        <v>5625</v>
      </c>
      <c r="E813" s="371" t="str">
        <f t="shared" si="63"/>
        <v>さとう　そら</v>
      </c>
      <c r="F813" s="39" t="s">
        <v>2469</v>
      </c>
      <c r="G813" s="39" t="s">
        <v>7828</v>
      </c>
      <c r="H813" s="39" t="str">
        <f>("2014/05/13")</f>
        <v>2014/05/13</v>
      </c>
      <c r="I813" s="39">
        <v>5</v>
      </c>
      <c r="J813" s="39" t="s">
        <v>1478</v>
      </c>
      <c r="K813" s="39" t="s">
        <v>2122</v>
      </c>
      <c r="L813" s="39" t="s">
        <v>7830</v>
      </c>
      <c r="M813" s="39" t="s">
        <v>7831</v>
      </c>
      <c r="N813" s="39" t="str">
        <f>("0129462")</f>
        <v>0129462</v>
      </c>
      <c r="P813" s="39" t="s">
        <v>12297</v>
      </c>
      <c r="Q813" s="39" t="s">
        <v>8568</v>
      </c>
      <c r="R813" s="39" t="s">
        <v>8569</v>
      </c>
      <c r="S813" s="39" t="s">
        <v>8570</v>
      </c>
      <c r="AK813" s="39" t="str">
        <f>("2025/03/21")</f>
        <v>2025/03/21</v>
      </c>
      <c r="AL813" s="39" t="str">
        <f t="shared" si="64"/>
        <v>2025/04/01</v>
      </c>
    </row>
    <row r="814" spans="1:39" x14ac:dyDescent="0.25">
      <c r="A814" s="39" t="str">
        <f>("1405140135")</f>
        <v>1405140135</v>
      </c>
      <c r="B814" s="39" t="s">
        <v>7924</v>
      </c>
      <c r="C814" s="39"/>
      <c r="D814" s="39" t="s">
        <v>7925</v>
      </c>
      <c r="E814" s="371" t="str">
        <f t="shared" si="63"/>
        <v>みうら　そうま</v>
      </c>
      <c r="F814" s="39" t="s">
        <v>1912</v>
      </c>
      <c r="G814" s="39" t="s">
        <v>7828</v>
      </c>
      <c r="H814" s="39" t="str">
        <f>("2014/05/14")</f>
        <v>2014/05/14</v>
      </c>
      <c r="I814" s="39">
        <v>5</v>
      </c>
      <c r="J814" s="39" t="s">
        <v>1478</v>
      </c>
      <c r="K814" s="39" t="s">
        <v>2122</v>
      </c>
      <c r="L814" s="39" t="s">
        <v>7830</v>
      </c>
      <c r="M814" s="39" t="s">
        <v>7831</v>
      </c>
      <c r="N814" s="39" t="str">
        <f>("0130363")</f>
        <v>0130363</v>
      </c>
      <c r="P814" s="39" t="s">
        <v>12298</v>
      </c>
      <c r="Q814" s="39" t="s">
        <v>8568</v>
      </c>
      <c r="R814" s="39" t="s">
        <v>8569</v>
      </c>
      <c r="S814" s="39" t="s">
        <v>8570</v>
      </c>
      <c r="AK814" s="39" t="str">
        <f>("2025/03/17")</f>
        <v>2025/03/17</v>
      </c>
      <c r="AL814" s="39" t="str">
        <f t="shared" si="64"/>
        <v>2025/04/01</v>
      </c>
    </row>
    <row r="815" spans="1:39" x14ac:dyDescent="0.25">
      <c r="A815" s="39" t="str">
        <f>("1405150023")</f>
        <v>1405150023</v>
      </c>
      <c r="C815" s="39"/>
      <c r="D815" s="39" t="s">
        <v>5989</v>
      </c>
      <c r="E815" s="371" t="str">
        <f t="shared" si="63"/>
        <v>やまもと　れお</v>
      </c>
      <c r="F815" s="39" t="s">
        <v>2821</v>
      </c>
      <c r="G815" s="39" t="s">
        <v>7828</v>
      </c>
      <c r="H815" s="39" t="str">
        <f>("2014/05/15")</f>
        <v>2014/05/15</v>
      </c>
      <c r="I815" s="39">
        <v>5</v>
      </c>
      <c r="J815" s="39" t="s">
        <v>1478</v>
      </c>
      <c r="K815" s="39" t="s">
        <v>2122</v>
      </c>
      <c r="L815" s="39" t="s">
        <v>7830</v>
      </c>
      <c r="M815" s="39" t="s">
        <v>7831</v>
      </c>
      <c r="N815" s="39" t="str">
        <f>("0237631")</f>
        <v>0237631</v>
      </c>
      <c r="P815" s="39" t="s">
        <v>12299</v>
      </c>
      <c r="Q815" s="39" t="s">
        <v>8568</v>
      </c>
      <c r="R815" s="39" t="s">
        <v>8569</v>
      </c>
      <c r="S815" s="39" t="s">
        <v>8570</v>
      </c>
      <c r="AK815" s="39" t="str">
        <f>("2025/03/17")</f>
        <v>2025/03/17</v>
      </c>
      <c r="AL815" s="39" t="str">
        <f t="shared" si="64"/>
        <v>2025/04/01</v>
      </c>
    </row>
    <row r="816" spans="1:39" x14ac:dyDescent="0.25">
      <c r="A816" s="39" t="str">
        <f>("1405150239")</f>
        <v>1405150239</v>
      </c>
      <c r="C816" s="39"/>
      <c r="D816" s="39" t="s">
        <v>7926</v>
      </c>
      <c r="E816" s="371" t="str">
        <f t="shared" si="63"/>
        <v>しま　おうすけ</v>
      </c>
      <c r="F816" s="39" t="s">
        <v>2477</v>
      </c>
      <c r="G816" s="39" t="s">
        <v>7828</v>
      </c>
      <c r="H816" s="39" t="str">
        <f>("2014/05/15")</f>
        <v>2014/05/15</v>
      </c>
      <c r="I816" s="39">
        <v>5</v>
      </c>
      <c r="J816" s="39" t="s">
        <v>1478</v>
      </c>
      <c r="K816" s="39" t="s">
        <v>2122</v>
      </c>
      <c r="L816" s="39" t="s">
        <v>7830</v>
      </c>
      <c r="M816" s="39" t="s">
        <v>7831</v>
      </c>
      <c r="N816" s="39" t="str">
        <f>("0129541")</f>
        <v>0129541</v>
      </c>
      <c r="P816" s="39" t="s">
        <v>12300</v>
      </c>
      <c r="Q816" s="39" t="s">
        <v>8568</v>
      </c>
      <c r="R816" s="39" t="s">
        <v>8569</v>
      </c>
      <c r="S816" s="39" t="s">
        <v>8570</v>
      </c>
      <c r="AK816" s="39" t="str">
        <f>("2025/05/13")</f>
        <v>2025/05/13</v>
      </c>
      <c r="AL816" s="39" t="str">
        <f>("2025/05/13")</f>
        <v>2025/05/13</v>
      </c>
    </row>
    <row r="817" spans="1:39" x14ac:dyDescent="0.25">
      <c r="A817" s="39" t="str">
        <f>("1405160078")</f>
        <v>1405160078</v>
      </c>
      <c r="B817" s="39" t="s">
        <v>7927</v>
      </c>
      <c r="C817" s="39"/>
      <c r="D817" s="39" t="s">
        <v>6028</v>
      </c>
      <c r="E817" s="371" t="str">
        <f t="shared" si="63"/>
        <v>ねぎ　りょうが</v>
      </c>
      <c r="F817" s="39" t="s">
        <v>2350</v>
      </c>
      <c r="G817" s="39" t="s">
        <v>7828</v>
      </c>
      <c r="H817" s="39" t="str">
        <f>("2014/05/16")</f>
        <v>2014/05/16</v>
      </c>
      <c r="I817" s="39">
        <v>5</v>
      </c>
      <c r="J817" s="39" t="s">
        <v>1478</v>
      </c>
      <c r="K817" s="39" t="s">
        <v>2122</v>
      </c>
      <c r="L817" s="39" t="s">
        <v>7830</v>
      </c>
      <c r="M817" s="39" t="s">
        <v>7831</v>
      </c>
      <c r="N817" s="39" t="str">
        <f>("0360032")</f>
        <v>0360032</v>
      </c>
      <c r="P817" s="39" t="s">
        <v>12301</v>
      </c>
      <c r="Q817" s="39" t="s">
        <v>8568</v>
      </c>
      <c r="R817" s="39" t="s">
        <v>8569</v>
      </c>
      <c r="S817" s="39" t="s">
        <v>8570</v>
      </c>
      <c r="AK817" s="39" t="str">
        <f>("2025/03/17")</f>
        <v>2025/03/17</v>
      </c>
      <c r="AL817" s="39" t="str">
        <f>("2025/04/01")</f>
        <v>2025/04/01</v>
      </c>
    </row>
    <row r="818" spans="1:39" x14ac:dyDescent="0.25">
      <c r="A818" s="39" t="str">
        <f>("1405160136")</f>
        <v>1405160136</v>
      </c>
      <c r="C818" s="39"/>
      <c r="D818" s="39" t="s">
        <v>7928</v>
      </c>
      <c r="E818" s="371" t="str">
        <f t="shared" si="63"/>
        <v>しまだ　ゆうたろう</v>
      </c>
      <c r="F818" s="39" t="s">
        <v>2325</v>
      </c>
      <c r="G818" s="39" t="s">
        <v>7828</v>
      </c>
      <c r="H818" s="39" t="str">
        <f>("2014/05/16")</f>
        <v>2014/05/16</v>
      </c>
      <c r="I818" s="39">
        <v>5</v>
      </c>
      <c r="J818" s="39" t="s">
        <v>1478</v>
      </c>
      <c r="K818" s="39" t="s">
        <v>2122</v>
      </c>
      <c r="L818" s="39" t="s">
        <v>7830</v>
      </c>
      <c r="M818" s="39" t="s">
        <v>7831</v>
      </c>
      <c r="N818" s="39" t="str">
        <f>("0155034")</f>
        <v>0155034</v>
      </c>
      <c r="P818" s="39" t="s">
        <v>12302</v>
      </c>
      <c r="Q818" s="39" t="s">
        <v>8568</v>
      </c>
      <c r="R818" s="39" t="s">
        <v>8569</v>
      </c>
      <c r="S818" s="39" t="s">
        <v>8570</v>
      </c>
      <c r="AK818" s="39" t="str">
        <f>("2025/03/17")</f>
        <v>2025/03/17</v>
      </c>
      <c r="AL818" s="39" t="str">
        <f>("2025/04/01")</f>
        <v>2025/04/01</v>
      </c>
    </row>
    <row r="819" spans="1:39" x14ac:dyDescent="0.25">
      <c r="A819" s="39" t="str">
        <f>("1405160183")</f>
        <v>1405160183</v>
      </c>
      <c r="C819" s="39"/>
      <c r="D819" s="39" t="s">
        <v>7929</v>
      </c>
      <c r="E819" s="371" t="str">
        <f t="shared" si="63"/>
        <v>みぞべ　てるま</v>
      </c>
      <c r="F819" s="39" t="s">
        <v>2587</v>
      </c>
      <c r="G819" s="39" t="s">
        <v>7828</v>
      </c>
      <c r="H819" s="39" t="str">
        <f>("2014/05/16")</f>
        <v>2014/05/16</v>
      </c>
      <c r="I819" s="39">
        <v>5</v>
      </c>
      <c r="J819" s="39" t="s">
        <v>1478</v>
      </c>
      <c r="K819" s="39" t="s">
        <v>2122</v>
      </c>
      <c r="L819" s="39" t="s">
        <v>7830</v>
      </c>
      <c r="M819" s="39" t="s">
        <v>7831</v>
      </c>
      <c r="N819" s="39" t="str">
        <f>("0387334")</f>
        <v>0387334</v>
      </c>
      <c r="P819" s="39" t="s">
        <v>12303</v>
      </c>
      <c r="Q819" s="39" t="s">
        <v>8568</v>
      </c>
      <c r="R819" s="39" t="s">
        <v>8569</v>
      </c>
      <c r="S819" s="39" t="s">
        <v>8570</v>
      </c>
      <c r="AK819" s="39" t="str">
        <f>("2025/03/27")</f>
        <v>2025/03/27</v>
      </c>
      <c r="AL819" s="39" t="str">
        <f>("2025/04/01")</f>
        <v>2025/04/01</v>
      </c>
    </row>
    <row r="820" spans="1:39" x14ac:dyDescent="0.25">
      <c r="A820" s="39" t="str">
        <f>("1405160200")</f>
        <v>1405160200</v>
      </c>
      <c r="C820" s="39"/>
      <c r="D820" s="39" t="s">
        <v>7930</v>
      </c>
      <c r="E820" s="371" t="str">
        <f t="shared" si="63"/>
        <v>はまぐち　こうしろう</v>
      </c>
      <c r="F820" s="39" t="s">
        <v>2350</v>
      </c>
      <c r="G820" s="39" t="s">
        <v>7828</v>
      </c>
      <c r="H820" s="39" t="str">
        <f>("2014/05/16")</f>
        <v>2014/05/16</v>
      </c>
      <c r="I820" s="39">
        <v>5</v>
      </c>
      <c r="J820" s="39" t="s">
        <v>1478</v>
      </c>
      <c r="K820" s="39" t="s">
        <v>2122</v>
      </c>
      <c r="L820" s="39" t="s">
        <v>7830</v>
      </c>
      <c r="M820" s="39" t="s">
        <v>7831</v>
      </c>
      <c r="N820" s="39" t="str">
        <f>("0360032")</f>
        <v>0360032</v>
      </c>
      <c r="P820" s="39" t="s">
        <v>12304</v>
      </c>
      <c r="Q820" s="39" t="s">
        <v>8568</v>
      </c>
      <c r="R820" s="39" t="s">
        <v>8569</v>
      </c>
      <c r="S820" s="39" t="s">
        <v>8570</v>
      </c>
      <c r="AK820" s="39" t="str">
        <f>("2025/03/17")</f>
        <v>2025/03/17</v>
      </c>
      <c r="AL820" s="39" t="str">
        <f>("2025/04/01")</f>
        <v>2025/04/01</v>
      </c>
    </row>
    <row r="821" spans="1:39" x14ac:dyDescent="0.25">
      <c r="A821" s="39" t="str">
        <f>("1405170007")</f>
        <v>1405170007</v>
      </c>
      <c r="C821" s="39"/>
      <c r="D821" s="39" t="s">
        <v>7931</v>
      </c>
      <c r="E821" s="371" t="str">
        <f t="shared" si="63"/>
        <v>くぼた　はると</v>
      </c>
      <c r="F821" s="39" t="s">
        <v>2137</v>
      </c>
      <c r="G821" s="39" t="s">
        <v>7828</v>
      </c>
      <c r="H821" s="39" t="str">
        <f>("2014/05/17")</f>
        <v>2014/05/17</v>
      </c>
      <c r="I821" s="39">
        <v>5</v>
      </c>
      <c r="J821" s="39" t="s">
        <v>1478</v>
      </c>
      <c r="K821" s="39" t="s">
        <v>2122</v>
      </c>
      <c r="L821" s="39" t="s">
        <v>7830</v>
      </c>
      <c r="M821" s="39" t="s">
        <v>7831</v>
      </c>
      <c r="N821" s="39" t="str">
        <f>("0130510")</f>
        <v>0130510</v>
      </c>
      <c r="P821" s="39" t="s">
        <v>12305</v>
      </c>
      <c r="Q821" s="39" t="s">
        <v>8568</v>
      </c>
      <c r="R821" s="39" t="s">
        <v>8569</v>
      </c>
      <c r="S821" s="39" t="s">
        <v>8570</v>
      </c>
      <c r="AK821" s="39" t="str">
        <f>("2025/03/21")</f>
        <v>2025/03/21</v>
      </c>
      <c r="AL821" s="39" t="str">
        <f>("2025/04/01")</f>
        <v>2025/04/01</v>
      </c>
    </row>
    <row r="822" spans="1:39" x14ac:dyDescent="0.25">
      <c r="A822" s="39" t="str">
        <f>("1405180179")</f>
        <v>1405180179</v>
      </c>
      <c r="C822" s="39"/>
      <c r="D822" s="39" t="s">
        <v>7932</v>
      </c>
      <c r="E822" s="371" t="str">
        <f t="shared" si="63"/>
        <v>かわづ　おうき</v>
      </c>
      <c r="F822" s="39" t="s">
        <v>2469</v>
      </c>
      <c r="G822" s="39" t="s">
        <v>7828</v>
      </c>
      <c r="H822" s="39" t="str">
        <f>("2014/05/18")</f>
        <v>2014/05/18</v>
      </c>
      <c r="I822" s="39">
        <v>5</v>
      </c>
      <c r="J822" s="39" t="s">
        <v>1478</v>
      </c>
      <c r="K822" s="39" t="s">
        <v>2122</v>
      </c>
      <c r="L822" s="39" t="s">
        <v>7830</v>
      </c>
      <c r="M822" s="39" t="s">
        <v>7831</v>
      </c>
      <c r="N822" s="39" t="str">
        <f>("0129462")</f>
        <v>0129462</v>
      </c>
      <c r="P822" s="39" t="s">
        <v>12306</v>
      </c>
      <c r="Q822" s="39" t="s">
        <v>8568</v>
      </c>
      <c r="R822" s="39" t="s">
        <v>8569</v>
      </c>
      <c r="S822" s="39" t="s">
        <v>8570</v>
      </c>
      <c r="AK822" s="39" t="str">
        <f>("2025/09/02")</f>
        <v>2025/09/02</v>
      </c>
      <c r="AL822" s="39" t="str">
        <f>("2025/09/02")</f>
        <v>2025/09/02</v>
      </c>
    </row>
    <row r="823" spans="1:39" x14ac:dyDescent="0.25">
      <c r="A823" s="39" t="str">
        <f>("1405190133")</f>
        <v>1405190133</v>
      </c>
      <c r="C823" s="39"/>
      <c r="D823" s="39" t="s">
        <v>7933</v>
      </c>
      <c r="E823" s="371" t="str">
        <f t="shared" si="63"/>
        <v>ふじめ　かいと</v>
      </c>
      <c r="F823" s="39" t="s">
        <v>2602</v>
      </c>
      <c r="G823" s="39" t="s">
        <v>7828</v>
      </c>
      <c r="H823" s="39" t="str">
        <f>("2014/05/19")</f>
        <v>2014/05/19</v>
      </c>
      <c r="I823" s="39">
        <v>5</v>
      </c>
      <c r="J823" s="39" t="s">
        <v>1478</v>
      </c>
      <c r="K823" s="39" t="s">
        <v>2122</v>
      </c>
      <c r="L823" s="39" t="s">
        <v>7830</v>
      </c>
      <c r="M823" s="39" t="s">
        <v>7831</v>
      </c>
      <c r="N823" s="39" t="str">
        <f>("0430119")</f>
        <v>0430119</v>
      </c>
      <c r="P823" s="39" t="s">
        <v>12307</v>
      </c>
      <c r="Q823" s="39" t="s">
        <v>8568</v>
      </c>
      <c r="R823" s="39" t="s">
        <v>8569</v>
      </c>
      <c r="S823" s="39" t="s">
        <v>8570</v>
      </c>
      <c r="AK823" s="39" t="str">
        <f>("2025/03/17")</f>
        <v>2025/03/17</v>
      </c>
      <c r="AL823" s="39" t="str">
        <f t="shared" ref="AL823:AL829" si="65">("2025/04/01")</f>
        <v>2025/04/01</v>
      </c>
    </row>
    <row r="824" spans="1:39" x14ac:dyDescent="0.25">
      <c r="A824" s="39" t="str">
        <f>("1405190137")</f>
        <v>1405190137</v>
      </c>
      <c r="C824" s="39"/>
      <c r="D824" s="39" t="s">
        <v>5783</v>
      </c>
      <c r="E824" s="371" t="str">
        <f t="shared" si="63"/>
        <v>しおつき　たくと</v>
      </c>
      <c r="F824" s="39" t="s">
        <v>2514</v>
      </c>
      <c r="G824" s="39" t="s">
        <v>7828</v>
      </c>
      <c r="H824" s="39" t="str">
        <f>("2014/05/19")</f>
        <v>2014/05/19</v>
      </c>
      <c r="I824" s="39">
        <v>5</v>
      </c>
      <c r="J824" s="39" t="s">
        <v>1478</v>
      </c>
      <c r="K824" s="39" t="s">
        <v>2122</v>
      </c>
      <c r="L824" s="39" t="s">
        <v>7830</v>
      </c>
      <c r="M824" s="39" t="s">
        <v>7831</v>
      </c>
      <c r="N824" s="39" t="str">
        <f>("0130093")</f>
        <v>0130093</v>
      </c>
      <c r="P824" s="39" t="s">
        <v>12308</v>
      </c>
      <c r="Q824" s="39" t="s">
        <v>8568</v>
      </c>
      <c r="R824" s="39" t="s">
        <v>8569</v>
      </c>
      <c r="S824" s="39" t="s">
        <v>8570</v>
      </c>
      <c r="AK824" s="39" t="str">
        <f>("2025/04/01")</f>
        <v>2025/04/01</v>
      </c>
      <c r="AL824" s="39" t="str">
        <f t="shared" si="65"/>
        <v>2025/04/01</v>
      </c>
    </row>
    <row r="825" spans="1:39" x14ac:dyDescent="0.25">
      <c r="A825" s="39" t="str">
        <f>("1405190179")</f>
        <v>1405190179</v>
      </c>
      <c r="C825" s="39"/>
      <c r="D825" s="39" t="s">
        <v>6255</v>
      </c>
      <c r="E825" s="371" t="str">
        <f t="shared" si="63"/>
        <v>あない　まお</v>
      </c>
      <c r="F825" s="39" t="s">
        <v>3104</v>
      </c>
      <c r="G825" s="39" t="s">
        <v>7828</v>
      </c>
      <c r="H825" s="39" t="str">
        <f>("2014/05/19")</f>
        <v>2014/05/19</v>
      </c>
      <c r="I825" s="39">
        <v>5</v>
      </c>
      <c r="J825" s="39" t="s">
        <v>1478</v>
      </c>
      <c r="K825" s="39" t="s">
        <v>2122</v>
      </c>
      <c r="L825" s="39" t="s">
        <v>7830</v>
      </c>
      <c r="M825" s="39" t="s">
        <v>7831</v>
      </c>
      <c r="N825" s="39" t="str">
        <f>("1076189")</f>
        <v>1076189</v>
      </c>
      <c r="P825" s="39" t="s">
        <v>12309</v>
      </c>
      <c r="Q825" s="39" t="s">
        <v>8568</v>
      </c>
      <c r="R825" s="39" t="s">
        <v>8569</v>
      </c>
      <c r="S825" s="39" t="s">
        <v>8570</v>
      </c>
      <c r="AK825" s="39" t="str">
        <f>("2025/03/24")</f>
        <v>2025/03/24</v>
      </c>
      <c r="AL825" s="39" t="str">
        <f t="shared" si="65"/>
        <v>2025/04/01</v>
      </c>
    </row>
    <row r="826" spans="1:39" x14ac:dyDescent="0.25">
      <c r="A826" s="39" t="str">
        <f>("1405190214")</f>
        <v>1405190214</v>
      </c>
      <c r="C826" s="39"/>
      <c r="D826" s="39" t="s">
        <v>5677</v>
      </c>
      <c r="E826" s="371" t="str">
        <f t="shared" si="63"/>
        <v>はたべ　りょうすけ</v>
      </c>
      <c r="F826" s="39" t="s">
        <v>2479</v>
      </c>
      <c r="G826" s="39" t="s">
        <v>7828</v>
      </c>
      <c r="H826" s="39" t="str">
        <f>("2014/05/19")</f>
        <v>2014/05/19</v>
      </c>
      <c r="I826" s="39">
        <v>5</v>
      </c>
      <c r="J826" s="39" t="s">
        <v>1478</v>
      </c>
      <c r="K826" s="39" t="s">
        <v>2122</v>
      </c>
      <c r="L826" s="39" t="s">
        <v>7830</v>
      </c>
      <c r="M826" s="39" t="s">
        <v>7831</v>
      </c>
      <c r="N826" s="39" t="str">
        <f>("0129608")</f>
        <v>0129608</v>
      </c>
      <c r="P826" s="39" t="s">
        <v>12310</v>
      </c>
      <c r="Q826" s="39" t="s">
        <v>8568</v>
      </c>
      <c r="R826" s="39" t="s">
        <v>8569</v>
      </c>
      <c r="S826" s="39" t="s">
        <v>8570</v>
      </c>
      <c r="AK826" s="39" t="str">
        <f>("2025/03/17")</f>
        <v>2025/03/17</v>
      </c>
      <c r="AL826" s="39" t="str">
        <f t="shared" si="65"/>
        <v>2025/04/01</v>
      </c>
    </row>
    <row r="827" spans="1:39" x14ac:dyDescent="0.25">
      <c r="A827" s="39" t="str">
        <f>("1405200181")</f>
        <v>1405200181</v>
      </c>
      <c r="C827" s="39"/>
      <c r="D827" s="39" t="s">
        <v>7934</v>
      </c>
      <c r="E827" s="371" t="str">
        <f t="shared" si="63"/>
        <v>しゅとう　たかひと</v>
      </c>
      <c r="F827" s="39" t="s">
        <v>7864</v>
      </c>
      <c r="G827" s="39" t="s">
        <v>7828</v>
      </c>
      <c r="H827" s="39" t="str">
        <f>("2014/05/20")</f>
        <v>2014/05/20</v>
      </c>
      <c r="I827" s="39">
        <v>5</v>
      </c>
      <c r="J827" s="39" t="s">
        <v>1478</v>
      </c>
      <c r="K827" s="39" t="s">
        <v>2122</v>
      </c>
      <c r="L827" s="39" t="s">
        <v>7830</v>
      </c>
      <c r="M827" s="39" t="s">
        <v>7831</v>
      </c>
      <c r="N827" s="39" t="str">
        <f>("1039801")</f>
        <v>1039801</v>
      </c>
      <c r="P827" s="39" t="s">
        <v>12311</v>
      </c>
      <c r="Q827" s="39" t="s">
        <v>8568</v>
      </c>
      <c r="R827" s="39" t="s">
        <v>8569</v>
      </c>
      <c r="S827" s="39" t="s">
        <v>8570</v>
      </c>
      <c r="AK827" s="39" t="str">
        <f>("2025/03/24")</f>
        <v>2025/03/24</v>
      </c>
      <c r="AL827" s="39" t="str">
        <f t="shared" si="65"/>
        <v>2025/04/01</v>
      </c>
    </row>
    <row r="828" spans="1:39" x14ac:dyDescent="0.25">
      <c r="A828" s="39" t="str">
        <f>("1405200201")</f>
        <v>1405200201</v>
      </c>
      <c r="C828" s="39"/>
      <c r="D828" s="39" t="s">
        <v>7935</v>
      </c>
      <c r="E828" s="371" t="str">
        <f t="shared" si="63"/>
        <v>ひろせ　そうし</v>
      </c>
      <c r="F828" s="39" t="s">
        <v>2350</v>
      </c>
      <c r="G828" s="39" t="s">
        <v>7828</v>
      </c>
      <c r="H828" s="39" t="str">
        <f>("2014/05/20")</f>
        <v>2014/05/20</v>
      </c>
      <c r="I828" s="39">
        <v>5</v>
      </c>
      <c r="J828" s="39" t="s">
        <v>1478</v>
      </c>
      <c r="K828" s="39" t="s">
        <v>2122</v>
      </c>
      <c r="L828" s="39" t="s">
        <v>7830</v>
      </c>
      <c r="M828" s="39" t="s">
        <v>7831</v>
      </c>
      <c r="N828" s="39" t="str">
        <f>("0360032")</f>
        <v>0360032</v>
      </c>
      <c r="P828" s="39" t="s">
        <v>12312</v>
      </c>
      <c r="Q828" s="39" t="s">
        <v>8568</v>
      </c>
      <c r="R828" s="39" t="s">
        <v>8569</v>
      </c>
      <c r="S828" s="39" t="s">
        <v>8570</v>
      </c>
      <c r="AA828" s="39" t="s">
        <v>2122</v>
      </c>
      <c r="AB828" s="39" t="s">
        <v>7830</v>
      </c>
      <c r="AC828" s="39" t="s">
        <v>7831</v>
      </c>
      <c r="AD828" s="39" t="str">
        <f>("0426631")</f>
        <v>0426631</v>
      </c>
      <c r="AE828" s="39" t="s">
        <v>829</v>
      </c>
      <c r="AK828" s="39" t="str">
        <f>("2025/03/17")</f>
        <v>2025/03/17</v>
      </c>
      <c r="AL828" s="39" t="str">
        <f t="shared" si="65"/>
        <v>2025/04/01</v>
      </c>
    </row>
    <row r="829" spans="1:39" x14ac:dyDescent="0.25">
      <c r="A829" s="39" t="str">
        <f>("1405200223")</f>
        <v>1405200223</v>
      </c>
      <c r="C829" s="39"/>
      <c r="D829" s="39" t="s">
        <v>7936</v>
      </c>
      <c r="E829" s="371" t="str">
        <f t="shared" si="63"/>
        <v>こもり　せいたろう</v>
      </c>
      <c r="F829" s="39" t="s">
        <v>2587</v>
      </c>
      <c r="G829" s="39" t="s">
        <v>7828</v>
      </c>
      <c r="H829" s="39" t="str">
        <f>("2014/05/20")</f>
        <v>2014/05/20</v>
      </c>
      <c r="I829" s="39">
        <v>5</v>
      </c>
      <c r="J829" s="39" t="s">
        <v>1478</v>
      </c>
      <c r="K829" s="39" t="s">
        <v>2122</v>
      </c>
      <c r="L829" s="39" t="s">
        <v>7830</v>
      </c>
      <c r="M829" s="39" t="s">
        <v>7831</v>
      </c>
      <c r="N829" s="39" t="str">
        <f>("0387334")</f>
        <v>0387334</v>
      </c>
      <c r="P829" s="39" t="s">
        <v>12313</v>
      </c>
      <c r="Q829" s="39" t="s">
        <v>8568</v>
      </c>
      <c r="R829" s="39" t="s">
        <v>8569</v>
      </c>
      <c r="S829" s="39" t="s">
        <v>8570</v>
      </c>
      <c r="AK829" s="39" t="str">
        <f>("2025/03/27")</f>
        <v>2025/03/27</v>
      </c>
      <c r="AL829" s="39" t="str">
        <f t="shared" si="65"/>
        <v>2025/04/01</v>
      </c>
    </row>
    <row r="830" spans="1:39" x14ac:dyDescent="0.25">
      <c r="A830" s="39" t="str">
        <f>("1405210260")</f>
        <v>1405210260</v>
      </c>
      <c r="C830" s="39"/>
      <c r="D830" s="39" t="s">
        <v>7937</v>
      </c>
      <c r="E830" s="371" t="str">
        <f t="shared" si="63"/>
        <v>ごとう　さく</v>
      </c>
      <c r="F830" s="39" t="s">
        <v>928</v>
      </c>
      <c r="G830" s="39" t="s">
        <v>7828</v>
      </c>
      <c r="H830" s="39" t="str">
        <f>("2014/05/21")</f>
        <v>2014/05/21</v>
      </c>
      <c r="I830" s="39">
        <v>4</v>
      </c>
      <c r="J830" s="39" t="s">
        <v>1478</v>
      </c>
      <c r="K830" s="39" t="s">
        <v>2122</v>
      </c>
      <c r="L830" s="39" t="s">
        <v>7830</v>
      </c>
      <c r="M830" s="39" t="s">
        <v>7831</v>
      </c>
      <c r="N830" s="39" t="str">
        <f>("0130532")</f>
        <v>0130532</v>
      </c>
      <c r="P830" s="39" t="s">
        <v>12314</v>
      </c>
      <c r="Q830" s="39" t="s">
        <v>8568</v>
      </c>
      <c r="R830" s="39" t="s">
        <v>8569</v>
      </c>
      <c r="S830" s="39" t="s">
        <v>8570</v>
      </c>
      <c r="AK830" s="39" t="str">
        <f>("2025/05/07")</f>
        <v>2025/05/07</v>
      </c>
      <c r="AL830" s="39" t="str">
        <f>("2025/05/07")</f>
        <v>2025/05/07</v>
      </c>
      <c r="AM830" s="39" t="str">
        <f>("2025/05/14")</f>
        <v>2025/05/14</v>
      </c>
    </row>
    <row r="831" spans="1:39" x14ac:dyDescent="0.25">
      <c r="A831" s="39" t="str">
        <f>("1405220185")</f>
        <v>1405220185</v>
      </c>
      <c r="C831" s="39"/>
      <c r="D831" s="39" t="s">
        <v>7938</v>
      </c>
      <c r="E831" s="371" t="str">
        <f t="shared" si="63"/>
        <v>かとう　こうせい</v>
      </c>
      <c r="F831" s="39" t="s">
        <v>2619</v>
      </c>
      <c r="G831" s="39" t="s">
        <v>7828</v>
      </c>
      <c r="H831" s="39" t="str">
        <f>("2014/05/22")</f>
        <v>2014/05/22</v>
      </c>
      <c r="I831" s="39">
        <v>5</v>
      </c>
      <c r="J831" s="39" t="s">
        <v>1478</v>
      </c>
      <c r="K831" s="39" t="s">
        <v>2122</v>
      </c>
      <c r="L831" s="39" t="s">
        <v>7830</v>
      </c>
      <c r="M831" s="39" t="s">
        <v>7831</v>
      </c>
      <c r="N831" s="39" t="str">
        <f>("0472823")</f>
        <v>0472823</v>
      </c>
      <c r="P831" s="39" t="s">
        <v>12315</v>
      </c>
      <c r="Q831" s="39" t="s">
        <v>8568</v>
      </c>
      <c r="R831" s="39" t="s">
        <v>8569</v>
      </c>
      <c r="S831" s="39" t="s">
        <v>8570</v>
      </c>
      <c r="AA831" s="39" t="s">
        <v>2122</v>
      </c>
      <c r="AB831" s="39" t="s">
        <v>7830</v>
      </c>
      <c r="AC831" s="39" t="s">
        <v>7831</v>
      </c>
      <c r="AD831" s="39" t="str">
        <f>("0130183")</f>
        <v>0130183</v>
      </c>
      <c r="AE831" s="39" t="s">
        <v>947</v>
      </c>
      <c r="AK831" s="39" t="str">
        <f>("2025/03/17")</f>
        <v>2025/03/17</v>
      </c>
      <c r="AL831" s="39" t="str">
        <f t="shared" ref="AL831:AL840" si="66">("2025/04/01")</f>
        <v>2025/04/01</v>
      </c>
    </row>
    <row r="832" spans="1:39" x14ac:dyDescent="0.25">
      <c r="A832" s="39" t="str">
        <f>("1405230037")</f>
        <v>1405230037</v>
      </c>
      <c r="B832" s="39" t="s">
        <v>7939</v>
      </c>
      <c r="C832" s="39"/>
      <c r="D832" s="39" t="s">
        <v>7940</v>
      </c>
      <c r="E832" s="371" t="str">
        <f t="shared" si="63"/>
        <v>えとう　ゆうま</v>
      </c>
      <c r="F832" s="39" t="s">
        <v>1912</v>
      </c>
      <c r="G832" s="39" t="s">
        <v>7828</v>
      </c>
      <c r="H832" s="39" t="str">
        <f>("2014/05/23")</f>
        <v>2014/05/23</v>
      </c>
      <c r="I832" s="39">
        <v>5</v>
      </c>
      <c r="J832" s="39" t="s">
        <v>1478</v>
      </c>
      <c r="K832" s="39" t="s">
        <v>2122</v>
      </c>
      <c r="L832" s="39" t="s">
        <v>7830</v>
      </c>
      <c r="M832" s="39" t="s">
        <v>7831</v>
      </c>
      <c r="N832" s="39" t="str">
        <f>("0130363")</f>
        <v>0130363</v>
      </c>
      <c r="P832" s="39" t="s">
        <v>12316</v>
      </c>
      <c r="Q832" s="39" t="s">
        <v>8568</v>
      </c>
      <c r="R832" s="39" t="s">
        <v>8569</v>
      </c>
      <c r="S832" s="39" t="s">
        <v>8570</v>
      </c>
      <c r="AK832" s="39" t="str">
        <f>("2025/03/17")</f>
        <v>2025/03/17</v>
      </c>
      <c r="AL832" s="39" t="str">
        <f t="shared" si="66"/>
        <v>2025/04/01</v>
      </c>
    </row>
    <row r="833" spans="1:39" x14ac:dyDescent="0.25">
      <c r="A833" s="39" t="str">
        <f>("1405230045")</f>
        <v>1405230045</v>
      </c>
      <c r="C833" s="39"/>
      <c r="D833" s="39" t="s">
        <v>5755</v>
      </c>
      <c r="E833" s="371" t="str">
        <f t="shared" si="63"/>
        <v>よしざき　ひげん</v>
      </c>
      <c r="F833" s="39" t="s">
        <v>2023</v>
      </c>
      <c r="G833" s="39" t="s">
        <v>7828</v>
      </c>
      <c r="H833" s="39" t="str">
        <f>("2014/05/23")</f>
        <v>2014/05/23</v>
      </c>
      <c r="I833" s="39">
        <v>5</v>
      </c>
      <c r="J833" s="39" t="s">
        <v>1478</v>
      </c>
      <c r="K833" s="39" t="s">
        <v>2122</v>
      </c>
      <c r="L833" s="39" t="s">
        <v>7830</v>
      </c>
      <c r="M833" s="39" t="s">
        <v>7831</v>
      </c>
      <c r="N833" s="39" t="str">
        <f>("0129967")</f>
        <v>0129967</v>
      </c>
      <c r="P833" s="39" t="s">
        <v>12317</v>
      </c>
      <c r="Q833" s="39" t="s">
        <v>8568</v>
      </c>
      <c r="R833" s="39" t="s">
        <v>8569</v>
      </c>
      <c r="S833" s="39" t="s">
        <v>8570</v>
      </c>
      <c r="AK833" s="39" t="str">
        <f>("2025/03/17")</f>
        <v>2025/03/17</v>
      </c>
      <c r="AL833" s="39" t="str">
        <f t="shared" si="66"/>
        <v>2025/04/01</v>
      </c>
    </row>
    <row r="834" spans="1:39" x14ac:dyDescent="0.25">
      <c r="A834" s="39" t="str">
        <f>("1405240013")</f>
        <v>1405240013</v>
      </c>
      <c r="B834" s="39" t="s">
        <v>7941</v>
      </c>
      <c r="C834" s="39"/>
      <c r="D834" s="39" t="s">
        <v>6289</v>
      </c>
      <c r="E834" s="371" t="str">
        <f t="shared" si="63"/>
        <v>あんどう　はる</v>
      </c>
      <c r="F834" s="39" t="s">
        <v>5621</v>
      </c>
      <c r="G834" s="39" t="s">
        <v>7828</v>
      </c>
      <c r="H834" s="39" t="str">
        <f>("2014/05/24")</f>
        <v>2014/05/24</v>
      </c>
      <c r="I834" s="39">
        <v>5</v>
      </c>
      <c r="J834" s="39" t="s">
        <v>1478</v>
      </c>
      <c r="K834" s="39" t="s">
        <v>2122</v>
      </c>
      <c r="L834" s="39" t="s">
        <v>7830</v>
      </c>
      <c r="M834" s="39" t="s">
        <v>7831</v>
      </c>
      <c r="N834" s="39" t="str">
        <f>("1110654")</f>
        <v>1110654</v>
      </c>
      <c r="P834" s="39" t="s">
        <v>12318</v>
      </c>
      <c r="Q834" s="39" t="s">
        <v>8568</v>
      </c>
      <c r="R834" s="39" t="s">
        <v>8569</v>
      </c>
      <c r="S834" s="39" t="s">
        <v>8570</v>
      </c>
      <c r="AA834" s="39" t="s">
        <v>2122</v>
      </c>
      <c r="AB834" s="39" t="s">
        <v>7830</v>
      </c>
      <c r="AC834" s="39" t="s">
        <v>7831</v>
      </c>
      <c r="AD834" s="39" t="str">
        <f>("0130442")</f>
        <v>0130442</v>
      </c>
      <c r="AE834" s="39" t="s">
        <v>2033</v>
      </c>
      <c r="AK834" s="39" t="str">
        <f>("2025/03/03")</f>
        <v>2025/03/03</v>
      </c>
      <c r="AL834" s="39" t="str">
        <f t="shared" si="66"/>
        <v>2025/04/01</v>
      </c>
    </row>
    <row r="835" spans="1:39" x14ac:dyDescent="0.25">
      <c r="A835" s="39" t="str">
        <f>("1405250081")</f>
        <v>1405250081</v>
      </c>
      <c r="B835" s="39" t="s">
        <v>7942</v>
      </c>
      <c r="C835" s="39"/>
      <c r="D835" s="39" t="s">
        <v>7943</v>
      </c>
      <c r="E835" s="371" t="str">
        <f t="shared" ref="E835:E898" si="67">PHONETIC(P835)</f>
        <v>せぐち　りんすけ</v>
      </c>
      <c r="F835" s="39" t="s">
        <v>1968</v>
      </c>
      <c r="G835" s="39" t="s">
        <v>7828</v>
      </c>
      <c r="H835" s="39" t="str">
        <f>("2014/05/25")</f>
        <v>2014/05/25</v>
      </c>
      <c r="I835" s="39">
        <v>5</v>
      </c>
      <c r="J835" s="39" t="s">
        <v>1478</v>
      </c>
      <c r="K835" s="39" t="s">
        <v>2122</v>
      </c>
      <c r="L835" s="39" t="s">
        <v>7830</v>
      </c>
      <c r="M835" s="39" t="s">
        <v>7831</v>
      </c>
      <c r="N835" s="39" t="str">
        <f>("0129507")</f>
        <v>0129507</v>
      </c>
      <c r="P835" s="39" t="s">
        <v>12319</v>
      </c>
      <c r="Q835" s="39" t="s">
        <v>8568</v>
      </c>
      <c r="R835" s="39" t="s">
        <v>8569</v>
      </c>
      <c r="S835" s="39" t="s">
        <v>8570</v>
      </c>
      <c r="AK835" s="39" t="str">
        <f>("2025/03/17")</f>
        <v>2025/03/17</v>
      </c>
      <c r="AL835" s="39" t="str">
        <f t="shared" si="66"/>
        <v>2025/04/01</v>
      </c>
    </row>
    <row r="836" spans="1:39" x14ac:dyDescent="0.25">
      <c r="A836" s="39" t="str">
        <f>("1405250130")</f>
        <v>1405250130</v>
      </c>
      <c r="C836" s="39"/>
      <c r="D836" s="39" t="s">
        <v>7944</v>
      </c>
      <c r="E836" s="371" t="str">
        <f t="shared" si="67"/>
        <v>はやし　りく</v>
      </c>
      <c r="F836" s="39" t="s">
        <v>5621</v>
      </c>
      <c r="G836" s="39" t="s">
        <v>7828</v>
      </c>
      <c r="H836" s="39" t="str">
        <f>("2014/05/25")</f>
        <v>2014/05/25</v>
      </c>
      <c r="I836" s="39">
        <v>5</v>
      </c>
      <c r="J836" s="39" t="s">
        <v>1478</v>
      </c>
      <c r="K836" s="39" t="s">
        <v>2122</v>
      </c>
      <c r="L836" s="39" t="s">
        <v>7830</v>
      </c>
      <c r="M836" s="39" t="s">
        <v>7831</v>
      </c>
      <c r="N836" s="39" t="str">
        <f>("1110654")</f>
        <v>1110654</v>
      </c>
      <c r="P836" s="39" t="s">
        <v>12320</v>
      </c>
      <c r="Q836" s="39" t="s">
        <v>8568</v>
      </c>
      <c r="R836" s="39" t="s">
        <v>8569</v>
      </c>
      <c r="S836" s="39" t="s">
        <v>8570</v>
      </c>
      <c r="AA836" s="39" t="s">
        <v>2122</v>
      </c>
      <c r="AB836" s="39" t="s">
        <v>7830</v>
      </c>
      <c r="AC836" s="39" t="s">
        <v>7831</v>
      </c>
      <c r="AD836" s="39" t="str">
        <f>("0130442")</f>
        <v>0130442</v>
      </c>
      <c r="AE836" s="39" t="s">
        <v>2033</v>
      </c>
      <c r="AK836" s="39" t="str">
        <f>("2025/03/03")</f>
        <v>2025/03/03</v>
      </c>
      <c r="AL836" s="39" t="str">
        <f t="shared" si="66"/>
        <v>2025/04/01</v>
      </c>
    </row>
    <row r="837" spans="1:39" x14ac:dyDescent="0.25">
      <c r="A837" s="39" t="str">
        <f>("1405260040")</f>
        <v>1405260040</v>
      </c>
      <c r="B837" s="39" t="s">
        <v>7945</v>
      </c>
      <c r="C837" s="39"/>
      <c r="D837" s="39" t="s">
        <v>7946</v>
      </c>
      <c r="E837" s="371" t="str">
        <f t="shared" si="67"/>
        <v>はやし　そうた</v>
      </c>
      <c r="F837" s="39" t="s">
        <v>2137</v>
      </c>
      <c r="G837" s="39" t="s">
        <v>7828</v>
      </c>
      <c r="H837" s="39" t="str">
        <f>("2014/05/26")</f>
        <v>2014/05/26</v>
      </c>
      <c r="I837" s="39">
        <v>5</v>
      </c>
      <c r="J837" s="39" t="s">
        <v>1478</v>
      </c>
      <c r="K837" s="39" t="s">
        <v>2122</v>
      </c>
      <c r="L837" s="39" t="s">
        <v>7830</v>
      </c>
      <c r="M837" s="39" t="s">
        <v>7831</v>
      </c>
      <c r="N837" s="39" t="str">
        <f>("0130510")</f>
        <v>0130510</v>
      </c>
      <c r="P837" s="39" t="s">
        <v>12321</v>
      </c>
      <c r="Q837" s="39" t="s">
        <v>8568</v>
      </c>
      <c r="R837" s="39" t="s">
        <v>8569</v>
      </c>
      <c r="S837" s="39" t="s">
        <v>8570</v>
      </c>
      <c r="AK837" s="39" t="str">
        <f>("2025/03/21")</f>
        <v>2025/03/21</v>
      </c>
      <c r="AL837" s="39" t="str">
        <f t="shared" si="66"/>
        <v>2025/04/01</v>
      </c>
    </row>
    <row r="838" spans="1:39" x14ac:dyDescent="0.25">
      <c r="A838" s="39" t="str">
        <f>("1405260118")</f>
        <v>1405260118</v>
      </c>
      <c r="C838" s="39"/>
      <c r="D838" s="39" t="s">
        <v>7947</v>
      </c>
      <c r="E838" s="371" t="str">
        <f t="shared" si="67"/>
        <v>しばた　ゆうせい</v>
      </c>
      <c r="F838" s="39" t="s">
        <v>1977</v>
      </c>
      <c r="G838" s="39" t="s">
        <v>7876</v>
      </c>
      <c r="H838" s="39" t="str">
        <f>("2014/05/26")</f>
        <v>2014/05/26</v>
      </c>
      <c r="I838" s="39">
        <v>5</v>
      </c>
      <c r="J838" s="39" t="s">
        <v>1478</v>
      </c>
      <c r="K838" s="39" t="s">
        <v>2122</v>
      </c>
      <c r="L838" s="39" t="s">
        <v>7830</v>
      </c>
      <c r="M838" s="39" t="s">
        <v>7831</v>
      </c>
      <c r="N838" s="39" t="str">
        <f>("0395254")</f>
        <v>0395254</v>
      </c>
      <c r="P838" s="39" t="s">
        <v>12322</v>
      </c>
      <c r="Q838" s="39" t="s">
        <v>8568</v>
      </c>
      <c r="R838" s="39" t="s">
        <v>8569</v>
      </c>
      <c r="S838" s="39" t="s">
        <v>8570</v>
      </c>
      <c r="AK838" s="39" t="str">
        <f>("2025/03/17")</f>
        <v>2025/03/17</v>
      </c>
      <c r="AL838" s="39" t="str">
        <f t="shared" si="66"/>
        <v>2025/04/01</v>
      </c>
      <c r="AM838" s="39" t="str">
        <f>("2025/04/02")</f>
        <v>2025/04/02</v>
      </c>
    </row>
    <row r="839" spans="1:39" x14ac:dyDescent="0.25">
      <c r="A839" s="39" t="str">
        <f>("1405260126")</f>
        <v>1405260126</v>
      </c>
      <c r="C839" s="39"/>
      <c r="D839" s="39" t="s">
        <v>7948</v>
      </c>
      <c r="E839" s="371" t="str">
        <f t="shared" si="67"/>
        <v>ひろせ　れいじ</v>
      </c>
      <c r="F839" s="39" t="s">
        <v>2350</v>
      </c>
      <c r="G839" s="39" t="s">
        <v>7828</v>
      </c>
      <c r="H839" s="39" t="str">
        <f>("2014/05/20")</f>
        <v>2014/05/20</v>
      </c>
      <c r="I839" s="39">
        <v>5</v>
      </c>
      <c r="J839" s="39" t="s">
        <v>1478</v>
      </c>
      <c r="K839" s="39" t="s">
        <v>2122</v>
      </c>
      <c r="L839" s="39" t="s">
        <v>7830</v>
      </c>
      <c r="M839" s="39" t="s">
        <v>7831</v>
      </c>
      <c r="N839" s="39" t="str">
        <f>("0360032")</f>
        <v>0360032</v>
      </c>
      <c r="P839" s="39" t="s">
        <v>12323</v>
      </c>
      <c r="Q839" s="39" t="s">
        <v>8568</v>
      </c>
      <c r="R839" s="39" t="s">
        <v>8569</v>
      </c>
      <c r="S839" s="39" t="s">
        <v>8570</v>
      </c>
      <c r="AA839" s="39" t="s">
        <v>2122</v>
      </c>
      <c r="AB839" s="39" t="s">
        <v>7830</v>
      </c>
      <c r="AC839" s="39" t="s">
        <v>7831</v>
      </c>
      <c r="AD839" s="39" t="str">
        <f>("0426631")</f>
        <v>0426631</v>
      </c>
      <c r="AE839" s="39" t="s">
        <v>829</v>
      </c>
      <c r="AK839" s="39" t="str">
        <f>("2025/03/17")</f>
        <v>2025/03/17</v>
      </c>
      <c r="AL839" s="39" t="str">
        <f t="shared" si="66"/>
        <v>2025/04/01</v>
      </c>
    </row>
    <row r="840" spans="1:39" x14ac:dyDescent="0.25">
      <c r="A840" s="39" t="str">
        <f>("1405260160")</f>
        <v>1405260160</v>
      </c>
      <c r="C840" s="39"/>
      <c r="D840" s="39" t="s">
        <v>6282</v>
      </c>
      <c r="E840" s="371" t="str">
        <f t="shared" si="67"/>
        <v>あさかわ　るか</v>
      </c>
      <c r="F840" s="39" t="s">
        <v>5621</v>
      </c>
      <c r="G840" s="39" t="s">
        <v>7828</v>
      </c>
      <c r="H840" s="39" t="str">
        <f>("2014/05/26")</f>
        <v>2014/05/26</v>
      </c>
      <c r="I840" s="39">
        <v>5</v>
      </c>
      <c r="J840" s="39" t="s">
        <v>1478</v>
      </c>
      <c r="K840" s="39" t="s">
        <v>2122</v>
      </c>
      <c r="L840" s="39" t="s">
        <v>7830</v>
      </c>
      <c r="M840" s="39" t="s">
        <v>7831</v>
      </c>
      <c r="N840" s="39" t="str">
        <f>("1110654")</f>
        <v>1110654</v>
      </c>
      <c r="P840" s="39" t="s">
        <v>12324</v>
      </c>
      <c r="Q840" s="39" t="s">
        <v>8568</v>
      </c>
      <c r="R840" s="39" t="s">
        <v>8569</v>
      </c>
      <c r="S840" s="39" t="s">
        <v>8570</v>
      </c>
      <c r="AK840" s="39" t="str">
        <f>("2025/03/03")</f>
        <v>2025/03/03</v>
      </c>
      <c r="AL840" s="39" t="str">
        <f t="shared" si="66"/>
        <v>2025/04/01</v>
      </c>
    </row>
    <row r="841" spans="1:39" x14ac:dyDescent="0.25">
      <c r="A841" s="39" t="str">
        <f>("1405260167")</f>
        <v>1405260167</v>
      </c>
      <c r="C841" s="39"/>
      <c r="D841" s="39" t="s">
        <v>7949</v>
      </c>
      <c r="E841" s="371" t="str">
        <f t="shared" si="67"/>
        <v>とくうら　かずゆき</v>
      </c>
      <c r="F841" s="39" t="s">
        <v>2587</v>
      </c>
      <c r="G841" s="39" t="s">
        <v>7828</v>
      </c>
      <c r="H841" s="39" t="str">
        <f>("2014/05/26")</f>
        <v>2014/05/26</v>
      </c>
      <c r="I841" s="39">
        <v>5</v>
      </c>
      <c r="J841" s="39" t="s">
        <v>1478</v>
      </c>
      <c r="K841" s="39" t="s">
        <v>2122</v>
      </c>
      <c r="L841" s="39" t="s">
        <v>7830</v>
      </c>
      <c r="M841" s="39" t="s">
        <v>7831</v>
      </c>
      <c r="N841" s="39" t="str">
        <f>("0387334")</f>
        <v>0387334</v>
      </c>
      <c r="P841" s="39" t="s">
        <v>12325</v>
      </c>
      <c r="Q841" s="39" t="s">
        <v>8568</v>
      </c>
      <c r="R841" s="39" t="s">
        <v>8569</v>
      </c>
      <c r="S841" s="39" t="s">
        <v>8570</v>
      </c>
      <c r="AA841" s="39" t="s">
        <v>2122</v>
      </c>
      <c r="AB841" s="39" t="s">
        <v>7830</v>
      </c>
      <c r="AC841" s="39" t="s">
        <v>7831</v>
      </c>
      <c r="AD841" s="39" t="str">
        <f>("0426631")</f>
        <v>0426631</v>
      </c>
      <c r="AE841" s="39" t="s">
        <v>829</v>
      </c>
      <c r="AK841" s="39" t="str">
        <f>("2025/04/10")</f>
        <v>2025/04/10</v>
      </c>
      <c r="AL841" s="39" t="str">
        <f>("2025/04/10")</f>
        <v>2025/04/10</v>
      </c>
    </row>
    <row r="842" spans="1:39" x14ac:dyDescent="0.25">
      <c r="A842" s="39" t="str">
        <f>("1405260204")</f>
        <v>1405260204</v>
      </c>
      <c r="C842" s="39"/>
      <c r="D842" s="39" t="s">
        <v>7950</v>
      </c>
      <c r="E842" s="371" t="str">
        <f t="shared" si="67"/>
        <v>しのだ　まさと</v>
      </c>
      <c r="F842" s="39" t="s">
        <v>2587</v>
      </c>
      <c r="G842" s="39" t="s">
        <v>7828</v>
      </c>
      <c r="H842" s="39" t="str">
        <f>("2014/05/26")</f>
        <v>2014/05/26</v>
      </c>
      <c r="I842" s="39">
        <v>5</v>
      </c>
      <c r="J842" s="39" t="s">
        <v>1478</v>
      </c>
      <c r="K842" s="39" t="s">
        <v>2122</v>
      </c>
      <c r="L842" s="39" t="s">
        <v>7830</v>
      </c>
      <c r="M842" s="39" t="s">
        <v>7831</v>
      </c>
      <c r="N842" s="39" t="str">
        <f>("0387334")</f>
        <v>0387334</v>
      </c>
      <c r="P842" s="39" t="s">
        <v>12326</v>
      </c>
      <c r="Q842" s="39" t="s">
        <v>8568</v>
      </c>
      <c r="R842" s="39" t="s">
        <v>8569</v>
      </c>
      <c r="S842" s="39" t="s">
        <v>8570</v>
      </c>
      <c r="AK842" s="39" t="str">
        <f>("2025/03/27")</f>
        <v>2025/03/27</v>
      </c>
      <c r="AL842" s="39" t="str">
        <f t="shared" ref="AL842:AL851" si="68">("2025/04/01")</f>
        <v>2025/04/01</v>
      </c>
    </row>
    <row r="843" spans="1:39" x14ac:dyDescent="0.25">
      <c r="A843" s="39" t="str">
        <f>("1405270098")</f>
        <v>1405270098</v>
      </c>
      <c r="C843" s="39"/>
      <c r="D843" s="39" t="s">
        <v>5921</v>
      </c>
      <c r="E843" s="371" t="str">
        <f t="shared" si="67"/>
        <v>きべ　れんたろう</v>
      </c>
      <c r="F843" s="39" t="s">
        <v>2422</v>
      </c>
      <c r="G843" s="39" t="s">
        <v>7828</v>
      </c>
      <c r="H843" s="39" t="str">
        <f>("2014/05/27")</f>
        <v>2014/05/27</v>
      </c>
      <c r="I843" s="39">
        <v>5</v>
      </c>
      <c r="J843" s="39" t="s">
        <v>1478</v>
      </c>
      <c r="K843" s="39" t="s">
        <v>2122</v>
      </c>
      <c r="L843" s="39" t="s">
        <v>7830</v>
      </c>
      <c r="M843" s="39" t="s">
        <v>7831</v>
      </c>
      <c r="N843" s="39" t="str">
        <f>("0130699")</f>
        <v>0130699</v>
      </c>
      <c r="P843" s="39" t="s">
        <v>12327</v>
      </c>
      <c r="Q843" s="39" t="s">
        <v>8568</v>
      </c>
      <c r="R843" s="39" t="s">
        <v>8569</v>
      </c>
      <c r="S843" s="39" t="s">
        <v>8570</v>
      </c>
      <c r="AK843" s="39" t="str">
        <f>("2025/03/17")</f>
        <v>2025/03/17</v>
      </c>
      <c r="AL843" s="39" t="str">
        <f t="shared" si="68"/>
        <v>2025/04/01</v>
      </c>
    </row>
    <row r="844" spans="1:39" x14ac:dyDescent="0.25">
      <c r="A844" s="39" t="str">
        <f>("1405270139")</f>
        <v>1405270139</v>
      </c>
      <c r="B844" s="39" t="s">
        <v>7951</v>
      </c>
      <c r="C844" s="39"/>
      <c r="D844" s="39" t="s">
        <v>4263</v>
      </c>
      <c r="E844" s="371" t="str">
        <f t="shared" si="67"/>
        <v>おおいし　たくや</v>
      </c>
      <c r="F844" s="39" t="s">
        <v>334</v>
      </c>
      <c r="G844" s="39" t="s">
        <v>7828</v>
      </c>
      <c r="H844" s="39" t="str">
        <f>("2014/05/27")</f>
        <v>2014/05/27</v>
      </c>
      <c r="I844" s="39">
        <v>5</v>
      </c>
      <c r="J844" s="39" t="s">
        <v>1478</v>
      </c>
      <c r="K844" s="39" t="s">
        <v>2122</v>
      </c>
      <c r="L844" s="39" t="s">
        <v>7830</v>
      </c>
      <c r="M844" s="39" t="s">
        <v>7831</v>
      </c>
      <c r="N844" s="39" t="str">
        <f>("0129664")</f>
        <v>0129664</v>
      </c>
      <c r="P844" s="39" t="s">
        <v>12328</v>
      </c>
      <c r="Q844" s="39" t="s">
        <v>8568</v>
      </c>
      <c r="R844" s="39" t="s">
        <v>8569</v>
      </c>
      <c r="S844" s="39" t="s">
        <v>8570</v>
      </c>
      <c r="AK844" s="39" t="str">
        <f>("2025/03/17")</f>
        <v>2025/03/17</v>
      </c>
      <c r="AL844" s="39" t="str">
        <f t="shared" si="68"/>
        <v>2025/04/01</v>
      </c>
    </row>
    <row r="845" spans="1:39" x14ac:dyDescent="0.25">
      <c r="A845" s="39" t="str">
        <f>("1405270245")</f>
        <v>1405270245</v>
      </c>
      <c r="C845" s="39"/>
      <c r="D845" s="39" t="s">
        <v>7952</v>
      </c>
      <c r="E845" s="371" t="str">
        <f t="shared" si="67"/>
        <v>まつおか　こうた</v>
      </c>
      <c r="F845" s="39" t="s">
        <v>2469</v>
      </c>
      <c r="G845" s="39" t="s">
        <v>7828</v>
      </c>
      <c r="H845" s="39" t="str">
        <f>("2014/05/27")</f>
        <v>2014/05/27</v>
      </c>
      <c r="I845" s="39">
        <v>5</v>
      </c>
      <c r="J845" s="39" t="s">
        <v>1478</v>
      </c>
      <c r="K845" s="39" t="s">
        <v>2122</v>
      </c>
      <c r="L845" s="39" t="s">
        <v>7830</v>
      </c>
      <c r="M845" s="39" t="s">
        <v>7831</v>
      </c>
      <c r="N845" s="39" t="str">
        <f>("0129462")</f>
        <v>0129462</v>
      </c>
      <c r="P845" s="39" t="s">
        <v>12329</v>
      </c>
      <c r="Q845" s="39" t="s">
        <v>8568</v>
      </c>
      <c r="R845" s="39" t="s">
        <v>8569</v>
      </c>
      <c r="S845" s="39" t="s">
        <v>8570</v>
      </c>
      <c r="AK845" s="39" t="str">
        <f>("2025/03/21")</f>
        <v>2025/03/21</v>
      </c>
      <c r="AL845" s="39" t="str">
        <f t="shared" si="68"/>
        <v>2025/04/01</v>
      </c>
    </row>
    <row r="846" spans="1:39" x14ac:dyDescent="0.25">
      <c r="A846" s="39" t="str">
        <f>("1405290117")</f>
        <v>1405290117</v>
      </c>
      <c r="C846" s="39"/>
      <c r="D846" s="39" t="s">
        <v>7953</v>
      </c>
      <c r="E846" s="371" t="str">
        <f t="shared" si="67"/>
        <v>なかやま　しょうげん</v>
      </c>
      <c r="F846" s="39" t="s">
        <v>2619</v>
      </c>
      <c r="G846" s="39" t="s">
        <v>7828</v>
      </c>
      <c r="H846" s="39" t="str">
        <f>("2014/05/29")</f>
        <v>2014/05/29</v>
      </c>
      <c r="I846" s="39">
        <v>5</v>
      </c>
      <c r="J846" s="39" t="s">
        <v>1478</v>
      </c>
      <c r="K846" s="39" t="s">
        <v>2122</v>
      </c>
      <c r="L846" s="39" t="s">
        <v>7830</v>
      </c>
      <c r="M846" s="39" t="s">
        <v>7831</v>
      </c>
      <c r="N846" s="39" t="str">
        <f>("0472823")</f>
        <v>0472823</v>
      </c>
      <c r="P846" s="39" t="s">
        <v>12330</v>
      </c>
      <c r="Q846" s="39" t="s">
        <v>8568</v>
      </c>
      <c r="R846" s="39" t="s">
        <v>8569</v>
      </c>
      <c r="S846" s="39" t="s">
        <v>8570</v>
      </c>
      <c r="AK846" s="39" t="str">
        <f>("2025/03/17")</f>
        <v>2025/03/17</v>
      </c>
      <c r="AL846" s="39" t="str">
        <f t="shared" si="68"/>
        <v>2025/04/01</v>
      </c>
    </row>
    <row r="847" spans="1:39" x14ac:dyDescent="0.25">
      <c r="A847" s="39" t="str">
        <f>("1405290180")</f>
        <v>1405290180</v>
      </c>
      <c r="C847" s="39"/>
      <c r="D847" s="39" t="s">
        <v>7954</v>
      </c>
      <c r="E847" s="371" t="str">
        <f t="shared" si="67"/>
        <v>き　かりん</v>
      </c>
      <c r="F847" s="39" t="s">
        <v>947</v>
      </c>
      <c r="G847" s="39" t="s">
        <v>7828</v>
      </c>
      <c r="H847" s="39" t="str">
        <f>("2014/05/29")</f>
        <v>2014/05/29</v>
      </c>
      <c r="I847" s="39">
        <v>5</v>
      </c>
      <c r="J847" s="39" t="s">
        <v>1478</v>
      </c>
      <c r="K847" s="39" t="s">
        <v>2122</v>
      </c>
      <c r="L847" s="39" t="s">
        <v>7830</v>
      </c>
      <c r="M847" s="39" t="s">
        <v>7831</v>
      </c>
      <c r="N847" s="39" t="str">
        <f>("0130183")</f>
        <v>0130183</v>
      </c>
      <c r="P847" s="39" t="s">
        <v>12331</v>
      </c>
      <c r="Q847" s="39" t="s">
        <v>8568</v>
      </c>
      <c r="R847" s="39" t="s">
        <v>8569</v>
      </c>
      <c r="S847" s="39" t="s">
        <v>8570</v>
      </c>
      <c r="AK847" s="39" t="str">
        <f>("2025/03/27")</f>
        <v>2025/03/27</v>
      </c>
      <c r="AL847" s="39" t="str">
        <f t="shared" si="68"/>
        <v>2025/04/01</v>
      </c>
    </row>
    <row r="848" spans="1:39" x14ac:dyDescent="0.25">
      <c r="A848" s="39" t="str">
        <f>("1405300094")</f>
        <v>1405300094</v>
      </c>
      <c r="B848" s="39" t="s">
        <v>7955</v>
      </c>
      <c r="C848" s="39"/>
      <c r="D848" s="39" t="s">
        <v>5790</v>
      </c>
      <c r="E848" s="371" t="str">
        <f t="shared" si="67"/>
        <v>ながお　りつき</v>
      </c>
      <c r="F848" s="39" t="s">
        <v>2516</v>
      </c>
      <c r="G848" s="39" t="s">
        <v>7828</v>
      </c>
      <c r="H848" s="39" t="str">
        <f>("2014/05/30")</f>
        <v>2014/05/30</v>
      </c>
      <c r="I848" s="39">
        <v>5</v>
      </c>
      <c r="J848" s="39" t="s">
        <v>1478</v>
      </c>
      <c r="K848" s="39" t="s">
        <v>2122</v>
      </c>
      <c r="L848" s="39" t="s">
        <v>7830</v>
      </c>
      <c r="M848" s="39" t="s">
        <v>7831</v>
      </c>
      <c r="N848" s="39" t="str">
        <f>("0130116")</f>
        <v>0130116</v>
      </c>
      <c r="P848" s="39" t="s">
        <v>12332</v>
      </c>
      <c r="Q848" s="39" t="s">
        <v>8568</v>
      </c>
      <c r="R848" s="39" t="s">
        <v>8569</v>
      </c>
      <c r="S848" s="39" t="s">
        <v>8570</v>
      </c>
      <c r="AK848" s="39" t="str">
        <f>("2025/03/25")</f>
        <v>2025/03/25</v>
      </c>
      <c r="AL848" s="39" t="str">
        <f t="shared" si="68"/>
        <v>2025/04/01</v>
      </c>
    </row>
    <row r="849" spans="1:39" x14ac:dyDescent="0.25">
      <c r="A849" s="39" t="str">
        <f>("1405300162")</f>
        <v>1405300162</v>
      </c>
      <c r="C849" s="39"/>
      <c r="D849" s="39" t="s">
        <v>7956</v>
      </c>
      <c r="E849" s="371" t="str">
        <f t="shared" si="67"/>
        <v>ごとう　ゆうだい</v>
      </c>
      <c r="F849" s="39" t="s">
        <v>2530</v>
      </c>
      <c r="G849" s="39" t="s">
        <v>7828</v>
      </c>
      <c r="H849" s="39" t="str">
        <f>("2014/05/30")</f>
        <v>2014/05/30</v>
      </c>
      <c r="I849" s="39">
        <v>5</v>
      </c>
      <c r="J849" s="39" t="s">
        <v>1478</v>
      </c>
      <c r="K849" s="39" t="s">
        <v>2122</v>
      </c>
      <c r="L849" s="39" t="s">
        <v>7830</v>
      </c>
      <c r="M849" s="39" t="s">
        <v>7831</v>
      </c>
      <c r="N849" s="39" t="str">
        <f>("0338756")</f>
        <v>0338756</v>
      </c>
      <c r="P849" s="39" t="s">
        <v>12333</v>
      </c>
      <c r="Q849" s="39" t="s">
        <v>8568</v>
      </c>
      <c r="R849" s="39" t="s">
        <v>8569</v>
      </c>
      <c r="S849" s="39" t="s">
        <v>8570</v>
      </c>
      <c r="AK849" s="39" t="str">
        <f>("2025/04/01")</f>
        <v>2025/04/01</v>
      </c>
      <c r="AL849" s="39" t="str">
        <f t="shared" si="68"/>
        <v>2025/04/01</v>
      </c>
    </row>
    <row r="850" spans="1:39" x14ac:dyDescent="0.25">
      <c r="A850" s="39" t="str">
        <f>("1405300194")</f>
        <v>1405300194</v>
      </c>
      <c r="C850" s="39"/>
      <c r="D850" s="39" t="s">
        <v>7957</v>
      </c>
      <c r="E850" s="371" t="str">
        <f t="shared" si="67"/>
        <v>みの　ゆうと</v>
      </c>
      <c r="F850" s="39" t="s">
        <v>2648</v>
      </c>
      <c r="G850" s="39" t="s">
        <v>7828</v>
      </c>
      <c r="H850" s="39" t="str">
        <f>("2014/05/30")</f>
        <v>2014/05/30</v>
      </c>
      <c r="I850" s="39">
        <v>5</v>
      </c>
      <c r="J850" s="39" t="s">
        <v>1478</v>
      </c>
      <c r="K850" s="39" t="s">
        <v>2122</v>
      </c>
      <c r="L850" s="39" t="s">
        <v>7830</v>
      </c>
      <c r="M850" s="39" t="s">
        <v>7831</v>
      </c>
      <c r="N850" s="39" t="str">
        <f>("1050097")</f>
        <v>1050097</v>
      </c>
      <c r="P850" s="39" t="s">
        <v>12334</v>
      </c>
      <c r="Q850" s="39" t="s">
        <v>8568</v>
      </c>
      <c r="R850" s="39" t="s">
        <v>8569</v>
      </c>
      <c r="S850" s="39" t="s">
        <v>8570</v>
      </c>
      <c r="AK850" s="39" t="str">
        <f>("2025/03/25")</f>
        <v>2025/03/25</v>
      </c>
      <c r="AL850" s="39" t="str">
        <f t="shared" si="68"/>
        <v>2025/04/01</v>
      </c>
    </row>
    <row r="851" spans="1:39" x14ac:dyDescent="0.25">
      <c r="A851" s="39" t="str">
        <f>("1405310157")</f>
        <v>1405310157</v>
      </c>
      <c r="C851" s="39"/>
      <c r="D851" s="39" t="s">
        <v>7958</v>
      </c>
      <c r="E851" s="371" t="str">
        <f t="shared" si="67"/>
        <v>やの　しょうご</v>
      </c>
      <c r="F851" s="39" t="s">
        <v>2600</v>
      </c>
      <c r="G851" s="39" t="s">
        <v>7828</v>
      </c>
      <c r="H851" s="39" t="str">
        <f>("2014/05/31")</f>
        <v>2014/05/31</v>
      </c>
      <c r="I851" s="39">
        <v>5</v>
      </c>
      <c r="J851" s="39" t="s">
        <v>1478</v>
      </c>
      <c r="K851" s="39" t="s">
        <v>2122</v>
      </c>
      <c r="L851" s="39" t="s">
        <v>7830</v>
      </c>
      <c r="M851" s="39" t="s">
        <v>7831</v>
      </c>
      <c r="N851" s="39" t="str">
        <f>("0429757")</f>
        <v>0429757</v>
      </c>
      <c r="P851" s="39" t="s">
        <v>12335</v>
      </c>
      <c r="Q851" s="39" t="s">
        <v>8568</v>
      </c>
      <c r="R851" s="39" t="s">
        <v>8569</v>
      </c>
      <c r="S851" s="39" t="s">
        <v>8570</v>
      </c>
      <c r="AK851" s="39" t="str">
        <f>("2025/03/24")</f>
        <v>2025/03/24</v>
      </c>
      <c r="AL851" s="39" t="str">
        <f t="shared" si="68"/>
        <v>2025/04/01</v>
      </c>
    </row>
    <row r="852" spans="1:39" x14ac:dyDescent="0.25">
      <c r="A852" s="39" t="str">
        <f>("1405310192")</f>
        <v>1405310192</v>
      </c>
      <c r="C852" s="39"/>
      <c r="D852" s="39" t="s">
        <v>7959</v>
      </c>
      <c r="E852" s="371" t="str">
        <f t="shared" si="67"/>
        <v>よしかね　ぜん</v>
      </c>
      <c r="F852" s="39" t="s">
        <v>1692</v>
      </c>
      <c r="G852" s="39" t="s">
        <v>7828</v>
      </c>
      <c r="H852" s="39" t="str">
        <f>("2014/05/31")</f>
        <v>2014/05/31</v>
      </c>
      <c r="I852" s="39">
        <v>5</v>
      </c>
      <c r="J852" s="39" t="s">
        <v>1478</v>
      </c>
      <c r="K852" s="39" t="s">
        <v>2122</v>
      </c>
      <c r="L852" s="39" t="s">
        <v>7830</v>
      </c>
      <c r="M852" s="39" t="s">
        <v>7831</v>
      </c>
      <c r="N852" s="39" t="str">
        <f>("1052299")</f>
        <v>1052299</v>
      </c>
      <c r="P852" s="39" t="s">
        <v>12336</v>
      </c>
      <c r="Q852" s="39" t="s">
        <v>8568</v>
      </c>
      <c r="R852" s="39" t="s">
        <v>8569</v>
      </c>
      <c r="S852" s="39" t="s">
        <v>8570</v>
      </c>
      <c r="AA852" s="39" t="s">
        <v>2122</v>
      </c>
      <c r="AB852" s="39" t="s">
        <v>7830</v>
      </c>
      <c r="AC852" s="39" t="s">
        <v>7831</v>
      </c>
      <c r="AD852" s="39" t="str">
        <f>("0478807")</f>
        <v>0478807</v>
      </c>
      <c r="AE852" s="39" t="s">
        <v>1446</v>
      </c>
      <c r="AK852" s="39" t="str">
        <f>("2025/04/22")</f>
        <v>2025/04/22</v>
      </c>
      <c r="AL852" s="39" t="str">
        <f>("2025/04/22")</f>
        <v>2025/04/22</v>
      </c>
    </row>
    <row r="853" spans="1:39" x14ac:dyDescent="0.25">
      <c r="A853" s="39" t="str">
        <f>("1406010125")</f>
        <v>1406010125</v>
      </c>
      <c r="C853" s="39"/>
      <c r="D853" s="39" t="s">
        <v>5803</v>
      </c>
      <c r="E853" s="371" t="str">
        <f t="shared" si="67"/>
        <v>こじま　えいた</v>
      </c>
      <c r="F853" s="39" t="s">
        <v>2342</v>
      </c>
      <c r="G853" s="39" t="s">
        <v>7828</v>
      </c>
      <c r="H853" s="39" t="str">
        <f>("2014/06/01")</f>
        <v>2014/06/01</v>
      </c>
      <c r="I853" s="39">
        <v>5</v>
      </c>
      <c r="J853" s="39" t="s">
        <v>1478</v>
      </c>
      <c r="K853" s="39" t="s">
        <v>2122</v>
      </c>
      <c r="L853" s="39" t="s">
        <v>7830</v>
      </c>
      <c r="M853" s="39" t="s">
        <v>7831</v>
      </c>
      <c r="N853" s="39" t="str">
        <f>("0130307")</f>
        <v>0130307</v>
      </c>
      <c r="P853" s="39" t="s">
        <v>12337</v>
      </c>
      <c r="Q853" s="39" t="s">
        <v>8568</v>
      </c>
      <c r="R853" s="39" t="s">
        <v>8569</v>
      </c>
      <c r="S853" s="39" t="s">
        <v>8570</v>
      </c>
      <c r="AK853" s="39" t="str">
        <f>("2025/03/17")</f>
        <v>2025/03/17</v>
      </c>
      <c r="AL853" s="39" t="str">
        <f t="shared" ref="AL853:AL858" si="69">("2025/04/01")</f>
        <v>2025/04/01</v>
      </c>
    </row>
    <row r="854" spans="1:39" x14ac:dyDescent="0.25">
      <c r="A854" s="39" t="str">
        <f>("1406020015")</f>
        <v>1406020015</v>
      </c>
      <c r="C854" s="39"/>
      <c r="D854" s="39" t="s">
        <v>6283</v>
      </c>
      <c r="E854" s="371" t="str">
        <f t="shared" si="67"/>
        <v>あべ　じょうしん</v>
      </c>
      <c r="F854" s="39" t="s">
        <v>5621</v>
      </c>
      <c r="G854" s="39" t="s">
        <v>7828</v>
      </c>
      <c r="H854" s="39" t="str">
        <f>("2014/06/02")</f>
        <v>2014/06/02</v>
      </c>
      <c r="I854" s="39">
        <v>5</v>
      </c>
      <c r="J854" s="39" t="s">
        <v>1478</v>
      </c>
      <c r="K854" s="39" t="s">
        <v>2122</v>
      </c>
      <c r="L854" s="39" t="s">
        <v>7830</v>
      </c>
      <c r="M854" s="39" t="s">
        <v>7831</v>
      </c>
      <c r="N854" s="39" t="str">
        <f>("1110654")</f>
        <v>1110654</v>
      </c>
      <c r="P854" s="39" t="s">
        <v>12338</v>
      </c>
      <c r="Q854" s="39" t="s">
        <v>8568</v>
      </c>
      <c r="R854" s="39" t="s">
        <v>8569</v>
      </c>
      <c r="S854" s="39" t="s">
        <v>8570</v>
      </c>
      <c r="AA854" s="39" t="s">
        <v>2122</v>
      </c>
      <c r="AB854" s="39" t="s">
        <v>7830</v>
      </c>
      <c r="AC854" s="39" t="s">
        <v>7831</v>
      </c>
      <c r="AD854" s="39" t="str">
        <f>("0130442")</f>
        <v>0130442</v>
      </c>
      <c r="AE854" s="39" t="s">
        <v>2033</v>
      </c>
      <c r="AK854" s="39" t="str">
        <f>("2025/03/03")</f>
        <v>2025/03/03</v>
      </c>
      <c r="AL854" s="39" t="str">
        <f t="shared" si="69"/>
        <v>2025/04/01</v>
      </c>
    </row>
    <row r="855" spans="1:39" x14ac:dyDescent="0.25">
      <c r="A855" s="39" t="str">
        <f>("1406020127")</f>
        <v>1406020127</v>
      </c>
      <c r="B855" s="39" t="s">
        <v>7960</v>
      </c>
      <c r="C855" s="39"/>
      <c r="D855" s="39" t="s">
        <v>5888</v>
      </c>
      <c r="E855" s="371" t="str">
        <f t="shared" si="67"/>
        <v>さいとう　はる</v>
      </c>
      <c r="F855" s="39" t="s">
        <v>4220</v>
      </c>
      <c r="G855" s="39" t="s">
        <v>7828</v>
      </c>
      <c r="H855" s="39" t="str">
        <f>("2014/06/02")</f>
        <v>2014/06/02</v>
      </c>
      <c r="I855" s="39">
        <v>5</v>
      </c>
      <c r="J855" s="39" t="s">
        <v>1478</v>
      </c>
      <c r="K855" s="39" t="s">
        <v>2122</v>
      </c>
      <c r="L855" s="39" t="s">
        <v>7830</v>
      </c>
      <c r="M855" s="39" t="s">
        <v>7831</v>
      </c>
      <c r="N855" s="39" t="str">
        <f>("0130543")</f>
        <v>0130543</v>
      </c>
      <c r="P855" s="39" t="s">
        <v>12339</v>
      </c>
      <c r="Q855" s="39" t="s">
        <v>8568</v>
      </c>
      <c r="R855" s="39" t="s">
        <v>8569</v>
      </c>
      <c r="S855" s="39" t="s">
        <v>8570</v>
      </c>
      <c r="AK855" s="39" t="str">
        <f>("2025/03/17")</f>
        <v>2025/03/17</v>
      </c>
      <c r="AL855" s="39" t="str">
        <f t="shared" si="69"/>
        <v>2025/04/01</v>
      </c>
    </row>
    <row r="856" spans="1:39" x14ac:dyDescent="0.25">
      <c r="A856" s="39" t="str">
        <f>("1406030166")</f>
        <v>1406030166</v>
      </c>
      <c r="C856" s="39"/>
      <c r="D856" s="39" t="s">
        <v>7961</v>
      </c>
      <c r="E856" s="371" t="str">
        <f t="shared" si="67"/>
        <v>ふじた　ゆいと</v>
      </c>
      <c r="F856" s="39" t="s">
        <v>2587</v>
      </c>
      <c r="G856" s="39" t="s">
        <v>7828</v>
      </c>
      <c r="H856" s="39" t="str">
        <f>("2014/06/03")</f>
        <v>2014/06/03</v>
      </c>
      <c r="I856" s="39">
        <v>5</v>
      </c>
      <c r="J856" s="39" t="s">
        <v>1478</v>
      </c>
      <c r="K856" s="39" t="s">
        <v>2122</v>
      </c>
      <c r="L856" s="39" t="s">
        <v>7830</v>
      </c>
      <c r="M856" s="39" t="s">
        <v>7831</v>
      </c>
      <c r="N856" s="39" t="str">
        <f>("0387334")</f>
        <v>0387334</v>
      </c>
      <c r="P856" s="39" t="s">
        <v>12340</v>
      </c>
      <c r="Q856" s="39" t="s">
        <v>8568</v>
      </c>
      <c r="R856" s="39" t="s">
        <v>8569</v>
      </c>
      <c r="S856" s="39" t="s">
        <v>8570</v>
      </c>
      <c r="AK856" s="39" t="str">
        <f>("2025/03/27")</f>
        <v>2025/03/27</v>
      </c>
      <c r="AL856" s="39" t="str">
        <f t="shared" si="69"/>
        <v>2025/04/01</v>
      </c>
    </row>
    <row r="857" spans="1:39" x14ac:dyDescent="0.25">
      <c r="A857" s="39" t="str">
        <f>("1406030232")</f>
        <v>1406030232</v>
      </c>
      <c r="C857" s="39"/>
      <c r="D857" s="39" t="s">
        <v>7962</v>
      </c>
      <c r="E857" s="371" t="str">
        <f t="shared" si="67"/>
        <v>やない　ひなた</v>
      </c>
      <c r="F857" s="39" t="s">
        <v>1082</v>
      </c>
      <c r="G857" s="39" t="s">
        <v>7828</v>
      </c>
      <c r="H857" s="39" t="str">
        <f>("2014/06/03")</f>
        <v>2014/06/03</v>
      </c>
      <c r="I857" s="39">
        <v>5</v>
      </c>
      <c r="J857" s="39" t="s">
        <v>1480</v>
      </c>
      <c r="K857" s="39" t="s">
        <v>2122</v>
      </c>
      <c r="L857" s="39" t="s">
        <v>7830</v>
      </c>
      <c r="M857" s="39" t="s">
        <v>7831</v>
      </c>
      <c r="N857" s="39" t="str">
        <f>("0450009")</f>
        <v>0450009</v>
      </c>
      <c r="P857" s="39" t="s">
        <v>12341</v>
      </c>
      <c r="Q857" s="39" t="s">
        <v>8568</v>
      </c>
      <c r="R857" s="39" t="s">
        <v>8569</v>
      </c>
      <c r="S857" s="39" t="s">
        <v>8570</v>
      </c>
      <c r="AK857" s="39" t="str">
        <f>("2025/03/17")</f>
        <v>2025/03/17</v>
      </c>
      <c r="AL857" s="39" t="str">
        <f t="shared" si="69"/>
        <v>2025/04/01</v>
      </c>
    </row>
    <row r="858" spans="1:39" x14ac:dyDescent="0.25">
      <c r="A858" s="39" t="str">
        <f>("1406040011")</f>
        <v>1406040011</v>
      </c>
      <c r="C858" s="39"/>
      <c r="D858" s="39" t="s">
        <v>5908</v>
      </c>
      <c r="E858" s="371" t="str">
        <f t="shared" si="67"/>
        <v>ひわたし　そら</v>
      </c>
      <c r="F858" s="39" t="s">
        <v>2543</v>
      </c>
      <c r="G858" s="39" t="s">
        <v>7828</v>
      </c>
      <c r="H858" s="39" t="str">
        <f>("2014/06/04")</f>
        <v>2014/06/04</v>
      </c>
      <c r="I858" s="39">
        <v>5</v>
      </c>
      <c r="J858" s="39" t="s">
        <v>1478</v>
      </c>
      <c r="K858" s="39" t="s">
        <v>2122</v>
      </c>
      <c r="L858" s="39" t="s">
        <v>7830</v>
      </c>
      <c r="M858" s="39" t="s">
        <v>7831</v>
      </c>
      <c r="N858" s="39" t="str">
        <f>("0130600")</f>
        <v>0130600</v>
      </c>
      <c r="P858" s="39" t="s">
        <v>12342</v>
      </c>
      <c r="Q858" s="39" t="s">
        <v>8568</v>
      </c>
      <c r="R858" s="39" t="s">
        <v>8569</v>
      </c>
      <c r="S858" s="39" t="s">
        <v>8570</v>
      </c>
      <c r="AK858" s="39" t="str">
        <f>("2025/03/17")</f>
        <v>2025/03/17</v>
      </c>
      <c r="AL858" s="39" t="str">
        <f t="shared" si="69"/>
        <v>2025/04/01</v>
      </c>
    </row>
    <row r="859" spans="1:39" x14ac:dyDescent="0.25">
      <c r="A859" s="39" t="str">
        <f>("1406040124")</f>
        <v>1406040124</v>
      </c>
      <c r="B859" s="39" t="s">
        <v>7963</v>
      </c>
      <c r="C859" s="39"/>
      <c r="D859" s="39" t="s">
        <v>7964</v>
      </c>
      <c r="E859" s="371" t="str">
        <f t="shared" si="67"/>
        <v>たかみや　りょうが</v>
      </c>
      <c r="F859" s="39" t="s">
        <v>2022</v>
      </c>
      <c r="G859" s="39" t="s">
        <v>7828</v>
      </c>
      <c r="H859" s="39" t="str">
        <f>("2014/06/04")</f>
        <v>2014/06/04</v>
      </c>
      <c r="I859" s="39">
        <v>5</v>
      </c>
      <c r="J859" s="39" t="s">
        <v>1478</v>
      </c>
      <c r="K859" s="39" t="s">
        <v>2122</v>
      </c>
      <c r="L859" s="39" t="s">
        <v>7830</v>
      </c>
      <c r="M859" s="39" t="s">
        <v>7831</v>
      </c>
      <c r="N859" s="39" t="str">
        <f>("0130329")</f>
        <v>0130329</v>
      </c>
      <c r="P859" s="39" t="s">
        <v>12343</v>
      </c>
      <c r="Q859" s="39" t="s">
        <v>8568</v>
      </c>
      <c r="R859" s="39" t="s">
        <v>8569</v>
      </c>
      <c r="S859" s="39" t="s">
        <v>8570</v>
      </c>
      <c r="AA859" s="39" t="s">
        <v>2122</v>
      </c>
      <c r="AB859" s="39" t="s">
        <v>7830</v>
      </c>
      <c r="AC859" s="39" t="s">
        <v>7831</v>
      </c>
      <c r="AD859" s="39" t="str">
        <f>("0381608")</f>
        <v>0381608</v>
      </c>
      <c r="AE859" s="39" t="s">
        <v>1207</v>
      </c>
      <c r="AK859" s="39" t="str">
        <f>("2025/08/27")</f>
        <v>2025/08/27</v>
      </c>
      <c r="AL859" s="39" t="str">
        <f>("2025/08/27")</f>
        <v>2025/08/27</v>
      </c>
      <c r="AM859" s="39" t="str">
        <f>("2025/08/28")</f>
        <v>2025/08/28</v>
      </c>
    </row>
    <row r="860" spans="1:39" x14ac:dyDescent="0.25">
      <c r="A860" s="39" t="str">
        <f>("1406040157")</f>
        <v>1406040157</v>
      </c>
      <c r="C860" s="39"/>
      <c r="D860" s="39" t="s">
        <v>6256</v>
      </c>
      <c r="E860" s="371" t="str">
        <f t="shared" si="67"/>
        <v>あんようじ　てんま</v>
      </c>
      <c r="F860" s="39" t="s">
        <v>3104</v>
      </c>
      <c r="G860" s="39" t="s">
        <v>7828</v>
      </c>
      <c r="H860" s="39" t="str">
        <f>("2014/06/04")</f>
        <v>2014/06/04</v>
      </c>
      <c r="I860" s="39">
        <v>5</v>
      </c>
      <c r="J860" s="39" t="s">
        <v>1478</v>
      </c>
      <c r="K860" s="39" t="s">
        <v>2122</v>
      </c>
      <c r="L860" s="39" t="s">
        <v>7830</v>
      </c>
      <c r="M860" s="39" t="s">
        <v>7831</v>
      </c>
      <c r="N860" s="39" t="str">
        <f>("1076189")</f>
        <v>1076189</v>
      </c>
      <c r="P860" s="39" t="s">
        <v>12344</v>
      </c>
      <c r="Q860" s="39" t="s">
        <v>8568</v>
      </c>
      <c r="R860" s="39" t="s">
        <v>8569</v>
      </c>
      <c r="S860" s="39" t="s">
        <v>8570</v>
      </c>
      <c r="AK860" s="39" t="str">
        <f>("2025/03/24")</f>
        <v>2025/03/24</v>
      </c>
      <c r="AL860" s="39" t="str">
        <f t="shared" ref="AL860:AL867" si="70">("2025/04/01")</f>
        <v>2025/04/01</v>
      </c>
    </row>
    <row r="861" spans="1:39" x14ac:dyDescent="0.25">
      <c r="A861" s="39" t="str">
        <f>("1406040182")</f>
        <v>1406040182</v>
      </c>
      <c r="C861" s="39"/>
      <c r="D861" s="39" t="s">
        <v>9016</v>
      </c>
      <c r="E861" s="371" t="str">
        <f t="shared" si="67"/>
        <v>よしかわ　ろく</v>
      </c>
      <c r="F861" s="39" t="s">
        <v>2619</v>
      </c>
      <c r="G861" s="39" t="s">
        <v>7828</v>
      </c>
      <c r="H861" s="39" t="str">
        <f>("2013/06/04")</f>
        <v>2013/06/04</v>
      </c>
      <c r="I861" s="39">
        <v>6</v>
      </c>
      <c r="J861" s="39" t="s">
        <v>1478</v>
      </c>
      <c r="K861" s="39" t="s">
        <v>2122</v>
      </c>
      <c r="L861" s="39" t="s">
        <v>7830</v>
      </c>
      <c r="M861" s="39" t="s">
        <v>7831</v>
      </c>
      <c r="N861" s="39" t="str">
        <f>("0472823")</f>
        <v>0472823</v>
      </c>
      <c r="P861" s="39" t="s">
        <v>12345</v>
      </c>
      <c r="Q861" s="39" t="s">
        <v>8568</v>
      </c>
      <c r="R861" s="39" t="s">
        <v>8569</v>
      </c>
      <c r="S861" s="39" t="s">
        <v>8570</v>
      </c>
      <c r="AK861" s="39" t="str">
        <f>("2025/03/17")</f>
        <v>2025/03/17</v>
      </c>
      <c r="AL861" s="39" t="str">
        <f t="shared" si="70"/>
        <v>2025/04/01</v>
      </c>
    </row>
    <row r="862" spans="1:39" x14ac:dyDescent="0.25">
      <c r="A862" s="39" t="str">
        <f>("1406050125")</f>
        <v>1406050125</v>
      </c>
      <c r="C862" s="39"/>
      <c r="D862" s="39" t="s">
        <v>7965</v>
      </c>
      <c r="E862" s="371" t="str">
        <f t="shared" si="67"/>
        <v>いわさき　まなと</v>
      </c>
      <c r="F862" s="39" t="s">
        <v>829</v>
      </c>
      <c r="G862" s="39" t="s">
        <v>7828</v>
      </c>
      <c r="H862" s="39" t="str">
        <f>("2014/06/05")</f>
        <v>2014/06/05</v>
      </c>
      <c r="I862" s="39">
        <v>5</v>
      </c>
      <c r="J862" s="39" t="s">
        <v>1478</v>
      </c>
      <c r="K862" s="39" t="s">
        <v>2122</v>
      </c>
      <c r="L862" s="39" t="s">
        <v>7830</v>
      </c>
      <c r="M862" s="39" t="s">
        <v>7831</v>
      </c>
      <c r="N862" s="39" t="str">
        <f>("0426631")</f>
        <v>0426631</v>
      </c>
      <c r="P862" s="39" t="s">
        <v>12346</v>
      </c>
      <c r="Q862" s="39" t="s">
        <v>8568</v>
      </c>
      <c r="R862" s="39" t="s">
        <v>8569</v>
      </c>
      <c r="S862" s="39" t="s">
        <v>8570</v>
      </c>
      <c r="AK862" s="39" t="str">
        <f>("2025/03/21")</f>
        <v>2025/03/21</v>
      </c>
      <c r="AL862" s="39" t="str">
        <f t="shared" si="70"/>
        <v>2025/04/01</v>
      </c>
    </row>
    <row r="863" spans="1:39" x14ac:dyDescent="0.25">
      <c r="A863" s="39" t="str">
        <f>("1406050174")</f>
        <v>1406050174</v>
      </c>
      <c r="C863" s="39"/>
      <c r="D863" s="39" t="s">
        <v>7966</v>
      </c>
      <c r="E863" s="371" t="str">
        <f t="shared" si="67"/>
        <v>たなか　こうめい</v>
      </c>
      <c r="F863" s="39" t="s">
        <v>520</v>
      </c>
      <c r="G863" s="39" t="s">
        <v>7828</v>
      </c>
      <c r="H863" s="39" t="str">
        <f>("2014/06/05")</f>
        <v>2014/06/05</v>
      </c>
      <c r="I863" s="39">
        <v>5</v>
      </c>
      <c r="J863" s="39" t="s">
        <v>1478</v>
      </c>
      <c r="K863" s="39" t="s">
        <v>2122</v>
      </c>
      <c r="L863" s="39" t="s">
        <v>7830</v>
      </c>
      <c r="M863" s="39" t="s">
        <v>7831</v>
      </c>
      <c r="N863" s="39" t="str">
        <f>("0129765")</f>
        <v>0129765</v>
      </c>
      <c r="P863" s="39" t="s">
        <v>12347</v>
      </c>
      <c r="Q863" s="39" t="s">
        <v>8568</v>
      </c>
      <c r="R863" s="39" t="s">
        <v>8569</v>
      </c>
      <c r="S863" s="39" t="s">
        <v>8570</v>
      </c>
      <c r="AK863" s="39" t="str">
        <f>("2025/03/17")</f>
        <v>2025/03/17</v>
      </c>
      <c r="AL863" s="39" t="str">
        <f t="shared" si="70"/>
        <v>2025/04/01</v>
      </c>
    </row>
    <row r="864" spans="1:39" x14ac:dyDescent="0.25">
      <c r="A864" s="39" t="str">
        <f>("1406050206")</f>
        <v>1406050206</v>
      </c>
      <c r="C864" s="39"/>
      <c r="D864" s="39" t="s">
        <v>7967</v>
      </c>
      <c r="E864" s="371" t="str">
        <f t="shared" si="67"/>
        <v>たかはし　はやと</v>
      </c>
      <c r="F864" s="39" t="s">
        <v>1207</v>
      </c>
      <c r="G864" s="39" t="s">
        <v>7828</v>
      </c>
      <c r="H864" s="39" t="str">
        <f>("2014/06/05")</f>
        <v>2014/06/05</v>
      </c>
      <c r="I864" s="39">
        <v>5</v>
      </c>
      <c r="J864" s="39" t="s">
        <v>1478</v>
      </c>
      <c r="K864" s="39" t="s">
        <v>2122</v>
      </c>
      <c r="L864" s="39" t="s">
        <v>7830</v>
      </c>
      <c r="M864" s="39" t="s">
        <v>7831</v>
      </c>
      <c r="N864" s="39" t="str">
        <f>("0381608")</f>
        <v>0381608</v>
      </c>
      <c r="P864" s="39" t="s">
        <v>12348</v>
      </c>
      <c r="Q864" s="39" t="s">
        <v>8568</v>
      </c>
      <c r="R864" s="39" t="s">
        <v>8569</v>
      </c>
      <c r="S864" s="39" t="s">
        <v>8570</v>
      </c>
      <c r="AK864" s="39" t="str">
        <f>("2025/03/21")</f>
        <v>2025/03/21</v>
      </c>
      <c r="AL864" s="39" t="str">
        <f t="shared" si="70"/>
        <v>2025/04/01</v>
      </c>
    </row>
    <row r="865" spans="1:39" x14ac:dyDescent="0.25">
      <c r="A865" s="39" t="str">
        <f>("1406060012")</f>
        <v>1406060012</v>
      </c>
      <c r="C865" s="39"/>
      <c r="D865" s="39" t="s">
        <v>7968</v>
      </c>
      <c r="E865" s="371" t="str">
        <f t="shared" si="67"/>
        <v>ながの　はるひと</v>
      </c>
      <c r="F865" s="39" t="s">
        <v>1977</v>
      </c>
      <c r="G865" s="39" t="s">
        <v>7876</v>
      </c>
      <c r="H865" s="39" t="str">
        <f>("2014/06/06")</f>
        <v>2014/06/06</v>
      </c>
      <c r="I865" s="39">
        <v>5</v>
      </c>
      <c r="J865" s="39" t="s">
        <v>1478</v>
      </c>
      <c r="K865" s="39" t="s">
        <v>2122</v>
      </c>
      <c r="L865" s="39" t="s">
        <v>7830</v>
      </c>
      <c r="M865" s="39" t="s">
        <v>7831</v>
      </c>
      <c r="N865" s="39" t="str">
        <f>("0395254")</f>
        <v>0395254</v>
      </c>
      <c r="P865" s="39" t="s">
        <v>12349</v>
      </c>
      <c r="Q865" s="39" t="s">
        <v>8568</v>
      </c>
      <c r="R865" s="39" t="s">
        <v>8569</v>
      </c>
      <c r="S865" s="39" t="s">
        <v>8570</v>
      </c>
      <c r="AK865" s="39" t="str">
        <f>("2025/03/17")</f>
        <v>2025/03/17</v>
      </c>
      <c r="AL865" s="39" t="str">
        <f t="shared" si="70"/>
        <v>2025/04/01</v>
      </c>
      <c r="AM865" s="39" t="str">
        <f>("2025/11/26")</f>
        <v>2025/11/26</v>
      </c>
    </row>
    <row r="866" spans="1:39" x14ac:dyDescent="0.25">
      <c r="A866" s="39" t="str">
        <f>("1406060061")</f>
        <v>1406060061</v>
      </c>
      <c r="B866" s="39" t="s">
        <v>7969</v>
      </c>
      <c r="C866" s="39"/>
      <c r="D866" s="39" t="s">
        <v>4693</v>
      </c>
      <c r="E866" s="371" t="str">
        <f t="shared" si="67"/>
        <v>はしもと　たくと</v>
      </c>
      <c r="F866" s="39" t="s">
        <v>2395</v>
      </c>
      <c r="G866" s="39" t="s">
        <v>7828</v>
      </c>
      <c r="H866" s="39" t="str">
        <f>("2014/06/06")</f>
        <v>2014/06/06</v>
      </c>
      <c r="I866" s="39">
        <v>5</v>
      </c>
      <c r="J866" s="39" t="s">
        <v>1478</v>
      </c>
      <c r="K866" s="39" t="s">
        <v>2122</v>
      </c>
      <c r="L866" s="39" t="s">
        <v>7830</v>
      </c>
      <c r="M866" s="39" t="s">
        <v>7831</v>
      </c>
      <c r="N866" s="39" t="str">
        <f>("0366735")</f>
        <v>0366735</v>
      </c>
      <c r="P866" s="39" t="s">
        <v>12350</v>
      </c>
      <c r="Q866" s="39" t="s">
        <v>8568</v>
      </c>
      <c r="R866" s="39" t="s">
        <v>8569</v>
      </c>
      <c r="S866" s="39" t="s">
        <v>8570</v>
      </c>
      <c r="AK866" s="39" t="str">
        <f>("2025/03/17")</f>
        <v>2025/03/17</v>
      </c>
      <c r="AL866" s="39" t="str">
        <f t="shared" si="70"/>
        <v>2025/04/01</v>
      </c>
    </row>
    <row r="867" spans="1:39" x14ac:dyDescent="0.25">
      <c r="A867" s="39" t="str">
        <f>("1406060235")</f>
        <v>1406060235</v>
      </c>
      <c r="C867" s="39"/>
      <c r="D867" s="39" t="s">
        <v>5712</v>
      </c>
      <c r="E867" s="371" t="str">
        <f t="shared" si="67"/>
        <v>ゆみさき　ゆうき</v>
      </c>
      <c r="F867" s="39" t="s">
        <v>2139</v>
      </c>
      <c r="G867" s="39" t="s">
        <v>7828</v>
      </c>
      <c r="H867" s="39" t="str">
        <f>("2014/06/06")</f>
        <v>2014/06/06</v>
      </c>
      <c r="I867" s="39">
        <v>5</v>
      </c>
      <c r="J867" s="39" t="s">
        <v>1478</v>
      </c>
      <c r="K867" s="39" t="s">
        <v>2122</v>
      </c>
      <c r="L867" s="39" t="s">
        <v>7830</v>
      </c>
      <c r="M867" s="39" t="s">
        <v>7831</v>
      </c>
      <c r="N867" s="39" t="str">
        <f>("0129798")</f>
        <v>0129798</v>
      </c>
      <c r="P867" s="39" t="s">
        <v>12351</v>
      </c>
      <c r="Q867" s="39" t="s">
        <v>8568</v>
      </c>
      <c r="R867" s="39" t="s">
        <v>8569</v>
      </c>
      <c r="S867" s="39" t="s">
        <v>8570</v>
      </c>
      <c r="AK867" s="39" t="str">
        <f>("2025/03/27")</f>
        <v>2025/03/27</v>
      </c>
      <c r="AL867" s="39" t="str">
        <f t="shared" si="70"/>
        <v>2025/04/01</v>
      </c>
    </row>
    <row r="868" spans="1:39" x14ac:dyDescent="0.25">
      <c r="A868" s="39" t="str">
        <f>("1406060288")</f>
        <v>1406060288</v>
      </c>
      <c r="C868" s="39"/>
      <c r="D868" s="39" t="s">
        <v>7970</v>
      </c>
      <c r="E868" s="371" t="str">
        <f t="shared" si="67"/>
        <v>ひの　ゆめの</v>
      </c>
      <c r="F868" s="39" t="s">
        <v>2469</v>
      </c>
      <c r="G868" s="39" t="s">
        <v>7828</v>
      </c>
      <c r="H868" s="39" t="str">
        <f>("2014/06/06")</f>
        <v>2014/06/06</v>
      </c>
      <c r="I868" s="39">
        <v>5</v>
      </c>
      <c r="J868" s="39" t="s">
        <v>1480</v>
      </c>
      <c r="K868" s="39" t="s">
        <v>2122</v>
      </c>
      <c r="L868" s="39" t="s">
        <v>7830</v>
      </c>
      <c r="M868" s="39" t="s">
        <v>7831</v>
      </c>
      <c r="N868" s="39" t="str">
        <f>("0129462")</f>
        <v>0129462</v>
      </c>
      <c r="P868" s="39" t="s">
        <v>12352</v>
      </c>
      <c r="Q868" s="39" t="s">
        <v>8568</v>
      </c>
      <c r="R868" s="39" t="s">
        <v>8569</v>
      </c>
      <c r="S868" s="39" t="s">
        <v>8570</v>
      </c>
      <c r="AK868" s="39" t="str">
        <f>("2025/09/09")</f>
        <v>2025/09/09</v>
      </c>
      <c r="AL868" s="39" t="str">
        <f>("2025/09/09")</f>
        <v>2025/09/09</v>
      </c>
    </row>
    <row r="869" spans="1:39" x14ac:dyDescent="0.25">
      <c r="A869" s="39" t="str">
        <f>("1406080038")</f>
        <v>1406080038</v>
      </c>
      <c r="C869" s="39"/>
      <c r="D869" s="39" t="s">
        <v>7971</v>
      </c>
      <c r="E869" s="371" t="str">
        <f t="shared" si="67"/>
        <v>わだ　こうし</v>
      </c>
      <c r="F869" s="39" t="s">
        <v>5616</v>
      </c>
      <c r="G869" s="39" t="s">
        <v>7828</v>
      </c>
      <c r="H869" s="39" t="str">
        <f>("2014/06/08")</f>
        <v>2014/06/08</v>
      </c>
      <c r="I869" s="39">
        <v>5</v>
      </c>
      <c r="J869" s="39" t="s">
        <v>1478</v>
      </c>
      <c r="K869" s="39" t="s">
        <v>2122</v>
      </c>
      <c r="L869" s="39" t="s">
        <v>7830</v>
      </c>
      <c r="M869" s="39" t="s">
        <v>7831</v>
      </c>
      <c r="N869" s="39" t="str">
        <f>("0130385")</f>
        <v>0130385</v>
      </c>
      <c r="P869" s="39" t="s">
        <v>12353</v>
      </c>
      <c r="Q869" s="39" t="s">
        <v>8568</v>
      </c>
      <c r="R869" s="39" t="s">
        <v>8569</v>
      </c>
      <c r="S869" s="39" t="s">
        <v>8570</v>
      </c>
      <c r="AK869" s="39" t="str">
        <f>("2025/03/17")</f>
        <v>2025/03/17</v>
      </c>
      <c r="AL869" s="39" t="str">
        <f>("2025/04/01")</f>
        <v>2025/04/01</v>
      </c>
    </row>
    <row r="870" spans="1:39" x14ac:dyDescent="0.25">
      <c r="A870" s="39" t="str">
        <f>("1406080135")</f>
        <v>1406080135</v>
      </c>
      <c r="C870" s="39"/>
      <c r="D870" s="39" t="s">
        <v>7972</v>
      </c>
      <c r="E870" s="371" t="str">
        <f t="shared" si="67"/>
        <v>いわお　かずとよ</v>
      </c>
      <c r="F870" s="39" t="s">
        <v>2544</v>
      </c>
      <c r="G870" s="39" t="s">
        <v>7828</v>
      </c>
      <c r="H870" s="39" t="str">
        <f>("2014/06/08")</f>
        <v>2014/06/08</v>
      </c>
      <c r="I870" s="39">
        <v>5</v>
      </c>
      <c r="J870" s="39" t="s">
        <v>1478</v>
      </c>
      <c r="K870" s="39" t="s">
        <v>2122</v>
      </c>
      <c r="L870" s="39" t="s">
        <v>7830</v>
      </c>
      <c r="M870" s="39" t="s">
        <v>7831</v>
      </c>
      <c r="N870" s="39" t="str">
        <f>("0130644")</f>
        <v>0130644</v>
      </c>
      <c r="P870" s="39" t="s">
        <v>12354</v>
      </c>
      <c r="Q870" s="39" t="s">
        <v>8568</v>
      </c>
      <c r="R870" s="39" t="s">
        <v>8569</v>
      </c>
      <c r="S870" s="39" t="s">
        <v>8570</v>
      </c>
      <c r="AK870" s="39" t="str">
        <f>("2025/03/17")</f>
        <v>2025/03/17</v>
      </c>
      <c r="AL870" s="39" t="str">
        <f>("2025/04/01")</f>
        <v>2025/04/01</v>
      </c>
    </row>
    <row r="871" spans="1:39" x14ac:dyDescent="0.25">
      <c r="A871" s="39" t="str">
        <f>("1406080188")</f>
        <v>1406080188</v>
      </c>
      <c r="C871" s="39"/>
      <c r="D871" s="39" t="s">
        <v>9017</v>
      </c>
      <c r="E871" s="371" t="str">
        <f t="shared" si="67"/>
        <v>くりはら　りつ</v>
      </c>
      <c r="F871" s="39" t="s">
        <v>2139</v>
      </c>
      <c r="G871" s="39" t="s">
        <v>7828</v>
      </c>
      <c r="H871" s="39" t="str">
        <f>("2014/06/08")</f>
        <v>2014/06/08</v>
      </c>
      <c r="I871" s="39">
        <v>5</v>
      </c>
      <c r="J871" s="39" t="s">
        <v>1478</v>
      </c>
      <c r="K871" s="39" t="s">
        <v>2122</v>
      </c>
      <c r="L871" s="39" t="s">
        <v>7830</v>
      </c>
      <c r="M871" s="39" t="s">
        <v>7831</v>
      </c>
      <c r="N871" s="39" t="str">
        <f>("0129798")</f>
        <v>0129798</v>
      </c>
      <c r="P871" s="39" t="s">
        <v>12355</v>
      </c>
      <c r="Q871" s="39" t="s">
        <v>8568</v>
      </c>
      <c r="R871" s="39" t="s">
        <v>8569</v>
      </c>
      <c r="S871" s="39" t="s">
        <v>8570</v>
      </c>
      <c r="AK871" s="39" t="str">
        <f>("2025/12/29")</f>
        <v>2025/12/29</v>
      </c>
      <c r="AL871" s="39" t="str">
        <f>("2025/12/29")</f>
        <v>2025/12/29</v>
      </c>
    </row>
    <row r="872" spans="1:39" x14ac:dyDescent="0.25">
      <c r="A872" s="39" t="str">
        <f>("1406090115")</f>
        <v>1406090115</v>
      </c>
      <c r="C872" s="39"/>
      <c r="D872" s="39" t="s">
        <v>6262</v>
      </c>
      <c r="E872" s="371" t="str">
        <f t="shared" si="67"/>
        <v>まつき　きよしろう</v>
      </c>
      <c r="F872" s="39" t="s">
        <v>5619</v>
      </c>
      <c r="G872" s="39" t="s">
        <v>7828</v>
      </c>
      <c r="H872" s="39" t="str">
        <f>("2014/06/09")</f>
        <v>2014/06/09</v>
      </c>
      <c r="I872" s="39">
        <v>5</v>
      </c>
      <c r="J872" s="39" t="s">
        <v>1478</v>
      </c>
      <c r="K872" s="39" t="s">
        <v>2122</v>
      </c>
      <c r="L872" s="39" t="s">
        <v>7830</v>
      </c>
      <c r="M872" s="39" t="s">
        <v>7831</v>
      </c>
      <c r="N872" s="39" t="str">
        <f>("1089004")</f>
        <v>1089004</v>
      </c>
      <c r="P872" s="39" t="s">
        <v>12356</v>
      </c>
      <c r="Q872" s="39" t="s">
        <v>8568</v>
      </c>
      <c r="R872" s="39" t="s">
        <v>8569</v>
      </c>
      <c r="S872" s="39" t="s">
        <v>8570</v>
      </c>
      <c r="AA872" s="39" t="s">
        <v>2122</v>
      </c>
      <c r="AB872" s="39" t="s">
        <v>7830</v>
      </c>
      <c r="AC872" s="39" t="s">
        <v>7831</v>
      </c>
      <c r="AD872" s="39" t="str">
        <f>("0436902")</f>
        <v>0436902</v>
      </c>
      <c r="AE872" s="39" t="s">
        <v>413</v>
      </c>
      <c r="AK872" s="39" t="str">
        <f>("2025/03/27")</f>
        <v>2025/03/27</v>
      </c>
      <c r="AL872" s="39" t="str">
        <f>("2025/04/01")</f>
        <v>2025/04/01</v>
      </c>
    </row>
    <row r="873" spans="1:39" x14ac:dyDescent="0.25">
      <c r="A873" s="39" t="str">
        <f>("1406090117")</f>
        <v>1406090117</v>
      </c>
      <c r="C873" s="39"/>
      <c r="D873" s="39" t="s">
        <v>7973</v>
      </c>
      <c r="E873" s="371" t="str">
        <f t="shared" si="67"/>
        <v>とくまる　ひろと</v>
      </c>
      <c r="F873" s="39" t="s">
        <v>2587</v>
      </c>
      <c r="G873" s="39" t="s">
        <v>7828</v>
      </c>
      <c r="H873" s="39" t="str">
        <f>("2014/06/09")</f>
        <v>2014/06/09</v>
      </c>
      <c r="I873" s="39">
        <v>5</v>
      </c>
      <c r="J873" s="39" t="s">
        <v>1478</v>
      </c>
      <c r="K873" s="39" t="s">
        <v>2122</v>
      </c>
      <c r="L873" s="39" t="s">
        <v>7830</v>
      </c>
      <c r="M873" s="39" t="s">
        <v>7831</v>
      </c>
      <c r="N873" s="39" t="str">
        <f>("0387334")</f>
        <v>0387334</v>
      </c>
      <c r="P873" s="39" t="s">
        <v>12357</v>
      </c>
      <c r="Q873" s="39" t="s">
        <v>8568</v>
      </c>
      <c r="R873" s="39" t="s">
        <v>8569</v>
      </c>
      <c r="S873" s="39" t="s">
        <v>8570</v>
      </c>
      <c r="AA873" s="39" t="s">
        <v>2122</v>
      </c>
      <c r="AB873" s="39" t="s">
        <v>7830</v>
      </c>
      <c r="AC873" s="39" t="s">
        <v>7831</v>
      </c>
      <c r="AD873" s="39" t="str">
        <f>("0426631")</f>
        <v>0426631</v>
      </c>
      <c r="AE873" s="39" t="s">
        <v>829</v>
      </c>
      <c r="AK873" s="39" t="str">
        <f>("2025/03/27")</f>
        <v>2025/03/27</v>
      </c>
      <c r="AL873" s="39" t="str">
        <f>("2025/04/01")</f>
        <v>2025/04/01</v>
      </c>
    </row>
    <row r="874" spans="1:39" x14ac:dyDescent="0.25">
      <c r="A874" s="39" t="str">
        <f>("1406090249")</f>
        <v>1406090249</v>
      </c>
      <c r="C874" s="39"/>
      <c r="D874" s="39" t="s">
        <v>7974</v>
      </c>
      <c r="E874" s="371" t="str">
        <f t="shared" si="67"/>
        <v>いしばし　なおき</v>
      </c>
      <c r="F874" s="39" t="s">
        <v>5616</v>
      </c>
      <c r="G874" s="39" t="s">
        <v>7828</v>
      </c>
      <c r="H874" s="39" t="str">
        <f>("2014/06/09")</f>
        <v>2014/06/09</v>
      </c>
      <c r="I874" s="39">
        <v>5</v>
      </c>
      <c r="J874" s="39" t="s">
        <v>1478</v>
      </c>
      <c r="K874" s="39" t="s">
        <v>2122</v>
      </c>
      <c r="L874" s="39" t="s">
        <v>7830</v>
      </c>
      <c r="M874" s="39" t="s">
        <v>7831</v>
      </c>
      <c r="N874" s="39" t="str">
        <f>("0130385")</f>
        <v>0130385</v>
      </c>
      <c r="P874" s="39" t="s">
        <v>12358</v>
      </c>
      <c r="Q874" s="39" t="s">
        <v>8568</v>
      </c>
      <c r="R874" s="39" t="s">
        <v>8569</v>
      </c>
      <c r="S874" s="39" t="s">
        <v>8570</v>
      </c>
      <c r="AK874" s="39" t="str">
        <f>("2025/05/16")</f>
        <v>2025/05/16</v>
      </c>
      <c r="AL874" s="39" t="str">
        <f>("2025/05/16")</f>
        <v>2025/05/16</v>
      </c>
    </row>
    <row r="875" spans="1:39" x14ac:dyDescent="0.25">
      <c r="A875" s="39" t="str">
        <f>("1406100027")</f>
        <v>1406100027</v>
      </c>
      <c r="C875" s="39"/>
      <c r="D875" s="39" t="s">
        <v>4649</v>
      </c>
      <c r="E875" s="371" t="str">
        <f t="shared" si="67"/>
        <v>このもと　はるひと</v>
      </c>
      <c r="F875" s="39" t="s">
        <v>2573</v>
      </c>
      <c r="G875" s="39" t="s">
        <v>7828</v>
      </c>
      <c r="H875" s="39" t="str">
        <f t="shared" ref="H875:H881" si="71">("2014/06/10")</f>
        <v>2014/06/10</v>
      </c>
      <c r="I875" s="39">
        <v>5</v>
      </c>
      <c r="J875" s="39" t="s">
        <v>1478</v>
      </c>
      <c r="K875" s="39" t="s">
        <v>2122</v>
      </c>
      <c r="L875" s="39" t="s">
        <v>7830</v>
      </c>
      <c r="M875" s="39" t="s">
        <v>7831</v>
      </c>
      <c r="N875" s="39" t="str">
        <f>("0230982")</f>
        <v>0230982</v>
      </c>
      <c r="P875" s="39" t="s">
        <v>12359</v>
      </c>
      <c r="Q875" s="39" t="s">
        <v>8568</v>
      </c>
      <c r="R875" s="39" t="s">
        <v>8569</v>
      </c>
      <c r="S875" s="39" t="s">
        <v>8570</v>
      </c>
      <c r="AK875" s="39" t="str">
        <f>("2025/03/17")</f>
        <v>2025/03/17</v>
      </c>
      <c r="AL875" s="39" t="str">
        <f>("2025/04/01")</f>
        <v>2025/04/01</v>
      </c>
    </row>
    <row r="876" spans="1:39" x14ac:dyDescent="0.25">
      <c r="A876" s="39" t="str">
        <f>("1406100127")</f>
        <v>1406100127</v>
      </c>
      <c r="B876" s="39" t="s">
        <v>7975</v>
      </c>
      <c r="C876" s="39"/>
      <c r="D876" s="39" t="s">
        <v>7976</v>
      </c>
      <c r="E876" s="371" t="str">
        <f t="shared" si="67"/>
        <v>まえだ　れんと</v>
      </c>
      <c r="F876" s="39" t="s">
        <v>2587</v>
      </c>
      <c r="G876" s="39" t="s">
        <v>7828</v>
      </c>
      <c r="H876" s="39" t="str">
        <f t="shared" si="71"/>
        <v>2014/06/10</v>
      </c>
      <c r="I876" s="39">
        <v>5</v>
      </c>
      <c r="J876" s="39" t="s">
        <v>1478</v>
      </c>
      <c r="K876" s="39" t="s">
        <v>2122</v>
      </c>
      <c r="L876" s="39" t="s">
        <v>7830</v>
      </c>
      <c r="M876" s="39" t="s">
        <v>7831</v>
      </c>
      <c r="N876" s="39" t="str">
        <f>("0387334")</f>
        <v>0387334</v>
      </c>
      <c r="P876" s="39" t="s">
        <v>12360</v>
      </c>
      <c r="Q876" s="39" t="s">
        <v>8568</v>
      </c>
      <c r="R876" s="39" t="s">
        <v>8569</v>
      </c>
      <c r="S876" s="39" t="s">
        <v>8570</v>
      </c>
      <c r="AK876" s="39" t="str">
        <f>("2025/03/27")</f>
        <v>2025/03/27</v>
      </c>
      <c r="AL876" s="39" t="str">
        <f>("2025/04/01")</f>
        <v>2025/04/01</v>
      </c>
    </row>
    <row r="877" spans="1:39" x14ac:dyDescent="0.25">
      <c r="A877" s="39" t="str">
        <f>("1406100131")</f>
        <v>1406100131</v>
      </c>
      <c r="B877" s="39" t="s">
        <v>7977</v>
      </c>
      <c r="C877" s="39"/>
      <c r="D877" s="39" t="s">
        <v>7978</v>
      </c>
      <c r="E877" s="371" t="str">
        <f t="shared" si="67"/>
        <v>いしだ　たける</v>
      </c>
      <c r="F877" s="39" t="s">
        <v>2530</v>
      </c>
      <c r="G877" s="39" t="s">
        <v>7828</v>
      </c>
      <c r="H877" s="39" t="str">
        <f t="shared" si="71"/>
        <v>2014/06/10</v>
      </c>
      <c r="I877" s="39">
        <v>5</v>
      </c>
      <c r="J877" s="39" t="s">
        <v>1478</v>
      </c>
      <c r="K877" s="39" t="s">
        <v>2122</v>
      </c>
      <c r="L877" s="39" t="s">
        <v>7830</v>
      </c>
      <c r="M877" s="39" t="s">
        <v>7831</v>
      </c>
      <c r="N877" s="39" t="str">
        <f>("0338756")</f>
        <v>0338756</v>
      </c>
      <c r="P877" s="39" t="s">
        <v>12361</v>
      </c>
      <c r="Q877" s="39" t="s">
        <v>8568</v>
      </c>
      <c r="R877" s="39" t="s">
        <v>8569</v>
      </c>
      <c r="S877" s="39" t="s">
        <v>8570</v>
      </c>
      <c r="AK877" s="39" t="str">
        <f>("2025/04/01")</f>
        <v>2025/04/01</v>
      </c>
      <c r="AL877" s="39" t="str">
        <f>("2025/04/01")</f>
        <v>2025/04/01</v>
      </c>
    </row>
    <row r="878" spans="1:39" x14ac:dyDescent="0.25">
      <c r="A878" s="39" t="str">
        <f>("1406100169")</f>
        <v>1406100169</v>
      </c>
      <c r="B878" s="39" t="s">
        <v>7979</v>
      </c>
      <c r="C878" s="39"/>
      <c r="D878" s="39" t="s">
        <v>6076</v>
      </c>
      <c r="E878" s="371" t="str">
        <f t="shared" si="67"/>
        <v>ごとう　なお</v>
      </c>
      <c r="F878" s="39" t="s">
        <v>2594</v>
      </c>
      <c r="G878" s="39" t="s">
        <v>7828</v>
      </c>
      <c r="H878" s="39" t="str">
        <f t="shared" si="71"/>
        <v>2014/06/10</v>
      </c>
      <c r="I878" s="39">
        <v>5</v>
      </c>
      <c r="J878" s="39" t="s">
        <v>1478</v>
      </c>
      <c r="K878" s="39" t="s">
        <v>2122</v>
      </c>
      <c r="L878" s="39" t="s">
        <v>7830</v>
      </c>
      <c r="M878" s="39" t="s">
        <v>7831</v>
      </c>
      <c r="N878" s="39" t="str">
        <f>("0424583")</f>
        <v>0424583</v>
      </c>
      <c r="P878" s="39" t="s">
        <v>12362</v>
      </c>
      <c r="Q878" s="39" t="s">
        <v>8568</v>
      </c>
      <c r="R878" s="39" t="s">
        <v>8569</v>
      </c>
      <c r="S878" s="39" t="s">
        <v>8570</v>
      </c>
      <c r="AK878" s="39" t="str">
        <f>("2025/03/17")</f>
        <v>2025/03/17</v>
      </c>
      <c r="AL878" s="39" t="str">
        <f>("2025/04/01")</f>
        <v>2025/04/01</v>
      </c>
    </row>
    <row r="879" spans="1:39" x14ac:dyDescent="0.25">
      <c r="A879" s="39" t="str">
        <f>("1406100170")</f>
        <v>1406100170</v>
      </c>
      <c r="C879" s="39"/>
      <c r="D879" s="39" t="s">
        <v>6077</v>
      </c>
      <c r="E879" s="371" t="str">
        <f t="shared" si="67"/>
        <v>ごとう　わく</v>
      </c>
      <c r="F879" s="39" t="s">
        <v>2594</v>
      </c>
      <c r="G879" s="39" t="s">
        <v>7828</v>
      </c>
      <c r="H879" s="39" t="str">
        <f t="shared" si="71"/>
        <v>2014/06/10</v>
      </c>
      <c r="I879" s="39">
        <v>5</v>
      </c>
      <c r="J879" s="39" t="s">
        <v>1478</v>
      </c>
      <c r="K879" s="39" t="s">
        <v>2122</v>
      </c>
      <c r="L879" s="39" t="s">
        <v>7830</v>
      </c>
      <c r="M879" s="39" t="s">
        <v>7831</v>
      </c>
      <c r="N879" s="39" t="str">
        <f>("0424583")</f>
        <v>0424583</v>
      </c>
      <c r="P879" s="39" t="s">
        <v>12363</v>
      </c>
      <c r="Q879" s="39" t="s">
        <v>8568</v>
      </c>
      <c r="R879" s="39" t="s">
        <v>8569</v>
      </c>
      <c r="S879" s="39" t="s">
        <v>8570</v>
      </c>
      <c r="AK879" s="39" t="str">
        <f>("2025/03/17")</f>
        <v>2025/03/17</v>
      </c>
      <c r="AL879" s="39" t="str">
        <f>("2025/04/01")</f>
        <v>2025/04/01</v>
      </c>
    </row>
    <row r="880" spans="1:39" x14ac:dyDescent="0.25">
      <c r="A880" s="39" t="str">
        <f>("1406100179")</f>
        <v>1406100179</v>
      </c>
      <c r="C880" s="39"/>
      <c r="D880" s="39" t="s">
        <v>7980</v>
      </c>
      <c r="E880" s="371" t="str">
        <f t="shared" si="67"/>
        <v>たかはし　かずき</v>
      </c>
      <c r="F880" s="39" t="s">
        <v>2022</v>
      </c>
      <c r="G880" s="39" t="s">
        <v>7828</v>
      </c>
      <c r="H880" s="39" t="str">
        <f t="shared" si="71"/>
        <v>2014/06/10</v>
      </c>
      <c r="I880" s="39">
        <v>5</v>
      </c>
      <c r="J880" s="39" t="s">
        <v>1478</v>
      </c>
      <c r="K880" s="39" t="s">
        <v>2122</v>
      </c>
      <c r="L880" s="39" t="s">
        <v>7830</v>
      </c>
      <c r="M880" s="39" t="s">
        <v>7831</v>
      </c>
      <c r="N880" s="39" t="str">
        <f>("0130329")</f>
        <v>0130329</v>
      </c>
      <c r="P880" s="39" t="s">
        <v>12364</v>
      </c>
      <c r="Q880" s="39" t="s">
        <v>8568</v>
      </c>
      <c r="R880" s="39" t="s">
        <v>8569</v>
      </c>
      <c r="S880" s="39" t="s">
        <v>8570</v>
      </c>
      <c r="AA880" s="39" t="s">
        <v>2122</v>
      </c>
      <c r="AB880" s="39" t="s">
        <v>7830</v>
      </c>
      <c r="AC880" s="39" t="s">
        <v>7831</v>
      </c>
      <c r="AD880" s="39" t="str">
        <f>("0472823")</f>
        <v>0472823</v>
      </c>
      <c r="AE880" s="39" t="s">
        <v>2619</v>
      </c>
      <c r="AF880" s="39" t="s">
        <v>2122</v>
      </c>
      <c r="AG880" s="39" t="s">
        <v>7830</v>
      </c>
      <c r="AH880" s="39" t="s">
        <v>7831</v>
      </c>
      <c r="AI880" s="39" t="str">
        <f>("0130183")</f>
        <v>0130183</v>
      </c>
      <c r="AJ880" s="39" t="s">
        <v>947</v>
      </c>
      <c r="AK880" s="39" t="str">
        <f>("2025/04/10")</f>
        <v>2025/04/10</v>
      </c>
      <c r="AL880" s="39" t="str">
        <f>("2025/04/10")</f>
        <v>2025/04/10</v>
      </c>
    </row>
    <row r="881" spans="1:39" x14ac:dyDescent="0.25">
      <c r="A881" s="39" t="str">
        <f>("1406100226")</f>
        <v>1406100226</v>
      </c>
      <c r="C881" s="39"/>
      <c r="D881" s="39" t="s">
        <v>7981</v>
      </c>
      <c r="E881" s="371" t="str">
        <f t="shared" si="67"/>
        <v>ごとう　いつき</v>
      </c>
      <c r="F881" s="39" t="s">
        <v>413</v>
      </c>
      <c r="G881" s="39" t="s">
        <v>7828</v>
      </c>
      <c r="H881" s="39" t="str">
        <f t="shared" si="71"/>
        <v>2014/06/10</v>
      </c>
      <c r="I881" s="39">
        <v>5</v>
      </c>
      <c r="J881" s="39" t="s">
        <v>1478</v>
      </c>
      <c r="K881" s="39" t="s">
        <v>2122</v>
      </c>
      <c r="L881" s="39" t="s">
        <v>7830</v>
      </c>
      <c r="M881" s="39" t="s">
        <v>7831</v>
      </c>
      <c r="N881" s="39" t="str">
        <f>("0436902")</f>
        <v>0436902</v>
      </c>
      <c r="P881" s="39" t="s">
        <v>12365</v>
      </c>
      <c r="Q881" s="39" t="s">
        <v>8568</v>
      </c>
      <c r="R881" s="39" t="s">
        <v>8569</v>
      </c>
      <c r="S881" s="39" t="s">
        <v>8570</v>
      </c>
      <c r="AK881" s="39" t="str">
        <f>("2025/03/24")</f>
        <v>2025/03/24</v>
      </c>
      <c r="AL881" s="39" t="str">
        <f>("2025/04/01")</f>
        <v>2025/04/01</v>
      </c>
    </row>
    <row r="882" spans="1:39" x14ac:dyDescent="0.25">
      <c r="A882" s="39" t="str">
        <f>("1406110005")</f>
        <v>1406110005</v>
      </c>
      <c r="C882" s="39"/>
      <c r="D882" s="39" t="s">
        <v>7982</v>
      </c>
      <c r="E882" s="371" t="str">
        <f t="shared" si="67"/>
        <v>あさみつ　はるあ</v>
      </c>
      <c r="F882" s="39" t="s">
        <v>2299</v>
      </c>
      <c r="G882" s="39" t="s">
        <v>7828</v>
      </c>
      <c r="H882" s="39" t="str">
        <f>("2014/06/11")</f>
        <v>2014/06/11</v>
      </c>
      <c r="I882" s="39">
        <v>5</v>
      </c>
      <c r="J882" s="39" t="s">
        <v>1480</v>
      </c>
      <c r="K882" s="39" t="s">
        <v>2122</v>
      </c>
      <c r="L882" s="39" t="s">
        <v>7830</v>
      </c>
      <c r="M882" s="39" t="s">
        <v>7831</v>
      </c>
      <c r="N882" s="39" t="str">
        <f>("1066647")</f>
        <v>1066647</v>
      </c>
      <c r="P882" s="39" t="s">
        <v>12366</v>
      </c>
      <c r="Q882" s="39" t="s">
        <v>8568</v>
      </c>
      <c r="R882" s="39" t="s">
        <v>8569</v>
      </c>
      <c r="S882" s="39" t="s">
        <v>8570</v>
      </c>
      <c r="AK882" s="39" t="str">
        <f>("2025/03/21")</f>
        <v>2025/03/21</v>
      </c>
      <c r="AL882" s="39" t="str">
        <f>("2025/04/01")</f>
        <v>2025/04/01</v>
      </c>
    </row>
    <row r="883" spans="1:39" x14ac:dyDescent="0.25">
      <c r="A883" s="39" t="str">
        <f>("1406110041")</f>
        <v>1406110041</v>
      </c>
      <c r="C883" s="39"/>
      <c r="D883" s="39" t="s">
        <v>4261</v>
      </c>
      <c r="E883" s="371" t="str">
        <f t="shared" si="67"/>
        <v>ほんだ　れんま</v>
      </c>
      <c r="F883" s="39" t="s">
        <v>334</v>
      </c>
      <c r="G883" s="39" t="s">
        <v>7828</v>
      </c>
      <c r="H883" s="39" t="str">
        <f>("2014/06/11")</f>
        <v>2014/06/11</v>
      </c>
      <c r="I883" s="39">
        <v>5</v>
      </c>
      <c r="J883" s="39" t="s">
        <v>1478</v>
      </c>
      <c r="K883" s="39" t="s">
        <v>2122</v>
      </c>
      <c r="L883" s="39" t="s">
        <v>7830</v>
      </c>
      <c r="M883" s="39" t="s">
        <v>7831</v>
      </c>
      <c r="N883" s="39" t="str">
        <f>("0129664")</f>
        <v>0129664</v>
      </c>
      <c r="P883" s="39" t="s">
        <v>12367</v>
      </c>
      <c r="Q883" s="39" t="s">
        <v>8568</v>
      </c>
      <c r="R883" s="39" t="s">
        <v>8569</v>
      </c>
      <c r="S883" s="39" t="s">
        <v>8570</v>
      </c>
      <c r="AK883" s="39" t="str">
        <f>("2025/03/17")</f>
        <v>2025/03/17</v>
      </c>
      <c r="AL883" s="39" t="str">
        <f>("2025/04/01")</f>
        <v>2025/04/01</v>
      </c>
    </row>
    <row r="884" spans="1:39" x14ac:dyDescent="0.25">
      <c r="A884" s="39" t="str">
        <f>("1406110131")</f>
        <v>1406110131</v>
      </c>
      <c r="C884" s="39"/>
      <c r="D884" s="39" t="s">
        <v>7983</v>
      </c>
      <c r="E884" s="371" t="str">
        <f t="shared" si="67"/>
        <v>みずなが　ひなと</v>
      </c>
      <c r="F884" s="39" t="s">
        <v>1158</v>
      </c>
      <c r="G884" s="39" t="s">
        <v>7828</v>
      </c>
      <c r="H884" s="39" t="str">
        <f>("2014/06/11")</f>
        <v>2014/06/11</v>
      </c>
      <c r="I884" s="39">
        <v>5</v>
      </c>
      <c r="J884" s="39" t="s">
        <v>1478</v>
      </c>
      <c r="K884" s="39" t="s">
        <v>2122</v>
      </c>
      <c r="L884" s="39" t="s">
        <v>7830</v>
      </c>
      <c r="M884" s="39" t="s">
        <v>7831</v>
      </c>
      <c r="N884" s="39" t="str">
        <f>("0130318")</f>
        <v>0130318</v>
      </c>
      <c r="P884" s="39" t="s">
        <v>12368</v>
      </c>
      <c r="Q884" s="39" t="s">
        <v>8568</v>
      </c>
      <c r="R884" s="39" t="s">
        <v>8569</v>
      </c>
      <c r="S884" s="39" t="s">
        <v>8570</v>
      </c>
      <c r="AK884" s="39" t="str">
        <f>("2025/03/17")</f>
        <v>2025/03/17</v>
      </c>
      <c r="AL884" s="39" t="str">
        <f>("2025/04/01")</f>
        <v>2025/04/01</v>
      </c>
    </row>
    <row r="885" spans="1:39" x14ac:dyDescent="0.25">
      <c r="A885" s="39" t="str">
        <f>("1406120107")</f>
        <v>1406120107</v>
      </c>
      <c r="C885" s="39"/>
      <c r="D885" s="39" t="s">
        <v>7984</v>
      </c>
      <c r="E885" s="371" t="str">
        <f t="shared" si="67"/>
        <v>ひろた　るい</v>
      </c>
      <c r="F885" s="39" t="s">
        <v>684</v>
      </c>
      <c r="G885" s="39" t="s">
        <v>7828</v>
      </c>
      <c r="H885" s="39" t="str">
        <f>("2014/06/12")</f>
        <v>2014/06/12</v>
      </c>
      <c r="I885" s="39">
        <v>5</v>
      </c>
      <c r="J885" s="39" t="s">
        <v>1478</v>
      </c>
      <c r="K885" s="39" t="s">
        <v>2122</v>
      </c>
      <c r="L885" s="39" t="s">
        <v>7830</v>
      </c>
      <c r="M885" s="39" t="s">
        <v>7831</v>
      </c>
      <c r="N885" s="39" t="str">
        <f>("0129518")</f>
        <v>0129518</v>
      </c>
      <c r="P885" s="39" t="s">
        <v>11855</v>
      </c>
      <c r="Q885" s="39" t="s">
        <v>8568</v>
      </c>
      <c r="R885" s="39" t="s">
        <v>8569</v>
      </c>
      <c r="S885" s="39" t="s">
        <v>8570</v>
      </c>
      <c r="AA885" s="39" t="s">
        <v>2122</v>
      </c>
      <c r="AB885" s="39" t="s">
        <v>7830</v>
      </c>
      <c r="AC885" s="39" t="s">
        <v>7831</v>
      </c>
      <c r="AD885" s="39" t="str">
        <f>("0504908")</f>
        <v>0504908</v>
      </c>
      <c r="AE885" s="39" t="s">
        <v>827</v>
      </c>
      <c r="AK885" s="39" t="str">
        <f>("2025/04/16")</f>
        <v>2025/04/16</v>
      </c>
      <c r="AL885" s="39" t="str">
        <f>("2025/04/16")</f>
        <v>2025/04/16</v>
      </c>
    </row>
    <row r="886" spans="1:39" x14ac:dyDescent="0.25">
      <c r="A886" s="39" t="str">
        <f>("1406120128")</f>
        <v>1406120128</v>
      </c>
      <c r="B886" s="39" t="s">
        <v>7985</v>
      </c>
      <c r="C886" s="39"/>
      <c r="D886" s="39" t="s">
        <v>7986</v>
      </c>
      <c r="E886" s="371" t="str">
        <f t="shared" si="67"/>
        <v>はやし　こうた</v>
      </c>
      <c r="F886" s="39" t="s">
        <v>2587</v>
      </c>
      <c r="G886" s="39" t="s">
        <v>7828</v>
      </c>
      <c r="H886" s="39" t="str">
        <f>("2014/06/12")</f>
        <v>2014/06/12</v>
      </c>
      <c r="I886" s="39">
        <v>5</v>
      </c>
      <c r="J886" s="39" t="s">
        <v>1478</v>
      </c>
      <c r="K886" s="39" t="s">
        <v>2122</v>
      </c>
      <c r="L886" s="39" t="s">
        <v>7830</v>
      </c>
      <c r="M886" s="39" t="s">
        <v>7831</v>
      </c>
      <c r="N886" s="39" t="str">
        <f>("0387334")</f>
        <v>0387334</v>
      </c>
      <c r="P886" s="39" t="s">
        <v>12369</v>
      </c>
      <c r="Q886" s="39" t="s">
        <v>8568</v>
      </c>
      <c r="R886" s="39" t="s">
        <v>8569</v>
      </c>
      <c r="S886" s="39" t="s">
        <v>8570</v>
      </c>
      <c r="AK886" s="39" t="str">
        <f>("2025/03/27")</f>
        <v>2025/03/27</v>
      </c>
      <c r="AL886" s="39" t="str">
        <f>("2025/04/01")</f>
        <v>2025/04/01</v>
      </c>
    </row>
    <row r="887" spans="1:39" x14ac:dyDescent="0.25">
      <c r="A887" s="39" t="str">
        <f>("1406120201")</f>
        <v>1406120201</v>
      </c>
      <c r="C887" s="39"/>
      <c r="D887" s="39" t="s">
        <v>7987</v>
      </c>
      <c r="E887" s="371" t="str">
        <f t="shared" si="67"/>
        <v>かんだ　こたろう</v>
      </c>
      <c r="F887" s="39" t="s">
        <v>1977</v>
      </c>
      <c r="G887" s="39" t="s">
        <v>7828</v>
      </c>
      <c r="H887" s="39" t="str">
        <f>("2014/06/12")</f>
        <v>2014/06/12</v>
      </c>
      <c r="I887" s="39">
        <v>5</v>
      </c>
      <c r="J887" s="39" t="s">
        <v>1478</v>
      </c>
      <c r="K887" s="39" t="s">
        <v>2122</v>
      </c>
      <c r="L887" s="39" t="s">
        <v>7830</v>
      </c>
      <c r="M887" s="39" t="s">
        <v>7831</v>
      </c>
      <c r="N887" s="39" t="str">
        <f>("0395254")</f>
        <v>0395254</v>
      </c>
      <c r="P887" s="39" t="s">
        <v>12370</v>
      </c>
      <c r="Q887" s="39" t="s">
        <v>8568</v>
      </c>
      <c r="R887" s="39" t="s">
        <v>8569</v>
      </c>
      <c r="S887" s="39" t="s">
        <v>8570</v>
      </c>
      <c r="AK887" s="39" t="str">
        <f>("2025/03/17")</f>
        <v>2025/03/17</v>
      </c>
      <c r="AL887" s="39" t="str">
        <f>("2025/04/01")</f>
        <v>2025/04/01</v>
      </c>
    </row>
    <row r="888" spans="1:39" x14ac:dyDescent="0.25">
      <c r="A888" s="39" t="str">
        <f>("1406120227")</f>
        <v>1406120227</v>
      </c>
      <c r="C888" s="39"/>
      <c r="D888" s="39" t="s">
        <v>7988</v>
      </c>
      <c r="E888" s="371" t="str">
        <f t="shared" si="67"/>
        <v>なかむら　ゆうせい</v>
      </c>
      <c r="F888" s="39" t="s">
        <v>413</v>
      </c>
      <c r="G888" s="39" t="s">
        <v>7828</v>
      </c>
      <c r="H888" s="39" t="str">
        <f>("2014/06/12")</f>
        <v>2014/06/12</v>
      </c>
      <c r="I888" s="39">
        <v>5</v>
      </c>
      <c r="J888" s="39" t="s">
        <v>1478</v>
      </c>
      <c r="K888" s="39" t="s">
        <v>2122</v>
      </c>
      <c r="L888" s="39" t="s">
        <v>7830</v>
      </c>
      <c r="M888" s="39" t="s">
        <v>7831</v>
      </c>
      <c r="N888" s="39" t="str">
        <f>("0436902")</f>
        <v>0436902</v>
      </c>
      <c r="P888" s="39" t="s">
        <v>12371</v>
      </c>
      <c r="Q888" s="39" t="s">
        <v>8568</v>
      </c>
      <c r="R888" s="39" t="s">
        <v>8569</v>
      </c>
      <c r="S888" s="39" t="s">
        <v>8570</v>
      </c>
      <c r="AK888" s="39" t="str">
        <f>("2025/03/24")</f>
        <v>2025/03/24</v>
      </c>
      <c r="AL888" s="39" t="str">
        <f>("2025/04/01")</f>
        <v>2025/04/01</v>
      </c>
    </row>
    <row r="889" spans="1:39" x14ac:dyDescent="0.25">
      <c r="A889" s="39" t="str">
        <f>("1406130143")</f>
        <v>1406130143</v>
      </c>
      <c r="C889" s="39"/>
      <c r="D889" s="39" t="s">
        <v>5847</v>
      </c>
      <c r="E889" s="371" t="str">
        <f t="shared" si="67"/>
        <v>やまだ　りおと</v>
      </c>
      <c r="F889" s="39" t="s">
        <v>2531</v>
      </c>
      <c r="G889" s="39" t="s">
        <v>7828</v>
      </c>
      <c r="H889" s="39" t="str">
        <f>("2014/06/13")</f>
        <v>2014/06/13</v>
      </c>
      <c r="I889" s="39">
        <v>5</v>
      </c>
      <c r="J889" s="39" t="s">
        <v>1478</v>
      </c>
      <c r="K889" s="39" t="s">
        <v>2122</v>
      </c>
      <c r="L889" s="39" t="s">
        <v>7830</v>
      </c>
      <c r="M889" s="39" t="s">
        <v>7831</v>
      </c>
      <c r="N889" s="39" t="str">
        <f>("0130419")</f>
        <v>0130419</v>
      </c>
      <c r="P889" s="39" t="s">
        <v>12372</v>
      </c>
      <c r="Q889" s="39" t="s">
        <v>8568</v>
      </c>
      <c r="R889" s="39" t="s">
        <v>8569</v>
      </c>
      <c r="S889" s="39" t="s">
        <v>8570</v>
      </c>
      <c r="AK889" s="39" t="str">
        <f>("2025/03/17")</f>
        <v>2025/03/17</v>
      </c>
      <c r="AL889" s="39" t="str">
        <f>("2025/04/01")</f>
        <v>2025/04/01</v>
      </c>
    </row>
    <row r="890" spans="1:39" x14ac:dyDescent="0.25">
      <c r="A890" s="39" t="str">
        <f>("1406130147")</f>
        <v>1406130147</v>
      </c>
      <c r="C890" s="39"/>
      <c r="D890" s="39" t="s">
        <v>6096</v>
      </c>
      <c r="E890" s="371" t="str">
        <f t="shared" si="67"/>
        <v>にいな　じゅんや</v>
      </c>
      <c r="F890" s="39" t="s">
        <v>2602</v>
      </c>
      <c r="G890" s="39" t="s">
        <v>7828</v>
      </c>
      <c r="H890" s="39" t="str">
        <f>("2014/06/13")</f>
        <v>2014/06/13</v>
      </c>
      <c r="I890" s="39">
        <v>5</v>
      </c>
      <c r="J890" s="39" t="s">
        <v>1478</v>
      </c>
      <c r="K890" s="39" t="s">
        <v>2122</v>
      </c>
      <c r="L890" s="39" t="s">
        <v>7830</v>
      </c>
      <c r="M890" s="39" t="s">
        <v>7831</v>
      </c>
      <c r="N890" s="39" t="str">
        <f>("0430119")</f>
        <v>0430119</v>
      </c>
      <c r="P890" s="39" t="s">
        <v>12373</v>
      </c>
      <c r="Q890" s="39" t="s">
        <v>8568</v>
      </c>
      <c r="R890" s="39" t="s">
        <v>8569</v>
      </c>
      <c r="S890" s="39" t="s">
        <v>8570</v>
      </c>
      <c r="AK890" s="39" t="str">
        <f>("2025/03/17")</f>
        <v>2025/03/17</v>
      </c>
      <c r="AL890" s="39" t="str">
        <f>("2025/04/01")</f>
        <v>2025/04/01</v>
      </c>
    </row>
    <row r="891" spans="1:39" x14ac:dyDescent="0.25">
      <c r="A891" s="39" t="str">
        <f>("1406130249")</f>
        <v>1406130249</v>
      </c>
      <c r="C891" s="39"/>
      <c r="D891" s="39" t="s">
        <v>7989</v>
      </c>
      <c r="E891" s="371" t="str">
        <f t="shared" si="67"/>
        <v>しょうの　ゆうが</v>
      </c>
      <c r="F891" s="39" t="s">
        <v>2600</v>
      </c>
      <c r="G891" s="39" t="s">
        <v>7828</v>
      </c>
      <c r="H891" s="39" t="str">
        <f>("2014/06/13")</f>
        <v>2014/06/13</v>
      </c>
      <c r="I891" s="39">
        <v>5</v>
      </c>
      <c r="J891" s="39" t="s">
        <v>1478</v>
      </c>
      <c r="K891" s="39" t="s">
        <v>2122</v>
      </c>
      <c r="L891" s="39" t="s">
        <v>7830</v>
      </c>
      <c r="M891" s="39" t="s">
        <v>7831</v>
      </c>
      <c r="N891" s="39" t="str">
        <f>("0429757")</f>
        <v>0429757</v>
      </c>
      <c r="P891" s="39" t="s">
        <v>12374</v>
      </c>
      <c r="Q891" s="39" t="s">
        <v>8568</v>
      </c>
      <c r="R891" s="39" t="s">
        <v>8569</v>
      </c>
      <c r="S891" s="39" t="s">
        <v>8570</v>
      </c>
      <c r="AK891" s="39" t="str">
        <f>("2025/04/04")</f>
        <v>2025/04/04</v>
      </c>
      <c r="AL891" s="39" t="str">
        <f>("2025/04/04")</f>
        <v>2025/04/04</v>
      </c>
    </row>
    <row r="892" spans="1:39" x14ac:dyDescent="0.25">
      <c r="A892" s="39" t="str">
        <f>("1406140008")</f>
        <v>1406140008</v>
      </c>
      <c r="B892" s="39" t="s">
        <v>7990</v>
      </c>
      <c r="C892" s="39"/>
      <c r="D892" s="39" t="s">
        <v>5741</v>
      </c>
      <c r="E892" s="371" t="str">
        <f t="shared" si="67"/>
        <v>みやわき　こうじ</v>
      </c>
      <c r="F892" s="39" t="s">
        <v>2918</v>
      </c>
      <c r="G892" s="39" t="s">
        <v>7828</v>
      </c>
      <c r="H892" s="39" t="str">
        <f>("2014/06/14")</f>
        <v>2014/06/14</v>
      </c>
      <c r="I892" s="39">
        <v>5</v>
      </c>
      <c r="J892" s="39" t="s">
        <v>1478</v>
      </c>
      <c r="K892" s="39" t="s">
        <v>2122</v>
      </c>
      <c r="L892" s="39" t="s">
        <v>7830</v>
      </c>
      <c r="M892" s="39" t="s">
        <v>7831</v>
      </c>
      <c r="N892" s="39" t="str">
        <f>("0129912")</f>
        <v>0129912</v>
      </c>
      <c r="P892" s="39" t="s">
        <v>12375</v>
      </c>
      <c r="Q892" s="39" t="s">
        <v>8568</v>
      </c>
      <c r="R892" s="39" t="s">
        <v>8569</v>
      </c>
      <c r="S892" s="39" t="s">
        <v>8570</v>
      </c>
      <c r="AK892" s="39" t="str">
        <f>("2025/03/17")</f>
        <v>2025/03/17</v>
      </c>
      <c r="AL892" s="39" t="str">
        <f>("2025/04/01")</f>
        <v>2025/04/01</v>
      </c>
    </row>
    <row r="893" spans="1:39" x14ac:dyDescent="0.25">
      <c r="A893" s="39" t="str">
        <f>("1406140017")</f>
        <v>1406140017</v>
      </c>
      <c r="B893" s="39" t="s">
        <v>7991</v>
      </c>
      <c r="C893" s="39"/>
      <c r="D893" s="39" t="s">
        <v>7992</v>
      </c>
      <c r="E893" s="371" t="str">
        <f t="shared" si="67"/>
        <v>いわさき　りゅうしん</v>
      </c>
      <c r="F893" s="39" t="s">
        <v>2299</v>
      </c>
      <c r="G893" s="39" t="s">
        <v>7828</v>
      </c>
      <c r="H893" s="39" t="str">
        <f>("2014/06/14")</f>
        <v>2014/06/14</v>
      </c>
      <c r="I893" s="39">
        <v>5</v>
      </c>
      <c r="J893" s="39" t="s">
        <v>1478</v>
      </c>
      <c r="K893" s="39" t="s">
        <v>2122</v>
      </c>
      <c r="L893" s="39" t="s">
        <v>7830</v>
      </c>
      <c r="M893" s="39" t="s">
        <v>7831</v>
      </c>
      <c r="N893" s="39" t="str">
        <f>("1066647")</f>
        <v>1066647</v>
      </c>
      <c r="P893" s="39" t="s">
        <v>12376</v>
      </c>
      <c r="Q893" s="39" t="s">
        <v>8568</v>
      </c>
      <c r="R893" s="39" t="s">
        <v>8569</v>
      </c>
      <c r="S893" s="39" t="s">
        <v>8570</v>
      </c>
      <c r="AK893" s="39" t="str">
        <f>("2025/03/21")</f>
        <v>2025/03/21</v>
      </c>
      <c r="AL893" s="39" t="str">
        <f>("2025/04/01")</f>
        <v>2025/04/01</v>
      </c>
    </row>
    <row r="894" spans="1:39" x14ac:dyDescent="0.25">
      <c r="A894" s="39" t="str">
        <f>("1406140173")</f>
        <v>1406140173</v>
      </c>
      <c r="C894" s="39"/>
      <c r="D894" s="39" t="s">
        <v>7993</v>
      </c>
      <c r="E894" s="371" t="str">
        <f t="shared" si="67"/>
        <v>まるたに　るいと</v>
      </c>
      <c r="F894" s="39" t="s">
        <v>1481</v>
      </c>
      <c r="G894" s="39" t="s">
        <v>7828</v>
      </c>
      <c r="H894" s="39" t="str">
        <f>("2014/06/14")</f>
        <v>2014/06/14</v>
      </c>
      <c r="I894" s="39">
        <v>5</v>
      </c>
      <c r="J894" s="39" t="s">
        <v>1478</v>
      </c>
      <c r="K894" s="39" t="s">
        <v>2122</v>
      </c>
      <c r="L894" s="39" t="s">
        <v>7830</v>
      </c>
      <c r="M894" s="39" t="s">
        <v>7831</v>
      </c>
      <c r="N894" s="39" t="str">
        <f>("0129866")</f>
        <v>0129866</v>
      </c>
      <c r="P894" s="39" t="s">
        <v>12377</v>
      </c>
      <c r="Q894" s="39" t="s">
        <v>8568</v>
      </c>
      <c r="R894" s="39" t="s">
        <v>8569</v>
      </c>
      <c r="S894" s="39" t="s">
        <v>8570</v>
      </c>
      <c r="AK894" s="39" t="str">
        <f>("2025/04/04")</f>
        <v>2025/04/04</v>
      </c>
      <c r="AL894" s="39" t="str">
        <f>("2025/04/04")</f>
        <v>2025/04/04</v>
      </c>
    </row>
    <row r="895" spans="1:39" x14ac:dyDescent="0.25">
      <c r="A895" s="39" t="str">
        <f>("1406150059")</f>
        <v>1406150059</v>
      </c>
      <c r="C895" s="39"/>
      <c r="D895" s="39" t="s">
        <v>7994</v>
      </c>
      <c r="E895" s="371" t="str">
        <f t="shared" si="67"/>
        <v>いしい　ひろのり</v>
      </c>
      <c r="F895" s="39" t="s">
        <v>1917</v>
      </c>
      <c r="G895" s="39" t="s">
        <v>7876</v>
      </c>
      <c r="H895" s="39" t="str">
        <f>("2014/06/15")</f>
        <v>2014/06/15</v>
      </c>
      <c r="I895" s="39">
        <v>5</v>
      </c>
      <c r="J895" s="39" t="s">
        <v>1478</v>
      </c>
      <c r="K895" s="39" t="s">
        <v>2122</v>
      </c>
      <c r="L895" s="39" t="s">
        <v>7830</v>
      </c>
      <c r="M895" s="39" t="s">
        <v>7831</v>
      </c>
      <c r="N895" s="39" t="str">
        <f>("1032161")</f>
        <v>1032161</v>
      </c>
      <c r="P895" s="39" t="s">
        <v>12378</v>
      </c>
      <c r="Q895" s="39" t="s">
        <v>8568</v>
      </c>
      <c r="R895" s="39" t="s">
        <v>8569</v>
      </c>
      <c r="S895" s="39" t="s">
        <v>8570</v>
      </c>
      <c r="AK895" s="39" t="str">
        <f>("2025/03/21")</f>
        <v>2025/03/21</v>
      </c>
      <c r="AL895" s="39" t="str">
        <f>("2025/04/01")</f>
        <v>2025/04/01</v>
      </c>
      <c r="AM895" s="39" t="str">
        <f>("2025/07/17")</f>
        <v>2025/07/17</v>
      </c>
    </row>
    <row r="896" spans="1:39" x14ac:dyDescent="0.25">
      <c r="A896" s="39" t="str">
        <f>("1406150086")</f>
        <v>1406150086</v>
      </c>
      <c r="C896" s="39"/>
      <c r="D896" s="39" t="s">
        <v>7995</v>
      </c>
      <c r="E896" s="371" t="str">
        <f t="shared" si="67"/>
        <v>ゆふ　えいと</v>
      </c>
      <c r="F896" s="39" t="s">
        <v>1977</v>
      </c>
      <c r="G896" s="39" t="s">
        <v>7828</v>
      </c>
      <c r="H896" s="39" t="str">
        <f>("2014/06/15")</f>
        <v>2014/06/15</v>
      </c>
      <c r="I896" s="39">
        <v>5</v>
      </c>
      <c r="J896" s="39" t="s">
        <v>1478</v>
      </c>
      <c r="K896" s="39" t="s">
        <v>2122</v>
      </c>
      <c r="L896" s="39" t="s">
        <v>7830</v>
      </c>
      <c r="M896" s="39" t="s">
        <v>7831</v>
      </c>
      <c r="N896" s="39" t="str">
        <f>("0395254")</f>
        <v>0395254</v>
      </c>
      <c r="P896" s="39" t="s">
        <v>12379</v>
      </c>
      <c r="Q896" s="39" t="s">
        <v>8568</v>
      </c>
      <c r="R896" s="39" t="s">
        <v>8569</v>
      </c>
      <c r="S896" s="39" t="s">
        <v>8570</v>
      </c>
      <c r="AK896" s="39" t="str">
        <f>("2025/03/17")</f>
        <v>2025/03/17</v>
      </c>
      <c r="AL896" s="39" t="str">
        <f>("2025/04/01")</f>
        <v>2025/04/01</v>
      </c>
    </row>
    <row r="897" spans="1:38" x14ac:dyDescent="0.25">
      <c r="A897" s="39" t="str">
        <f>("1406150143")</f>
        <v>1406150143</v>
      </c>
      <c r="C897" s="39"/>
      <c r="D897" s="39" t="s">
        <v>7996</v>
      </c>
      <c r="E897" s="371" t="str">
        <f t="shared" si="67"/>
        <v>ながもと　ななか</v>
      </c>
      <c r="F897" s="39" t="s">
        <v>2274</v>
      </c>
      <c r="G897" s="39" t="s">
        <v>7828</v>
      </c>
      <c r="H897" s="39" t="str">
        <f>("2014/06/15")</f>
        <v>2014/06/15</v>
      </c>
      <c r="I897" s="39">
        <v>5</v>
      </c>
      <c r="J897" s="39" t="s">
        <v>1480</v>
      </c>
      <c r="K897" s="39" t="s">
        <v>2122</v>
      </c>
      <c r="L897" s="39" t="s">
        <v>7830</v>
      </c>
      <c r="M897" s="39" t="s">
        <v>7831</v>
      </c>
      <c r="N897" s="39" t="str">
        <f>("0129563")</f>
        <v>0129563</v>
      </c>
      <c r="P897" s="39" t="s">
        <v>12380</v>
      </c>
      <c r="Q897" s="39" t="s">
        <v>8568</v>
      </c>
      <c r="R897" s="39" t="s">
        <v>8569</v>
      </c>
      <c r="S897" s="39" t="s">
        <v>8570</v>
      </c>
      <c r="AK897" s="39" t="str">
        <f>("2025/03/17")</f>
        <v>2025/03/17</v>
      </c>
      <c r="AL897" s="39" t="str">
        <f>("2025/04/01")</f>
        <v>2025/04/01</v>
      </c>
    </row>
    <row r="898" spans="1:38" x14ac:dyDescent="0.25">
      <c r="A898" s="39" t="str">
        <f>("1406150158")</f>
        <v>1406150158</v>
      </c>
      <c r="C898" s="39"/>
      <c r="D898" s="39" t="s">
        <v>6173</v>
      </c>
      <c r="E898" s="371" t="str">
        <f t="shared" si="67"/>
        <v>ながた　けいご</v>
      </c>
      <c r="F898" s="39" t="s">
        <v>2156</v>
      </c>
      <c r="G898" s="39" t="s">
        <v>7828</v>
      </c>
      <c r="H898" s="39" t="str">
        <f>("2014/06/15")</f>
        <v>2014/06/15</v>
      </c>
      <c r="I898" s="39">
        <v>5</v>
      </c>
      <c r="J898" s="39" t="s">
        <v>1478</v>
      </c>
      <c r="K898" s="39" t="s">
        <v>2122</v>
      </c>
      <c r="L898" s="39" t="s">
        <v>7830</v>
      </c>
      <c r="M898" s="39" t="s">
        <v>7831</v>
      </c>
      <c r="N898" s="39" t="str">
        <f>("0493040")</f>
        <v>0493040</v>
      </c>
      <c r="P898" s="39" t="s">
        <v>12381</v>
      </c>
      <c r="Q898" s="39" t="s">
        <v>8568</v>
      </c>
      <c r="R898" s="39" t="s">
        <v>8569</v>
      </c>
      <c r="S898" s="39" t="s">
        <v>8570</v>
      </c>
      <c r="AK898" s="39" t="str">
        <f>("2025/03/17")</f>
        <v>2025/03/17</v>
      </c>
      <c r="AL898" s="39" t="str">
        <f>("2025/04/01")</f>
        <v>2025/04/01</v>
      </c>
    </row>
    <row r="899" spans="1:38" x14ac:dyDescent="0.25">
      <c r="A899" s="39" t="str">
        <f>("1406150185")</f>
        <v>1406150185</v>
      </c>
      <c r="C899" s="39"/>
      <c r="D899" s="39" t="s">
        <v>7997</v>
      </c>
      <c r="E899" s="371" t="str">
        <f t="shared" ref="E899:E962" si="72">PHONETIC(P899)</f>
        <v>やの　あかり</v>
      </c>
      <c r="F899" s="39" t="s">
        <v>2469</v>
      </c>
      <c r="G899" s="39" t="s">
        <v>7828</v>
      </c>
      <c r="H899" s="39" t="str">
        <f>("2014/06/15")</f>
        <v>2014/06/15</v>
      </c>
      <c r="I899" s="39">
        <v>5</v>
      </c>
      <c r="J899" s="39" t="s">
        <v>1480</v>
      </c>
      <c r="K899" s="39" t="s">
        <v>2122</v>
      </c>
      <c r="L899" s="39" t="s">
        <v>7830</v>
      </c>
      <c r="M899" s="39" t="s">
        <v>7831</v>
      </c>
      <c r="N899" s="39" t="str">
        <f>("0129462")</f>
        <v>0129462</v>
      </c>
      <c r="P899" s="39" t="s">
        <v>12382</v>
      </c>
      <c r="Q899" s="39" t="s">
        <v>8568</v>
      </c>
      <c r="R899" s="39" t="s">
        <v>8569</v>
      </c>
      <c r="S899" s="39" t="s">
        <v>8570</v>
      </c>
      <c r="AK899" s="39" t="str">
        <f>("2025/09/09")</f>
        <v>2025/09/09</v>
      </c>
      <c r="AL899" s="39" t="str">
        <f>("2025/09/09")</f>
        <v>2025/09/09</v>
      </c>
    </row>
    <row r="900" spans="1:38" x14ac:dyDescent="0.25">
      <c r="A900" s="39" t="str">
        <f>("1406160052")</f>
        <v>1406160052</v>
      </c>
      <c r="B900" s="39" t="s">
        <v>7998</v>
      </c>
      <c r="C900" s="39"/>
      <c r="D900" s="39" t="s">
        <v>7999</v>
      </c>
      <c r="E900" s="371" t="str">
        <f t="shared" si="72"/>
        <v>なかはた　たいが</v>
      </c>
      <c r="F900" s="39" t="s">
        <v>1239</v>
      </c>
      <c r="G900" s="39" t="s">
        <v>7828</v>
      </c>
      <c r="H900" s="39" t="str">
        <f>("2014/06/16")</f>
        <v>2014/06/16</v>
      </c>
      <c r="I900" s="39">
        <v>5</v>
      </c>
      <c r="J900" s="39" t="s">
        <v>1478</v>
      </c>
      <c r="K900" s="39" t="s">
        <v>2122</v>
      </c>
      <c r="L900" s="39" t="s">
        <v>7830</v>
      </c>
      <c r="M900" s="39" t="s">
        <v>7831</v>
      </c>
      <c r="N900" s="39" t="str">
        <f>("0129585")</f>
        <v>0129585</v>
      </c>
      <c r="P900" s="39" t="s">
        <v>12383</v>
      </c>
      <c r="Q900" s="39" t="s">
        <v>8568</v>
      </c>
      <c r="R900" s="39" t="s">
        <v>8569</v>
      </c>
      <c r="S900" s="39" t="s">
        <v>8570</v>
      </c>
      <c r="AA900" s="39" t="s">
        <v>2122</v>
      </c>
      <c r="AB900" s="39" t="s">
        <v>7830</v>
      </c>
      <c r="AC900" s="39" t="s">
        <v>7831</v>
      </c>
      <c r="AD900" s="39" t="str">
        <f>("1067415")</f>
        <v>1067415</v>
      </c>
      <c r="AE900" s="39" t="s">
        <v>2651</v>
      </c>
      <c r="AF900" s="39" t="s">
        <v>2122</v>
      </c>
      <c r="AG900" s="39" t="s">
        <v>7830</v>
      </c>
      <c r="AH900" s="39" t="s">
        <v>7831</v>
      </c>
      <c r="AI900" s="39" t="str">
        <f>("0129585")</f>
        <v>0129585</v>
      </c>
      <c r="AJ900" s="39" t="s">
        <v>1239</v>
      </c>
      <c r="AK900" s="39" t="str">
        <f t="shared" ref="AK900:AK907" si="73">("2025/03/17")</f>
        <v>2025/03/17</v>
      </c>
      <c r="AL900" s="39" t="str">
        <f t="shared" ref="AL900:AL917" si="74">("2025/04/01")</f>
        <v>2025/04/01</v>
      </c>
    </row>
    <row r="901" spans="1:38" x14ac:dyDescent="0.25">
      <c r="A901" s="39" t="str">
        <f>("1406160199")</f>
        <v>1406160199</v>
      </c>
      <c r="C901" s="39"/>
      <c r="D901" s="39" t="s">
        <v>8000</v>
      </c>
      <c r="E901" s="371" t="str">
        <f t="shared" si="72"/>
        <v>なべしま　みなと</v>
      </c>
      <c r="F901" s="39" t="s">
        <v>1014</v>
      </c>
      <c r="G901" s="39" t="s">
        <v>7828</v>
      </c>
      <c r="H901" s="39" t="str">
        <f>("2014/06/16")</f>
        <v>2014/06/16</v>
      </c>
      <c r="I901" s="39">
        <v>5</v>
      </c>
      <c r="J901" s="39" t="s">
        <v>1478</v>
      </c>
      <c r="K901" s="39" t="s">
        <v>2122</v>
      </c>
      <c r="L901" s="39" t="s">
        <v>7830</v>
      </c>
      <c r="M901" s="39" t="s">
        <v>7831</v>
      </c>
      <c r="N901" s="39" t="str">
        <f>("0513313")</f>
        <v>0513313</v>
      </c>
      <c r="P901" s="39" t="s">
        <v>12384</v>
      </c>
      <c r="Q901" s="39" t="s">
        <v>8568</v>
      </c>
      <c r="R901" s="39" t="s">
        <v>8569</v>
      </c>
      <c r="S901" s="39" t="s">
        <v>8570</v>
      </c>
      <c r="AK901" s="39" t="str">
        <f t="shared" si="73"/>
        <v>2025/03/17</v>
      </c>
      <c r="AL901" s="39" t="str">
        <f t="shared" si="74"/>
        <v>2025/04/01</v>
      </c>
    </row>
    <row r="902" spans="1:38" x14ac:dyDescent="0.25">
      <c r="A902" s="39" t="str">
        <f>("1406170183")</f>
        <v>1406170183</v>
      </c>
      <c r="C902" s="39"/>
      <c r="D902" s="39" t="s">
        <v>8001</v>
      </c>
      <c r="E902" s="371" t="str">
        <f t="shared" si="72"/>
        <v>あんどう　たくと</v>
      </c>
      <c r="F902" s="39" t="s">
        <v>2544</v>
      </c>
      <c r="G902" s="39" t="s">
        <v>7828</v>
      </c>
      <c r="H902" s="39" t="str">
        <f>("2014/06/17")</f>
        <v>2014/06/17</v>
      </c>
      <c r="I902" s="39">
        <v>5</v>
      </c>
      <c r="J902" s="39" t="s">
        <v>1478</v>
      </c>
      <c r="K902" s="39" t="s">
        <v>2122</v>
      </c>
      <c r="L902" s="39" t="s">
        <v>7830</v>
      </c>
      <c r="M902" s="39" t="s">
        <v>7831</v>
      </c>
      <c r="N902" s="39" t="str">
        <f>("0130644")</f>
        <v>0130644</v>
      </c>
      <c r="P902" s="39" t="s">
        <v>12385</v>
      </c>
      <c r="Q902" s="39" t="s">
        <v>8568</v>
      </c>
      <c r="R902" s="39" t="s">
        <v>8569</v>
      </c>
      <c r="S902" s="39" t="s">
        <v>8570</v>
      </c>
      <c r="AK902" s="39" t="str">
        <f t="shared" si="73"/>
        <v>2025/03/17</v>
      </c>
      <c r="AL902" s="39" t="str">
        <f t="shared" si="74"/>
        <v>2025/04/01</v>
      </c>
    </row>
    <row r="903" spans="1:38" x14ac:dyDescent="0.25">
      <c r="A903" s="39" t="str">
        <f>("1406170192")</f>
        <v>1406170192</v>
      </c>
      <c r="C903" s="39"/>
      <c r="D903" s="39" t="s">
        <v>4130</v>
      </c>
      <c r="E903" s="371" t="str">
        <f t="shared" si="72"/>
        <v>ふじわら　そうた</v>
      </c>
      <c r="F903" s="39" t="s">
        <v>2647</v>
      </c>
      <c r="G903" s="39" t="s">
        <v>7828</v>
      </c>
      <c r="H903" s="39" t="str">
        <f>("2014/06/17")</f>
        <v>2014/06/17</v>
      </c>
      <c r="I903" s="39">
        <v>5</v>
      </c>
      <c r="J903" s="39" t="s">
        <v>1478</v>
      </c>
      <c r="K903" s="39" t="s">
        <v>2122</v>
      </c>
      <c r="L903" s="39" t="s">
        <v>7830</v>
      </c>
      <c r="M903" s="39" t="s">
        <v>7831</v>
      </c>
      <c r="N903" s="39" t="str">
        <f>("1036817")</f>
        <v>1036817</v>
      </c>
      <c r="P903" s="39" t="s">
        <v>11522</v>
      </c>
      <c r="Q903" s="39" t="s">
        <v>8568</v>
      </c>
      <c r="R903" s="39" t="s">
        <v>8569</v>
      </c>
      <c r="S903" s="39" t="s">
        <v>8570</v>
      </c>
      <c r="AK903" s="39" t="str">
        <f t="shared" si="73"/>
        <v>2025/03/17</v>
      </c>
      <c r="AL903" s="39" t="str">
        <f t="shared" si="74"/>
        <v>2025/04/01</v>
      </c>
    </row>
    <row r="904" spans="1:38" x14ac:dyDescent="0.25">
      <c r="A904" s="39" t="str">
        <f>("1406180136")</f>
        <v>1406180136</v>
      </c>
      <c r="B904" s="39" t="s">
        <v>8002</v>
      </c>
      <c r="C904" s="39"/>
      <c r="D904" s="39" t="s">
        <v>8003</v>
      </c>
      <c r="E904" s="371" t="str">
        <f t="shared" si="72"/>
        <v>いこま　こうだい</v>
      </c>
      <c r="F904" s="39" t="s">
        <v>4220</v>
      </c>
      <c r="G904" s="39" t="s">
        <v>7828</v>
      </c>
      <c r="H904" s="39" t="str">
        <f>("2014/06/18")</f>
        <v>2014/06/18</v>
      </c>
      <c r="I904" s="39">
        <v>5</v>
      </c>
      <c r="J904" s="39" t="s">
        <v>1478</v>
      </c>
      <c r="K904" s="39" t="s">
        <v>2122</v>
      </c>
      <c r="L904" s="39" t="s">
        <v>7830</v>
      </c>
      <c r="M904" s="39" t="s">
        <v>7831</v>
      </c>
      <c r="N904" s="39" t="str">
        <f>("0130543")</f>
        <v>0130543</v>
      </c>
      <c r="P904" s="39" t="s">
        <v>12386</v>
      </c>
      <c r="Q904" s="39" t="s">
        <v>8568</v>
      </c>
      <c r="R904" s="39" t="s">
        <v>8569</v>
      </c>
      <c r="S904" s="39" t="s">
        <v>8570</v>
      </c>
      <c r="AK904" s="39" t="str">
        <f t="shared" si="73"/>
        <v>2025/03/17</v>
      </c>
      <c r="AL904" s="39" t="str">
        <f t="shared" si="74"/>
        <v>2025/04/01</v>
      </c>
    </row>
    <row r="905" spans="1:38" x14ac:dyDescent="0.25">
      <c r="A905" s="39" t="str">
        <f>("1406190118")</f>
        <v>1406190118</v>
      </c>
      <c r="B905" s="39" t="s">
        <v>8004</v>
      </c>
      <c r="C905" s="39"/>
      <c r="D905" s="39" t="s">
        <v>8005</v>
      </c>
      <c r="E905" s="371" t="str">
        <f t="shared" si="72"/>
        <v>なかの　はるひと</v>
      </c>
      <c r="F905" s="39" t="s">
        <v>2544</v>
      </c>
      <c r="G905" s="39" t="s">
        <v>7828</v>
      </c>
      <c r="H905" s="39" t="str">
        <f>("2014/06/19")</f>
        <v>2014/06/19</v>
      </c>
      <c r="I905" s="39">
        <v>5</v>
      </c>
      <c r="J905" s="39" t="s">
        <v>1478</v>
      </c>
      <c r="K905" s="39" t="s">
        <v>2122</v>
      </c>
      <c r="L905" s="39" t="s">
        <v>7830</v>
      </c>
      <c r="M905" s="39" t="s">
        <v>7831</v>
      </c>
      <c r="N905" s="39" t="str">
        <f>("0130644")</f>
        <v>0130644</v>
      </c>
      <c r="P905" s="39" t="s">
        <v>12387</v>
      </c>
      <c r="Q905" s="39" t="s">
        <v>8568</v>
      </c>
      <c r="R905" s="39" t="s">
        <v>8569</v>
      </c>
      <c r="S905" s="39" t="s">
        <v>8570</v>
      </c>
      <c r="AK905" s="39" t="str">
        <f t="shared" si="73"/>
        <v>2025/03/17</v>
      </c>
      <c r="AL905" s="39" t="str">
        <f t="shared" si="74"/>
        <v>2025/04/01</v>
      </c>
    </row>
    <row r="906" spans="1:38" x14ac:dyDescent="0.25">
      <c r="A906" s="39" t="str">
        <f>("1406190119")</f>
        <v>1406190119</v>
      </c>
      <c r="B906" s="39" t="s">
        <v>8006</v>
      </c>
      <c r="C906" s="39"/>
      <c r="D906" s="39" t="s">
        <v>8007</v>
      </c>
      <c r="E906" s="371" t="str">
        <f t="shared" si="72"/>
        <v>なかの　なつひと</v>
      </c>
      <c r="F906" s="39" t="s">
        <v>2544</v>
      </c>
      <c r="G906" s="39" t="s">
        <v>7828</v>
      </c>
      <c r="H906" s="39" t="str">
        <f>("2014/06/19")</f>
        <v>2014/06/19</v>
      </c>
      <c r="I906" s="39">
        <v>5</v>
      </c>
      <c r="J906" s="39" t="s">
        <v>1478</v>
      </c>
      <c r="K906" s="39" t="s">
        <v>2122</v>
      </c>
      <c r="L906" s="39" t="s">
        <v>7830</v>
      </c>
      <c r="M906" s="39" t="s">
        <v>7831</v>
      </c>
      <c r="N906" s="39" t="str">
        <f>("0130644")</f>
        <v>0130644</v>
      </c>
      <c r="P906" s="39" t="s">
        <v>12388</v>
      </c>
      <c r="Q906" s="39" t="s">
        <v>8568</v>
      </c>
      <c r="R906" s="39" t="s">
        <v>8569</v>
      </c>
      <c r="S906" s="39" t="s">
        <v>8570</v>
      </c>
      <c r="AK906" s="39" t="str">
        <f t="shared" si="73"/>
        <v>2025/03/17</v>
      </c>
      <c r="AL906" s="39" t="str">
        <f t="shared" si="74"/>
        <v>2025/04/01</v>
      </c>
    </row>
    <row r="907" spans="1:38" x14ac:dyDescent="0.25">
      <c r="A907" s="39" t="str">
        <f>("1406190125")</f>
        <v>1406190125</v>
      </c>
      <c r="C907" s="39"/>
      <c r="D907" s="39" t="s">
        <v>6010</v>
      </c>
      <c r="E907" s="371" t="str">
        <f t="shared" si="72"/>
        <v>さとう　ぎんた</v>
      </c>
      <c r="F907" s="39" t="s">
        <v>1865</v>
      </c>
      <c r="G907" s="39" t="s">
        <v>7828</v>
      </c>
      <c r="H907" s="39" t="str">
        <f>("2014/06/19")</f>
        <v>2014/06/19</v>
      </c>
      <c r="I907" s="39">
        <v>5</v>
      </c>
      <c r="J907" s="39" t="s">
        <v>1478</v>
      </c>
      <c r="K907" s="39" t="s">
        <v>2122</v>
      </c>
      <c r="L907" s="39" t="s">
        <v>7830</v>
      </c>
      <c r="M907" s="39" t="s">
        <v>7831</v>
      </c>
      <c r="N907" s="39" t="str">
        <f>("0310565")</f>
        <v>0310565</v>
      </c>
      <c r="P907" s="39" t="s">
        <v>12389</v>
      </c>
      <c r="Q907" s="39" t="s">
        <v>8568</v>
      </c>
      <c r="R907" s="39" t="s">
        <v>8569</v>
      </c>
      <c r="S907" s="39" t="s">
        <v>8570</v>
      </c>
      <c r="AK907" s="39" t="str">
        <f t="shared" si="73"/>
        <v>2025/03/17</v>
      </c>
      <c r="AL907" s="39" t="str">
        <f t="shared" si="74"/>
        <v>2025/04/01</v>
      </c>
    </row>
    <row r="908" spans="1:38" x14ac:dyDescent="0.25">
      <c r="A908" s="39" t="str">
        <f>("1406190165")</f>
        <v>1406190165</v>
      </c>
      <c r="C908" s="39"/>
      <c r="D908" s="39" t="s">
        <v>8008</v>
      </c>
      <c r="E908" s="371" t="str">
        <f t="shared" si="72"/>
        <v>いわもと　そうすけ</v>
      </c>
      <c r="F908" s="39" t="s">
        <v>5615</v>
      </c>
      <c r="G908" s="39" t="s">
        <v>7828</v>
      </c>
      <c r="H908" s="39" t="str">
        <f>("2014/06/19")</f>
        <v>2014/06/19</v>
      </c>
      <c r="I908" s="39">
        <v>5</v>
      </c>
      <c r="J908" s="39" t="s">
        <v>1478</v>
      </c>
      <c r="K908" s="39" t="s">
        <v>2122</v>
      </c>
      <c r="L908" s="39" t="s">
        <v>7830</v>
      </c>
      <c r="M908" s="39" t="s">
        <v>7831</v>
      </c>
      <c r="N908" s="39" t="str">
        <f>("0129642")</f>
        <v>0129642</v>
      </c>
      <c r="P908" s="39" t="s">
        <v>12390</v>
      </c>
      <c r="Q908" s="39" t="s">
        <v>8568</v>
      </c>
      <c r="R908" s="39" t="s">
        <v>8569</v>
      </c>
      <c r="S908" s="39" t="s">
        <v>8570</v>
      </c>
      <c r="AK908" s="39" t="str">
        <f>("2025/03/24")</f>
        <v>2025/03/24</v>
      </c>
      <c r="AL908" s="39" t="str">
        <f t="shared" si="74"/>
        <v>2025/04/01</v>
      </c>
    </row>
    <row r="909" spans="1:38" x14ac:dyDescent="0.25">
      <c r="A909" s="39" t="str">
        <f>("1406190184")</f>
        <v>1406190184</v>
      </c>
      <c r="C909" s="39"/>
      <c r="D909" s="39" t="s">
        <v>6104</v>
      </c>
      <c r="E909" s="371" t="str">
        <f t="shared" si="72"/>
        <v>ささき　はやと</v>
      </c>
      <c r="F909" s="39" t="s">
        <v>5618</v>
      </c>
      <c r="G909" s="39" t="s">
        <v>7828</v>
      </c>
      <c r="H909" s="39" t="str">
        <f>("2014/06/19")</f>
        <v>2014/06/19</v>
      </c>
      <c r="I909" s="39">
        <v>5</v>
      </c>
      <c r="J909" s="39" t="s">
        <v>1478</v>
      </c>
      <c r="K909" s="39" t="s">
        <v>2122</v>
      </c>
      <c r="L909" s="39" t="s">
        <v>7830</v>
      </c>
      <c r="M909" s="39" t="s">
        <v>7831</v>
      </c>
      <c r="N909" s="39" t="str">
        <f>("0433235")</f>
        <v>0433235</v>
      </c>
      <c r="P909" s="39" t="s">
        <v>12391</v>
      </c>
      <c r="Q909" s="39" t="s">
        <v>8568</v>
      </c>
      <c r="R909" s="39" t="s">
        <v>8569</v>
      </c>
      <c r="S909" s="39" t="s">
        <v>8570</v>
      </c>
      <c r="AK909" s="39" t="str">
        <f>("2025/03/17")</f>
        <v>2025/03/17</v>
      </c>
      <c r="AL909" s="39" t="str">
        <f t="shared" si="74"/>
        <v>2025/04/01</v>
      </c>
    </row>
    <row r="910" spans="1:38" x14ac:dyDescent="0.25">
      <c r="A910" s="39" t="str">
        <f>("1406200049")</f>
        <v>1406200049</v>
      </c>
      <c r="C910" s="39"/>
      <c r="D910" s="39" t="s">
        <v>5823</v>
      </c>
      <c r="E910" s="371" t="str">
        <f t="shared" si="72"/>
        <v>そのだ　やまと</v>
      </c>
      <c r="F910" s="39" t="s">
        <v>5616</v>
      </c>
      <c r="G910" s="39" t="s">
        <v>7828</v>
      </c>
      <c r="H910" s="39" t="str">
        <f t="shared" ref="H910:H915" si="75">("2014/06/20")</f>
        <v>2014/06/20</v>
      </c>
      <c r="I910" s="39">
        <v>5</v>
      </c>
      <c r="J910" s="39" t="s">
        <v>1478</v>
      </c>
      <c r="K910" s="39" t="s">
        <v>2122</v>
      </c>
      <c r="L910" s="39" t="s">
        <v>7830</v>
      </c>
      <c r="M910" s="39" t="s">
        <v>7831</v>
      </c>
      <c r="N910" s="39" t="str">
        <f>("0130385")</f>
        <v>0130385</v>
      </c>
      <c r="P910" s="39" t="s">
        <v>12392</v>
      </c>
      <c r="Q910" s="39" t="s">
        <v>8568</v>
      </c>
      <c r="R910" s="39" t="s">
        <v>8569</v>
      </c>
      <c r="S910" s="39" t="s">
        <v>8570</v>
      </c>
      <c r="AK910" s="39" t="str">
        <f>("2025/03/17")</f>
        <v>2025/03/17</v>
      </c>
      <c r="AL910" s="39" t="str">
        <f t="shared" si="74"/>
        <v>2025/04/01</v>
      </c>
    </row>
    <row r="911" spans="1:38" x14ac:dyDescent="0.25">
      <c r="A911" s="39" t="str">
        <f>("1406200076")</f>
        <v>1406200076</v>
      </c>
      <c r="B911" s="39" t="s">
        <v>8009</v>
      </c>
      <c r="C911" s="39"/>
      <c r="D911" s="39" t="s">
        <v>8010</v>
      </c>
      <c r="E911" s="371" t="str">
        <f t="shared" si="72"/>
        <v>くつかけ　はるま</v>
      </c>
      <c r="F911" s="39" t="s">
        <v>1330</v>
      </c>
      <c r="G911" s="39" t="s">
        <v>7828</v>
      </c>
      <c r="H911" s="39" t="str">
        <f t="shared" si="75"/>
        <v>2014/06/20</v>
      </c>
      <c r="I911" s="39">
        <v>5</v>
      </c>
      <c r="J911" s="39" t="s">
        <v>1478</v>
      </c>
      <c r="K911" s="39" t="s">
        <v>2122</v>
      </c>
      <c r="L911" s="39" t="s">
        <v>7830</v>
      </c>
      <c r="M911" s="39" t="s">
        <v>7831</v>
      </c>
      <c r="N911" s="39" t="str">
        <f>("0130598")</f>
        <v>0130598</v>
      </c>
      <c r="P911" s="39" t="s">
        <v>12393</v>
      </c>
      <c r="Q911" s="39" t="s">
        <v>8568</v>
      </c>
      <c r="R911" s="39" t="s">
        <v>8569</v>
      </c>
      <c r="S911" s="39" t="s">
        <v>8570</v>
      </c>
      <c r="AK911" s="39" t="str">
        <f>("2025/03/17")</f>
        <v>2025/03/17</v>
      </c>
      <c r="AL911" s="39" t="str">
        <f t="shared" si="74"/>
        <v>2025/04/01</v>
      </c>
    </row>
    <row r="912" spans="1:38" x14ac:dyDescent="0.25">
      <c r="A912" s="39" t="str">
        <f>("1406200078")</f>
        <v>1406200078</v>
      </c>
      <c r="C912" s="39"/>
      <c r="D912" s="39" t="s">
        <v>5997</v>
      </c>
      <c r="E912" s="371" t="str">
        <f t="shared" si="72"/>
        <v>いちはら　ひな</v>
      </c>
      <c r="F912" s="39" t="s">
        <v>2349</v>
      </c>
      <c r="G912" s="39" t="s">
        <v>7828</v>
      </c>
      <c r="H912" s="39" t="str">
        <f t="shared" si="75"/>
        <v>2014/06/20</v>
      </c>
      <c r="I912" s="39">
        <v>5</v>
      </c>
      <c r="J912" s="39" t="s">
        <v>1480</v>
      </c>
      <c r="K912" s="39" t="s">
        <v>2122</v>
      </c>
      <c r="L912" s="39" t="s">
        <v>7830</v>
      </c>
      <c r="M912" s="39" t="s">
        <v>7831</v>
      </c>
      <c r="N912" s="39" t="str">
        <f>("0292081")</f>
        <v>0292081</v>
      </c>
      <c r="P912" s="39" t="s">
        <v>12394</v>
      </c>
      <c r="Q912" s="39" t="s">
        <v>8568</v>
      </c>
      <c r="R912" s="39" t="s">
        <v>8569</v>
      </c>
      <c r="S912" s="39" t="s">
        <v>8570</v>
      </c>
      <c r="AK912" s="39" t="str">
        <f>("2025/03/24")</f>
        <v>2025/03/24</v>
      </c>
      <c r="AL912" s="39" t="str">
        <f t="shared" si="74"/>
        <v>2025/04/01</v>
      </c>
    </row>
    <row r="913" spans="1:38" x14ac:dyDescent="0.25">
      <c r="A913" s="39" t="str">
        <f>("1406200107")</f>
        <v>1406200107</v>
      </c>
      <c r="C913" s="39"/>
      <c r="D913" s="39" t="s">
        <v>8011</v>
      </c>
      <c r="E913" s="371" t="str">
        <f t="shared" si="72"/>
        <v>たつぶち　あつと</v>
      </c>
      <c r="F913" s="39" t="s">
        <v>2619</v>
      </c>
      <c r="G913" s="39" t="s">
        <v>7828</v>
      </c>
      <c r="H913" s="39" t="str">
        <f t="shared" si="75"/>
        <v>2014/06/20</v>
      </c>
      <c r="I913" s="39">
        <v>5</v>
      </c>
      <c r="J913" s="39" t="s">
        <v>1478</v>
      </c>
      <c r="K913" s="39" t="s">
        <v>2122</v>
      </c>
      <c r="L913" s="39" t="s">
        <v>7830</v>
      </c>
      <c r="M913" s="39" t="s">
        <v>7831</v>
      </c>
      <c r="N913" s="39" t="str">
        <f>("0472823")</f>
        <v>0472823</v>
      </c>
      <c r="P913" s="39" t="s">
        <v>12395</v>
      </c>
      <c r="Q913" s="39" t="s">
        <v>8568</v>
      </c>
      <c r="R913" s="39" t="s">
        <v>8569</v>
      </c>
      <c r="S913" s="39" t="s">
        <v>8570</v>
      </c>
      <c r="AK913" s="39" t="str">
        <f>("2025/03/17")</f>
        <v>2025/03/17</v>
      </c>
      <c r="AL913" s="39" t="str">
        <f t="shared" si="74"/>
        <v>2025/04/01</v>
      </c>
    </row>
    <row r="914" spans="1:38" x14ac:dyDescent="0.25">
      <c r="A914" s="39" t="str">
        <f>("1406200108")</f>
        <v>1406200108</v>
      </c>
      <c r="C914" s="39"/>
      <c r="D914" s="39" t="s">
        <v>8012</v>
      </c>
      <c r="E914" s="371" t="str">
        <f t="shared" si="72"/>
        <v>しらいし　ゆら</v>
      </c>
      <c r="F914" s="39" t="s">
        <v>2619</v>
      </c>
      <c r="G914" s="39" t="s">
        <v>7828</v>
      </c>
      <c r="H914" s="39" t="str">
        <f t="shared" si="75"/>
        <v>2014/06/20</v>
      </c>
      <c r="I914" s="39">
        <v>5</v>
      </c>
      <c r="J914" s="39" t="s">
        <v>1478</v>
      </c>
      <c r="K914" s="39" t="s">
        <v>2122</v>
      </c>
      <c r="L914" s="39" t="s">
        <v>7830</v>
      </c>
      <c r="M914" s="39" t="s">
        <v>7831</v>
      </c>
      <c r="N914" s="39" t="str">
        <f>("0472823")</f>
        <v>0472823</v>
      </c>
      <c r="P914" s="39" t="s">
        <v>12396</v>
      </c>
      <c r="Q914" s="39" t="s">
        <v>8568</v>
      </c>
      <c r="R914" s="39" t="s">
        <v>8569</v>
      </c>
      <c r="S914" s="39" t="s">
        <v>8570</v>
      </c>
      <c r="AK914" s="39" t="str">
        <f>("2025/03/17")</f>
        <v>2025/03/17</v>
      </c>
      <c r="AL914" s="39" t="str">
        <f t="shared" si="74"/>
        <v>2025/04/01</v>
      </c>
    </row>
    <row r="915" spans="1:38" x14ac:dyDescent="0.25">
      <c r="A915" s="39" t="str">
        <f>("1406200141")</f>
        <v>1406200141</v>
      </c>
      <c r="B915" s="39" t="s">
        <v>8013</v>
      </c>
      <c r="C915" s="39"/>
      <c r="D915" s="39" t="s">
        <v>8014</v>
      </c>
      <c r="E915" s="371" t="str">
        <f t="shared" si="72"/>
        <v>ごとう　えるま</v>
      </c>
      <c r="F915" s="39" t="s">
        <v>1207</v>
      </c>
      <c r="G915" s="39" t="s">
        <v>7828</v>
      </c>
      <c r="H915" s="39" t="str">
        <f t="shared" si="75"/>
        <v>2014/06/20</v>
      </c>
      <c r="I915" s="39">
        <v>5</v>
      </c>
      <c r="J915" s="39" t="s">
        <v>1478</v>
      </c>
      <c r="K915" s="39" t="s">
        <v>2122</v>
      </c>
      <c r="L915" s="39" t="s">
        <v>7830</v>
      </c>
      <c r="M915" s="39" t="s">
        <v>7831</v>
      </c>
      <c r="N915" s="39" t="str">
        <f>("0381608")</f>
        <v>0381608</v>
      </c>
      <c r="P915" s="39" t="s">
        <v>12397</v>
      </c>
      <c r="Q915" s="39" t="s">
        <v>8568</v>
      </c>
      <c r="R915" s="39" t="s">
        <v>8569</v>
      </c>
      <c r="S915" s="39" t="s">
        <v>8570</v>
      </c>
      <c r="AK915" s="39" t="str">
        <f>("2025/03/21")</f>
        <v>2025/03/21</v>
      </c>
      <c r="AL915" s="39" t="str">
        <f t="shared" si="74"/>
        <v>2025/04/01</v>
      </c>
    </row>
    <row r="916" spans="1:38" x14ac:dyDescent="0.25">
      <c r="A916" s="39" t="str">
        <f>("1406210019")</f>
        <v>1406210019</v>
      </c>
      <c r="C916" s="39"/>
      <c r="D916" s="39" t="s">
        <v>5647</v>
      </c>
      <c r="E916" s="371" t="str">
        <f t="shared" si="72"/>
        <v>よしみつ　ゆうと</v>
      </c>
      <c r="F916" s="39" t="s">
        <v>684</v>
      </c>
      <c r="G916" s="39" t="s">
        <v>7828</v>
      </c>
      <c r="H916" s="39" t="str">
        <f>("2014/06/21")</f>
        <v>2014/06/21</v>
      </c>
      <c r="I916" s="39">
        <v>5</v>
      </c>
      <c r="J916" s="39" t="s">
        <v>1478</v>
      </c>
      <c r="K916" s="39" t="s">
        <v>2122</v>
      </c>
      <c r="L916" s="39" t="s">
        <v>7830</v>
      </c>
      <c r="M916" s="39" t="s">
        <v>7831</v>
      </c>
      <c r="N916" s="39" t="str">
        <f>("0129518")</f>
        <v>0129518</v>
      </c>
      <c r="P916" s="39" t="s">
        <v>12398</v>
      </c>
      <c r="Q916" s="39" t="s">
        <v>8568</v>
      </c>
      <c r="R916" s="39" t="s">
        <v>8569</v>
      </c>
      <c r="S916" s="39" t="s">
        <v>8570</v>
      </c>
      <c r="AA916" s="39" t="s">
        <v>2122</v>
      </c>
      <c r="AB916" s="39" t="s">
        <v>7830</v>
      </c>
      <c r="AC916" s="39" t="s">
        <v>7831</v>
      </c>
      <c r="AD916" s="39" t="str">
        <f>("0504908")</f>
        <v>0504908</v>
      </c>
      <c r="AE916" s="39" t="s">
        <v>827</v>
      </c>
      <c r="AK916" s="39" t="str">
        <f>("2025/03/17")</f>
        <v>2025/03/17</v>
      </c>
      <c r="AL916" s="39" t="str">
        <f t="shared" si="74"/>
        <v>2025/04/01</v>
      </c>
    </row>
    <row r="917" spans="1:38" x14ac:dyDescent="0.25">
      <c r="A917" s="39" t="str">
        <f>("1406220089")</f>
        <v>1406220089</v>
      </c>
      <c r="B917" s="39" t="s">
        <v>8015</v>
      </c>
      <c r="C917" s="39"/>
      <c r="D917" s="39" t="s">
        <v>5899</v>
      </c>
      <c r="E917" s="371" t="str">
        <f t="shared" si="72"/>
        <v>おの　ひなた</v>
      </c>
      <c r="F917" s="39" t="s">
        <v>1344</v>
      </c>
      <c r="G917" s="39" t="s">
        <v>7828</v>
      </c>
      <c r="H917" s="39" t="str">
        <f>("2014/06/22")</f>
        <v>2014/06/22</v>
      </c>
      <c r="I917" s="39">
        <v>5</v>
      </c>
      <c r="J917" s="39" t="s">
        <v>1478</v>
      </c>
      <c r="K917" s="39" t="s">
        <v>2122</v>
      </c>
      <c r="L917" s="39" t="s">
        <v>7830</v>
      </c>
      <c r="M917" s="39" t="s">
        <v>7831</v>
      </c>
      <c r="N917" s="39" t="str">
        <f>("0130587")</f>
        <v>0130587</v>
      </c>
      <c r="P917" s="39" t="s">
        <v>12399</v>
      </c>
      <c r="Q917" s="39" t="s">
        <v>8568</v>
      </c>
      <c r="R917" s="39" t="s">
        <v>8569</v>
      </c>
      <c r="S917" s="39" t="s">
        <v>8570</v>
      </c>
      <c r="AK917" s="39" t="str">
        <f>("2025/03/17")</f>
        <v>2025/03/17</v>
      </c>
      <c r="AL917" s="39" t="str">
        <f t="shared" si="74"/>
        <v>2025/04/01</v>
      </c>
    </row>
    <row r="918" spans="1:38" x14ac:dyDescent="0.25">
      <c r="A918" s="39" t="str">
        <f>("1406230128")</f>
        <v>1406230128</v>
      </c>
      <c r="C918" s="39"/>
      <c r="D918" s="39" t="s">
        <v>8016</v>
      </c>
      <c r="E918" s="371" t="str">
        <f t="shared" si="72"/>
        <v>しのはら　みのり</v>
      </c>
      <c r="F918" s="39" t="s">
        <v>2022</v>
      </c>
      <c r="G918" s="39" t="s">
        <v>7828</v>
      </c>
      <c r="H918" s="39" t="str">
        <f>("2014/06/23")</f>
        <v>2014/06/23</v>
      </c>
      <c r="I918" s="39">
        <v>5</v>
      </c>
      <c r="J918" s="39" t="s">
        <v>1478</v>
      </c>
      <c r="K918" s="39" t="s">
        <v>2122</v>
      </c>
      <c r="L918" s="39" t="s">
        <v>7830</v>
      </c>
      <c r="M918" s="39" t="s">
        <v>7831</v>
      </c>
      <c r="N918" s="39" t="str">
        <f>("0130329")</f>
        <v>0130329</v>
      </c>
      <c r="P918" s="39" t="s">
        <v>12400</v>
      </c>
      <c r="Q918" s="39" t="s">
        <v>8568</v>
      </c>
      <c r="R918" s="39" t="s">
        <v>8569</v>
      </c>
      <c r="S918" s="39" t="s">
        <v>8570</v>
      </c>
      <c r="AA918" s="39" t="s">
        <v>2122</v>
      </c>
      <c r="AB918" s="39" t="s">
        <v>7830</v>
      </c>
      <c r="AC918" s="39" t="s">
        <v>7831</v>
      </c>
      <c r="AD918" s="39" t="str">
        <f>("0436902")</f>
        <v>0436902</v>
      </c>
      <c r="AE918" s="39" t="s">
        <v>413</v>
      </c>
      <c r="AK918" s="39" t="str">
        <f>("2025/04/10")</f>
        <v>2025/04/10</v>
      </c>
      <c r="AL918" s="39" t="str">
        <f>("2025/04/10")</f>
        <v>2025/04/10</v>
      </c>
    </row>
    <row r="919" spans="1:38" x14ac:dyDescent="0.25">
      <c r="A919" s="39" t="str">
        <f>("1406230195")</f>
        <v>1406230195</v>
      </c>
      <c r="C919" s="39"/>
      <c r="D919" s="39" t="s">
        <v>8017</v>
      </c>
      <c r="E919" s="371" t="str">
        <f t="shared" si="72"/>
        <v>しゅとう　えいた</v>
      </c>
      <c r="F919" s="39" t="s">
        <v>2587</v>
      </c>
      <c r="G919" s="39" t="s">
        <v>7828</v>
      </c>
      <c r="H919" s="39" t="str">
        <f>("2014/06/23")</f>
        <v>2014/06/23</v>
      </c>
      <c r="I919" s="39">
        <v>5</v>
      </c>
      <c r="J919" s="39" t="s">
        <v>1478</v>
      </c>
      <c r="K919" s="39" t="s">
        <v>2122</v>
      </c>
      <c r="L919" s="39" t="s">
        <v>7830</v>
      </c>
      <c r="M919" s="39" t="s">
        <v>7831</v>
      </c>
      <c r="N919" s="39" t="str">
        <f>("0387334")</f>
        <v>0387334</v>
      </c>
      <c r="P919" s="39" t="s">
        <v>11838</v>
      </c>
      <c r="Q919" s="39" t="s">
        <v>8568</v>
      </c>
      <c r="R919" s="39" t="s">
        <v>8569</v>
      </c>
      <c r="S919" s="39" t="s">
        <v>8570</v>
      </c>
      <c r="AK919" s="39" t="str">
        <f>("2025/03/27")</f>
        <v>2025/03/27</v>
      </c>
      <c r="AL919" s="39" t="str">
        <f>("2025/04/01")</f>
        <v>2025/04/01</v>
      </c>
    </row>
    <row r="920" spans="1:38" x14ac:dyDescent="0.25">
      <c r="A920" s="39" t="str">
        <f>("1406240140")</f>
        <v>1406240140</v>
      </c>
      <c r="C920" s="39"/>
      <c r="D920" s="39" t="s">
        <v>8018</v>
      </c>
      <c r="E920" s="371" t="str">
        <f t="shared" si="72"/>
        <v>さとう　ゆうと</v>
      </c>
      <c r="F920" s="39" t="s">
        <v>1968</v>
      </c>
      <c r="G920" s="39" t="s">
        <v>7828</v>
      </c>
      <c r="H920" s="39" t="str">
        <f>("2014/06/24")</f>
        <v>2014/06/24</v>
      </c>
      <c r="I920" s="39">
        <v>5</v>
      </c>
      <c r="J920" s="39" t="s">
        <v>1478</v>
      </c>
      <c r="K920" s="39" t="s">
        <v>2122</v>
      </c>
      <c r="L920" s="39" t="s">
        <v>7830</v>
      </c>
      <c r="M920" s="39" t="s">
        <v>7831</v>
      </c>
      <c r="N920" s="39" t="str">
        <f>("0129507")</f>
        <v>0129507</v>
      </c>
      <c r="P920" s="39" t="s">
        <v>11881</v>
      </c>
      <c r="Q920" s="39" t="s">
        <v>8568</v>
      </c>
      <c r="R920" s="39" t="s">
        <v>8569</v>
      </c>
      <c r="S920" s="39" t="s">
        <v>8570</v>
      </c>
      <c r="AK920" s="39" t="str">
        <f>("2025/03/17")</f>
        <v>2025/03/17</v>
      </c>
      <c r="AL920" s="39" t="str">
        <f>("2025/04/01")</f>
        <v>2025/04/01</v>
      </c>
    </row>
    <row r="921" spans="1:38" x14ac:dyDescent="0.25">
      <c r="A921" s="39" t="str">
        <f>("1406250099")</f>
        <v>1406250099</v>
      </c>
      <c r="B921" s="39" t="s">
        <v>8019</v>
      </c>
      <c r="C921" s="39"/>
      <c r="D921" s="39" t="s">
        <v>5789</v>
      </c>
      <c r="E921" s="371" t="str">
        <f t="shared" si="72"/>
        <v>きもと　たお</v>
      </c>
      <c r="F921" s="39" t="s">
        <v>2516</v>
      </c>
      <c r="G921" s="39" t="s">
        <v>7828</v>
      </c>
      <c r="H921" s="39" t="str">
        <f>("2014/06/25")</f>
        <v>2014/06/25</v>
      </c>
      <c r="I921" s="39">
        <v>5</v>
      </c>
      <c r="J921" s="39" t="s">
        <v>1478</v>
      </c>
      <c r="K921" s="39" t="s">
        <v>2122</v>
      </c>
      <c r="L921" s="39" t="s">
        <v>7830</v>
      </c>
      <c r="M921" s="39" t="s">
        <v>7831</v>
      </c>
      <c r="N921" s="39" t="str">
        <f>("0130116")</f>
        <v>0130116</v>
      </c>
      <c r="P921" s="39" t="s">
        <v>12401</v>
      </c>
      <c r="Q921" s="39" t="s">
        <v>8568</v>
      </c>
      <c r="R921" s="39" t="s">
        <v>8569</v>
      </c>
      <c r="S921" s="39" t="s">
        <v>8570</v>
      </c>
      <c r="AK921" s="39" t="str">
        <f>("2025/03/25")</f>
        <v>2025/03/25</v>
      </c>
      <c r="AL921" s="39" t="str">
        <f>("2025/04/01")</f>
        <v>2025/04/01</v>
      </c>
    </row>
    <row r="922" spans="1:38" x14ac:dyDescent="0.25">
      <c r="A922" s="39" t="str">
        <f>("1406250185")</f>
        <v>1406250185</v>
      </c>
      <c r="C922" s="39"/>
      <c r="D922" s="39" t="s">
        <v>8020</v>
      </c>
      <c r="E922" s="371" t="str">
        <f t="shared" si="72"/>
        <v>ながの　よしつぐ</v>
      </c>
      <c r="F922" s="39" t="s">
        <v>947</v>
      </c>
      <c r="G922" s="39" t="s">
        <v>7828</v>
      </c>
      <c r="H922" s="39" t="str">
        <f>("2014/06/25")</f>
        <v>2014/06/25</v>
      </c>
      <c r="I922" s="39">
        <v>5</v>
      </c>
      <c r="J922" s="39" t="s">
        <v>1478</v>
      </c>
      <c r="K922" s="39" t="s">
        <v>2122</v>
      </c>
      <c r="L922" s="39" t="s">
        <v>7830</v>
      </c>
      <c r="M922" s="39" t="s">
        <v>7831</v>
      </c>
      <c r="N922" s="39" t="str">
        <f>("0130183")</f>
        <v>0130183</v>
      </c>
      <c r="P922" s="39" t="s">
        <v>12402</v>
      </c>
      <c r="Q922" s="39" t="s">
        <v>8568</v>
      </c>
      <c r="R922" s="39" t="s">
        <v>8569</v>
      </c>
      <c r="S922" s="39" t="s">
        <v>8570</v>
      </c>
      <c r="AK922" s="39" t="str">
        <f>("2025/03/27")</f>
        <v>2025/03/27</v>
      </c>
      <c r="AL922" s="39" t="str">
        <f>("2025/04/01")</f>
        <v>2025/04/01</v>
      </c>
    </row>
    <row r="923" spans="1:38" x14ac:dyDescent="0.25">
      <c r="A923" s="39" t="str">
        <f>("1406250191")</f>
        <v>1406250191</v>
      </c>
      <c r="C923" s="39"/>
      <c r="D923" s="39" t="s">
        <v>8021</v>
      </c>
      <c r="E923" s="371" t="str">
        <f t="shared" si="72"/>
        <v>なかの　いっせい</v>
      </c>
      <c r="F923" s="39" t="s">
        <v>2573</v>
      </c>
      <c r="G923" s="39" t="s">
        <v>7828</v>
      </c>
      <c r="H923" s="39" t="str">
        <f>("2014/06/25")</f>
        <v>2014/06/25</v>
      </c>
      <c r="I923" s="39">
        <v>5</v>
      </c>
      <c r="J923" s="39" t="s">
        <v>1478</v>
      </c>
      <c r="K923" s="39" t="s">
        <v>2122</v>
      </c>
      <c r="L923" s="39" t="s">
        <v>7830</v>
      </c>
      <c r="M923" s="39" t="s">
        <v>7831</v>
      </c>
      <c r="N923" s="39" t="str">
        <f>("0230982")</f>
        <v>0230982</v>
      </c>
      <c r="P923" s="39" t="s">
        <v>12403</v>
      </c>
      <c r="Q923" s="39" t="s">
        <v>8568</v>
      </c>
      <c r="R923" s="39" t="s">
        <v>8569</v>
      </c>
      <c r="S923" s="39" t="s">
        <v>8570</v>
      </c>
      <c r="AK923" s="39" t="str">
        <f>("2025/03/17")</f>
        <v>2025/03/17</v>
      </c>
      <c r="AL923" s="39" t="str">
        <f>("2025/04/01")</f>
        <v>2025/04/01</v>
      </c>
    </row>
    <row r="924" spans="1:38" x14ac:dyDescent="0.25">
      <c r="A924" s="39" t="str">
        <f>("1406250265")</f>
        <v>1406250265</v>
      </c>
      <c r="C924" s="39"/>
      <c r="D924" s="39" t="s">
        <v>8022</v>
      </c>
      <c r="E924" s="371" t="str">
        <f t="shared" si="72"/>
        <v>あべ　そうま</v>
      </c>
      <c r="F924" s="39" t="s">
        <v>4220</v>
      </c>
      <c r="G924" s="39" t="s">
        <v>7828</v>
      </c>
      <c r="H924" s="39" t="str">
        <f>("2014/06/25")</f>
        <v>2014/06/25</v>
      </c>
      <c r="I924" s="39">
        <v>5</v>
      </c>
      <c r="J924" s="39" t="s">
        <v>1478</v>
      </c>
      <c r="K924" s="39" t="s">
        <v>2122</v>
      </c>
      <c r="L924" s="39" t="s">
        <v>7830</v>
      </c>
      <c r="M924" s="39" t="s">
        <v>7831</v>
      </c>
      <c r="N924" s="39" t="str">
        <f>("0130543")</f>
        <v>0130543</v>
      </c>
      <c r="P924" s="39" t="s">
        <v>12404</v>
      </c>
      <c r="Q924" s="39" t="s">
        <v>8568</v>
      </c>
      <c r="R924" s="39" t="s">
        <v>8569</v>
      </c>
      <c r="S924" s="39" t="s">
        <v>8570</v>
      </c>
      <c r="AK924" s="39" t="str">
        <f>("2025/04/10")</f>
        <v>2025/04/10</v>
      </c>
      <c r="AL924" s="39" t="str">
        <f>("2025/04/10")</f>
        <v>2025/04/10</v>
      </c>
    </row>
    <row r="925" spans="1:38" x14ac:dyDescent="0.25">
      <c r="A925" s="39" t="str">
        <f>("1406270207")</f>
        <v>1406270207</v>
      </c>
      <c r="C925" s="39"/>
      <c r="D925" s="39" t="s">
        <v>8023</v>
      </c>
      <c r="E925" s="371" t="str">
        <f t="shared" si="72"/>
        <v>みつなが　えいしょう</v>
      </c>
      <c r="F925" s="39" t="s">
        <v>2619</v>
      </c>
      <c r="G925" s="39" t="s">
        <v>7828</v>
      </c>
      <c r="H925" s="39" t="str">
        <f>("2014/06/27")</f>
        <v>2014/06/27</v>
      </c>
      <c r="I925" s="39">
        <v>5</v>
      </c>
      <c r="J925" s="39" t="s">
        <v>1478</v>
      </c>
      <c r="K925" s="39" t="s">
        <v>2122</v>
      </c>
      <c r="L925" s="39" t="s">
        <v>7830</v>
      </c>
      <c r="M925" s="39" t="s">
        <v>7831</v>
      </c>
      <c r="N925" s="39" t="str">
        <f>("0472823")</f>
        <v>0472823</v>
      </c>
      <c r="P925" s="39" t="s">
        <v>12405</v>
      </c>
      <c r="Q925" s="39" t="s">
        <v>8568</v>
      </c>
      <c r="R925" s="39" t="s">
        <v>8569</v>
      </c>
      <c r="S925" s="39" t="s">
        <v>8570</v>
      </c>
      <c r="AK925" s="39" t="str">
        <f>("2025/03/17")</f>
        <v>2025/03/17</v>
      </c>
      <c r="AL925" s="39" t="str">
        <f t="shared" ref="AL925:AL933" si="76">("2025/04/01")</f>
        <v>2025/04/01</v>
      </c>
    </row>
    <row r="926" spans="1:38" x14ac:dyDescent="0.25">
      <c r="A926" s="39" t="str">
        <f>("1406290079")</f>
        <v>1406290079</v>
      </c>
      <c r="B926" s="39" t="s">
        <v>8024</v>
      </c>
      <c r="C926" s="39"/>
      <c r="D926" s="39" t="s">
        <v>8025</v>
      </c>
      <c r="E926" s="371" t="str">
        <f t="shared" si="72"/>
        <v>ふじさわ　かんた</v>
      </c>
      <c r="F926" s="39" t="s">
        <v>2325</v>
      </c>
      <c r="G926" s="39" t="s">
        <v>7828</v>
      </c>
      <c r="H926" s="39" t="str">
        <f>("2014/06/29")</f>
        <v>2014/06/29</v>
      </c>
      <c r="I926" s="39">
        <v>5</v>
      </c>
      <c r="J926" s="39" t="s">
        <v>1478</v>
      </c>
      <c r="K926" s="39" t="s">
        <v>2122</v>
      </c>
      <c r="L926" s="39" t="s">
        <v>7830</v>
      </c>
      <c r="M926" s="39" t="s">
        <v>7831</v>
      </c>
      <c r="N926" s="39" t="str">
        <f>("0155034")</f>
        <v>0155034</v>
      </c>
      <c r="P926" s="39" t="s">
        <v>12406</v>
      </c>
      <c r="Q926" s="39" t="s">
        <v>8568</v>
      </c>
      <c r="R926" s="39" t="s">
        <v>8569</v>
      </c>
      <c r="S926" s="39" t="s">
        <v>8570</v>
      </c>
      <c r="AK926" s="39" t="str">
        <f>("2025/03/17")</f>
        <v>2025/03/17</v>
      </c>
      <c r="AL926" s="39" t="str">
        <f t="shared" si="76"/>
        <v>2025/04/01</v>
      </c>
    </row>
    <row r="927" spans="1:38" x14ac:dyDescent="0.25">
      <c r="A927" s="39" t="str">
        <f>("1406290111")</f>
        <v>1406290111</v>
      </c>
      <c r="C927" s="39"/>
      <c r="D927" s="39" t="s">
        <v>6288</v>
      </c>
      <c r="E927" s="371" t="str">
        <f t="shared" si="72"/>
        <v>ざいつ　ゆうせい</v>
      </c>
      <c r="F927" s="39" t="s">
        <v>5621</v>
      </c>
      <c r="G927" s="39" t="s">
        <v>7828</v>
      </c>
      <c r="H927" s="39" t="str">
        <f>("2014/06/29")</f>
        <v>2014/06/29</v>
      </c>
      <c r="I927" s="39">
        <v>5</v>
      </c>
      <c r="J927" s="39" t="s">
        <v>1478</v>
      </c>
      <c r="K927" s="39" t="s">
        <v>2122</v>
      </c>
      <c r="L927" s="39" t="s">
        <v>7830</v>
      </c>
      <c r="M927" s="39" t="s">
        <v>7831</v>
      </c>
      <c r="N927" s="39" t="str">
        <f>("1110654")</f>
        <v>1110654</v>
      </c>
      <c r="P927" s="39" t="s">
        <v>12407</v>
      </c>
      <c r="Q927" s="39" t="s">
        <v>8568</v>
      </c>
      <c r="R927" s="39" t="s">
        <v>8569</v>
      </c>
      <c r="S927" s="39" t="s">
        <v>8570</v>
      </c>
      <c r="AK927" s="39" t="str">
        <f>("2025/03/03")</f>
        <v>2025/03/03</v>
      </c>
      <c r="AL927" s="39" t="str">
        <f t="shared" si="76"/>
        <v>2025/04/01</v>
      </c>
    </row>
    <row r="928" spans="1:38" x14ac:dyDescent="0.25">
      <c r="A928" s="39" t="str">
        <f>("1406300095")</f>
        <v>1406300095</v>
      </c>
      <c r="C928" s="39"/>
      <c r="D928" s="39" t="s">
        <v>8026</v>
      </c>
      <c r="E928" s="371" t="str">
        <f t="shared" si="72"/>
        <v>おの　そうま</v>
      </c>
      <c r="F928" s="39" t="s">
        <v>520</v>
      </c>
      <c r="G928" s="39" t="s">
        <v>7828</v>
      </c>
      <c r="H928" s="39" t="str">
        <f>("2014/06/30")</f>
        <v>2014/06/30</v>
      </c>
      <c r="I928" s="39">
        <v>5</v>
      </c>
      <c r="J928" s="39" t="s">
        <v>1478</v>
      </c>
      <c r="K928" s="39" t="s">
        <v>2122</v>
      </c>
      <c r="L928" s="39" t="s">
        <v>7830</v>
      </c>
      <c r="M928" s="39" t="s">
        <v>7831</v>
      </c>
      <c r="N928" s="39" t="str">
        <f>("0129765")</f>
        <v>0129765</v>
      </c>
      <c r="P928" s="39" t="s">
        <v>12408</v>
      </c>
      <c r="Q928" s="39" t="s">
        <v>8568</v>
      </c>
      <c r="R928" s="39" t="s">
        <v>8569</v>
      </c>
      <c r="S928" s="39" t="s">
        <v>8570</v>
      </c>
      <c r="AK928" s="39" t="str">
        <f>("2025/03/17")</f>
        <v>2025/03/17</v>
      </c>
      <c r="AL928" s="39" t="str">
        <f t="shared" si="76"/>
        <v>2025/04/01</v>
      </c>
    </row>
    <row r="929" spans="1:38" x14ac:dyDescent="0.25">
      <c r="A929" s="39" t="str">
        <f>("1407010008")</f>
        <v>1407010008</v>
      </c>
      <c r="C929" s="39"/>
      <c r="D929" s="39" t="s">
        <v>4388</v>
      </c>
      <c r="E929" s="371" t="str">
        <f t="shared" si="72"/>
        <v>きもと　まきと</v>
      </c>
      <c r="F929" s="39" t="s">
        <v>2514</v>
      </c>
      <c r="G929" s="39" t="s">
        <v>7828</v>
      </c>
      <c r="H929" s="39" t="str">
        <f>("2014/07/01")</f>
        <v>2014/07/01</v>
      </c>
      <c r="I929" s="39">
        <v>5</v>
      </c>
      <c r="J929" s="39" t="s">
        <v>1478</v>
      </c>
      <c r="K929" s="39" t="s">
        <v>2122</v>
      </c>
      <c r="L929" s="39" t="s">
        <v>7830</v>
      </c>
      <c r="M929" s="39" t="s">
        <v>7831</v>
      </c>
      <c r="N929" s="39" t="str">
        <f>("0130093")</f>
        <v>0130093</v>
      </c>
      <c r="P929" s="39" t="s">
        <v>12409</v>
      </c>
      <c r="Q929" s="39" t="s">
        <v>8568</v>
      </c>
      <c r="R929" s="39" t="s">
        <v>8569</v>
      </c>
      <c r="S929" s="39" t="s">
        <v>8570</v>
      </c>
      <c r="AA929" s="39" t="s">
        <v>2122</v>
      </c>
      <c r="AB929" s="39" t="s">
        <v>7830</v>
      </c>
      <c r="AC929" s="39" t="s">
        <v>7831</v>
      </c>
      <c r="AD929" s="39" t="str">
        <f>("0130071")</f>
        <v>0130071</v>
      </c>
      <c r="AE929" s="39" t="s">
        <v>2173</v>
      </c>
      <c r="AK929" s="39" t="str">
        <f>("2025/04/01")</f>
        <v>2025/04/01</v>
      </c>
      <c r="AL929" s="39" t="str">
        <f t="shared" si="76"/>
        <v>2025/04/01</v>
      </c>
    </row>
    <row r="930" spans="1:38" x14ac:dyDescent="0.25">
      <c r="A930" s="39" t="str">
        <f>("1407010015")</f>
        <v>1407010015</v>
      </c>
      <c r="C930" s="39"/>
      <c r="D930" s="39" t="s">
        <v>5869</v>
      </c>
      <c r="E930" s="371" t="str">
        <f t="shared" si="72"/>
        <v>あかぎ　なおと</v>
      </c>
      <c r="F930" s="39" t="s">
        <v>2533</v>
      </c>
      <c r="G930" s="39" t="s">
        <v>7828</v>
      </c>
      <c r="H930" s="39" t="str">
        <f>("2014/07/01")</f>
        <v>2014/07/01</v>
      </c>
      <c r="I930" s="39">
        <v>5</v>
      </c>
      <c r="J930" s="39" t="s">
        <v>1478</v>
      </c>
      <c r="K930" s="39" t="s">
        <v>2122</v>
      </c>
      <c r="L930" s="39" t="s">
        <v>7830</v>
      </c>
      <c r="M930" s="39" t="s">
        <v>7831</v>
      </c>
      <c r="N930" s="39" t="str">
        <f>("0130497")</f>
        <v>0130497</v>
      </c>
      <c r="P930" s="39" t="s">
        <v>12410</v>
      </c>
      <c r="Q930" s="39" t="s">
        <v>8568</v>
      </c>
      <c r="R930" s="39" t="s">
        <v>8569</v>
      </c>
      <c r="S930" s="39" t="s">
        <v>8570</v>
      </c>
      <c r="AK930" s="39" t="str">
        <f>("2025/03/17")</f>
        <v>2025/03/17</v>
      </c>
      <c r="AL930" s="39" t="str">
        <f t="shared" si="76"/>
        <v>2025/04/01</v>
      </c>
    </row>
    <row r="931" spans="1:38" x14ac:dyDescent="0.25">
      <c r="A931" s="39" t="str">
        <f>("1407010176")</f>
        <v>1407010176</v>
      </c>
      <c r="C931" s="39"/>
      <c r="D931" s="39" t="s">
        <v>8027</v>
      </c>
      <c r="E931" s="371" t="str">
        <f t="shared" si="72"/>
        <v>おの　けいしろう</v>
      </c>
      <c r="F931" s="39" t="s">
        <v>2243</v>
      </c>
      <c r="G931" s="39" t="s">
        <v>7828</v>
      </c>
      <c r="H931" s="39" t="str">
        <f>("2014/07/01")</f>
        <v>2014/07/01</v>
      </c>
      <c r="I931" s="39">
        <v>5</v>
      </c>
      <c r="J931" s="39" t="s">
        <v>1478</v>
      </c>
      <c r="K931" s="39" t="s">
        <v>2122</v>
      </c>
      <c r="L931" s="39" t="s">
        <v>7830</v>
      </c>
      <c r="M931" s="39" t="s">
        <v>7831</v>
      </c>
      <c r="N931" s="39" t="str">
        <f>("0130565")</f>
        <v>0130565</v>
      </c>
      <c r="P931" s="39" t="s">
        <v>12411</v>
      </c>
      <c r="Q931" s="39" t="s">
        <v>8568</v>
      </c>
      <c r="R931" s="39" t="s">
        <v>8569</v>
      </c>
      <c r="S931" s="39" t="s">
        <v>8570</v>
      </c>
      <c r="AK931" s="39" t="str">
        <f>("2025/03/17")</f>
        <v>2025/03/17</v>
      </c>
      <c r="AL931" s="39" t="str">
        <f t="shared" si="76"/>
        <v>2025/04/01</v>
      </c>
    </row>
    <row r="932" spans="1:38" x14ac:dyDescent="0.25">
      <c r="A932" s="39" t="str">
        <f>("1407010217")</f>
        <v>1407010217</v>
      </c>
      <c r="C932" s="39"/>
      <c r="D932" s="39" t="s">
        <v>8028</v>
      </c>
      <c r="E932" s="371" t="str">
        <f t="shared" si="72"/>
        <v>はせべ　ゆずと</v>
      </c>
      <c r="F932" s="39" t="s">
        <v>947</v>
      </c>
      <c r="G932" s="39" t="s">
        <v>7828</v>
      </c>
      <c r="H932" s="39" t="str">
        <f>("2014/07/01")</f>
        <v>2014/07/01</v>
      </c>
      <c r="I932" s="39">
        <v>5</v>
      </c>
      <c r="J932" s="39" t="s">
        <v>1478</v>
      </c>
      <c r="K932" s="39" t="s">
        <v>2122</v>
      </c>
      <c r="L932" s="39" t="s">
        <v>7830</v>
      </c>
      <c r="M932" s="39" t="s">
        <v>7831</v>
      </c>
      <c r="N932" s="39" t="str">
        <f>("0130183")</f>
        <v>0130183</v>
      </c>
      <c r="P932" s="39" t="s">
        <v>12412</v>
      </c>
      <c r="Q932" s="39" t="s">
        <v>8568</v>
      </c>
      <c r="R932" s="39" t="s">
        <v>8569</v>
      </c>
      <c r="S932" s="39" t="s">
        <v>8570</v>
      </c>
      <c r="AK932" s="39" t="str">
        <f>("2025/03/27")</f>
        <v>2025/03/27</v>
      </c>
      <c r="AL932" s="39" t="str">
        <f t="shared" si="76"/>
        <v>2025/04/01</v>
      </c>
    </row>
    <row r="933" spans="1:38" x14ac:dyDescent="0.25">
      <c r="A933" s="39" t="str">
        <f>("1407010231")</f>
        <v>1407010231</v>
      </c>
      <c r="C933" s="39"/>
      <c r="D933" s="39" t="s">
        <v>6180</v>
      </c>
      <c r="E933" s="371" t="str">
        <f t="shared" si="72"/>
        <v>かじわら　なつ</v>
      </c>
      <c r="F933" s="39" t="s">
        <v>827</v>
      </c>
      <c r="G933" s="39" t="s">
        <v>7828</v>
      </c>
      <c r="H933" s="39" t="str">
        <f>("2014/07/01")</f>
        <v>2014/07/01</v>
      </c>
      <c r="I933" s="39">
        <v>5</v>
      </c>
      <c r="J933" s="39" t="s">
        <v>1478</v>
      </c>
      <c r="K933" s="39" t="s">
        <v>2122</v>
      </c>
      <c r="L933" s="39" t="s">
        <v>7830</v>
      </c>
      <c r="M933" s="39" t="s">
        <v>7831</v>
      </c>
      <c r="N933" s="39" t="str">
        <f>("0504908")</f>
        <v>0504908</v>
      </c>
      <c r="P933" s="39" t="s">
        <v>12413</v>
      </c>
      <c r="Q933" s="39" t="s">
        <v>8568</v>
      </c>
      <c r="R933" s="39" t="s">
        <v>8569</v>
      </c>
      <c r="S933" s="39" t="s">
        <v>8570</v>
      </c>
      <c r="AK933" s="39" t="str">
        <f>("2025/03/21")</f>
        <v>2025/03/21</v>
      </c>
      <c r="AL933" s="39" t="str">
        <f t="shared" si="76"/>
        <v>2025/04/01</v>
      </c>
    </row>
    <row r="934" spans="1:38" x14ac:dyDescent="0.25">
      <c r="A934" s="39" t="str">
        <f>("1407020078")</f>
        <v>1407020078</v>
      </c>
      <c r="B934" s="39" t="s">
        <v>8029</v>
      </c>
      <c r="C934" s="39"/>
      <c r="D934" s="39" t="s">
        <v>6274</v>
      </c>
      <c r="E934" s="371" t="str">
        <f t="shared" si="72"/>
        <v>むろ　れんと</v>
      </c>
      <c r="F934" s="39" t="s">
        <v>1239</v>
      </c>
      <c r="G934" s="39" t="s">
        <v>7828</v>
      </c>
      <c r="H934" s="39" t="str">
        <f>("2014/07/02")</f>
        <v>2014/07/02</v>
      </c>
      <c r="I934" s="39">
        <v>5</v>
      </c>
      <c r="J934" s="39" t="s">
        <v>1478</v>
      </c>
      <c r="K934" s="39" t="s">
        <v>2122</v>
      </c>
      <c r="L934" s="39" t="s">
        <v>7830</v>
      </c>
      <c r="M934" s="39" t="s">
        <v>7831</v>
      </c>
      <c r="N934" s="39" t="str">
        <f>("0129585")</f>
        <v>0129585</v>
      </c>
      <c r="P934" s="39" t="s">
        <v>12414</v>
      </c>
      <c r="Q934" s="39" t="s">
        <v>8568</v>
      </c>
      <c r="R934" s="39" t="s">
        <v>8569</v>
      </c>
      <c r="S934" s="39" t="s">
        <v>8570</v>
      </c>
      <c r="AA934" s="39" t="s">
        <v>2122</v>
      </c>
      <c r="AB934" s="39" t="s">
        <v>7830</v>
      </c>
      <c r="AC934" s="39" t="s">
        <v>7831</v>
      </c>
      <c r="AD934" s="39" t="str">
        <f>("1101553")</f>
        <v>1101553</v>
      </c>
      <c r="AE934" s="39" t="s">
        <v>5620</v>
      </c>
      <c r="AK934" s="39" t="str">
        <f>("2025/10/07")</f>
        <v>2025/10/07</v>
      </c>
      <c r="AL934" s="39" t="str">
        <f>("2025/10/07")</f>
        <v>2025/10/07</v>
      </c>
    </row>
    <row r="935" spans="1:38" x14ac:dyDescent="0.25">
      <c r="A935" s="39" t="str">
        <f>("1407030052")</f>
        <v>1407030052</v>
      </c>
      <c r="B935" s="39" t="s">
        <v>8030</v>
      </c>
      <c r="C935" s="39"/>
      <c r="D935" s="39" t="s">
        <v>4695</v>
      </c>
      <c r="E935" s="371" t="str">
        <f t="shared" si="72"/>
        <v>さとう　えいすけ</v>
      </c>
      <c r="F935" s="39" t="s">
        <v>2395</v>
      </c>
      <c r="G935" s="39" t="s">
        <v>7828</v>
      </c>
      <c r="H935" s="39" t="str">
        <f>("2014/07/03")</f>
        <v>2014/07/03</v>
      </c>
      <c r="I935" s="39">
        <v>5</v>
      </c>
      <c r="J935" s="39" t="s">
        <v>1478</v>
      </c>
      <c r="K935" s="39" t="s">
        <v>2122</v>
      </c>
      <c r="L935" s="39" t="s">
        <v>7830</v>
      </c>
      <c r="M935" s="39" t="s">
        <v>7831</v>
      </c>
      <c r="N935" s="39" t="str">
        <f>("0366735")</f>
        <v>0366735</v>
      </c>
      <c r="P935" s="39" t="s">
        <v>12415</v>
      </c>
      <c r="Q935" s="39" t="s">
        <v>8568</v>
      </c>
      <c r="R935" s="39" t="s">
        <v>8569</v>
      </c>
      <c r="S935" s="39" t="s">
        <v>8570</v>
      </c>
      <c r="AK935" s="39" t="str">
        <f>("2025/03/17")</f>
        <v>2025/03/17</v>
      </c>
      <c r="AL935" s="39" t="str">
        <f t="shared" ref="AL935:AL959" si="77">("2025/04/01")</f>
        <v>2025/04/01</v>
      </c>
    </row>
    <row r="936" spans="1:38" x14ac:dyDescent="0.25">
      <c r="A936" s="39" t="str">
        <f>("1407040094")</f>
        <v>1407040094</v>
      </c>
      <c r="C936" s="39"/>
      <c r="D936" s="39" t="s">
        <v>8031</v>
      </c>
      <c r="E936" s="371" t="str">
        <f t="shared" si="72"/>
        <v>うえだ　ふうり</v>
      </c>
      <c r="F936" s="39" t="s">
        <v>8032</v>
      </c>
      <c r="G936" s="39" t="s">
        <v>7828</v>
      </c>
      <c r="H936" s="39" t="str">
        <f>("2014/07/04")</f>
        <v>2014/07/04</v>
      </c>
      <c r="I936" s="39">
        <v>5</v>
      </c>
      <c r="J936" s="39" t="s">
        <v>1478</v>
      </c>
      <c r="K936" s="39" t="s">
        <v>2122</v>
      </c>
      <c r="L936" s="39" t="s">
        <v>7830</v>
      </c>
      <c r="M936" s="39" t="s">
        <v>7831</v>
      </c>
      <c r="N936" s="39" t="str">
        <f>("0452911")</f>
        <v>0452911</v>
      </c>
      <c r="P936" s="39" t="s">
        <v>12416</v>
      </c>
      <c r="Q936" s="39" t="s">
        <v>8568</v>
      </c>
      <c r="R936" s="39" t="s">
        <v>8569</v>
      </c>
      <c r="S936" s="39" t="s">
        <v>8570</v>
      </c>
      <c r="AK936" s="39" t="str">
        <f>("2025/04/10")</f>
        <v>2025/04/10</v>
      </c>
      <c r="AL936" s="39" t="str">
        <f t="shared" si="77"/>
        <v>2025/04/01</v>
      </c>
    </row>
    <row r="937" spans="1:38" x14ac:dyDescent="0.25">
      <c r="A937" s="39" t="str">
        <f>("1407040112")</f>
        <v>1407040112</v>
      </c>
      <c r="C937" s="39"/>
      <c r="D937" s="39" t="s">
        <v>8033</v>
      </c>
      <c r="E937" s="371" t="str">
        <f t="shared" si="72"/>
        <v>ひしかわ　はやと</v>
      </c>
      <c r="F937" s="39" t="s">
        <v>413</v>
      </c>
      <c r="G937" s="39" t="s">
        <v>7828</v>
      </c>
      <c r="H937" s="39" t="str">
        <f>("2014/07/04")</f>
        <v>2014/07/04</v>
      </c>
      <c r="I937" s="39">
        <v>5</v>
      </c>
      <c r="J937" s="39" t="s">
        <v>1478</v>
      </c>
      <c r="K937" s="39" t="s">
        <v>2122</v>
      </c>
      <c r="L937" s="39" t="s">
        <v>7830</v>
      </c>
      <c r="M937" s="39" t="s">
        <v>7831</v>
      </c>
      <c r="N937" s="39" t="str">
        <f>("0436902")</f>
        <v>0436902</v>
      </c>
      <c r="P937" s="39" t="s">
        <v>12417</v>
      </c>
      <c r="Q937" s="39" t="s">
        <v>8568</v>
      </c>
      <c r="R937" s="39" t="s">
        <v>8569</v>
      </c>
      <c r="S937" s="39" t="s">
        <v>8570</v>
      </c>
      <c r="AK937" s="39" t="str">
        <f>("2025/03/24")</f>
        <v>2025/03/24</v>
      </c>
      <c r="AL937" s="39" t="str">
        <f t="shared" si="77"/>
        <v>2025/04/01</v>
      </c>
    </row>
    <row r="938" spans="1:38" x14ac:dyDescent="0.25">
      <c r="A938" s="39" t="str">
        <f>("1407060007")</f>
        <v>1407060007</v>
      </c>
      <c r="C938" s="39"/>
      <c r="D938" s="39" t="s">
        <v>8034</v>
      </c>
      <c r="E938" s="371" t="str">
        <f t="shared" si="72"/>
        <v>さとう　ようた</v>
      </c>
      <c r="F938" s="39" t="s">
        <v>2575</v>
      </c>
      <c r="G938" s="39" t="s">
        <v>7828</v>
      </c>
      <c r="H938" s="39" t="str">
        <f>("2014/07/06")</f>
        <v>2014/07/06</v>
      </c>
      <c r="I938" s="39">
        <v>5</v>
      </c>
      <c r="J938" s="39" t="s">
        <v>1478</v>
      </c>
      <c r="K938" s="39" t="s">
        <v>2122</v>
      </c>
      <c r="L938" s="39" t="s">
        <v>7830</v>
      </c>
      <c r="M938" s="39" t="s">
        <v>7831</v>
      </c>
      <c r="N938" s="39" t="str">
        <f>("0303040")</f>
        <v>0303040</v>
      </c>
      <c r="P938" s="39" t="s">
        <v>12418</v>
      </c>
      <c r="Q938" s="39" t="s">
        <v>8568</v>
      </c>
      <c r="R938" s="39" t="s">
        <v>8569</v>
      </c>
      <c r="S938" s="39" t="s">
        <v>8570</v>
      </c>
      <c r="AK938" s="39" t="str">
        <f>("2025/03/17")</f>
        <v>2025/03/17</v>
      </c>
      <c r="AL938" s="39" t="str">
        <f t="shared" si="77"/>
        <v>2025/04/01</v>
      </c>
    </row>
    <row r="939" spans="1:38" x14ac:dyDescent="0.25">
      <c r="A939" s="39" t="str">
        <f>("1407060072")</f>
        <v>1407060072</v>
      </c>
      <c r="B939" s="39" t="s">
        <v>8035</v>
      </c>
      <c r="C939" s="39"/>
      <c r="D939" s="39" t="s">
        <v>8036</v>
      </c>
      <c r="E939" s="371" t="str">
        <f t="shared" si="72"/>
        <v>たかはし　れお</v>
      </c>
      <c r="F939" s="39" t="s">
        <v>1912</v>
      </c>
      <c r="G939" s="39" t="s">
        <v>7828</v>
      </c>
      <c r="H939" s="39" t="str">
        <f>("2014/07/06")</f>
        <v>2014/07/06</v>
      </c>
      <c r="I939" s="39">
        <v>5</v>
      </c>
      <c r="J939" s="39" t="s">
        <v>1478</v>
      </c>
      <c r="K939" s="39" t="s">
        <v>2122</v>
      </c>
      <c r="L939" s="39" t="s">
        <v>7830</v>
      </c>
      <c r="M939" s="39" t="s">
        <v>7831</v>
      </c>
      <c r="N939" s="39" t="str">
        <f>("0130363")</f>
        <v>0130363</v>
      </c>
      <c r="P939" s="39" t="s">
        <v>12419</v>
      </c>
      <c r="Q939" s="39" t="s">
        <v>8568</v>
      </c>
      <c r="R939" s="39" t="s">
        <v>8569</v>
      </c>
      <c r="S939" s="39" t="s">
        <v>8570</v>
      </c>
      <c r="AK939" s="39" t="str">
        <f>("2025/03/17")</f>
        <v>2025/03/17</v>
      </c>
      <c r="AL939" s="39" t="str">
        <f t="shared" si="77"/>
        <v>2025/04/01</v>
      </c>
    </row>
    <row r="940" spans="1:38" x14ac:dyDescent="0.25">
      <c r="A940" s="39" t="str">
        <f>("1407060116")</f>
        <v>1407060116</v>
      </c>
      <c r="C940" s="39"/>
      <c r="D940" s="39" t="s">
        <v>8037</v>
      </c>
      <c r="E940" s="371" t="str">
        <f t="shared" si="72"/>
        <v>すぎやま　えいと</v>
      </c>
      <c r="F940" s="39" t="s">
        <v>2647</v>
      </c>
      <c r="G940" s="39" t="s">
        <v>7828</v>
      </c>
      <c r="H940" s="39" t="str">
        <f>("2014/07/06")</f>
        <v>2014/07/06</v>
      </c>
      <c r="I940" s="39">
        <v>5</v>
      </c>
      <c r="J940" s="39" t="s">
        <v>1478</v>
      </c>
      <c r="K940" s="39" t="s">
        <v>2122</v>
      </c>
      <c r="L940" s="39" t="s">
        <v>7830</v>
      </c>
      <c r="M940" s="39" t="s">
        <v>7831</v>
      </c>
      <c r="N940" s="39" t="str">
        <f>("1036817")</f>
        <v>1036817</v>
      </c>
      <c r="P940" s="39" t="s">
        <v>12420</v>
      </c>
      <c r="Q940" s="39" t="s">
        <v>8568</v>
      </c>
      <c r="R940" s="39" t="s">
        <v>8569</v>
      </c>
      <c r="S940" s="39" t="s">
        <v>8570</v>
      </c>
      <c r="AK940" s="39" t="str">
        <f>("2025/03/17")</f>
        <v>2025/03/17</v>
      </c>
      <c r="AL940" s="39" t="str">
        <f t="shared" si="77"/>
        <v>2025/04/01</v>
      </c>
    </row>
    <row r="941" spans="1:38" x14ac:dyDescent="0.25">
      <c r="A941" s="39" t="str">
        <f>("1407060134")</f>
        <v>1407060134</v>
      </c>
      <c r="B941" s="39" t="s">
        <v>8038</v>
      </c>
      <c r="C941" s="39"/>
      <c r="D941" s="39" t="s">
        <v>8039</v>
      </c>
      <c r="E941" s="371" t="str">
        <f t="shared" si="72"/>
        <v>くろがわ　しゅはり</v>
      </c>
      <c r="F941" s="39" t="s">
        <v>1207</v>
      </c>
      <c r="G941" s="39" t="s">
        <v>7828</v>
      </c>
      <c r="H941" s="39" t="str">
        <f>("2014/07/06")</f>
        <v>2014/07/06</v>
      </c>
      <c r="I941" s="39">
        <v>5</v>
      </c>
      <c r="J941" s="39" t="s">
        <v>1478</v>
      </c>
      <c r="K941" s="39" t="s">
        <v>2122</v>
      </c>
      <c r="L941" s="39" t="s">
        <v>7830</v>
      </c>
      <c r="M941" s="39" t="s">
        <v>7831</v>
      </c>
      <c r="N941" s="39" t="str">
        <f>("0381608")</f>
        <v>0381608</v>
      </c>
      <c r="P941" s="39" t="s">
        <v>12421</v>
      </c>
      <c r="Q941" s="39" t="s">
        <v>8568</v>
      </c>
      <c r="R941" s="39" t="s">
        <v>8569</v>
      </c>
      <c r="S941" s="39" t="s">
        <v>8570</v>
      </c>
      <c r="AK941" s="39" t="str">
        <f>("2025/03/21")</f>
        <v>2025/03/21</v>
      </c>
      <c r="AL941" s="39" t="str">
        <f t="shared" si="77"/>
        <v>2025/04/01</v>
      </c>
    </row>
    <row r="942" spans="1:38" x14ac:dyDescent="0.25">
      <c r="A942" s="39" t="str">
        <f>("1407070128")</f>
        <v>1407070128</v>
      </c>
      <c r="B942" s="39" t="s">
        <v>8040</v>
      </c>
      <c r="C942" s="39"/>
      <c r="D942" s="39" t="s">
        <v>4380</v>
      </c>
      <c r="E942" s="371" t="str">
        <f t="shared" si="72"/>
        <v>たかつか　れん</v>
      </c>
      <c r="F942" s="39" t="s">
        <v>156</v>
      </c>
      <c r="G942" s="39" t="s">
        <v>7828</v>
      </c>
      <c r="H942" s="39" t="str">
        <f>("2014/07/07")</f>
        <v>2014/07/07</v>
      </c>
      <c r="I942" s="39">
        <v>5</v>
      </c>
      <c r="J942" s="39" t="s">
        <v>1478</v>
      </c>
      <c r="K942" s="39" t="s">
        <v>2122</v>
      </c>
      <c r="L942" s="39" t="s">
        <v>7830</v>
      </c>
      <c r="M942" s="39" t="s">
        <v>7831</v>
      </c>
      <c r="N942" s="39" t="str">
        <f>("0130037")</f>
        <v>0130037</v>
      </c>
      <c r="P942" s="39" t="s">
        <v>12422</v>
      </c>
      <c r="Q942" s="39" t="s">
        <v>8568</v>
      </c>
      <c r="R942" s="39" t="s">
        <v>8569</v>
      </c>
      <c r="S942" s="39" t="s">
        <v>8570</v>
      </c>
      <c r="AK942" s="39" t="str">
        <f>("2025/03/17")</f>
        <v>2025/03/17</v>
      </c>
      <c r="AL942" s="39" t="str">
        <f t="shared" si="77"/>
        <v>2025/04/01</v>
      </c>
    </row>
    <row r="943" spans="1:38" x14ac:dyDescent="0.25">
      <c r="A943" s="39" t="str">
        <f>("1407070225")</f>
        <v>1407070225</v>
      </c>
      <c r="C943" s="39"/>
      <c r="D943" s="39" t="s">
        <v>8041</v>
      </c>
      <c r="E943" s="371" t="str">
        <f t="shared" si="72"/>
        <v>そのだ　あき</v>
      </c>
      <c r="F943" s="39" t="s">
        <v>1446</v>
      </c>
      <c r="G943" s="39" t="s">
        <v>7828</v>
      </c>
      <c r="H943" s="39" t="str">
        <f>("2014/07/07")</f>
        <v>2014/07/07</v>
      </c>
      <c r="I943" s="39">
        <v>5</v>
      </c>
      <c r="J943" s="39" t="s">
        <v>1478</v>
      </c>
      <c r="K943" s="39" t="s">
        <v>2122</v>
      </c>
      <c r="L943" s="39" t="s">
        <v>7830</v>
      </c>
      <c r="M943" s="39" t="s">
        <v>7831</v>
      </c>
      <c r="N943" s="39" t="str">
        <f>("0478807")</f>
        <v>0478807</v>
      </c>
      <c r="P943" s="39" t="s">
        <v>12423</v>
      </c>
      <c r="Q943" s="39" t="s">
        <v>8568</v>
      </c>
      <c r="R943" s="39" t="s">
        <v>8569</v>
      </c>
      <c r="S943" s="39" t="s">
        <v>8570</v>
      </c>
      <c r="AK943" s="39" t="str">
        <f>("2025/03/21")</f>
        <v>2025/03/21</v>
      </c>
      <c r="AL943" s="39" t="str">
        <f t="shared" si="77"/>
        <v>2025/04/01</v>
      </c>
    </row>
    <row r="944" spans="1:38" x14ac:dyDescent="0.25">
      <c r="A944" s="39" t="str">
        <f>("1407070249")</f>
        <v>1407070249</v>
      </c>
      <c r="C944" s="39"/>
      <c r="D944" s="39" t="s">
        <v>8042</v>
      </c>
      <c r="E944" s="371" t="str">
        <f t="shared" si="72"/>
        <v>にしえだ　ななみ</v>
      </c>
      <c r="F944" s="39" t="s">
        <v>2139</v>
      </c>
      <c r="G944" s="39" t="s">
        <v>7828</v>
      </c>
      <c r="H944" s="39" t="str">
        <f>("2014/07/07")</f>
        <v>2014/07/07</v>
      </c>
      <c r="I944" s="39">
        <v>5</v>
      </c>
      <c r="J944" s="39" t="s">
        <v>1480</v>
      </c>
      <c r="K944" s="39" t="s">
        <v>2122</v>
      </c>
      <c r="L944" s="39" t="s">
        <v>7830</v>
      </c>
      <c r="M944" s="39" t="s">
        <v>7831</v>
      </c>
      <c r="N944" s="39" t="str">
        <f>("0129798")</f>
        <v>0129798</v>
      </c>
      <c r="P944" s="39" t="s">
        <v>12424</v>
      </c>
      <c r="Q944" s="39" t="s">
        <v>8568</v>
      </c>
      <c r="R944" s="39" t="s">
        <v>8569</v>
      </c>
      <c r="S944" s="39" t="s">
        <v>8570</v>
      </c>
      <c r="AK944" s="39" t="str">
        <f>("2025/03/27")</f>
        <v>2025/03/27</v>
      </c>
      <c r="AL944" s="39" t="str">
        <f t="shared" si="77"/>
        <v>2025/04/01</v>
      </c>
    </row>
    <row r="945" spans="1:39" x14ac:dyDescent="0.25">
      <c r="A945" s="39" t="str">
        <f>("1407080001")</f>
        <v>1407080001</v>
      </c>
      <c r="C945" s="39"/>
      <c r="D945" s="39" t="s">
        <v>8043</v>
      </c>
      <c r="E945" s="371" t="str">
        <f t="shared" si="72"/>
        <v>いわむら　しゅうま</v>
      </c>
      <c r="F945" s="39" t="s">
        <v>2619</v>
      </c>
      <c r="G945" s="39" t="s">
        <v>7828</v>
      </c>
      <c r="H945" s="39" t="str">
        <f>("2014/07/08")</f>
        <v>2014/07/08</v>
      </c>
      <c r="I945" s="39">
        <v>5</v>
      </c>
      <c r="J945" s="39" t="s">
        <v>1478</v>
      </c>
      <c r="K945" s="39" t="s">
        <v>2122</v>
      </c>
      <c r="L945" s="39" t="s">
        <v>7830</v>
      </c>
      <c r="M945" s="39" t="s">
        <v>7831</v>
      </c>
      <c r="N945" s="39" t="str">
        <f>("0472823")</f>
        <v>0472823</v>
      </c>
      <c r="P945" s="39" t="s">
        <v>12425</v>
      </c>
      <c r="Q945" s="39" t="s">
        <v>8568</v>
      </c>
      <c r="R945" s="39" t="s">
        <v>8569</v>
      </c>
      <c r="S945" s="39" t="s">
        <v>8570</v>
      </c>
      <c r="AA945" s="39" t="s">
        <v>2122</v>
      </c>
      <c r="AB945" s="39" t="s">
        <v>7830</v>
      </c>
      <c r="AC945" s="39" t="s">
        <v>7831</v>
      </c>
      <c r="AD945" s="39" t="str">
        <f>("0130363")</f>
        <v>0130363</v>
      </c>
      <c r="AE945" s="39" t="s">
        <v>1912</v>
      </c>
      <c r="AK945" s="39" t="str">
        <f>("2025/03/17")</f>
        <v>2025/03/17</v>
      </c>
      <c r="AL945" s="39" t="str">
        <f t="shared" si="77"/>
        <v>2025/04/01</v>
      </c>
    </row>
    <row r="946" spans="1:39" x14ac:dyDescent="0.25">
      <c r="A946" s="39" t="str">
        <f>("1407080155")</f>
        <v>1407080155</v>
      </c>
      <c r="C946" s="39"/>
      <c r="D946" s="39" t="s">
        <v>6088</v>
      </c>
      <c r="E946" s="371" t="str">
        <f t="shared" si="72"/>
        <v>みなみ　かなた</v>
      </c>
      <c r="F946" s="39" t="s">
        <v>947</v>
      </c>
      <c r="G946" s="39" t="s">
        <v>7828</v>
      </c>
      <c r="H946" s="39" t="str">
        <f>("2014/07/08")</f>
        <v>2014/07/08</v>
      </c>
      <c r="I946" s="39">
        <v>5</v>
      </c>
      <c r="J946" s="39" t="s">
        <v>1478</v>
      </c>
      <c r="K946" s="39" t="s">
        <v>2122</v>
      </c>
      <c r="L946" s="39" t="s">
        <v>7830</v>
      </c>
      <c r="M946" s="39" t="s">
        <v>7831</v>
      </c>
      <c r="N946" s="39" t="str">
        <f>("0130183")</f>
        <v>0130183</v>
      </c>
      <c r="P946" s="39" t="s">
        <v>12426</v>
      </c>
      <c r="Q946" s="39" t="s">
        <v>8568</v>
      </c>
      <c r="R946" s="39" t="s">
        <v>8569</v>
      </c>
      <c r="S946" s="39" t="s">
        <v>8570</v>
      </c>
      <c r="AA946" s="39" t="s">
        <v>2122</v>
      </c>
      <c r="AB946" s="39" t="s">
        <v>7830</v>
      </c>
      <c r="AC946" s="39" t="s">
        <v>7831</v>
      </c>
      <c r="AD946" s="39" t="str">
        <f>("0429757")</f>
        <v>0429757</v>
      </c>
      <c r="AE946" s="39" t="s">
        <v>2600</v>
      </c>
      <c r="AK946" s="39" t="str">
        <f>("2025/03/27")</f>
        <v>2025/03/27</v>
      </c>
      <c r="AL946" s="39" t="str">
        <f t="shared" si="77"/>
        <v>2025/04/01</v>
      </c>
    </row>
    <row r="947" spans="1:39" x14ac:dyDescent="0.25">
      <c r="A947" s="39" t="str">
        <f>("1407090009")</f>
        <v>1407090009</v>
      </c>
      <c r="B947" s="39" t="s">
        <v>8044</v>
      </c>
      <c r="C947" s="39"/>
      <c r="D947" s="39" t="s">
        <v>3923</v>
      </c>
      <c r="E947" s="371" t="str">
        <f t="shared" si="72"/>
        <v>おぎもと　たくま</v>
      </c>
      <c r="F947" s="39" t="s">
        <v>2139</v>
      </c>
      <c r="G947" s="39" t="s">
        <v>7828</v>
      </c>
      <c r="H947" s="39" t="str">
        <f>("2014/07/09")</f>
        <v>2014/07/09</v>
      </c>
      <c r="I947" s="39">
        <v>5</v>
      </c>
      <c r="J947" s="39" t="s">
        <v>1478</v>
      </c>
      <c r="K947" s="39" t="s">
        <v>2122</v>
      </c>
      <c r="L947" s="39" t="s">
        <v>7830</v>
      </c>
      <c r="M947" s="39" t="s">
        <v>7831</v>
      </c>
      <c r="N947" s="39" t="str">
        <f>("0129798")</f>
        <v>0129798</v>
      </c>
      <c r="P947" s="39" t="s">
        <v>12427</v>
      </c>
      <c r="Q947" s="39" t="s">
        <v>8568</v>
      </c>
      <c r="R947" s="39" t="s">
        <v>8569</v>
      </c>
      <c r="S947" s="39" t="s">
        <v>8570</v>
      </c>
      <c r="AK947" s="39" t="str">
        <f>("2025/03/27")</f>
        <v>2025/03/27</v>
      </c>
      <c r="AL947" s="39" t="str">
        <f t="shared" si="77"/>
        <v>2025/04/01</v>
      </c>
    </row>
    <row r="948" spans="1:39" x14ac:dyDescent="0.25">
      <c r="A948" s="39" t="str">
        <f>("1407090102")</f>
        <v>1407090102</v>
      </c>
      <c r="C948" s="39"/>
      <c r="D948" s="39" t="s">
        <v>5753</v>
      </c>
      <c r="E948" s="371" t="str">
        <f t="shared" si="72"/>
        <v>ともまつ　ゆず</v>
      </c>
      <c r="F948" s="39" t="s">
        <v>2023</v>
      </c>
      <c r="G948" s="39" t="s">
        <v>7828</v>
      </c>
      <c r="H948" s="39" t="str">
        <f>("2014/07/09")</f>
        <v>2014/07/09</v>
      </c>
      <c r="I948" s="39">
        <v>5</v>
      </c>
      <c r="J948" s="39" t="s">
        <v>1480</v>
      </c>
      <c r="K948" s="39" t="s">
        <v>2122</v>
      </c>
      <c r="L948" s="39" t="s">
        <v>7830</v>
      </c>
      <c r="M948" s="39" t="s">
        <v>7831</v>
      </c>
      <c r="N948" s="39" t="str">
        <f>("0129967")</f>
        <v>0129967</v>
      </c>
      <c r="P948" s="39" t="s">
        <v>12428</v>
      </c>
      <c r="Q948" s="39" t="s">
        <v>8568</v>
      </c>
      <c r="R948" s="39" t="s">
        <v>8569</v>
      </c>
      <c r="S948" s="39" t="s">
        <v>8570</v>
      </c>
      <c r="AK948" s="39" t="str">
        <f>("2025/03/17")</f>
        <v>2025/03/17</v>
      </c>
      <c r="AL948" s="39" t="str">
        <f t="shared" si="77"/>
        <v>2025/04/01</v>
      </c>
    </row>
    <row r="949" spans="1:39" x14ac:dyDescent="0.25">
      <c r="A949" s="39" t="str">
        <f>("1407090168")</f>
        <v>1407090168</v>
      </c>
      <c r="C949" s="39"/>
      <c r="D949" s="39" t="s">
        <v>8045</v>
      </c>
      <c r="E949" s="371" t="str">
        <f t="shared" si="72"/>
        <v>もり　かんたろう</v>
      </c>
      <c r="F949" s="39" t="s">
        <v>2600</v>
      </c>
      <c r="G949" s="39" t="s">
        <v>7828</v>
      </c>
      <c r="H949" s="39" t="str">
        <f>("2014/07/09")</f>
        <v>2014/07/09</v>
      </c>
      <c r="I949" s="39">
        <v>5</v>
      </c>
      <c r="J949" s="39" t="s">
        <v>1478</v>
      </c>
      <c r="K949" s="39" t="s">
        <v>2122</v>
      </c>
      <c r="L949" s="39" t="s">
        <v>7830</v>
      </c>
      <c r="M949" s="39" t="s">
        <v>7831</v>
      </c>
      <c r="N949" s="39" t="str">
        <f>("0429757")</f>
        <v>0429757</v>
      </c>
      <c r="P949" s="39" t="s">
        <v>12429</v>
      </c>
      <c r="Q949" s="39" t="s">
        <v>8568</v>
      </c>
      <c r="R949" s="39" t="s">
        <v>8569</v>
      </c>
      <c r="S949" s="39" t="s">
        <v>8570</v>
      </c>
      <c r="AK949" s="39" t="str">
        <f>("2025/03/24")</f>
        <v>2025/03/24</v>
      </c>
      <c r="AL949" s="39" t="str">
        <f t="shared" si="77"/>
        <v>2025/04/01</v>
      </c>
    </row>
    <row r="950" spans="1:39" x14ac:dyDescent="0.25">
      <c r="A950" s="39" t="str">
        <f>("1407100021")</f>
        <v>1407100021</v>
      </c>
      <c r="B950" s="39" t="s">
        <v>8046</v>
      </c>
      <c r="C950" s="39"/>
      <c r="D950" s="39" t="s">
        <v>8047</v>
      </c>
      <c r="E950" s="371" t="str">
        <f t="shared" si="72"/>
        <v>ほんだ　れある</v>
      </c>
      <c r="F950" s="39" t="s">
        <v>2821</v>
      </c>
      <c r="G950" s="39" t="s">
        <v>7828</v>
      </c>
      <c r="H950" s="39" t="str">
        <f>("2014/07/10")</f>
        <v>2014/07/10</v>
      </c>
      <c r="I950" s="39">
        <v>5</v>
      </c>
      <c r="J950" s="39" t="s">
        <v>1478</v>
      </c>
      <c r="K950" s="39" t="s">
        <v>2122</v>
      </c>
      <c r="L950" s="39" t="s">
        <v>7830</v>
      </c>
      <c r="M950" s="39" t="s">
        <v>7831</v>
      </c>
      <c r="N950" s="39" t="str">
        <f>("0237631")</f>
        <v>0237631</v>
      </c>
      <c r="P950" s="39" t="s">
        <v>12430</v>
      </c>
      <c r="Q950" s="39" t="s">
        <v>8568</v>
      </c>
      <c r="R950" s="39" t="s">
        <v>8569</v>
      </c>
      <c r="S950" s="39" t="s">
        <v>8570</v>
      </c>
      <c r="AK950" s="39" t="str">
        <f>("2025/03/17")</f>
        <v>2025/03/17</v>
      </c>
      <c r="AL950" s="39" t="str">
        <f t="shared" si="77"/>
        <v>2025/04/01</v>
      </c>
    </row>
    <row r="951" spans="1:39" x14ac:dyDescent="0.25">
      <c r="A951" s="39" t="str">
        <f>("1407100035")</f>
        <v>1407100035</v>
      </c>
      <c r="B951" s="39" t="s">
        <v>8048</v>
      </c>
      <c r="C951" s="39"/>
      <c r="D951" s="39" t="s">
        <v>8049</v>
      </c>
      <c r="E951" s="371" t="str">
        <f t="shared" si="72"/>
        <v>のがみ　こうた</v>
      </c>
      <c r="F951" s="39" t="s">
        <v>8050</v>
      </c>
      <c r="G951" s="39" t="s">
        <v>7828</v>
      </c>
      <c r="H951" s="39" t="str">
        <f>("2014/07/10")</f>
        <v>2014/07/10</v>
      </c>
      <c r="I951" s="39">
        <v>5</v>
      </c>
      <c r="J951" s="39" t="s">
        <v>1478</v>
      </c>
      <c r="K951" s="39" t="s">
        <v>2122</v>
      </c>
      <c r="L951" s="39" t="s">
        <v>7830</v>
      </c>
      <c r="M951" s="39" t="s">
        <v>7831</v>
      </c>
      <c r="N951" s="39" t="str">
        <f>("0130015")</f>
        <v>0130015</v>
      </c>
      <c r="P951" s="39" t="s">
        <v>12431</v>
      </c>
      <c r="Q951" s="39" t="s">
        <v>8568</v>
      </c>
      <c r="R951" s="39" t="s">
        <v>8569</v>
      </c>
      <c r="S951" s="39" t="s">
        <v>8570</v>
      </c>
      <c r="AA951" s="39" t="s">
        <v>2122</v>
      </c>
      <c r="AB951" s="39" t="s">
        <v>7830</v>
      </c>
      <c r="AC951" s="39" t="s">
        <v>7831</v>
      </c>
      <c r="AD951" s="39" t="str">
        <f>("0130688")</f>
        <v>0130688</v>
      </c>
      <c r="AE951" s="39" t="s">
        <v>2549</v>
      </c>
      <c r="AK951" s="39" t="str">
        <f>("2025/03/17")</f>
        <v>2025/03/17</v>
      </c>
      <c r="AL951" s="39" t="str">
        <f t="shared" si="77"/>
        <v>2025/04/01</v>
      </c>
    </row>
    <row r="952" spans="1:39" x14ac:dyDescent="0.25">
      <c r="A952" s="39" t="str">
        <f>("1407100111")</f>
        <v>1407100111</v>
      </c>
      <c r="C952" s="39"/>
      <c r="D952" s="39" t="s">
        <v>8051</v>
      </c>
      <c r="E952" s="371" t="str">
        <f t="shared" si="72"/>
        <v>やまもと　れん</v>
      </c>
      <c r="F952" s="39" t="s">
        <v>827</v>
      </c>
      <c r="G952" s="39" t="s">
        <v>7876</v>
      </c>
      <c r="H952" s="39" t="str">
        <f>("2014/07/10")</f>
        <v>2014/07/10</v>
      </c>
      <c r="I952" s="39">
        <v>5</v>
      </c>
      <c r="J952" s="39" t="s">
        <v>1478</v>
      </c>
      <c r="K952" s="39" t="s">
        <v>2122</v>
      </c>
      <c r="L952" s="39" t="s">
        <v>7830</v>
      </c>
      <c r="M952" s="39" t="s">
        <v>7831</v>
      </c>
      <c r="N952" s="39" t="str">
        <f>("0504908")</f>
        <v>0504908</v>
      </c>
      <c r="P952" s="39" t="s">
        <v>12432</v>
      </c>
      <c r="Q952" s="39" t="s">
        <v>8568</v>
      </c>
      <c r="R952" s="39" t="s">
        <v>8569</v>
      </c>
      <c r="S952" s="39" t="s">
        <v>8570</v>
      </c>
      <c r="AK952" s="39" t="str">
        <f>("2025/03/21")</f>
        <v>2025/03/21</v>
      </c>
      <c r="AL952" s="39" t="str">
        <f t="shared" si="77"/>
        <v>2025/04/01</v>
      </c>
      <c r="AM952" s="39" t="str">
        <f>("2025/09/22")</f>
        <v>2025/09/22</v>
      </c>
    </row>
    <row r="953" spans="1:39" x14ac:dyDescent="0.25">
      <c r="A953" s="39" t="str">
        <f>("1407100154")</f>
        <v>1407100154</v>
      </c>
      <c r="C953" s="39"/>
      <c r="D953" s="39" t="s">
        <v>5681</v>
      </c>
      <c r="E953" s="371" t="str">
        <f t="shared" si="72"/>
        <v>みつおか　ゆうひ</v>
      </c>
      <c r="F953" s="39" t="s">
        <v>2479</v>
      </c>
      <c r="G953" s="39" t="s">
        <v>7828</v>
      </c>
      <c r="H953" s="39" t="str">
        <f>("2014/07/10")</f>
        <v>2014/07/10</v>
      </c>
      <c r="I953" s="39">
        <v>5</v>
      </c>
      <c r="J953" s="39" t="s">
        <v>1478</v>
      </c>
      <c r="K953" s="39" t="s">
        <v>2122</v>
      </c>
      <c r="L953" s="39" t="s">
        <v>7830</v>
      </c>
      <c r="M953" s="39" t="s">
        <v>7831</v>
      </c>
      <c r="N953" s="39" t="str">
        <f>("0129608")</f>
        <v>0129608</v>
      </c>
      <c r="P953" s="39" t="s">
        <v>12433</v>
      </c>
      <c r="Q953" s="39" t="s">
        <v>8568</v>
      </c>
      <c r="R953" s="39" t="s">
        <v>8569</v>
      </c>
      <c r="S953" s="39" t="s">
        <v>8570</v>
      </c>
      <c r="AK953" s="39" t="str">
        <f>("2025/03/17")</f>
        <v>2025/03/17</v>
      </c>
      <c r="AL953" s="39" t="str">
        <f t="shared" si="77"/>
        <v>2025/04/01</v>
      </c>
    </row>
    <row r="954" spans="1:39" x14ac:dyDescent="0.25">
      <c r="A954" s="39" t="str">
        <f>("1407110123")</f>
        <v>1407110123</v>
      </c>
      <c r="C954" s="39"/>
      <c r="D954" s="39" t="s">
        <v>4390</v>
      </c>
      <c r="E954" s="371" t="str">
        <f t="shared" si="72"/>
        <v>くろき　らいみ</v>
      </c>
      <c r="F954" s="39" t="s">
        <v>2514</v>
      </c>
      <c r="G954" s="39" t="s">
        <v>7828</v>
      </c>
      <c r="H954" s="39" t="str">
        <f>("2014/07/11")</f>
        <v>2014/07/11</v>
      </c>
      <c r="I954" s="39">
        <v>5</v>
      </c>
      <c r="J954" s="39" t="s">
        <v>1478</v>
      </c>
      <c r="K954" s="39" t="s">
        <v>2122</v>
      </c>
      <c r="L954" s="39" t="s">
        <v>7830</v>
      </c>
      <c r="M954" s="39" t="s">
        <v>7831</v>
      </c>
      <c r="N954" s="39" t="str">
        <f>("0130093")</f>
        <v>0130093</v>
      </c>
      <c r="P954" s="39" t="s">
        <v>12434</v>
      </c>
      <c r="Q954" s="39" t="s">
        <v>8568</v>
      </c>
      <c r="R954" s="39" t="s">
        <v>8569</v>
      </c>
      <c r="S954" s="39" t="s">
        <v>8570</v>
      </c>
      <c r="AK954" s="39" t="str">
        <f>("2025/04/01")</f>
        <v>2025/04/01</v>
      </c>
      <c r="AL954" s="39" t="str">
        <f t="shared" si="77"/>
        <v>2025/04/01</v>
      </c>
    </row>
    <row r="955" spans="1:39" x14ac:dyDescent="0.25">
      <c r="A955" s="39" t="str">
        <f>("1407110191")</f>
        <v>1407110191</v>
      </c>
      <c r="C955" s="39"/>
      <c r="D955" s="39" t="s">
        <v>8052</v>
      </c>
      <c r="E955" s="371" t="str">
        <f t="shared" si="72"/>
        <v>いけだ　せな</v>
      </c>
      <c r="F955" s="39" t="s">
        <v>1014</v>
      </c>
      <c r="G955" s="39" t="s">
        <v>7828</v>
      </c>
      <c r="H955" s="39" t="str">
        <f>("2014/07/11")</f>
        <v>2014/07/11</v>
      </c>
      <c r="I955" s="39">
        <v>5</v>
      </c>
      <c r="J955" s="39" t="s">
        <v>1478</v>
      </c>
      <c r="K955" s="39" t="s">
        <v>2122</v>
      </c>
      <c r="L955" s="39" t="s">
        <v>7830</v>
      </c>
      <c r="M955" s="39" t="s">
        <v>7831</v>
      </c>
      <c r="N955" s="39" t="str">
        <f>("0513313")</f>
        <v>0513313</v>
      </c>
      <c r="P955" s="39" t="s">
        <v>12435</v>
      </c>
      <c r="Q955" s="39" t="s">
        <v>8568</v>
      </c>
      <c r="R955" s="39" t="s">
        <v>8569</v>
      </c>
      <c r="S955" s="39" t="s">
        <v>8570</v>
      </c>
      <c r="AK955" s="39" t="str">
        <f>("2025/03/17")</f>
        <v>2025/03/17</v>
      </c>
      <c r="AL955" s="39" t="str">
        <f t="shared" si="77"/>
        <v>2025/04/01</v>
      </c>
    </row>
    <row r="956" spans="1:39" x14ac:dyDescent="0.25">
      <c r="A956" s="39" t="str">
        <f>("1407110204")</f>
        <v>1407110204</v>
      </c>
      <c r="C956" s="39"/>
      <c r="D956" s="39" t="s">
        <v>8053</v>
      </c>
      <c r="E956" s="371" t="str">
        <f t="shared" si="72"/>
        <v>つねひろ　ももみ</v>
      </c>
      <c r="F956" s="39" t="s">
        <v>2274</v>
      </c>
      <c r="G956" s="39" t="s">
        <v>7828</v>
      </c>
      <c r="H956" s="39" t="str">
        <f>("2014/07/11")</f>
        <v>2014/07/11</v>
      </c>
      <c r="I956" s="39">
        <v>5</v>
      </c>
      <c r="J956" s="39" t="s">
        <v>1480</v>
      </c>
      <c r="K956" s="39" t="s">
        <v>2122</v>
      </c>
      <c r="L956" s="39" t="s">
        <v>7830</v>
      </c>
      <c r="M956" s="39" t="s">
        <v>7831</v>
      </c>
      <c r="N956" s="39" t="str">
        <f>("0129563")</f>
        <v>0129563</v>
      </c>
      <c r="P956" s="39" t="s">
        <v>12436</v>
      </c>
      <c r="Q956" s="39" t="s">
        <v>8568</v>
      </c>
      <c r="R956" s="39" t="s">
        <v>8569</v>
      </c>
      <c r="S956" s="39" t="s">
        <v>8570</v>
      </c>
      <c r="AK956" s="39" t="str">
        <f>("2025/03/17")</f>
        <v>2025/03/17</v>
      </c>
      <c r="AL956" s="39" t="str">
        <f t="shared" si="77"/>
        <v>2025/04/01</v>
      </c>
    </row>
    <row r="957" spans="1:39" x14ac:dyDescent="0.25">
      <c r="A957" s="39" t="str">
        <f>("1407140117")</f>
        <v>1407140117</v>
      </c>
      <c r="B957" s="39" t="s">
        <v>8054</v>
      </c>
      <c r="C957" s="39"/>
      <c r="D957" s="39" t="s">
        <v>8055</v>
      </c>
      <c r="E957" s="371" t="str">
        <f t="shared" si="72"/>
        <v>しいはら　りゅうた</v>
      </c>
      <c r="F957" s="39" t="s">
        <v>2530</v>
      </c>
      <c r="G957" s="39" t="s">
        <v>7828</v>
      </c>
      <c r="H957" s="39" t="str">
        <f>("2014/07/04")</f>
        <v>2014/07/04</v>
      </c>
      <c r="I957" s="39">
        <v>5</v>
      </c>
      <c r="J957" s="39" t="s">
        <v>1478</v>
      </c>
      <c r="K957" s="39" t="s">
        <v>2122</v>
      </c>
      <c r="L957" s="39" t="s">
        <v>7830</v>
      </c>
      <c r="M957" s="39" t="s">
        <v>7831</v>
      </c>
      <c r="N957" s="39" t="str">
        <f>("0338756")</f>
        <v>0338756</v>
      </c>
      <c r="P957" s="39" t="s">
        <v>12437</v>
      </c>
      <c r="Q957" s="39" t="s">
        <v>8568</v>
      </c>
      <c r="R957" s="39" t="s">
        <v>8569</v>
      </c>
      <c r="S957" s="39" t="s">
        <v>8570</v>
      </c>
      <c r="AK957" s="39" t="str">
        <f>("2025/04/01")</f>
        <v>2025/04/01</v>
      </c>
      <c r="AL957" s="39" t="str">
        <f t="shared" si="77"/>
        <v>2025/04/01</v>
      </c>
    </row>
    <row r="958" spans="1:39" x14ac:dyDescent="0.25">
      <c r="A958" s="39" t="str">
        <f>("1407140220")</f>
        <v>1407140220</v>
      </c>
      <c r="C958" s="39"/>
      <c r="D958" s="39" t="s">
        <v>8056</v>
      </c>
      <c r="E958" s="371" t="str">
        <f t="shared" si="72"/>
        <v>いしだ　ゆうせい</v>
      </c>
      <c r="F958" s="39" t="s">
        <v>1207</v>
      </c>
      <c r="G958" s="39" t="s">
        <v>7828</v>
      </c>
      <c r="H958" s="39" t="str">
        <f>("2014/07/14")</f>
        <v>2014/07/14</v>
      </c>
      <c r="I958" s="39">
        <v>5</v>
      </c>
      <c r="J958" s="39" t="s">
        <v>1478</v>
      </c>
      <c r="K958" s="39" t="s">
        <v>2122</v>
      </c>
      <c r="L958" s="39" t="s">
        <v>7830</v>
      </c>
      <c r="M958" s="39" t="s">
        <v>7831</v>
      </c>
      <c r="N958" s="39" t="str">
        <f>("0381608")</f>
        <v>0381608</v>
      </c>
      <c r="P958" s="39" t="s">
        <v>12438</v>
      </c>
      <c r="Q958" s="39" t="s">
        <v>8568</v>
      </c>
      <c r="R958" s="39" t="s">
        <v>8569</v>
      </c>
      <c r="S958" s="39" t="s">
        <v>8570</v>
      </c>
      <c r="AK958" s="39" t="str">
        <f>("2025/03/21")</f>
        <v>2025/03/21</v>
      </c>
      <c r="AL958" s="39" t="str">
        <f t="shared" si="77"/>
        <v>2025/04/01</v>
      </c>
    </row>
    <row r="959" spans="1:39" x14ac:dyDescent="0.25">
      <c r="A959" s="39" t="str">
        <f>("1407150145")</f>
        <v>1407150145</v>
      </c>
      <c r="C959" s="39"/>
      <c r="D959" s="39" t="s">
        <v>8057</v>
      </c>
      <c r="E959" s="371" t="str">
        <f t="shared" si="72"/>
        <v>つちや　いちと</v>
      </c>
      <c r="F959" s="39" t="s">
        <v>1977</v>
      </c>
      <c r="G959" s="39" t="s">
        <v>7876</v>
      </c>
      <c r="H959" s="39" t="str">
        <f>("2014/07/15")</f>
        <v>2014/07/15</v>
      </c>
      <c r="I959" s="39">
        <v>5</v>
      </c>
      <c r="J959" s="39" t="s">
        <v>1478</v>
      </c>
      <c r="K959" s="39" t="s">
        <v>2122</v>
      </c>
      <c r="L959" s="39" t="s">
        <v>7830</v>
      </c>
      <c r="M959" s="39" t="s">
        <v>7831</v>
      </c>
      <c r="N959" s="39" t="str">
        <f>("0395254")</f>
        <v>0395254</v>
      </c>
      <c r="P959" s="39" t="s">
        <v>12439</v>
      </c>
      <c r="Q959" s="39" t="s">
        <v>8568</v>
      </c>
      <c r="R959" s="39" t="s">
        <v>8569</v>
      </c>
      <c r="S959" s="39" t="s">
        <v>8570</v>
      </c>
      <c r="AK959" s="39" t="str">
        <f>("2025/03/17")</f>
        <v>2025/03/17</v>
      </c>
      <c r="AL959" s="39" t="str">
        <f t="shared" si="77"/>
        <v>2025/04/01</v>
      </c>
      <c r="AM959" s="39" t="str">
        <f>("2025/04/02")</f>
        <v>2025/04/02</v>
      </c>
    </row>
    <row r="960" spans="1:39" x14ac:dyDescent="0.25">
      <c r="A960" s="39" t="str">
        <f>("1407150240")</f>
        <v>1407150240</v>
      </c>
      <c r="C960" s="39"/>
      <c r="D960" s="39" t="s">
        <v>8058</v>
      </c>
      <c r="E960" s="371" t="str">
        <f t="shared" si="72"/>
        <v>とだ　ひまわり</v>
      </c>
      <c r="F960" s="39" t="s">
        <v>1692</v>
      </c>
      <c r="G960" s="39" t="s">
        <v>7828</v>
      </c>
      <c r="H960" s="39" t="str">
        <f>("2014/07/15")</f>
        <v>2014/07/15</v>
      </c>
      <c r="I960" s="39">
        <v>5</v>
      </c>
      <c r="J960" s="39" t="s">
        <v>1480</v>
      </c>
      <c r="K960" s="39" t="s">
        <v>2122</v>
      </c>
      <c r="L960" s="39" t="s">
        <v>7830</v>
      </c>
      <c r="M960" s="39" t="s">
        <v>7831</v>
      </c>
      <c r="N960" s="39" t="str">
        <f>("1052299")</f>
        <v>1052299</v>
      </c>
      <c r="P960" s="39" t="s">
        <v>12440</v>
      </c>
      <c r="Q960" s="39" t="s">
        <v>8568</v>
      </c>
      <c r="R960" s="39" t="s">
        <v>8569</v>
      </c>
      <c r="S960" s="39" t="s">
        <v>8570</v>
      </c>
      <c r="AA960" s="39" t="s">
        <v>2122</v>
      </c>
      <c r="AB960" s="39" t="s">
        <v>7830</v>
      </c>
      <c r="AC960" s="39" t="s">
        <v>7831</v>
      </c>
      <c r="AD960" s="39" t="str">
        <f>("0478807")</f>
        <v>0478807</v>
      </c>
      <c r="AE960" s="39" t="s">
        <v>1446</v>
      </c>
      <c r="AK960" s="39" t="str">
        <f>("2025/04/22")</f>
        <v>2025/04/22</v>
      </c>
      <c r="AL960" s="39" t="str">
        <f>("2025/04/22")</f>
        <v>2025/04/22</v>
      </c>
    </row>
    <row r="961" spans="1:39" x14ac:dyDescent="0.25">
      <c r="A961" s="39" t="str">
        <f>("1407160119")</f>
        <v>1407160119</v>
      </c>
      <c r="C961" s="39"/>
      <c r="D961" s="39" t="s">
        <v>8059</v>
      </c>
      <c r="E961" s="371" t="str">
        <f t="shared" si="72"/>
        <v>よしだ　せいや</v>
      </c>
      <c r="F961" s="39" t="s">
        <v>2022</v>
      </c>
      <c r="G961" s="39" t="s">
        <v>7828</v>
      </c>
      <c r="H961" s="39" t="str">
        <f>("2014/07/16")</f>
        <v>2014/07/16</v>
      </c>
      <c r="I961" s="39">
        <v>5</v>
      </c>
      <c r="J961" s="39" t="s">
        <v>1478</v>
      </c>
      <c r="K961" s="39" t="s">
        <v>2122</v>
      </c>
      <c r="L961" s="39" t="s">
        <v>7830</v>
      </c>
      <c r="M961" s="39" t="s">
        <v>7831</v>
      </c>
      <c r="N961" s="39" t="str">
        <f>("0130329")</f>
        <v>0130329</v>
      </c>
      <c r="P961" s="39" t="s">
        <v>12441</v>
      </c>
      <c r="Q961" s="39" t="s">
        <v>8568</v>
      </c>
      <c r="R961" s="39" t="s">
        <v>8569</v>
      </c>
      <c r="S961" s="39" t="s">
        <v>8570</v>
      </c>
      <c r="AA961" s="39" t="s">
        <v>2122</v>
      </c>
      <c r="AB961" s="39" t="s">
        <v>7830</v>
      </c>
      <c r="AC961" s="39" t="s">
        <v>7831</v>
      </c>
      <c r="AD961" s="39" t="str">
        <f>("0472823")</f>
        <v>0472823</v>
      </c>
      <c r="AE961" s="39" t="s">
        <v>2619</v>
      </c>
      <c r="AK961" s="39" t="str">
        <f>("2025/04/10")</f>
        <v>2025/04/10</v>
      </c>
      <c r="AL961" s="39" t="str">
        <f>("2025/04/10")</f>
        <v>2025/04/10</v>
      </c>
    </row>
    <row r="962" spans="1:39" x14ac:dyDescent="0.25">
      <c r="A962" s="39" t="str">
        <f>("1407160267")</f>
        <v>1407160267</v>
      </c>
      <c r="C962" s="39"/>
      <c r="D962" s="39" t="s">
        <v>8060</v>
      </c>
      <c r="E962" s="371" t="str">
        <f t="shared" si="72"/>
        <v>たかお　あさひ</v>
      </c>
      <c r="F962" s="39" t="s">
        <v>684</v>
      </c>
      <c r="G962" s="39" t="s">
        <v>7828</v>
      </c>
      <c r="H962" s="39" t="str">
        <f>("2014/07/16")</f>
        <v>2014/07/16</v>
      </c>
      <c r="I962" s="39">
        <v>5</v>
      </c>
      <c r="J962" s="39" t="s">
        <v>1478</v>
      </c>
      <c r="K962" s="39" t="s">
        <v>2122</v>
      </c>
      <c r="L962" s="39" t="s">
        <v>7830</v>
      </c>
      <c r="M962" s="39" t="s">
        <v>7831</v>
      </c>
      <c r="N962" s="39" t="str">
        <f>("0129518")</f>
        <v>0129518</v>
      </c>
      <c r="P962" s="39" t="s">
        <v>12442</v>
      </c>
      <c r="Q962" s="39" t="s">
        <v>8568</v>
      </c>
      <c r="R962" s="39" t="s">
        <v>8569</v>
      </c>
      <c r="S962" s="39" t="s">
        <v>8570</v>
      </c>
      <c r="AK962" s="39" t="str">
        <f>("2025/04/16")</f>
        <v>2025/04/16</v>
      </c>
      <c r="AL962" s="39" t="str">
        <f>("2025/04/16")</f>
        <v>2025/04/16</v>
      </c>
    </row>
    <row r="963" spans="1:39" x14ac:dyDescent="0.25">
      <c r="A963" s="39" t="str">
        <f>("1407170068")</f>
        <v>1407170068</v>
      </c>
      <c r="B963" s="39" t="s">
        <v>8061</v>
      </c>
      <c r="C963" s="39"/>
      <c r="D963" s="39" t="s">
        <v>8062</v>
      </c>
      <c r="E963" s="371" t="str">
        <f t="shared" ref="E963:E1026" si="78">PHONETIC(P963)</f>
        <v>よしだ　れさ</v>
      </c>
      <c r="F963" s="39" t="s">
        <v>1330</v>
      </c>
      <c r="G963" s="39" t="s">
        <v>7828</v>
      </c>
      <c r="H963" s="39" t="str">
        <f>("2014/07/17")</f>
        <v>2014/07/17</v>
      </c>
      <c r="I963" s="39">
        <v>5</v>
      </c>
      <c r="J963" s="39" t="s">
        <v>1480</v>
      </c>
      <c r="K963" s="39" t="s">
        <v>2122</v>
      </c>
      <c r="L963" s="39" t="s">
        <v>7830</v>
      </c>
      <c r="M963" s="39" t="s">
        <v>7831</v>
      </c>
      <c r="N963" s="39" t="str">
        <f>("0130598")</f>
        <v>0130598</v>
      </c>
      <c r="P963" s="39" t="s">
        <v>12443</v>
      </c>
      <c r="Q963" s="39" t="s">
        <v>8568</v>
      </c>
      <c r="R963" s="39" t="s">
        <v>8569</v>
      </c>
      <c r="S963" s="39" t="s">
        <v>8570</v>
      </c>
      <c r="AK963" s="39" t="str">
        <f>("2025/03/17")</f>
        <v>2025/03/17</v>
      </c>
      <c r="AL963" s="39" t="str">
        <f t="shared" ref="AL963:AL973" si="79">("2025/04/01")</f>
        <v>2025/04/01</v>
      </c>
    </row>
    <row r="964" spans="1:39" x14ac:dyDescent="0.25">
      <c r="A964" s="39" t="str">
        <f>("1407170221")</f>
        <v>1407170221</v>
      </c>
      <c r="C964" s="39"/>
      <c r="D964" s="39" t="s">
        <v>6136</v>
      </c>
      <c r="E964" s="371" t="str">
        <f t="shared" si="78"/>
        <v>たけむら　りんたろう</v>
      </c>
      <c r="F964" s="39" t="s">
        <v>1082</v>
      </c>
      <c r="G964" s="39" t="s">
        <v>7828</v>
      </c>
      <c r="H964" s="39" t="str">
        <f>("2014/07/17")</f>
        <v>2014/07/17</v>
      </c>
      <c r="I964" s="39">
        <v>5</v>
      </c>
      <c r="J964" s="39" t="s">
        <v>1478</v>
      </c>
      <c r="K964" s="39" t="s">
        <v>2122</v>
      </c>
      <c r="L964" s="39" t="s">
        <v>7830</v>
      </c>
      <c r="M964" s="39" t="s">
        <v>7831</v>
      </c>
      <c r="N964" s="39" t="str">
        <f>("0450009")</f>
        <v>0450009</v>
      </c>
      <c r="P964" s="39" t="s">
        <v>12444</v>
      </c>
      <c r="Q964" s="39" t="s">
        <v>8568</v>
      </c>
      <c r="R964" s="39" t="s">
        <v>8569</v>
      </c>
      <c r="S964" s="39" t="s">
        <v>8570</v>
      </c>
      <c r="AK964" s="39" t="str">
        <f>("2025/03/17")</f>
        <v>2025/03/17</v>
      </c>
      <c r="AL964" s="39" t="str">
        <f t="shared" si="79"/>
        <v>2025/04/01</v>
      </c>
    </row>
    <row r="965" spans="1:39" x14ac:dyDescent="0.25">
      <c r="A965" s="39" t="str">
        <f>("1407180040")</f>
        <v>1407180040</v>
      </c>
      <c r="C965" s="39"/>
      <c r="D965" s="39" t="s">
        <v>8063</v>
      </c>
      <c r="E965" s="371" t="str">
        <f t="shared" si="78"/>
        <v>すえなが　しのぐ</v>
      </c>
      <c r="F965" s="39" t="s">
        <v>2477</v>
      </c>
      <c r="G965" s="39" t="s">
        <v>7876</v>
      </c>
      <c r="H965" s="39" t="str">
        <f>("2014/07/18")</f>
        <v>2014/07/18</v>
      </c>
      <c r="I965" s="39">
        <v>5</v>
      </c>
      <c r="J965" s="39" t="s">
        <v>1478</v>
      </c>
      <c r="K965" s="39" t="s">
        <v>2122</v>
      </c>
      <c r="L965" s="39" t="s">
        <v>7830</v>
      </c>
      <c r="M965" s="39" t="s">
        <v>7831</v>
      </c>
      <c r="N965" s="39" t="str">
        <f>("0129541")</f>
        <v>0129541</v>
      </c>
      <c r="P965" s="39" t="s">
        <v>12445</v>
      </c>
      <c r="Q965" s="39" t="s">
        <v>8568</v>
      </c>
      <c r="R965" s="39" t="s">
        <v>8569</v>
      </c>
      <c r="S965" s="39" t="s">
        <v>8570</v>
      </c>
      <c r="AK965" s="39" t="str">
        <f>("2025/03/27")</f>
        <v>2025/03/27</v>
      </c>
      <c r="AL965" s="39" t="str">
        <f t="shared" si="79"/>
        <v>2025/04/01</v>
      </c>
      <c r="AM965" s="39" t="str">
        <f>("2025/09/22")</f>
        <v>2025/09/22</v>
      </c>
    </row>
    <row r="966" spans="1:39" x14ac:dyDescent="0.25">
      <c r="A966" s="39" t="str">
        <f>("1407180083")</f>
        <v>1407180083</v>
      </c>
      <c r="B966" s="39" t="s">
        <v>8064</v>
      </c>
      <c r="C966" s="39"/>
      <c r="D966" s="39" t="s">
        <v>8065</v>
      </c>
      <c r="E966" s="371" t="str">
        <f t="shared" si="78"/>
        <v>よしはら　せいご</v>
      </c>
      <c r="F966" s="39" t="s">
        <v>1330</v>
      </c>
      <c r="G966" s="39" t="s">
        <v>7828</v>
      </c>
      <c r="H966" s="39" t="str">
        <f>("2014/07/18")</f>
        <v>2014/07/18</v>
      </c>
      <c r="I966" s="39">
        <v>5</v>
      </c>
      <c r="J966" s="39" t="s">
        <v>1478</v>
      </c>
      <c r="K966" s="39" t="s">
        <v>2122</v>
      </c>
      <c r="L966" s="39" t="s">
        <v>7830</v>
      </c>
      <c r="M966" s="39" t="s">
        <v>7831</v>
      </c>
      <c r="N966" s="39" t="str">
        <f>("0130598")</f>
        <v>0130598</v>
      </c>
      <c r="P966" s="39" t="s">
        <v>12446</v>
      </c>
      <c r="Q966" s="39" t="s">
        <v>8568</v>
      </c>
      <c r="R966" s="39" t="s">
        <v>8569</v>
      </c>
      <c r="S966" s="39" t="s">
        <v>8570</v>
      </c>
      <c r="AK966" s="39" t="str">
        <f>("2025/03/17")</f>
        <v>2025/03/17</v>
      </c>
      <c r="AL966" s="39" t="str">
        <f t="shared" si="79"/>
        <v>2025/04/01</v>
      </c>
    </row>
    <row r="967" spans="1:39" x14ac:dyDescent="0.25">
      <c r="A967" s="39" t="str">
        <f>("1407180185")</f>
        <v>1407180185</v>
      </c>
      <c r="C967" s="39"/>
      <c r="D967" s="39" t="s">
        <v>8066</v>
      </c>
      <c r="E967" s="371" t="str">
        <f t="shared" si="78"/>
        <v>さかぐち　かいと</v>
      </c>
      <c r="F967" s="39" t="s">
        <v>2243</v>
      </c>
      <c r="G967" s="39" t="s">
        <v>7828</v>
      </c>
      <c r="H967" s="39" t="str">
        <f>("2014/07/18")</f>
        <v>2014/07/18</v>
      </c>
      <c r="I967" s="39">
        <v>5</v>
      </c>
      <c r="J967" s="39" t="s">
        <v>1478</v>
      </c>
      <c r="K967" s="39" t="s">
        <v>2122</v>
      </c>
      <c r="L967" s="39" t="s">
        <v>7830</v>
      </c>
      <c r="M967" s="39" t="s">
        <v>7831</v>
      </c>
      <c r="N967" s="39" t="str">
        <f>("0130565")</f>
        <v>0130565</v>
      </c>
      <c r="P967" s="39" t="s">
        <v>12447</v>
      </c>
      <c r="Q967" s="39" t="s">
        <v>8568</v>
      </c>
      <c r="R967" s="39" t="s">
        <v>8569</v>
      </c>
      <c r="S967" s="39" t="s">
        <v>8570</v>
      </c>
      <c r="AA967" s="39" t="s">
        <v>2122</v>
      </c>
      <c r="AB967" s="39" t="s">
        <v>7830</v>
      </c>
      <c r="AC967" s="39" t="s">
        <v>7831</v>
      </c>
      <c r="AD967" s="39" t="str">
        <f>("1039801")</f>
        <v>1039801</v>
      </c>
      <c r="AE967" s="39" t="s">
        <v>7864</v>
      </c>
      <c r="AK967" s="39" t="str">
        <f>("2025/03/17")</f>
        <v>2025/03/17</v>
      </c>
      <c r="AL967" s="39" t="str">
        <f t="shared" si="79"/>
        <v>2025/04/01</v>
      </c>
    </row>
    <row r="968" spans="1:39" x14ac:dyDescent="0.25">
      <c r="A968" s="39" t="str">
        <f>("1407180210")</f>
        <v>1407180210</v>
      </c>
      <c r="B968" s="39" t="s">
        <v>8067</v>
      </c>
      <c r="C968" s="39"/>
      <c r="D968" s="39" t="s">
        <v>5772</v>
      </c>
      <c r="E968" s="371" t="str">
        <f t="shared" si="78"/>
        <v>りくまる　げんた</v>
      </c>
      <c r="F968" s="39" t="s">
        <v>2138</v>
      </c>
      <c r="G968" s="39" t="s">
        <v>7828</v>
      </c>
      <c r="H968" s="39" t="str">
        <f>("2014/07/18")</f>
        <v>2014/07/18</v>
      </c>
      <c r="I968" s="39">
        <v>5</v>
      </c>
      <c r="J968" s="39" t="s">
        <v>1478</v>
      </c>
      <c r="K968" s="39" t="s">
        <v>2122</v>
      </c>
      <c r="L968" s="39" t="s">
        <v>7830</v>
      </c>
      <c r="M968" s="39" t="s">
        <v>7831</v>
      </c>
      <c r="N968" s="39" t="str">
        <f>("0130082")</f>
        <v>0130082</v>
      </c>
      <c r="P968" s="39" t="s">
        <v>12448</v>
      </c>
      <c r="Q968" s="39" t="s">
        <v>8568</v>
      </c>
      <c r="R968" s="39" t="s">
        <v>8569</v>
      </c>
      <c r="S968" s="39" t="s">
        <v>8570</v>
      </c>
      <c r="AK968" s="39" t="str">
        <f>("2025/03/17")</f>
        <v>2025/03/17</v>
      </c>
      <c r="AL968" s="39" t="str">
        <f t="shared" si="79"/>
        <v>2025/04/01</v>
      </c>
    </row>
    <row r="969" spans="1:39" x14ac:dyDescent="0.25">
      <c r="A969" s="39" t="str">
        <f>("1407190012")</f>
        <v>1407190012</v>
      </c>
      <c r="B969" s="39" t="s">
        <v>8068</v>
      </c>
      <c r="C969" s="39"/>
      <c r="D969" s="39" t="s">
        <v>8069</v>
      </c>
      <c r="E969" s="371" t="str">
        <f t="shared" si="78"/>
        <v>いわもと　けいじ</v>
      </c>
      <c r="F969" s="39" t="s">
        <v>2574</v>
      </c>
      <c r="G969" s="39" t="s">
        <v>7828</v>
      </c>
      <c r="H969" s="39" t="str">
        <f>("2014/07/19")</f>
        <v>2014/07/19</v>
      </c>
      <c r="I969" s="39">
        <v>5</v>
      </c>
      <c r="J969" s="39" t="s">
        <v>1478</v>
      </c>
      <c r="K969" s="39" t="s">
        <v>2122</v>
      </c>
      <c r="L969" s="39" t="s">
        <v>7830</v>
      </c>
      <c r="M969" s="39" t="s">
        <v>7831</v>
      </c>
      <c r="N969" s="39" t="str">
        <f>("0237620")</f>
        <v>0237620</v>
      </c>
      <c r="P969" s="39" t="s">
        <v>12449</v>
      </c>
      <c r="Q969" s="39" t="s">
        <v>8568</v>
      </c>
      <c r="R969" s="39" t="s">
        <v>8569</v>
      </c>
      <c r="S969" s="39" t="s">
        <v>8570</v>
      </c>
      <c r="AK969" s="39" t="str">
        <f>("2025/03/17")</f>
        <v>2025/03/17</v>
      </c>
      <c r="AL969" s="39" t="str">
        <f t="shared" si="79"/>
        <v>2025/04/01</v>
      </c>
    </row>
    <row r="970" spans="1:39" x14ac:dyDescent="0.25">
      <c r="A970" s="39" t="str">
        <f>("1407190022")</f>
        <v>1407190022</v>
      </c>
      <c r="B970" s="39" t="s">
        <v>8070</v>
      </c>
      <c r="C970" s="39"/>
      <c r="D970" s="39" t="s">
        <v>4257</v>
      </c>
      <c r="E970" s="371" t="str">
        <f t="shared" si="78"/>
        <v>みうら　そうま</v>
      </c>
      <c r="F970" s="39" t="s">
        <v>334</v>
      </c>
      <c r="G970" s="39" t="s">
        <v>7828</v>
      </c>
      <c r="H970" s="39" t="str">
        <f>("2014/07/19")</f>
        <v>2014/07/19</v>
      </c>
      <c r="I970" s="39">
        <v>5</v>
      </c>
      <c r="J970" s="39" t="s">
        <v>1478</v>
      </c>
      <c r="K970" s="39" t="s">
        <v>2122</v>
      </c>
      <c r="L970" s="39" t="s">
        <v>7830</v>
      </c>
      <c r="M970" s="39" t="s">
        <v>7831</v>
      </c>
      <c r="N970" s="39" t="str">
        <f>("0129664")</f>
        <v>0129664</v>
      </c>
      <c r="P970" s="39" t="s">
        <v>12298</v>
      </c>
      <c r="Q970" s="39" t="s">
        <v>8568</v>
      </c>
      <c r="R970" s="39" t="s">
        <v>8569</v>
      </c>
      <c r="S970" s="39" t="s">
        <v>8570</v>
      </c>
      <c r="AK970" s="39" t="str">
        <f>("2025/03/17")</f>
        <v>2025/03/17</v>
      </c>
      <c r="AL970" s="39" t="str">
        <f t="shared" si="79"/>
        <v>2025/04/01</v>
      </c>
    </row>
    <row r="971" spans="1:39" x14ac:dyDescent="0.25">
      <c r="A971" s="39" t="str">
        <f>("1407190117")</f>
        <v>1407190117</v>
      </c>
      <c r="C971" s="39"/>
      <c r="D971" s="39" t="s">
        <v>8071</v>
      </c>
      <c r="E971" s="371" t="str">
        <f t="shared" si="78"/>
        <v>いわなが　かい</v>
      </c>
      <c r="F971" s="39" t="s">
        <v>2587</v>
      </c>
      <c r="G971" s="39" t="s">
        <v>7828</v>
      </c>
      <c r="H971" s="39" t="str">
        <f>("2014/07/19")</f>
        <v>2014/07/19</v>
      </c>
      <c r="I971" s="39">
        <v>5</v>
      </c>
      <c r="J971" s="39" t="s">
        <v>1478</v>
      </c>
      <c r="K971" s="39" t="s">
        <v>2122</v>
      </c>
      <c r="L971" s="39" t="s">
        <v>7830</v>
      </c>
      <c r="M971" s="39" t="s">
        <v>7831</v>
      </c>
      <c r="N971" s="39" t="str">
        <f>("0387334")</f>
        <v>0387334</v>
      </c>
      <c r="P971" s="39" t="s">
        <v>12450</v>
      </c>
      <c r="Q971" s="39" t="s">
        <v>8568</v>
      </c>
      <c r="R971" s="39" t="s">
        <v>8569</v>
      </c>
      <c r="S971" s="39" t="s">
        <v>8570</v>
      </c>
      <c r="AK971" s="39" t="str">
        <f>("2025/03/27")</f>
        <v>2025/03/27</v>
      </c>
      <c r="AL971" s="39" t="str">
        <f t="shared" si="79"/>
        <v>2025/04/01</v>
      </c>
    </row>
    <row r="972" spans="1:39" x14ac:dyDescent="0.25">
      <c r="A972" s="39" t="str">
        <f>("1407200035")</f>
        <v>1407200035</v>
      </c>
      <c r="B972" s="39" t="s">
        <v>8072</v>
      </c>
      <c r="C972" s="39"/>
      <c r="D972" s="39" t="s">
        <v>5864</v>
      </c>
      <c r="E972" s="371" t="str">
        <f t="shared" si="78"/>
        <v>わたなべ　ごうき</v>
      </c>
      <c r="F972" s="39" t="s">
        <v>2024</v>
      </c>
      <c r="G972" s="39" t="s">
        <v>7828</v>
      </c>
      <c r="H972" s="39" t="str">
        <f>("2014/07/20")</f>
        <v>2014/07/20</v>
      </c>
      <c r="I972" s="39">
        <v>5</v>
      </c>
      <c r="J972" s="39" t="s">
        <v>1478</v>
      </c>
      <c r="K972" s="39" t="s">
        <v>2122</v>
      </c>
      <c r="L972" s="39" t="s">
        <v>7830</v>
      </c>
      <c r="M972" s="39" t="s">
        <v>7831</v>
      </c>
      <c r="N972" s="39" t="str">
        <f>("0130475")</f>
        <v>0130475</v>
      </c>
      <c r="P972" s="39" t="s">
        <v>12451</v>
      </c>
      <c r="Q972" s="39" t="s">
        <v>8568</v>
      </c>
      <c r="R972" s="39" t="s">
        <v>8569</v>
      </c>
      <c r="S972" s="39" t="s">
        <v>8570</v>
      </c>
      <c r="AK972" s="39" t="str">
        <f>("2025/04/04")</f>
        <v>2025/04/04</v>
      </c>
      <c r="AL972" s="39" t="str">
        <f t="shared" si="79"/>
        <v>2025/04/01</v>
      </c>
    </row>
    <row r="973" spans="1:39" x14ac:dyDescent="0.25">
      <c r="A973" s="39" t="str">
        <f>("1407210087")</f>
        <v>1407210087</v>
      </c>
      <c r="C973" s="39"/>
      <c r="D973" s="39" t="s">
        <v>8073</v>
      </c>
      <c r="E973" s="371" t="str">
        <f t="shared" si="78"/>
        <v>しゅとう　こはく</v>
      </c>
      <c r="F973" s="39" t="s">
        <v>2530</v>
      </c>
      <c r="G973" s="39" t="s">
        <v>7828</v>
      </c>
      <c r="H973" s="39" t="str">
        <f>("2014/07/21")</f>
        <v>2014/07/21</v>
      </c>
      <c r="I973" s="39">
        <v>5</v>
      </c>
      <c r="J973" s="39" t="s">
        <v>1478</v>
      </c>
      <c r="K973" s="39" t="s">
        <v>2122</v>
      </c>
      <c r="L973" s="39" t="s">
        <v>7830</v>
      </c>
      <c r="M973" s="39" t="s">
        <v>7831</v>
      </c>
      <c r="N973" s="39" t="str">
        <f>("0338756")</f>
        <v>0338756</v>
      </c>
      <c r="P973" s="39" t="s">
        <v>12452</v>
      </c>
      <c r="Q973" s="39" t="s">
        <v>8568</v>
      </c>
      <c r="R973" s="39" t="s">
        <v>8569</v>
      </c>
      <c r="S973" s="39" t="s">
        <v>8570</v>
      </c>
      <c r="AK973" s="39" t="str">
        <f>("2025/04/01")</f>
        <v>2025/04/01</v>
      </c>
      <c r="AL973" s="39" t="str">
        <f t="shared" si="79"/>
        <v>2025/04/01</v>
      </c>
    </row>
    <row r="974" spans="1:39" x14ac:dyDescent="0.25">
      <c r="A974" s="39" t="str">
        <f>("1407210094")</f>
        <v>1407210094</v>
      </c>
      <c r="C974" s="39"/>
      <c r="D974" s="39" t="s">
        <v>5855</v>
      </c>
      <c r="E974" s="371" t="str">
        <f t="shared" si="78"/>
        <v>しゅとう　なおと</v>
      </c>
      <c r="F974" s="39" t="s">
        <v>2022</v>
      </c>
      <c r="G974" s="39" t="s">
        <v>7828</v>
      </c>
      <c r="H974" s="39" t="str">
        <f>("2014/07/21")</f>
        <v>2014/07/21</v>
      </c>
      <c r="I974" s="39">
        <v>5</v>
      </c>
      <c r="J974" s="39" t="s">
        <v>1478</v>
      </c>
      <c r="K974" s="39" t="s">
        <v>2122</v>
      </c>
      <c r="L974" s="39" t="s">
        <v>7830</v>
      </c>
      <c r="M974" s="39" t="s">
        <v>7831</v>
      </c>
      <c r="N974" s="39" t="str">
        <f>("0130329")</f>
        <v>0130329</v>
      </c>
      <c r="P974" s="39" t="s">
        <v>12453</v>
      </c>
      <c r="Q974" s="39" t="s">
        <v>8568</v>
      </c>
      <c r="R974" s="39" t="s">
        <v>8569</v>
      </c>
      <c r="S974" s="39" t="s">
        <v>8570</v>
      </c>
      <c r="AA974" s="39" t="s">
        <v>2122</v>
      </c>
      <c r="AB974" s="39" t="s">
        <v>7830</v>
      </c>
      <c r="AC974" s="39" t="s">
        <v>7831</v>
      </c>
      <c r="AD974" s="39" t="str">
        <f>("0130453")</f>
        <v>0130453</v>
      </c>
      <c r="AE974" s="39" t="s">
        <v>1751</v>
      </c>
      <c r="AK974" s="39" t="str">
        <f>("2025/04/10")</f>
        <v>2025/04/10</v>
      </c>
      <c r="AL974" s="39" t="str">
        <f>("2025/04/10")</f>
        <v>2025/04/10</v>
      </c>
    </row>
    <row r="975" spans="1:39" x14ac:dyDescent="0.25">
      <c r="A975" s="39" t="str">
        <f>("1407210127")</f>
        <v>1407210127</v>
      </c>
      <c r="C975" s="39"/>
      <c r="D975" s="39" t="s">
        <v>8074</v>
      </c>
      <c r="E975" s="371" t="str">
        <f t="shared" si="78"/>
        <v>ふじの　りく</v>
      </c>
      <c r="F975" s="39" t="s">
        <v>947</v>
      </c>
      <c r="G975" s="39" t="s">
        <v>7828</v>
      </c>
      <c r="H975" s="39" t="str">
        <f>("2014/07/21")</f>
        <v>2014/07/21</v>
      </c>
      <c r="I975" s="39">
        <v>5</v>
      </c>
      <c r="J975" s="39" t="s">
        <v>1478</v>
      </c>
      <c r="K975" s="39" t="s">
        <v>2122</v>
      </c>
      <c r="L975" s="39" t="s">
        <v>7830</v>
      </c>
      <c r="M975" s="39" t="s">
        <v>7831</v>
      </c>
      <c r="N975" s="39" t="str">
        <f>("0130183")</f>
        <v>0130183</v>
      </c>
      <c r="P975" s="39" t="s">
        <v>12454</v>
      </c>
      <c r="Q975" s="39" t="s">
        <v>8568</v>
      </c>
      <c r="R975" s="39" t="s">
        <v>8569</v>
      </c>
      <c r="S975" s="39" t="s">
        <v>8570</v>
      </c>
      <c r="AK975" s="39" t="str">
        <f>("2025/03/27")</f>
        <v>2025/03/27</v>
      </c>
      <c r="AL975" s="39" t="str">
        <f>("2025/04/01")</f>
        <v>2025/04/01</v>
      </c>
    </row>
    <row r="976" spans="1:39" x14ac:dyDescent="0.25">
      <c r="A976" s="39" t="str">
        <f>("1407210143")</f>
        <v>1407210143</v>
      </c>
      <c r="C976" s="39"/>
      <c r="D976" s="39" t="s">
        <v>9018</v>
      </c>
      <c r="E976" s="371" t="str">
        <f t="shared" si="78"/>
        <v>さとう　あやと</v>
      </c>
      <c r="F976" s="39" t="s">
        <v>8485</v>
      </c>
      <c r="G976" s="39" t="s">
        <v>7828</v>
      </c>
      <c r="H976" s="39" t="str">
        <f>("2016/07/21")</f>
        <v>2016/07/21</v>
      </c>
      <c r="I976" s="39">
        <v>3</v>
      </c>
      <c r="J976" s="39" t="s">
        <v>1478</v>
      </c>
      <c r="K976" s="39" t="s">
        <v>2122</v>
      </c>
      <c r="L976" s="39" t="s">
        <v>7830</v>
      </c>
      <c r="M976" s="39" t="s">
        <v>7831</v>
      </c>
      <c r="N976" s="39" t="str">
        <f>("0130666")</f>
        <v>0130666</v>
      </c>
      <c r="P976" s="39" t="s">
        <v>12455</v>
      </c>
      <c r="Q976" s="39" t="s">
        <v>8568</v>
      </c>
      <c r="R976" s="39" t="s">
        <v>8569</v>
      </c>
      <c r="S976" s="39" t="s">
        <v>8570</v>
      </c>
      <c r="AK976" s="39" t="str">
        <f>("2025/03/24")</f>
        <v>2025/03/24</v>
      </c>
      <c r="AL976" s="39" t="str">
        <f>("2025/04/01")</f>
        <v>2025/04/01</v>
      </c>
    </row>
    <row r="977" spans="1:38" x14ac:dyDescent="0.25">
      <c r="A977" s="39" t="str">
        <f>("1407210155")</f>
        <v>1407210155</v>
      </c>
      <c r="B977" s="39" t="s">
        <v>8075</v>
      </c>
      <c r="C977" s="39"/>
      <c r="D977" s="39" t="s">
        <v>8076</v>
      </c>
      <c r="E977" s="371" t="str">
        <f t="shared" si="78"/>
        <v>さとう　ひなた</v>
      </c>
      <c r="F977" s="39" t="s">
        <v>2516</v>
      </c>
      <c r="G977" s="39" t="s">
        <v>7828</v>
      </c>
      <c r="H977" s="39" t="str">
        <f>("2014/07/21")</f>
        <v>2014/07/21</v>
      </c>
      <c r="I977" s="39">
        <v>5</v>
      </c>
      <c r="J977" s="39" t="s">
        <v>1478</v>
      </c>
      <c r="K977" s="39" t="s">
        <v>2122</v>
      </c>
      <c r="L977" s="39" t="s">
        <v>7830</v>
      </c>
      <c r="M977" s="39" t="s">
        <v>7831</v>
      </c>
      <c r="N977" s="39" t="str">
        <f>("0130116")</f>
        <v>0130116</v>
      </c>
      <c r="P977" s="39" t="s">
        <v>12456</v>
      </c>
      <c r="Q977" s="39" t="s">
        <v>8568</v>
      </c>
      <c r="R977" s="39" t="s">
        <v>8569</v>
      </c>
      <c r="S977" s="39" t="s">
        <v>8570</v>
      </c>
      <c r="AK977" s="39" t="str">
        <f>("2025/03/25")</f>
        <v>2025/03/25</v>
      </c>
      <c r="AL977" s="39" t="str">
        <f>("2025/04/01")</f>
        <v>2025/04/01</v>
      </c>
    </row>
    <row r="978" spans="1:38" x14ac:dyDescent="0.25">
      <c r="A978" s="39" t="str">
        <f>("1407210188")</f>
        <v>1407210188</v>
      </c>
      <c r="C978" s="39"/>
      <c r="D978" s="39" t="s">
        <v>8077</v>
      </c>
      <c r="E978" s="371" t="str">
        <f t="shared" si="78"/>
        <v>はたの　なつき</v>
      </c>
      <c r="F978" s="39" t="s">
        <v>5618</v>
      </c>
      <c r="G978" s="39" t="s">
        <v>7828</v>
      </c>
      <c r="H978" s="39" t="str">
        <f>("2014/07/21")</f>
        <v>2014/07/21</v>
      </c>
      <c r="I978" s="39">
        <v>5</v>
      </c>
      <c r="J978" s="39" t="s">
        <v>1478</v>
      </c>
      <c r="K978" s="39" t="s">
        <v>2122</v>
      </c>
      <c r="L978" s="39" t="s">
        <v>7830</v>
      </c>
      <c r="M978" s="39" t="s">
        <v>7831</v>
      </c>
      <c r="N978" s="39" t="str">
        <f>("0433235")</f>
        <v>0433235</v>
      </c>
      <c r="P978" s="39" t="s">
        <v>12457</v>
      </c>
      <c r="Q978" s="39" t="s">
        <v>8568</v>
      </c>
      <c r="R978" s="39" t="s">
        <v>8569</v>
      </c>
      <c r="S978" s="39" t="s">
        <v>8570</v>
      </c>
      <c r="AK978" s="39" t="str">
        <f>("2025/11/04")</f>
        <v>2025/11/04</v>
      </c>
      <c r="AL978" s="39" t="str">
        <f>("2025/11/04")</f>
        <v>2025/11/04</v>
      </c>
    </row>
    <row r="979" spans="1:38" x14ac:dyDescent="0.25">
      <c r="A979" s="39" t="str">
        <f>("1407220019")</f>
        <v>1407220019</v>
      </c>
      <c r="C979" s="39"/>
      <c r="D979" s="39" t="s">
        <v>8078</v>
      </c>
      <c r="E979" s="371" t="str">
        <f t="shared" si="78"/>
        <v>たかの　あらた</v>
      </c>
      <c r="F979" s="39" t="s">
        <v>7910</v>
      </c>
      <c r="G979" s="39" t="s">
        <v>7828</v>
      </c>
      <c r="H979" s="39" t="str">
        <f>("2014/07/22")</f>
        <v>2014/07/22</v>
      </c>
      <c r="I979" s="39">
        <v>5</v>
      </c>
      <c r="J979" s="39" t="s">
        <v>1478</v>
      </c>
      <c r="K979" s="39" t="s">
        <v>2122</v>
      </c>
      <c r="L979" s="39" t="s">
        <v>7830</v>
      </c>
      <c r="M979" s="39" t="s">
        <v>7831</v>
      </c>
      <c r="N979" s="39" t="str">
        <f>("1111064")</f>
        <v>1111064</v>
      </c>
      <c r="P979" s="39" t="s">
        <v>12458</v>
      </c>
      <c r="Q979" s="39" t="s">
        <v>8568</v>
      </c>
      <c r="R979" s="39" t="s">
        <v>8569</v>
      </c>
      <c r="S979" s="39" t="s">
        <v>8570</v>
      </c>
      <c r="AA979" s="39" t="s">
        <v>2122</v>
      </c>
      <c r="AB979" s="39" t="s">
        <v>7830</v>
      </c>
      <c r="AC979" s="39" t="s">
        <v>7831</v>
      </c>
      <c r="AD979" s="39" t="str">
        <f>("0303040")</f>
        <v>0303040</v>
      </c>
      <c r="AE979" s="39" t="s">
        <v>2575</v>
      </c>
      <c r="AK979" s="39" t="str">
        <f>("2025/03/17")</f>
        <v>2025/03/17</v>
      </c>
      <c r="AL979" s="39" t="str">
        <f t="shared" ref="AL979:AL985" si="80">("2025/04/01")</f>
        <v>2025/04/01</v>
      </c>
    </row>
    <row r="980" spans="1:38" x14ac:dyDescent="0.25">
      <c r="A980" s="39" t="str">
        <f>("1407230214")</f>
        <v>1407230214</v>
      </c>
      <c r="C980" s="39"/>
      <c r="D980" s="39" t="s">
        <v>8079</v>
      </c>
      <c r="E980" s="371" t="str">
        <f t="shared" si="78"/>
        <v>いのうえ　さくと</v>
      </c>
      <c r="F980" s="39" t="s">
        <v>947</v>
      </c>
      <c r="G980" s="39" t="s">
        <v>7828</v>
      </c>
      <c r="H980" s="39" t="str">
        <f>("2014/07/23")</f>
        <v>2014/07/23</v>
      </c>
      <c r="I980" s="39">
        <v>5</v>
      </c>
      <c r="J980" s="39" t="s">
        <v>1478</v>
      </c>
      <c r="K980" s="39" t="s">
        <v>2122</v>
      </c>
      <c r="L980" s="39" t="s">
        <v>7830</v>
      </c>
      <c r="M980" s="39" t="s">
        <v>7831</v>
      </c>
      <c r="N980" s="39" t="str">
        <f>("0130183")</f>
        <v>0130183</v>
      </c>
      <c r="P980" s="39" t="s">
        <v>12459</v>
      </c>
      <c r="Q980" s="39" t="s">
        <v>8568</v>
      </c>
      <c r="R980" s="39" t="s">
        <v>8569</v>
      </c>
      <c r="S980" s="39" t="s">
        <v>8570</v>
      </c>
      <c r="AK980" s="39" t="str">
        <f>("2025/03/27")</f>
        <v>2025/03/27</v>
      </c>
      <c r="AL980" s="39" t="str">
        <f t="shared" si="80"/>
        <v>2025/04/01</v>
      </c>
    </row>
    <row r="981" spans="1:38" x14ac:dyDescent="0.25">
      <c r="A981" s="39" t="str">
        <f>("1407240059")</f>
        <v>1407240059</v>
      </c>
      <c r="B981" s="39" t="s">
        <v>8080</v>
      </c>
      <c r="C981" s="39"/>
      <c r="D981" s="39" t="s">
        <v>4702</v>
      </c>
      <c r="E981" s="371" t="str">
        <f t="shared" si="78"/>
        <v>はしもと　りお</v>
      </c>
      <c r="F981" s="39" t="s">
        <v>2584</v>
      </c>
      <c r="G981" s="39" t="s">
        <v>7828</v>
      </c>
      <c r="H981" s="39" t="str">
        <f>("2014/07/24")</f>
        <v>2014/07/24</v>
      </c>
      <c r="I981" s="39">
        <v>5</v>
      </c>
      <c r="J981" s="39" t="s">
        <v>1478</v>
      </c>
      <c r="K981" s="39" t="s">
        <v>2122</v>
      </c>
      <c r="L981" s="39" t="s">
        <v>7830</v>
      </c>
      <c r="M981" s="39" t="s">
        <v>7831</v>
      </c>
      <c r="N981" s="39" t="str">
        <f>("0374071")</f>
        <v>0374071</v>
      </c>
      <c r="P981" s="39" t="s">
        <v>12460</v>
      </c>
      <c r="Q981" s="39" t="s">
        <v>8568</v>
      </c>
      <c r="R981" s="39" t="s">
        <v>8569</v>
      </c>
      <c r="S981" s="39" t="s">
        <v>8570</v>
      </c>
      <c r="AK981" s="39" t="str">
        <f>("2025/03/17")</f>
        <v>2025/03/17</v>
      </c>
      <c r="AL981" s="39" t="str">
        <f t="shared" si="80"/>
        <v>2025/04/01</v>
      </c>
    </row>
    <row r="982" spans="1:38" x14ac:dyDescent="0.25">
      <c r="A982" s="39" t="str">
        <f>("1407240068")</f>
        <v>1407240068</v>
      </c>
      <c r="B982" s="39" t="s">
        <v>8081</v>
      </c>
      <c r="C982" s="39"/>
      <c r="D982" s="39" t="s">
        <v>4573</v>
      </c>
      <c r="E982" s="371" t="str">
        <f t="shared" si="78"/>
        <v>あべ　てつと</v>
      </c>
      <c r="F982" s="39" t="s">
        <v>1330</v>
      </c>
      <c r="G982" s="39" t="s">
        <v>7828</v>
      </c>
      <c r="H982" s="39" t="str">
        <f>("2014/07/24")</f>
        <v>2014/07/24</v>
      </c>
      <c r="I982" s="39">
        <v>5</v>
      </c>
      <c r="J982" s="39" t="s">
        <v>1478</v>
      </c>
      <c r="K982" s="39" t="s">
        <v>2122</v>
      </c>
      <c r="L982" s="39" t="s">
        <v>7830</v>
      </c>
      <c r="M982" s="39" t="s">
        <v>7831</v>
      </c>
      <c r="N982" s="39" t="str">
        <f>("0130598")</f>
        <v>0130598</v>
      </c>
      <c r="P982" s="39" t="s">
        <v>12461</v>
      </c>
      <c r="Q982" s="39" t="s">
        <v>8568</v>
      </c>
      <c r="R982" s="39" t="s">
        <v>8569</v>
      </c>
      <c r="S982" s="39" t="s">
        <v>8570</v>
      </c>
      <c r="AK982" s="39" t="str">
        <f>("2025/03/17")</f>
        <v>2025/03/17</v>
      </c>
      <c r="AL982" s="39" t="str">
        <f t="shared" si="80"/>
        <v>2025/04/01</v>
      </c>
    </row>
    <row r="983" spans="1:38" x14ac:dyDescent="0.25">
      <c r="A983" s="39" t="str">
        <f>("1407240117")</f>
        <v>1407240117</v>
      </c>
      <c r="C983" s="39"/>
      <c r="D983" s="39" t="s">
        <v>4297</v>
      </c>
      <c r="E983" s="371" t="str">
        <f t="shared" si="78"/>
        <v>みしろ　たいせい</v>
      </c>
      <c r="F983" s="39" t="s">
        <v>2139</v>
      </c>
      <c r="G983" s="39" t="s">
        <v>7828</v>
      </c>
      <c r="H983" s="39" t="str">
        <f>("2014/07/24")</f>
        <v>2014/07/24</v>
      </c>
      <c r="I983" s="39">
        <v>5</v>
      </c>
      <c r="J983" s="39" t="s">
        <v>1478</v>
      </c>
      <c r="K983" s="39" t="s">
        <v>2122</v>
      </c>
      <c r="L983" s="39" t="s">
        <v>7830</v>
      </c>
      <c r="M983" s="39" t="s">
        <v>7831</v>
      </c>
      <c r="N983" s="39" t="str">
        <f>("0129798")</f>
        <v>0129798</v>
      </c>
      <c r="P983" s="39" t="s">
        <v>12462</v>
      </c>
      <c r="Q983" s="39" t="s">
        <v>8568</v>
      </c>
      <c r="R983" s="39" t="s">
        <v>8569</v>
      </c>
      <c r="S983" s="39" t="s">
        <v>8570</v>
      </c>
      <c r="AK983" s="39" t="str">
        <f>("2025/03/27")</f>
        <v>2025/03/27</v>
      </c>
      <c r="AL983" s="39" t="str">
        <f t="shared" si="80"/>
        <v>2025/04/01</v>
      </c>
    </row>
    <row r="984" spans="1:38" x14ac:dyDescent="0.25">
      <c r="A984" s="39" t="str">
        <f>("1407240133")</f>
        <v>1407240133</v>
      </c>
      <c r="C984" s="39"/>
      <c r="D984" s="39" t="s">
        <v>8082</v>
      </c>
      <c r="E984" s="371" t="str">
        <f t="shared" si="78"/>
        <v>わかばやし　そうた</v>
      </c>
      <c r="F984" s="39" t="s">
        <v>2587</v>
      </c>
      <c r="G984" s="39" t="s">
        <v>7828</v>
      </c>
      <c r="H984" s="39" t="str">
        <f>("2014/07/24")</f>
        <v>2014/07/24</v>
      </c>
      <c r="I984" s="39">
        <v>5</v>
      </c>
      <c r="J984" s="39" t="s">
        <v>1478</v>
      </c>
      <c r="K984" s="39" t="s">
        <v>2122</v>
      </c>
      <c r="L984" s="39" t="s">
        <v>7830</v>
      </c>
      <c r="M984" s="39" t="s">
        <v>7831</v>
      </c>
      <c r="N984" s="39" t="str">
        <f>("0387334")</f>
        <v>0387334</v>
      </c>
      <c r="P984" s="39" t="s">
        <v>12463</v>
      </c>
      <c r="Q984" s="39" t="s">
        <v>8568</v>
      </c>
      <c r="R984" s="39" t="s">
        <v>8569</v>
      </c>
      <c r="S984" s="39" t="s">
        <v>8570</v>
      </c>
      <c r="AK984" s="39" t="str">
        <f>("2025/03/27")</f>
        <v>2025/03/27</v>
      </c>
      <c r="AL984" s="39" t="str">
        <f t="shared" si="80"/>
        <v>2025/04/01</v>
      </c>
    </row>
    <row r="985" spans="1:38" x14ac:dyDescent="0.25">
      <c r="A985" s="39" t="str">
        <f>("1407250026")</f>
        <v>1407250026</v>
      </c>
      <c r="B985" s="39" t="s">
        <v>8083</v>
      </c>
      <c r="C985" s="39"/>
      <c r="D985" s="39" t="s">
        <v>6286</v>
      </c>
      <c r="E985" s="371" t="str">
        <f t="shared" si="78"/>
        <v>しゅとう　りんせい</v>
      </c>
      <c r="F985" s="39" t="s">
        <v>5621</v>
      </c>
      <c r="G985" s="39" t="s">
        <v>7828</v>
      </c>
      <c r="H985" s="39" t="str">
        <f>("2014/07/25")</f>
        <v>2014/07/25</v>
      </c>
      <c r="I985" s="39">
        <v>5</v>
      </c>
      <c r="J985" s="39" t="s">
        <v>1478</v>
      </c>
      <c r="K985" s="39" t="s">
        <v>2122</v>
      </c>
      <c r="L985" s="39" t="s">
        <v>7830</v>
      </c>
      <c r="M985" s="39" t="s">
        <v>7831</v>
      </c>
      <c r="N985" s="39" t="str">
        <f>("1110654")</f>
        <v>1110654</v>
      </c>
      <c r="P985" s="39" t="s">
        <v>12464</v>
      </c>
      <c r="Q985" s="39" t="s">
        <v>8568</v>
      </c>
      <c r="R985" s="39" t="s">
        <v>8569</v>
      </c>
      <c r="S985" s="39" t="s">
        <v>8570</v>
      </c>
      <c r="AA985" s="39" t="s">
        <v>2122</v>
      </c>
      <c r="AB985" s="39" t="s">
        <v>7830</v>
      </c>
      <c r="AC985" s="39" t="s">
        <v>7831</v>
      </c>
      <c r="AD985" s="39" t="str">
        <f>("0130442")</f>
        <v>0130442</v>
      </c>
      <c r="AE985" s="39" t="s">
        <v>2033</v>
      </c>
      <c r="AK985" s="39" t="str">
        <f>("2025/03/03")</f>
        <v>2025/03/03</v>
      </c>
      <c r="AL985" s="39" t="str">
        <f t="shared" si="80"/>
        <v>2025/04/01</v>
      </c>
    </row>
    <row r="986" spans="1:38" x14ac:dyDescent="0.25">
      <c r="A986" s="39" t="str">
        <f>("1407250089")</f>
        <v>1407250089</v>
      </c>
      <c r="C986" s="39"/>
      <c r="D986" s="39" t="s">
        <v>8084</v>
      </c>
      <c r="E986" s="371" t="str">
        <f t="shared" si="78"/>
        <v>こはら　きずな</v>
      </c>
      <c r="F986" s="39" t="s">
        <v>1239</v>
      </c>
      <c r="G986" s="39" t="s">
        <v>7828</v>
      </c>
      <c r="H986" s="39" t="str">
        <f>("2014/07/25")</f>
        <v>2014/07/25</v>
      </c>
      <c r="I986" s="39">
        <v>5</v>
      </c>
      <c r="J986" s="39" t="s">
        <v>1478</v>
      </c>
      <c r="K986" s="39" t="s">
        <v>2122</v>
      </c>
      <c r="L986" s="39" t="s">
        <v>7830</v>
      </c>
      <c r="M986" s="39" t="s">
        <v>7831</v>
      </c>
      <c r="N986" s="39" t="str">
        <f>("0129585")</f>
        <v>0129585</v>
      </c>
      <c r="P986" s="39" t="s">
        <v>12465</v>
      </c>
      <c r="Q986" s="39" t="s">
        <v>8568</v>
      </c>
      <c r="R986" s="39" t="s">
        <v>8569</v>
      </c>
      <c r="S986" s="39" t="s">
        <v>8570</v>
      </c>
      <c r="AA986" s="39" t="s">
        <v>2122</v>
      </c>
      <c r="AB986" s="39" t="s">
        <v>7830</v>
      </c>
      <c r="AC986" s="39" t="s">
        <v>7831</v>
      </c>
      <c r="AD986" s="39" t="str">
        <f>("1101553")</f>
        <v>1101553</v>
      </c>
      <c r="AE986" s="39" t="s">
        <v>5620</v>
      </c>
      <c r="AK986" s="39" t="str">
        <f>("2025/09/16")</f>
        <v>2025/09/16</v>
      </c>
      <c r="AL986" s="39" t="str">
        <f>("2025/09/16")</f>
        <v>2025/09/16</v>
      </c>
    </row>
    <row r="987" spans="1:38" x14ac:dyDescent="0.25">
      <c r="A987" s="39" t="str">
        <f>("1407250184")</f>
        <v>1407250184</v>
      </c>
      <c r="C987" s="39"/>
      <c r="D987" s="39" t="s">
        <v>8085</v>
      </c>
      <c r="E987" s="371" t="str">
        <f t="shared" si="78"/>
        <v>ごとう　はると</v>
      </c>
      <c r="F987" s="39" t="s">
        <v>2243</v>
      </c>
      <c r="G987" s="39" t="s">
        <v>7828</v>
      </c>
      <c r="H987" s="39" t="str">
        <f>("2014/07/25")</f>
        <v>2014/07/25</v>
      </c>
      <c r="I987" s="39">
        <v>5</v>
      </c>
      <c r="J987" s="39" t="s">
        <v>1478</v>
      </c>
      <c r="K987" s="39" t="s">
        <v>2122</v>
      </c>
      <c r="L987" s="39" t="s">
        <v>7830</v>
      </c>
      <c r="M987" s="39" t="s">
        <v>7831</v>
      </c>
      <c r="N987" s="39" t="str">
        <f>("0130565")</f>
        <v>0130565</v>
      </c>
      <c r="P987" s="39" t="s">
        <v>12466</v>
      </c>
      <c r="Q987" s="39" t="s">
        <v>8568</v>
      </c>
      <c r="R987" s="39" t="s">
        <v>8569</v>
      </c>
      <c r="S987" s="39" t="s">
        <v>8570</v>
      </c>
      <c r="AK987" s="39" t="str">
        <f>("2025/03/17")</f>
        <v>2025/03/17</v>
      </c>
      <c r="AL987" s="39" t="str">
        <f>("2025/04/01")</f>
        <v>2025/04/01</v>
      </c>
    </row>
    <row r="988" spans="1:38" x14ac:dyDescent="0.25">
      <c r="A988" s="39" t="str">
        <f>("1407250232")</f>
        <v>1407250232</v>
      </c>
      <c r="C988" s="39"/>
      <c r="D988" s="39" t="s">
        <v>6039</v>
      </c>
      <c r="E988" s="371" t="str">
        <f t="shared" si="78"/>
        <v>しいば　あおい</v>
      </c>
      <c r="F988" s="39" t="s">
        <v>2395</v>
      </c>
      <c r="G988" s="39" t="s">
        <v>7828</v>
      </c>
      <c r="H988" s="39" t="str">
        <f>("2014/07/25")</f>
        <v>2014/07/25</v>
      </c>
      <c r="I988" s="39">
        <v>5</v>
      </c>
      <c r="J988" s="39" t="s">
        <v>1478</v>
      </c>
      <c r="K988" s="39" t="s">
        <v>2122</v>
      </c>
      <c r="L988" s="39" t="s">
        <v>7830</v>
      </c>
      <c r="M988" s="39" t="s">
        <v>7831</v>
      </c>
      <c r="N988" s="39" t="str">
        <f>("0366735")</f>
        <v>0366735</v>
      </c>
      <c r="P988" s="39" t="s">
        <v>12467</v>
      </c>
      <c r="Q988" s="39" t="s">
        <v>8568</v>
      </c>
      <c r="R988" s="39" t="s">
        <v>8569</v>
      </c>
      <c r="S988" s="39" t="s">
        <v>8570</v>
      </c>
      <c r="AK988" s="39" t="str">
        <f>("2025/03/17")</f>
        <v>2025/03/17</v>
      </c>
      <c r="AL988" s="39" t="str">
        <f>("2025/04/01")</f>
        <v>2025/04/01</v>
      </c>
    </row>
    <row r="989" spans="1:38" x14ac:dyDescent="0.25">
      <c r="A989" s="39" t="str">
        <f>("1407250253")</f>
        <v>1407250253</v>
      </c>
      <c r="B989" s="39" t="s">
        <v>8086</v>
      </c>
      <c r="C989" s="39"/>
      <c r="D989" s="39" t="s">
        <v>8087</v>
      </c>
      <c r="E989" s="371" t="str">
        <f t="shared" si="78"/>
        <v>こばた　そうた</v>
      </c>
      <c r="F989" s="39" t="s">
        <v>2188</v>
      </c>
      <c r="G989" s="39" t="s">
        <v>7828</v>
      </c>
      <c r="H989" s="39" t="str">
        <f>("2014/07/25")</f>
        <v>2014/07/25</v>
      </c>
      <c r="I989" s="39">
        <v>5</v>
      </c>
      <c r="J989" s="39" t="s">
        <v>1478</v>
      </c>
      <c r="K989" s="39" t="s">
        <v>2122</v>
      </c>
      <c r="L989" s="39" t="s">
        <v>7830</v>
      </c>
      <c r="M989" s="39" t="s">
        <v>7831</v>
      </c>
      <c r="N989" s="39" t="str">
        <f>("0129596")</f>
        <v>0129596</v>
      </c>
      <c r="P989" s="39" t="s">
        <v>12468</v>
      </c>
      <c r="Q989" s="39" t="s">
        <v>8568</v>
      </c>
      <c r="R989" s="39" t="s">
        <v>8569</v>
      </c>
      <c r="S989" s="39" t="s">
        <v>8570</v>
      </c>
      <c r="AK989" s="39" t="str">
        <f>("2025/03/17")</f>
        <v>2025/03/17</v>
      </c>
      <c r="AL989" s="39" t="str">
        <f>("2025/04/01")</f>
        <v>2025/04/01</v>
      </c>
    </row>
    <row r="990" spans="1:38" x14ac:dyDescent="0.25">
      <c r="A990" s="39" t="str">
        <f>("1407270081")</f>
        <v>1407270081</v>
      </c>
      <c r="C990" s="39"/>
      <c r="D990" s="39" t="s">
        <v>8088</v>
      </c>
      <c r="E990" s="371" t="str">
        <f t="shared" si="78"/>
        <v>みたらい　あまと</v>
      </c>
      <c r="F990" s="39" t="s">
        <v>1207</v>
      </c>
      <c r="G990" s="39" t="s">
        <v>7828</v>
      </c>
      <c r="H990" s="39" t="str">
        <f>("2014/07/27")</f>
        <v>2014/07/27</v>
      </c>
      <c r="I990" s="39">
        <v>5</v>
      </c>
      <c r="J990" s="39" t="s">
        <v>1478</v>
      </c>
      <c r="K990" s="39" t="s">
        <v>2122</v>
      </c>
      <c r="L990" s="39" t="s">
        <v>7830</v>
      </c>
      <c r="M990" s="39" t="s">
        <v>7831</v>
      </c>
      <c r="N990" s="39" t="str">
        <f>("0381608")</f>
        <v>0381608</v>
      </c>
      <c r="P990" s="39" t="s">
        <v>12469</v>
      </c>
      <c r="Q990" s="39" t="s">
        <v>8568</v>
      </c>
      <c r="R990" s="39" t="s">
        <v>8569</v>
      </c>
      <c r="S990" s="39" t="s">
        <v>8570</v>
      </c>
      <c r="AA990" s="39" t="s">
        <v>2122</v>
      </c>
      <c r="AB990" s="39" t="s">
        <v>7830</v>
      </c>
      <c r="AC990" s="39" t="s">
        <v>7831</v>
      </c>
      <c r="AD990" s="39" t="str">
        <f>("0472823")</f>
        <v>0472823</v>
      </c>
      <c r="AE990" s="39" t="s">
        <v>2619</v>
      </c>
      <c r="AK990" s="39" t="str">
        <f>("2025/04/23")</f>
        <v>2025/04/23</v>
      </c>
      <c r="AL990" s="39" t="str">
        <f>("2025/04/23")</f>
        <v>2025/04/23</v>
      </c>
    </row>
    <row r="991" spans="1:38" x14ac:dyDescent="0.25">
      <c r="A991" s="39" t="str">
        <f>("1407270153")</f>
        <v>1407270153</v>
      </c>
      <c r="C991" s="39"/>
      <c r="D991" s="39" t="s">
        <v>8089</v>
      </c>
      <c r="E991" s="371" t="str">
        <f t="shared" si="78"/>
        <v>みうら　あつと</v>
      </c>
      <c r="F991" s="39" t="s">
        <v>2243</v>
      </c>
      <c r="G991" s="39" t="s">
        <v>7828</v>
      </c>
      <c r="H991" s="39" t="str">
        <f>("2014/07/27")</f>
        <v>2014/07/27</v>
      </c>
      <c r="I991" s="39">
        <v>5</v>
      </c>
      <c r="J991" s="39" t="s">
        <v>1478</v>
      </c>
      <c r="K991" s="39" t="s">
        <v>2122</v>
      </c>
      <c r="L991" s="39" t="s">
        <v>7830</v>
      </c>
      <c r="M991" s="39" t="s">
        <v>7831</v>
      </c>
      <c r="N991" s="39" t="str">
        <f>("0130565")</f>
        <v>0130565</v>
      </c>
      <c r="P991" s="39" t="s">
        <v>12470</v>
      </c>
      <c r="Q991" s="39" t="s">
        <v>8568</v>
      </c>
      <c r="R991" s="39" t="s">
        <v>8569</v>
      </c>
      <c r="S991" s="39" t="s">
        <v>8570</v>
      </c>
      <c r="AK991" s="39" t="str">
        <f>("2025/03/17")</f>
        <v>2025/03/17</v>
      </c>
      <c r="AL991" s="39" t="str">
        <f>("2025/04/01")</f>
        <v>2025/04/01</v>
      </c>
    </row>
    <row r="992" spans="1:38" x14ac:dyDescent="0.25">
      <c r="A992" s="39" t="str">
        <f>("1407280190")</f>
        <v>1407280190</v>
      </c>
      <c r="C992" s="39"/>
      <c r="D992" s="39" t="s">
        <v>6037</v>
      </c>
      <c r="E992" s="371" t="str">
        <f t="shared" si="78"/>
        <v>ふくだ　たいよう</v>
      </c>
      <c r="F992" s="39" t="s">
        <v>2395</v>
      </c>
      <c r="G992" s="39" t="s">
        <v>7828</v>
      </c>
      <c r="H992" s="39" t="str">
        <f>("2014/07/28")</f>
        <v>2014/07/28</v>
      </c>
      <c r="I992" s="39">
        <v>5</v>
      </c>
      <c r="J992" s="39" t="s">
        <v>1478</v>
      </c>
      <c r="K992" s="39" t="s">
        <v>2122</v>
      </c>
      <c r="L992" s="39" t="s">
        <v>7830</v>
      </c>
      <c r="M992" s="39" t="s">
        <v>7831</v>
      </c>
      <c r="N992" s="39" t="str">
        <f>("0366735")</f>
        <v>0366735</v>
      </c>
      <c r="P992" s="39" t="s">
        <v>12471</v>
      </c>
      <c r="Q992" s="39" t="s">
        <v>8568</v>
      </c>
      <c r="R992" s="39" t="s">
        <v>8569</v>
      </c>
      <c r="S992" s="39" t="s">
        <v>8570</v>
      </c>
      <c r="AK992" s="39" t="str">
        <f>("2025/03/17")</f>
        <v>2025/03/17</v>
      </c>
      <c r="AL992" s="39" t="str">
        <f>("2025/04/01")</f>
        <v>2025/04/01</v>
      </c>
    </row>
    <row r="993" spans="1:38" x14ac:dyDescent="0.25">
      <c r="A993" s="39" t="str">
        <f>("1407300049")</f>
        <v>1407300049</v>
      </c>
      <c r="B993" s="39" t="s">
        <v>8090</v>
      </c>
      <c r="C993" s="39"/>
      <c r="D993" s="39" t="s">
        <v>8091</v>
      </c>
      <c r="E993" s="371" t="str">
        <f t="shared" si="78"/>
        <v>あきづき　かいと</v>
      </c>
      <c r="F993" s="39" t="s">
        <v>8050</v>
      </c>
      <c r="G993" s="39" t="s">
        <v>7828</v>
      </c>
      <c r="H993" s="39" t="str">
        <f>("2014/07/30")</f>
        <v>2014/07/30</v>
      </c>
      <c r="I993" s="39">
        <v>5</v>
      </c>
      <c r="J993" s="39" t="s">
        <v>1478</v>
      </c>
      <c r="K993" s="39" t="s">
        <v>2122</v>
      </c>
      <c r="L993" s="39" t="s">
        <v>7830</v>
      </c>
      <c r="M993" s="39" t="s">
        <v>7831</v>
      </c>
      <c r="N993" s="39" t="str">
        <f>("0130015")</f>
        <v>0130015</v>
      </c>
      <c r="P993" s="39" t="s">
        <v>12472</v>
      </c>
      <c r="Q993" s="39" t="s">
        <v>8568</v>
      </c>
      <c r="R993" s="39" t="s">
        <v>8569</v>
      </c>
      <c r="S993" s="39" t="s">
        <v>8570</v>
      </c>
      <c r="AK993" s="39" t="str">
        <f>("2025/03/17")</f>
        <v>2025/03/17</v>
      </c>
      <c r="AL993" s="39" t="str">
        <f>("2025/04/01")</f>
        <v>2025/04/01</v>
      </c>
    </row>
    <row r="994" spans="1:38" x14ac:dyDescent="0.25">
      <c r="A994" s="39" t="str">
        <f>("1407300176")</f>
        <v>1407300176</v>
      </c>
      <c r="C994" s="39"/>
      <c r="D994" s="39" t="s">
        <v>8092</v>
      </c>
      <c r="E994" s="371" t="str">
        <f t="shared" si="78"/>
        <v>かめがわ　はるく</v>
      </c>
      <c r="F994" s="39" t="s">
        <v>2587</v>
      </c>
      <c r="G994" s="39" t="s">
        <v>7828</v>
      </c>
      <c r="H994" s="39" t="str">
        <f>("2014/07/30")</f>
        <v>2014/07/30</v>
      </c>
      <c r="I994" s="39">
        <v>5</v>
      </c>
      <c r="J994" s="39" t="s">
        <v>1478</v>
      </c>
      <c r="K994" s="39" t="s">
        <v>2122</v>
      </c>
      <c r="L994" s="39" t="s">
        <v>7830</v>
      </c>
      <c r="M994" s="39" t="s">
        <v>7831</v>
      </c>
      <c r="N994" s="39" t="str">
        <f>("0387334")</f>
        <v>0387334</v>
      </c>
      <c r="P994" s="39" t="s">
        <v>12473</v>
      </c>
      <c r="Q994" s="39" t="s">
        <v>8568</v>
      </c>
      <c r="R994" s="39" t="s">
        <v>8569</v>
      </c>
      <c r="S994" s="39" t="s">
        <v>8570</v>
      </c>
      <c r="AK994" s="39" t="str">
        <f>("2025/03/27")</f>
        <v>2025/03/27</v>
      </c>
      <c r="AL994" s="39" t="str">
        <f>("2025/04/01")</f>
        <v>2025/04/01</v>
      </c>
    </row>
    <row r="995" spans="1:38" x14ac:dyDescent="0.25">
      <c r="A995" s="39" t="str">
        <f>("1407310167")</f>
        <v>1407310167</v>
      </c>
      <c r="C995" s="39"/>
      <c r="D995" s="39" t="s">
        <v>8093</v>
      </c>
      <c r="E995" s="371" t="str">
        <f t="shared" si="78"/>
        <v>ふじい　りつき</v>
      </c>
      <c r="F995" s="39" t="s">
        <v>1751</v>
      </c>
      <c r="G995" s="39" t="s">
        <v>7828</v>
      </c>
      <c r="H995" s="39" t="str">
        <f>("2014/07/31")</f>
        <v>2014/07/31</v>
      </c>
      <c r="I995" s="39">
        <v>5</v>
      </c>
      <c r="J995" s="39" t="s">
        <v>1478</v>
      </c>
      <c r="K995" s="39" t="s">
        <v>2122</v>
      </c>
      <c r="L995" s="39" t="s">
        <v>7830</v>
      </c>
      <c r="M995" s="39" t="s">
        <v>7831</v>
      </c>
      <c r="N995" s="39" t="str">
        <f>("0130453")</f>
        <v>0130453</v>
      </c>
      <c r="P995" s="39" t="s">
        <v>12474</v>
      </c>
      <c r="Q995" s="39" t="s">
        <v>8568</v>
      </c>
      <c r="R995" s="39" t="s">
        <v>8569</v>
      </c>
      <c r="S995" s="39" t="s">
        <v>8570</v>
      </c>
      <c r="AA995" s="39" t="s">
        <v>2122</v>
      </c>
      <c r="AB995" s="39" t="s">
        <v>7830</v>
      </c>
      <c r="AC995" s="39" t="s">
        <v>7831</v>
      </c>
      <c r="AD995" s="39" t="str">
        <f>("0130015")</f>
        <v>0130015</v>
      </c>
      <c r="AE995" s="39" t="s">
        <v>8050</v>
      </c>
      <c r="AK995" s="39" t="str">
        <f>("2025/05/02")</f>
        <v>2025/05/02</v>
      </c>
      <c r="AL995" s="39" t="str">
        <f>("2025/05/02")</f>
        <v>2025/05/02</v>
      </c>
    </row>
    <row r="996" spans="1:38" x14ac:dyDescent="0.25">
      <c r="A996" s="39" t="str">
        <f>("1407310275")</f>
        <v>1407310275</v>
      </c>
      <c r="C996" s="39"/>
      <c r="D996" s="39" t="s">
        <v>8094</v>
      </c>
      <c r="E996" s="371" t="str">
        <f t="shared" si="78"/>
        <v>やしお　ゆうき</v>
      </c>
      <c r="F996" s="39" t="s">
        <v>5619</v>
      </c>
      <c r="G996" s="39" t="s">
        <v>7828</v>
      </c>
      <c r="H996" s="39" t="str">
        <f>("2014/07/31")</f>
        <v>2014/07/31</v>
      </c>
      <c r="I996" s="39">
        <v>5</v>
      </c>
      <c r="J996" s="39" t="s">
        <v>1478</v>
      </c>
      <c r="K996" s="39" t="s">
        <v>2122</v>
      </c>
      <c r="L996" s="39" t="s">
        <v>7830</v>
      </c>
      <c r="M996" s="39" t="s">
        <v>7831</v>
      </c>
      <c r="N996" s="39" t="str">
        <f>("1089004")</f>
        <v>1089004</v>
      </c>
      <c r="P996" s="39" t="s">
        <v>12475</v>
      </c>
      <c r="Q996" s="39" t="s">
        <v>8568</v>
      </c>
      <c r="R996" s="39" t="s">
        <v>8569</v>
      </c>
      <c r="S996" s="39" t="s">
        <v>8570</v>
      </c>
      <c r="AK996" s="39" t="str">
        <f>("2025/05/27")</f>
        <v>2025/05/27</v>
      </c>
      <c r="AL996" s="39" t="str">
        <f>("2025/05/27")</f>
        <v>2025/05/27</v>
      </c>
    </row>
    <row r="997" spans="1:38" x14ac:dyDescent="0.25">
      <c r="A997" s="39" t="str">
        <f>("1408010044")</f>
        <v>1408010044</v>
      </c>
      <c r="C997" s="39"/>
      <c r="D997" s="39" t="s">
        <v>8095</v>
      </c>
      <c r="E997" s="371" t="str">
        <f t="shared" si="78"/>
        <v>むらかみ　そうま</v>
      </c>
      <c r="F997" s="39" t="s">
        <v>1917</v>
      </c>
      <c r="G997" s="39" t="s">
        <v>7828</v>
      </c>
      <c r="H997" s="39" t="str">
        <f>("2014/08/01")</f>
        <v>2014/08/01</v>
      </c>
      <c r="I997" s="39">
        <v>5</v>
      </c>
      <c r="J997" s="39" t="s">
        <v>1478</v>
      </c>
      <c r="K997" s="39" t="s">
        <v>2122</v>
      </c>
      <c r="L997" s="39" t="s">
        <v>7830</v>
      </c>
      <c r="M997" s="39" t="s">
        <v>7831</v>
      </c>
      <c r="N997" s="39" t="str">
        <f>("1032161")</f>
        <v>1032161</v>
      </c>
      <c r="P997" s="39" t="s">
        <v>12476</v>
      </c>
      <c r="Q997" s="39" t="s">
        <v>8568</v>
      </c>
      <c r="R997" s="39" t="s">
        <v>8569</v>
      </c>
      <c r="S997" s="39" t="s">
        <v>8570</v>
      </c>
      <c r="AA997" s="39" t="s">
        <v>2122</v>
      </c>
      <c r="AB997" s="39" t="s">
        <v>7830</v>
      </c>
      <c r="AC997" s="39" t="s">
        <v>7831</v>
      </c>
      <c r="AD997" s="39" t="str">
        <f>("0130015")</f>
        <v>0130015</v>
      </c>
      <c r="AE997" s="39" t="s">
        <v>8050</v>
      </c>
      <c r="AK997" s="39" t="str">
        <f>("2025/03/21")</f>
        <v>2025/03/21</v>
      </c>
      <c r="AL997" s="39" t="str">
        <f t="shared" ref="AL997:AL1007" si="81">("2025/04/01")</f>
        <v>2025/04/01</v>
      </c>
    </row>
    <row r="998" spans="1:38" x14ac:dyDescent="0.25">
      <c r="A998" s="39" t="str">
        <f>("1408010201")</f>
        <v>1408010201</v>
      </c>
      <c r="C998" s="39"/>
      <c r="D998" s="39" t="s">
        <v>8096</v>
      </c>
      <c r="E998" s="371" t="str">
        <f t="shared" si="78"/>
        <v>あべ　いさみ</v>
      </c>
      <c r="F998" s="39" t="s">
        <v>2647</v>
      </c>
      <c r="G998" s="39" t="s">
        <v>7828</v>
      </c>
      <c r="H998" s="39" t="str">
        <f>("2014/08/01")</f>
        <v>2014/08/01</v>
      </c>
      <c r="I998" s="39">
        <v>5</v>
      </c>
      <c r="J998" s="39" t="s">
        <v>1478</v>
      </c>
      <c r="K998" s="39" t="s">
        <v>2122</v>
      </c>
      <c r="L998" s="39" t="s">
        <v>7830</v>
      </c>
      <c r="M998" s="39" t="s">
        <v>7831</v>
      </c>
      <c r="N998" s="39" t="str">
        <f>("1036817")</f>
        <v>1036817</v>
      </c>
      <c r="P998" s="39" t="s">
        <v>12477</v>
      </c>
      <c r="Q998" s="39" t="s">
        <v>8568</v>
      </c>
      <c r="R998" s="39" t="s">
        <v>8569</v>
      </c>
      <c r="S998" s="39" t="s">
        <v>8570</v>
      </c>
      <c r="AK998" s="39" t="str">
        <f>("2025/03/17")</f>
        <v>2025/03/17</v>
      </c>
      <c r="AL998" s="39" t="str">
        <f t="shared" si="81"/>
        <v>2025/04/01</v>
      </c>
    </row>
    <row r="999" spans="1:38" x14ac:dyDescent="0.25">
      <c r="A999" s="39" t="str">
        <f>("1408010203")</f>
        <v>1408010203</v>
      </c>
      <c r="C999" s="39"/>
      <c r="D999" s="39" t="s">
        <v>8097</v>
      </c>
      <c r="E999" s="371" t="str">
        <f t="shared" si="78"/>
        <v>むらまつ　れお</v>
      </c>
      <c r="F999" s="39" t="s">
        <v>829</v>
      </c>
      <c r="G999" s="39" t="s">
        <v>7828</v>
      </c>
      <c r="H999" s="39" t="str">
        <f>("2014/08/01")</f>
        <v>2014/08/01</v>
      </c>
      <c r="I999" s="39">
        <v>5</v>
      </c>
      <c r="J999" s="39" t="s">
        <v>1478</v>
      </c>
      <c r="K999" s="39" t="s">
        <v>2122</v>
      </c>
      <c r="L999" s="39" t="s">
        <v>7830</v>
      </c>
      <c r="M999" s="39" t="s">
        <v>7831</v>
      </c>
      <c r="N999" s="39" t="str">
        <f>("0426631")</f>
        <v>0426631</v>
      </c>
      <c r="P999" s="39" t="s">
        <v>12478</v>
      </c>
      <c r="Q999" s="39" t="s">
        <v>8568</v>
      </c>
      <c r="R999" s="39" t="s">
        <v>8569</v>
      </c>
      <c r="S999" s="39" t="s">
        <v>8570</v>
      </c>
      <c r="AK999" s="39" t="str">
        <f>("2025/03/21")</f>
        <v>2025/03/21</v>
      </c>
      <c r="AL999" s="39" t="str">
        <f t="shared" si="81"/>
        <v>2025/04/01</v>
      </c>
    </row>
    <row r="1000" spans="1:38" x14ac:dyDescent="0.25">
      <c r="A1000" s="39" t="str">
        <f>("1408020007")</f>
        <v>1408020007</v>
      </c>
      <c r="C1000" s="39"/>
      <c r="D1000" s="39" t="s">
        <v>5831</v>
      </c>
      <c r="E1000" s="371" t="str">
        <f t="shared" si="78"/>
        <v>こしょう　かいと</v>
      </c>
      <c r="F1000" s="39" t="s">
        <v>5616</v>
      </c>
      <c r="G1000" s="39" t="s">
        <v>7828</v>
      </c>
      <c r="H1000" s="39" t="str">
        <f>("2014/08/02")</f>
        <v>2014/08/02</v>
      </c>
      <c r="I1000" s="39">
        <v>5</v>
      </c>
      <c r="J1000" s="39" t="s">
        <v>1478</v>
      </c>
      <c r="K1000" s="39" t="s">
        <v>2122</v>
      </c>
      <c r="L1000" s="39" t="s">
        <v>7830</v>
      </c>
      <c r="M1000" s="39" t="s">
        <v>7831</v>
      </c>
      <c r="N1000" s="39" t="str">
        <f>("0130385")</f>
        <v>0130385</v>
      </c>
      <c r="P1000" s="39" t="s">
        <v>12479</v>
      </c>
      <c r="Q1000" s="39" t="s">
        <v>8568</v>
      </c>
      <c r="R1000" s="39" t="s">
        <v>8569</v>
      </c>
      <c r="S1000" s="39" t="s">
        <v>8570</v>
      </c>
      <c r="AK1000" s="39" t="str">
        <f>("2025/03/17")</f>
        <v>2025/03/17</v>
      </c>
      <c r="AL1000" s="39" t="str">
        <f t="shared" si="81"/>
        <v>2025/04/01</v>
      </c>
    </row>
    <row r="1001" spans="1:38" x14ac:dyDescent="0.25">
      <c r="A1001" s="39" t="str">
        <f>("1408020026")</f>
        <v>1408020026</v>
      </c>
      <c r="C1001" s="39"/>
      <c r="D1001" s="39" t="s">
        <v>8098</v>
      </c>
      <c r="E1001" s="371" t="str">
        <f t="shared" si="78"/>
        <v>えぐま　こうすけ</v>
      </c>
      <c r="F1001" s="39" t="s">
        <v>2477</v>
      </c>
      <c r="G1001" s="39" t="s">
        <v>7828</v>
      </c>
      <c r="H1001" s="39" t="str">
        <f>("2014/08/02")</f>
        <v>2014/08/02</v>
      </c>
      <c r="I1001" s="39">
        <v>5</v>
      </c>
      <c r="J1001" s="39" t="s">
        <v>1478</v>
      </c>
      <c r="K1001" s="39" t="s">
        <v>2122</v>
      </c>
      <c r="L1001" s="39" t="s">
        <v>7830</v>
      </c>
      <c r="M1001" s="39" t="s">
        <v>7831</v>
      </c>
      <c r="N1001" s="39" t="str">
        <f>("0129541")</f>
        <v>0129541</v>
      </c>
      <c r="P1001" s="39" t="s">
        <v>12480</v>
      </c>
      <c r="Q1001" s="39" t="s">
        <v>8568</v>
      </c>
      <c r="R1001" s="39" t="s">
        <v>8569</v>
      </c>
      <c r="S1001" s="39" t="s">
        <v>8570</v>
      </c>
      <c r="AK1001" s="39" t="str">
        <f>("2025/03/27")</f>
        <v>2025/03/27</v>
      </c>
      <c r="AL1001" s="39" t="str">
        <f t="shared" si="81"/>
        <v>2025/04/01</v>
      </c>
    </row>
    <row r="1002" spans="1:38" x14ac:dyDescent="0.25">
      <c r="A1002" s="39" t="str">
        <f>("1408020032")</f>
        <v>1408020032</v>
      </c>
      <c r="B1002" s="39" t="s">
        <v>8099</v>
      </c>
      <c r="C1002" s="39"/>
      <c r="D1002" s="39" t="s">
        <v>5777</v>
      </c>
      <c r="E1002" s="371" t="str">
        <f t="shared" si="78"/>
        <v>ふたみ　すぐる</v>
      </c>
      <c r="F1002" s="39" t="s">
        <v>2138</v>
      </c>
      <c r="G1002" s="39" t="s">
        <v>7828</v>
      </c>
      <c r="H1002" s="39" t="str">
        <f>("2014/08/02")</f>
        <v>2014/08/02</v>
      </c>
      <c r="I1002" s="39">
        <v>5</v>
      </c>
      <c r="J1002" s="39" t="s">
        <v>1478</v>
      </c>
      <c r="K1002" s="39" t="s">
        <v>2122</v>
      </c>
      <c r="L1002" s="39" t="s">
        <v>7830</v>
      </c>
      <c r="M1002" s="39" t="s">
        <v>7831</v>
      </c>
      <c r="N1002" s="39" t="str">
        <f>("0130082")</f>
        <v>0130082</v>
      </c>
      <c r="P1002" s="39" t="s">
        <v>12481</v>
      </c>
      <c r="Q1002" s="39" t="s">
        <v>8568</v>
      </c>
      <c r="R1002" s="39" t="s">
        <v>8569</v>
      </c>
      <c r="S1002" s="39" t="s">
        <v>8570</v>
      </c>
      <c r="AK1002" s="39" t="str">
        <f>("2025/03/17")</f>
        <v>2025/03/17</v>
      </c>
      <c r="AL1002" s="39" t="str">
        <f t="shared" si="81"/>
        <v>2025/04/01</v>
      </c>
    </row>
    <row r="1003" spans="1:38" x14ac:dyDescent="0.25">
      <c r="A1003" s="39" t="str">
        <f>("1408020091")</f>
        <v>1408020091</v>
      </c>
      <c r="C1003" s="39"/>
      <c r="D1003" s="39" t="s">
        <v>5841</v>
      </c>
      <c r="E1003" s="371" t="str">
        <f t="shared" si="78"/>
        <v>おの　あおと</v>
      </c>
      <c r="F1003" s="39" t="s">
        <v>2531</v>
      </c>
      <c r="G1003" s="39" t="s">
        <v>7828</v>
      </c>
      <c r="H1003" s="39" t="str">
        <f>("2014/08/02")</f>
        <v>2014/08/02</v>
      </c>
      <c r="I1003" s="39">
        <v>5</v>
      </c>
      <c r="J1003" s="39" t="s">
        <v>1478</v>
      </c>
      <c r="K1003" s="39" t="s">
        <v>2122</v>
      </c>
      <c r="L1003" s="39" t="s">
        <v>7830</v>
      </c>
      <c r="M1003" s="39" t="s">
        <v>7831</v>
      </c>
      <c r="N1003" s="39" t="str">
        <f>("0130419")</f>
        <v>0130419</v>
      </c>
      <c r="P1003" s="39" t="s">
        <v>12482</v>
      </c>
      <c r="Q1003" s="39" t="s">
        <v>8568</v>
      </c>
      <c r="R1003" s="39" t="s">
        <v>8569</v>
      </c>
      <c r="S1003" s="39" t="s">
        <v>8570</v>
      </c>
      <c r="AK1003" s="39" t="str">
        <f>("2025/03/17")</f>
        <v>2025/03/17</v>
      </c>
      <c r="AL1003" s="39" t="str">
        <f t="shared" si="81"/>
        <v>2025/04/01</v>
      </c>
    </row>
    <row r="1004" spans="1:38" x14ac:dyDescent="0.25">
      <c r="A1004" s="39" t="str">
        <f>("1408020162")</f>
        <v>1408020162</v>
      </c>
      <c r="B1004" s="39" t="s">
        <v>8100</v>
      </c>
      <c r="C1004" s="39"/>
      <c r="D1004" s="39" t="s">
        <v>8101</v>
      </c>
      <c r="E1004" s="371" t="str">
        <f t="shared" si="78"/>
        <v>さくらい　けんしん</v>
      </c>
      <c r="F1004" s="39" t="s">
        <v>2584</v>
      </c>
      <c r="G1004" s="39" t="s">
        <v>7828</v>
      </c>
      <c r="H1004" s="39" t="str">
        <f>("2014/08/02")</f>
        <v>2014/08/02</v>
      </c>
      <c r="I1004" s="39">
        <v>5</v>
      </c>
      <c r="J1004" s="39" t="s">
        <v>1478</v>
      </c>
      <c r="K1004" s="39" t="s">
        <v>2122</v>
      </c>
      <c r="L1004" s="39" t="s">
        <v>7830</v>
      </c>
      <c r="M1004" s="39" t="s">
        <v>7831</v>
      </c>
      <c r="N1004" s="39" t="str">
        <f>("0374071")</f>
        <v>0374071</v>
      </c>
      <c r="P1004" s="39" t="s">
        <v>12483</v>
      </c>
      <c r="Q1004" s="39" t="s">
        <v>8568</v>
      </c>
      <c r="R1004" s="39" t="s">
        <v>8569</v>
      </c>
      <c r="S1004" s="39" t="s">
        <v>8570</v>
      </c>
      <c r="AK1004" s="39" t="str">
        <f>("2025/03/17")</f>
        <v>2025/03/17</v>
      </c>
      <c r="AL1004" s="39" t="str">
        <f t="shared" si="81"/>
        <v>2025/04/01</v>
      </c>
    </row>
    <row r="1005" spans="1:38" x14ac:dyDescent="0.25">
      <c r="A1005" s="39" t="str">
        <f>("1408030050")</f>
        <v>1408030050</v>
      </c>
      <c r="B1005" s="39" t="s">
        <v>8102</v>
      </c>
      <c r="C1005" s="39"/>
      <c r="D1005" s="39" t="s">
        <v>8103</v>
      </c>
      <c r="E1005" s="371" t="str">
        <f t="shared" si="78"/>
        <v>こもと　れん</v>
      </c>
      <c r="F1005" s="39" t="s">
        <v>1912</v>
      </c>
      <c r="G1005" s="39" t="s">
        <v>7828</v>
      </c>
      <c r="H1005" s="39" t="str">
        <f>("2014/08/03")</f>
        <v>2014/08/03</v>
      </c>
      <c r="I1005" s="39">
        <v>5</v>
      </c>
      <c r="J1005" s="39" t="s">
        <v>1478</v>
      </c>
      <c r="K1005" s="39" t="s">
        <v>2122</v>
      </c>
      <c r="L1005" s="39" t="s">
        <v>7830</v>
      </c>
      <c r="M1005" s="39" t="s">
        <v>7831</v>
      </c>
      <c r="N1005" s="39" t="str">
        <f>("0130363")</f>
        <v>0130363</v>
      </c>
      <c r="P1005" s="39" t="s">
        <v>12484</v>
      </c>
      <c r="Q1005" s="39" t="s">
        <v>8568</v>
      </c>
      <c r="R1005" s="39" t="s">
        <v>8569</v>
      </c>
      <c r="S1005" s="39" t="s">
        <v>8570</v>
      </c>
      <c r="AK1005" s="39" t="str">
        <f>("2025/03/17")</f>
        <v>2025/03/17</v>
      </c>
      <c r="AL1005" s="39" t="str">
        <f t="shared" si="81"/>
        <v>2025/04/01</v>
      </c>
    </row>
    <row r="1006" spans="1:38" x14ac:dyDescent="0.25">
      <c r="A1006" s="39" t="str">
        <f>("1408040025")</f>
        <v>1408040025</v>
      </c>
      <c r="C1006" s="39"/>
      <c r="D1006" s="39" t="s">
        <v>5744</v>
      </c>
      <c r="E1006" s="371" t="str">
        <f t="shared" si="78"/>
        <v>さだもと　ふくし</v>
      </c>
      <c r="F1006" s="39" t="s">
        <v>2918</v>
      </c>
      <c r="G1006" s="39" t="s">
        <v>7828</v>
      </c>
      <c r="H1006" s="39" t="str">
        <f>("2014/08/04")</f>
        <v>2014/08/04</v>
      </c>
      <c r="I1006" s="39">
        <v>5</v>
      </c>
      <c r="J1006" s="39" t="s">
        <v>1478</v>
      </c>
      <c r="K1006" s="39" t="s">
        <v>2122</v>
      </c>
      <c r="L1006" s="39" t="s">
        <v>7830</v>
      </c>
      <c r="M1006" s="39" t="s">
        <v>7831</v>
      </c>
      <c r="N1006" s="39" t="str">
        <f>("0129912")</f>
        <v>0129912</v>
      </c>
      <c r="P1006" s="39" t="s">
        <v>12485</v>
      </c>
      <c r="Q1006" s="39" t="s">
        <v>8568</v>
      </c>
      <c r="R1006" s="39" t="s">
        <v>8569</v>
      </c>
      <c r="S1006" s="39" t="s">
        <v>8570</v>
      </c>
      <c r="AA1006" s="39" t="s">
        <v>2122</v>
      </c>
      <c r="AB1006" s="39" t="s">
        <v>7830</v>
      </c>
      <c r="AC1006" s="39" t="s">
        <v>7831</v>
      </c>
      <c r="AD1006" s="39" t="str">
        <f>("1066647")</f>
        <v>1066647</v>
      </c>
      <c r="AE1006" s="39" t="s">
        <v>2299</v>
      </c>
      <c r="AF1006" s="39" t="s">
        <v>2122</v>
      </c>
      <c r="AG1006" s="39" t="s">
        <v>7830</v>
      </c>
      <c r="AH1006" s="39" t="s">
        <v>7831</v>
      </c>
      <c r="AI1006" s="39" t="str">
        <f>("0129912")</f>
        <v>0129912</v>
      </c>
      <c r="AJ1006" s="39" t="s">
        <v>2918</v>
      </c>
      <c r="AK1006" s="39" t="str">
        <f>("2025/03/17")</f>
        <v>2025/03/17</v>
      </c>
      <c r="AL1006" s="39" t="str">
        <f t="shared" si="81"/>
        <v>2025/04/01</v>
      </c>
    </row>
    <row r="1007" spans="1:38" x14ac:dyDescent="0.25">
      <c r="A1007" s="39" t="str">
        <f>("1408050107")</f>
        <v>1408050107</v>
      </c>
      <c r="B1007" s="39" t="s">
        <v>8104</v>
      </c>
      <c r="C1007" s="39"/>
      <c r="D1007" s="39" t="s">
        <v>8105</v>
      </c>
      <c r="E1007" s="371" t="str">
        <f t="shared" si="78"/>
        <v>ゆき　れみな</v>
      </c>
      <c r="F1007" s="39" t="s">
        <v>2587</v>
      </c>
      <c r="G1007" s="39" t="s">
        <v>7828</v>
      </c>
      <c r="H1007" s="39" t="str">
        <f>("2014/08/05")</f>
        <v>2014/08/05</v>
      </c>
      <c r="I1007" s="39">
        <v>5</v>
      </c>
      <c r="J1007" s="39" t="s">
        <v>1480</v>
      </c>
      <c r="K1007" s="39" t="s">
        <v>2122</v>
      </c>
      <c r="L1007" s="39" t="s">
        <v>7830</v>
      </c>
      <c r="M1007" s="39" t="s">
        <v>7831</v>
      </c>
      <c r="N1007" s="39" t="str">
        <f>("0387334")</f>
        <v>0387334</v>
      </c>
      <c r="P1007" s="39" t="s">
        <v>12486</v>
      </c>
      <c r="Q1007" s="39" t="s">
        <v>8568</v>
      </c>
      <c r="R1007" s="39" t="s">
        <v>8569</v>
      </c>
      <c r="S1007" s="39" t="s">
        <v>8570</v>
      </c>
      <c r="AK1007" s="39" t="str">
        <f>("2025/03/27")</f>
        <v>2025/03/27</v>
      </c>
      <c r="AL1007" s="39" t="str">
        <f t="shared" si="81"/>
        <v>2025/04/01</v>
      </c>
    </row>
    <row r="1008" spans="1:38" x14ac:dyDescent="0.25">
      <c r="A1008" s="39" t="str">
        <f>("1408050235")</f>
        <v>1408050235</v>
      </c>
      <c r="C1008" s="39"/>
      <c r="D1008" s="39" t="s">
        <v>8106</v>
      </c>
      <c r="E1008" s="371" t="str">
        <f t="shared" si="78"/>
        <v>せきとう　はじめ</v>
      </c>
      <c r="F1008" s="39" t="s">
        <v>2600</v>
      </c>
      <c r="G1008" s="39" t="s">
        <v>7828</v>
      </c>
      <c r="H1008" s="39" t="str">
        <f>("2014/08/05")</f>
        <v>2014/08/05</v>
      </c>
      <c r="I1008" s="39">
        <v>5</v>
      </c>
      <c r="J1008" s="39" t="s">
        <v>1478</v>
      </c>
      <c r="K1008" s="39" t="s">
        <v>2122</v>
      </c>
      <c r="L1008" s="39" t="s">
        <v>7830</v>
      </c>
      <c r="M1008" s="39" t="s">
        <v>7831</v>
      </c>
      <c r="N1008" s="39" t="str">
        <f>("0429757")</f>
        <v>0429757</v>
      </c>
      <c r="P1008" s="39" t="s">
        <v>12487</v>
      </c>
      <c r="Q1008" s="39" t="s">
        <v>8568</v>
      </c>
      <c r="R1008" s="39" t="s">
        <v>8569</v>
      </c>
      <c r="S1008" s="39" t="s">
        <v>8570</v>
      </c>
      <c r="AK1008" s="39" t="str">
        <f>("2025/04/04")</f>
        <v>2025/04/04</v>
      </c>
      <c r="AL1008" s="39" t="str">
        <f>("2025/04/04")</f>
        <v>2025/04/04</v>
      </c>
    </row>
    <row r="1009" spans="1:39" x14ac:dyDescent="0.25">
      <c r="A1009" s="39" t="str">
        <f>("1408060186")</f>
        <v>1408060186</v>
      </c>
      <c r="C1009" s="39"/>
      <c r="D1009" s="39" t="s">
        <v>8107</v>
      </c>
      <c r="E1009" s="371" t="str">
        <f t="shared" si="78"/>
        <v>みやざき　じゅん</v>
      </c>
      <c r="F1009" s="39" t="s">
        <v>2587</v>
      </c>
      <c r="G1009" s="39" t="s">
        <v>7828</v>
      </c>
      <c r="H1009" s="39" t="str">
        <f>("2014/08/06")</f>
        <v>2014/08/06</v>
      </c>
      <c r="I1009" s="39">
        <v>5</v>
      </c>
      <c r="J1009" s="39" t="s">
        <v>1478</v>
      </c>
      <c r="K1009" s="39" t="s">
        <v>2122</v>
      </c>
      <c r="L1009" s="39" t="s">
        <v>7830</v>
      </c>
      <c r="M1009" s="39" t="s">
        <v>7831</v>
      </c>
      <c r="N1009" s="39" t="str">
        <f>("0387334")</f>
        <v>0387334</v>
      </c>
      <c r="P1009" s="39" t="s">
        <v>12488</v>
      </c>
      <c r="Q1009" s="39" t="s">
        <v>8568</v>
      </c>
      <c r="R1009" s="39" t="s">
        <v>8569</v>
      </c>
      <c r="S1009" s="39" t="s">
        <v>8570</v>
      </c>
      <c r="AA1009" s="39" t="s">
        <v>2122</v>
      </c>
      <c r="AB1009" s="39" t="s">
        <v>7830</v>
      </c>
      <c r="AC1009" s="39" t="s">
        <v>7831</v>
      </c>
      <c r="AD1009" s="39" t="str">
        <f>("0426631")</f>
        <v>0426631</v>
      </c>
      <c r="AE1009" s="39" t="s">
        <v>829</v>
      </c>
      <c r="AK1009" s="39" t="str">
        <f>("2025/04/10")</f>
        <v>2025/04/10</v>
      </c>
      <c r="AL1009" s="39" t="str">
        <f>("2025/04/10")</f>
        <v>2025/04/10</v>
      </c>
    </row>
    <row r="1010" spans="1:39" x14ac:dyDescent="0.25">
      <c r="A1010" s="39" t="str">
        <f>("1408060222")</f>
        <v>1408060222</v>
      </c>
      <c r="C1010" s="39"/>
      <c r="D1010" s="39" t="s">
        <v>8108</v>
      </c>
      <c r="E1010" s="371" t="str">
        <f t="shared" si="78"/>
        <v>おとず　まさと</v>
      </c>
      <c r="F1010" s="39" t="s">
        <v>1190</v>
      </c>
      <c r="G1010" s="39" t="s">
        <v>7828</v>
      </c>
      <c r="H1010" s="39" t="str">
        <f>("2014/08/06")</f>
        <v>2014/08/06</v>
      </c>
      <c r="I1010" s="39">
        <v>5</v>
      </c>
      <c r="J1010" s="39" t="s">
        <v>1478</v>
      </c>
      <c r="K1010" s="39" t="s">
        <v>2122</v>
      </c>
      <c r="L1010" s="39" t="s">
        <v>7830</v>
      </c>
      <c r="M1010" s="39" t="s">
        <v>7831</v>
      </c>
      <c r="N1010" s="39" t="str">
        <f>("0130554")</f>
        <v>0130554</v>
      </c>
      <c r="P1010" s="39" t="s">
        <v>12489</v>
      </c>
      <c r="Q1010" s="39" t="s">
        <v>8568</v>
      </c>
      <c r="R1010" s="39" t="s">
        <v>8569</v>
      </c>
      <c r="S1010" s="39" t="s">
        <v>8570</v>
      </c>
      <c r="AK1010" s="39" t="str">
        <f>("2025/03/17")</f>
        <v>2025/03/17</v>
      </c>
      <c r="AL1010" s="39" t="str">
        <f t="shared" ref="AL1010:AL1015" si="82">("2025/04/01")</f>
        <v>2025/04/01</v>
      </c>
    </row>
    <row r="1011" spans="1:39" x14ac:dyDescent="0.25">
      <c r="A1011" s="39" t="str">
        <f>("1408070028")</f>
        <v>1408070028</v>
      </c>
      <c r="C1011" s="39"/>
      <c r="D1011" s="39" t="s">
        <v>8109</v>
      </c>
      <c r="E1011" s="371" t="str">
        <f t="shared" si="78"/>
        <v>さとう　いろは</v>
      </c>
      <c r="F1011" s="39" t="s">
        <v>2573</v>
      </c>
      <c r="G1011" s="39" t="s">
        <v>7828</v>
      </c>
      <c r="H1011" s="39" t="str">
        <f>("2014/08/07")</f>
        <v>2014/08/07</v>
      </c>
      <c r="I1011" s="39">
        <v>5</v>
      </c>
      <c r="J1011" s="39" t="s">
        <v>1480</v>
      </c>
      <c r="K1011" s="39" t="s">
        <v>2122</v>
      </c>
      <c r="L1011" s="39" t="s">
        <v>7830</v>
      </c>
      <c r="M1011" s="39" t="s">
        <v>7831</v>
      </c>
      <c r="N1011" s="39" t="str">
        <f>("0230982")</f>
        <v>0230982</v>
      </c>
      <c r="P1011" s="39" t="s">
        <v>12490</v>
      </c>
      <c r="Q1011" s="39" t="s">
        <v>8568</v>
      </c>
      <c r="R1011" s="39" t="s">
        <v>8569</v>
      </c>
      <c r="S1011" s="39" t="s">
        <v>8570</v>
      </c>
      <c r="AK1011" s="39" t="str">
        <f>("2025/03/17")</f>
        <v>2025/03/17</v>
      </c>
      <c r="AL1011" s="39" t="str">
        <f t="shared" si="82"/>
        <v>2025/04/01</v>
      </c>
    </row>
    <row r="1012" spans="1:39" x14ac:dyDescent="0.25">
      <c r="A1012" s="39" t="str">
        <f>("1408070077")</f>
        <v>1408070077</v>
      </c>
      <c r="B1012" s="39" t="s">
        <v>8110</v>
      </c>
      <c r="C1012" s="39"/>
      <c r="D1012" s="39" t="s">
        <v>8111</v>
      </c>
      <c r="E1012" s="371" t="str">
        <f t="shared" si="78"/>
        <v>うるしま　りく</v>
      </c>
      <c r="F1012" s="39" t="s">
        <v>1330</v>
      </c>
      <c r="G1012" s="39" t="s">
        <v>7828</v>
      </c>
      <c r="H1012" s="39" t="str">
        <f>("2014/08/07")</f>
        <v>2014/08/07</v>
      </c>
      <c r="I1012" s="39">
        <v>5</v>
      </c>
      <c r="J1012" s="39" t="s">
        <v>1478</v>
      </c>
      <c r="K1012" s="39" t="s">
        <v>2122</v>
      </c>
      <c r="L1012" s="39" t="s">
        <v>7830</v>
      </c>
      <c r="M1012" s="39" t="s">
        <v>7831</v>
      </c>
      <c r="N1012" s="39" t="str">
        <f>("0130598")</f>
        <v>0130598</v>
      </c>
      <c r="P1012" s="39" t="s">
        <v>12491</v>
      </c>
      <c r="Q1012" s="39" t="s">
        <v>8568</v>
      </c>
      <c r="R1012" s="39" t="s">
        <v>8569</v>
      </c>
      <c r="S1012" s="39" t="s">
        <v>8570</v>
      </c>
      <c r="AK1012" s="39" t="str">
        <f>("2025/03/17")</f>
        <v>2025/03/17</v>
      </c>
      <c r="AL1012" s="39" t="str">
        <f t="shared" si="82"/>
        <v>2025/04/01</v>
      </c>
    </row>
    <row r="1013" spans="1:39" x14ac:dyDescent="0.25">
      <c r="A1013" s="39" t="str">
        <f>("1408070193")</f>
        <v>1408070193</v>
      </c>
      <c r="C1013" s="39"/>
      <c r="D1013" s="39" t="s">
        <v>8112</v>
      </c>
      <c r="E1013" s="371" t="str">
        <f t="shared" si="78"/>
        <v>こうの　かいせい</v>
      </c>
      <c r="F1013" s="39" t="s">
        <v>2573</v>
      </c>
      <c r="G1013" s="39" t="s">
        <v>7828</v>
      </c>
      <c r="H1013" s="39" t="str">
        <f>("2014/08/07")</f>
        <v>2014/08/07</v>
      </c>
      <c r="I1013" s="39">
        <v>5</v>
      </c>
      <c r="J1013" s="39" t="s">
        <v>1478</v>
      </c>
      <c r="K1013" s="39" t="s">
        <v>2122</v>
      </c>
      <c r="L1013" s="39" t="s">
        <v>7830</v>
      </c>
      <c r="M1013" s="39" t="s">
        <v>7831</v>
      </c>
      <c r="N1013" s="39" t="str">
        <f>("0230982")</f>
        <v>0230982</v>
      </c>
      <c r="P1013" s="39" t="s">
        <v>12492</v>
      </c>
      <c r="Q1013" s="39" t="s">
        <v>8568</v>
      </c>
      <c r="R1013" s="39" t="s">
        <v>8569</v>
      </c>
      <c r="S1013" s="39" t="s">
        <v>8570</v>
      </c>
      <c r="AA1013" s="39" t="s">
        <v>2122</v>
      </c>
      <c r="AB1013" s="39" t="s">
        <v>7830</v>
      </c>
      <c r="AC1013" s="39" t="s">
        <v>7831</v>
      </c>
      <c r="AD1013" s="39" t="str">
        <f>("0381608")</f>
        <v>0381608</v>
      </c>
      <c r="AE1013" s="39" t="s">
        <v>1207</v>
      </c>
      <c r="AK1013" s="39" t="str">
        <f>("2025/03/17")</f>
        <v>2025/03/17</v>
      </c>
      <c r="AL1013" s="39" t="str">
        <f t="shared" si="82"/>
        <v>2025/04/01</v>
      </c>
    </row>
    <row r="1014" spans="1:39" x14ac:dyDescent="0.25">
      <c r="A1014" s="39" t="str">
        <f>("1408080106")</f>
        <v>1408080106</v>
      </c>
      <c r="C1014" s="39"/>
      <c r="D1014" s="39" t="s">
        <v>6181</v>
      </c>
      <c r="E1014" s="371" t="str">
        <f t="shared" si="78"/>
        <v>いしい　こじろう</v>
      </c>
      <c r="F1014" s="39" t="s">
        <v>827</v>
      </c>
      <c r="G1014" s="39" t="s">
        <v>7828</v>
      </c>
      <c r="H1014" s="39" t="str">
        <f>("2014/08/08")</f>
        <v>2014/08/08</v>
      </c>
      <c r="I1014" s="39">
        <v>5</v>
      </c>
      <c r="J1014" s="39" t="s">
        <v>1478</v>
      </c>
      <c r="K1014" s="39" t="s">
        <v>2122</v>
      </c>
      <c r="L1014" s="39" t="s">
        <v>7830</v>
      </c>
      <c r="M1014" s="39" t="s">
        <v>7831</v>
      </c>
      <c r="N1014" s="39" t="str">
        <f>("0504908")</f>
        <v>0504908</v>
      </c>
      <c r="P1014" s="39" t="s">
        <v>12493</v>
      </c>
      <c r="Q1014" s="39" t="s">
        <v>8568</v>
      </c>
      <c r="R1014" s="39" t="s">
        <v>8569</v>
      </c>
      <c r="S1014" s="39" t="s">
        <v>8570</v>
      </c>
      <c r="AK1014" s="39" t="str">
        <f>("2025/03/21")</f>
        <v>2025/03/21</v>
      </c>
      <c r="AL1014" s="39" t="str">
        <f t="shared" si="82"/>
        <v>2025/04/01</v>
      </c>
    </row>
    <row r="1015" spans="1:39" x14ac:dyDescent="0.25">
      <c r="A1015" s="39" t="str">
        <f>("1408080172")</f>
        <v>1408080172</v>
      </c>
      <c r="B1015" s="39" t="s">
        <v>8113</v>
      </c>
      <c r="C1015" s="39"/>
      <c r="D1015" s="39" t="s">
        <v>8114</v>
      </c>
      <c r="E1015" s="371" t="str">
        <f t="shared" si="78"/>
        <v>えとう　しん</v>
      </c>
      <c r="F1015" s="39" t="s">
        <v>2594</v>
      </c>
      <c r="G1015" s="39" t="s">
        <v>7828</v>
      </c>
      <c r="H1015" s="39" t="str">
        <f>("2014/08/08")</f>
        <v>2014/08/08</v>
      </c>
      <c r="I1015" s="39">
        <v>5</v>
      </c>
      <c r="J1015" s="39" t="s">
        <v>1478</v>
      </c>
      <c r="K1015" s="39" t="s">
        <v>2122</v>
      </c>
      <c r="L1015" s="39" t="s">
        <v>7830</v>
      </c>
      <c r="M1015" s="39" t="s">
        <v>7831</v>
      </c>
      <c r="N1015" s="39" t="str">
        <f>("0424583")</f>
        <v>0424583</v>
      </c>
      <c r="P1015" s="39" t="s">
        <v>11833</v>
      </c>
      <c r="Q1015" s="39" t="s">
        <v>8568</v>
      </c>
      <c r="R1015" s="39" t="s">
        <v>8569</v>
      </c>
      <c r="S1015" s="39" t="s">
        <v>8570</v>
      </c>
      <c r="AK1015" s="39" t="str">
        <f>("2025/03/17")</f>
        <v>2025/03/17</v>
      </c>
      <c r="AL1015" s="39" t="str">
        <f t="shared" si="82"/>
        <v>2025/04/01</v>
      </c>
    </row>
    <row r="1016" spans="1:39" x14ac:dyDescent="0.25">
      <c r="A1016" s="39" t="str">
        <f>("1408080190")</f>
        <v>1408080190</v>
      </c>
      <c r="C1016" s="39"/>
      <c r="D1016" s="39" t="s">
        <v>8115</v>
      </c>
      <c r="E1016" s="371" t="str">
        <f t="shared" si="78"/>
        <v>なぎの　かずま</v>
      </c>
      <c r="F1016" s="39" t="s">
        <v>1692</v>
      </c>
      <c r="G1016" s="39" t="s">
        <v>7828</v>
      </c>
      <c r="H1016" s="39" t="str">
        <f>("2014/08/08")</f>
        <v>2014/08/08</v>
      </c>
      <c r="I1016" s="39">
        <v>5</v>
      </c>
      <c r="J1016" s="39" t="s">
        <v>1478</v>
      </c>
      <c r="K1016" s="39" t="s">
        <v>2122</v>
      </c>
      <c r="L1016" s="39" t="s">
        <v>7830</v>
      </c>
      <c r="M1016" s="39" t="s">
        <v>7831</v>
      </c>
      <c r="N1016" s="39" t="str">
        <f>("1052299")</f>
        <v>1052299</v>
      </c>
      <c r="P1016" s="39" t="s">
        <v>12494</v>
      </c>
      <c r="Q1016" s="39" t="s">
        <v>8568</v>
      </c>
      <c r="R1016" s="39" t="s">
        <v>8569</v>
      </c>
      <c r="S1016" s="39" t="s">
        <v>8570</v>
      </c>
      <c r="AA1016" s="39" t="s">
        <v>2122</v>
      </c>
      <c r="AB1016" s="39" t="s">
        <v>7830</v>
      </c>
      <c r="AC1016" s="39" t="s">
        <v>7831</v>
      </c>
      <c r="AD1016" s="39" t="str">
        <f>("0129765")</f>
        <v>0129765</v>
      </c>
      <c r="AE1016" s="39" t="s">
        <v>520</v>
      </c>
      <c r="AK1016" s="39" t="str">
        <f>("2025/06/06")</f>
        <v>2025/06/06</v>
      </c>
      <c r="AL1016" s="39" t="str">
        <f>("2025/06/06")</f>
        <v>2025/06/06</v>
      </c>
    </row>
    <row r="1017" spans="1:39" x14ac:dyDescent="0.25">
      <c r="A1017" s="39" t="str">
        <f>("1408080251")</f>
        <v>1408080251</v>
      </c>
      <c r="C1017" s="39"/>
      <c r="D1017" s="39" t="s">
        <v>8116</v>
      </c>
      <c r="E1017" s="371" t="str">
        <f t="shared" si="78"/>
        <v>のばやし　こうた</v>
      </c>
      <c r="F1017" s="39" t="s">
        <v>2033</v>
      </c>
      <c r="G1017" s="39" t="s">
        <v>7828</v>
      </c>
      <c r="H1017" s="39" t="str">
        <f>("2014/08/08")</f>
        <v>2014/08/08</v>
      </c>
      <c r="I1017" s="39">
        <v>5</v>
      </c>
      <c r="J1017" s="39" t="s">
        <v>1478</v>
      </c>
      <c r="K1017" s="39" t="s">
        <v>2122</v>
      </c>
      <c r="L1017" s="39" t="s">
        <v>7830</v>
      </c>
      <c r="M1017" s="39" t="s">
        <v>7831</v>
      </c>
      <c r="N1017" s="39" t="str">
        <f>("0130442")</f>
        <v>0130442</v>
      </c>
      <c r="P1017" s="39" t="s">
        <v>12495</v>
      </c>
      <c r="Q1017" s="39" t="s">
        <v>8568</v>
      </c>
      <c r="R1017" s="39" t="s">
        <v>8569</v>
      </c>
      <c r="S1017" s="39" t="s">
        <v>8570</v>
      </c>
      <c r="AA1017" s="39" t="s">
        <v>2122</v>
      </c>
      <c r="AB1017" s="39" t="s">
        <v>7830</v>
      </c>
      <c r="AC1017" s="39" t="s">
        <v>7831</v>
      </c>
      <c r="AD1017" s="39" t="str">
        <f>("0456892")</f>
        <v>0456892</v>
      </c>
      <c r="AE1017" s="39" t="s">
        <v>2615</v>
      </c>
      <c r="AK1017" s="39" t="str">
        <f>("2025/04/04")</f>
        <v>2025/04/04</v>
      </c>
      <c r="AL1017" s="39" t="str">
        <f t="shared" ref="AL1017:AL1029" si="83">("2025/04/01")</f>
        <v>2025/04/01</v>
      </c>
    </row>
    <row r="1018" spans="1:39" x14ac:dyDescent="0.25">
      <c r="A1018" s="39" t="str">
        <f>("1408100162")</f>
        <v>1408100162</v>
      </c>
      <c r="C1018" s="39"/>
      <c r="D1018" s="39" t="s">
        <v>8117</v>
      </c>
      <c r="E1018" s="371" t="str">
        <f t="shared" si="78"/>
        <v>いしかわ　なつき</v>
      </c>
      <c r="F1018" s="39" t="s">
        <v>8032</v>
      </c>
      <c r="G1018" s="39" t="s">
        <v>7876</v>
      </c>
      <c r="H1018" s="39" t="str">
        <f>("2014/08/10")</f>
        <v>2014/08/10</v>
      </c>
      <c r="I1018" s="39">
        <v>5</v>
      </c>
      <c r="J1018" s="39" t="s">
        <v>1478</v>
      </c>
      <c r="K1018" s="39" t="s">
        <v>2122</v>
      </c>
      <c r="L1018" s="39" t="s">
        <v>7830</v>
      </c>
      <c r="M1018" s="39" t="s">
        <v>7831</v>
      </c>
      <c r="N1018" s="39" t="str">
        <f>("0452911")</f>
        <v>0452911</v>
      </c>
      <c r="P1018" s="39" t="s">
        <v>12496</v>
      </c>
      <c r="Q1018" s="39" t="s">
        <v>8568</v>
      </c>
      <c r="R1018" s="39" t="s">
        <v>8569</v>
      </c>
      <c r="S1018" s="39" t="s">
        <v>8570</v>
      </c>
      <c r="AK1018" s="39" t="str">
        <f>("2025/04/10")</f>
        <v>2025/04/10</v>
      </c>
      <c r="AL1018" s="39" t="str">
        <f t="shared" si="83"/>
        <v>2025/04/01</v>
      </c>
      <c r="AM1018" s="39" t="str">
        <f>("2025/12/05")</f>
        <v>2025/12/05</v>
      </c>
    </row>
    <row r="1019" spans="1:39" x14ac:dyDescent="0.25">
      <c r="A1019" s="39" t="str">
        <f>("1408100195")</f>
        <v>1408100195</v>
      </c>
      <c r="C1019" s="39"/>
      <c r="D1019" s="39" t="s">
        <v>8118</v>
      </c>
      <c r="E1019" s="371" t="str">
        <f t="shared" si="78"/>
        <v>えとう　かいと</v>
      </c>
      <c r="F1019" s="39" t="s">
        <v>2619</v>
      </c>
      <c r="G1019" s="39" t="s">
        <v>7828</v>
      </c>
      <c r="H1019" s="39" t="str">
        <f>("2014/08/10")</f>
        <v>2014/08/10</v>
      </c>
      <c r="I1019" s="39">
        <v>5</v>
      </c>
      <c r="J1019" s="39" t="s">
        <v>1478</v>
      </c>
      <c r="K1019" s="39" t="s">
        <v>2122</v>
      </c>
      <c r="L1019" s="39" t="s">
        <v>7830</v>
      </c>
      <c r="M1019" s="39" t="s">
        <v>7831</v>
      </c>
      <c r="N1019" s="39" t="str">
        <f>("0472823")</f>
        <v>0472823</v>
      </c>
      <c r="P1019" s="39" t="s">
        <v>12497</v>
      </c>
      <c r="Q1019" s="39" t="s">
        <v>8568</v>
      </c>
      <c r="R1019" s="39" t="s">
        <v>8569</v>
      </c>
      <c r="S1019" s="39" t="s">
        <v>8570</v>
      </c>
      <c r="AK1019" s="39" t="str">
        <f>("2025/03/17")</f>
        <v>2025/03/17</v>
      </c>
      <c r="AL1019" s="39" t="str">
        <f t="shared" si="83"/>
        <v>2025/04/01</v>
      </c>
    </row>
    <row r="1020" spans="1:39" x14ac:dyDescent="0.25">
      <c r="A1020" s="39" t="str">
        <f>("1408110117")</f>
        <v>1408110117</v>
      </c>
      <c r="C1020" s="39"/>
      <c r="D1020" s="39" t="s">
        <v>6092</v>
      </c>
      <c r="E1020" s="371" t="str">
        <f t="shared" si="78"/>
        <v>たかはし　けいたろう</v>
      </c>
      <c r="F1020" s="39" t="s">
        <v>2600</v>
      </c>
      <c r="G1020" s="39" t="s">
        <v>7828</v>
      </c>
      <c r="H1020" s="39" t="str">
        <f>("2014/08/11")</f>
        <v>2014/08/11</v>
      </c>
      <c r="I1020" s="39">
        <v>5</v>
      </c>
      <c r="J1020" s="39" t="s">
        <v>1478</v>
      </c>
      <c r="K1020" s="39" t="s">
        <v>2122</v>
      </c>
      <c r="L1020" s="39" t="s">
        <v>7830</v>
      </c>
      <c r="M1020" s="39" t="s">
        <v>7831</v>
      </c>
      <c r="N1020" s="39" t="str">
        <f>("0429757")</f>
        <v>0429757</v>
      </c>
      <c r="P1020" s="39" t="s">
        <v>12498</v>
      </c>
      <c r="Q1020" s="39" t="s">
        <v>8568</v>
      </c>
      <c r="R1020" s="39" t="s">
        <v>8569</v>
      </c>
      <c r="S1020" s="39" t="s">
        <v>8570</v>
      </c>
      <c r="AK1020" s="39" t="str">
        <f>("2025/03/24")</f>
        <v>2025/03/24</v>
      </c>
      <c r="AL1020" s="39" t="str">
        <f t="shared" si="83"/>
        <v>2025/04/01</v>
      </c>
    </row>
    <row r="1021" spans="1:39" x14ac:dyDescent="0.25">
      <c r="A1021" s="39" t="str">
        <f>("1408110147")</f>
        <v>1408110147</v>
      </c>
      <c r="C1021" s="39"/>
      <c r="D1021" s="39" t="s">
        <v>8119</v>
      </c>
      <c r="E1021" s="371" t="str">
        <f t="shared" si="78"/>
        <v>いけおか　しゅんすけ</v>
      </c>
      <c r="F1021" s="39" t="s">
        <v>2138</v>
      </c>
      <c r="G1021" s="39" t="s">
        <v>7828</v>
      </c>
      <c r="H1021" s="39" t="str">
        <f>("2014/08/11")</f>
        <v>2014/08/11</v>
      </c>
      <c r="I1021" s="39">
        <v>5</v>
      </c>
      <c r="J1021" s="39" t="s">
        <v>1478</v>
      </c>
      <c r="K1021" s="39" t="s">
        <v>2122</v>
      </c>
      <c r="L1021" s="39" t="s">
        <v>7830</v>
      </c>
      <c r="M1021" s="39" t="s">
        <v>7831</v>
      </c>
      <c r="N1021" s="39" t="str">
        <f>("0130082")</f>
        <v>0130082</v>
      </c>
      <c r="P1021" s="39" t="s">
        <v>12499</v>
      </c>
      <c r="Q1021" s="39" t="s">
        <v>8568</v>
      </c>
      <c r="R1021" s="39" t="s">
        <v>8569</v>
      </c>
      <c r="S1021" s="39" t="s">
        <v>8570</v>
      </c>
      <c r="AK1021" s="39" t="str">
        <f>("2025/03/17")</f>
        <v>2025/03/17</v>
      </c>
      <c r="AL1021" s="39" t="str">
        <f t="shared" si="83"/>
        <v>2025/04/01</v>
      </c>
    </row>
    <row r="1022" spans="1:39" x14ac:dyDescent="0.25">
      <c r="A1022" s="39" t="str">
        <f>("1408110159")</f>
        <v>1408110159</v>
      </c>
      <c r="C1022" s="39"/>
      <c r="D1022" s="39" t="s">
        <v>8120</v>
      </c>
      <c r="E1022" s="371" t="str">
        <f t="shared" si="78"/>
        <v>うちだ　しゅうま</v>
      </c>
      <c r="F1022" s="39" t="s">
        <v>2600</v>
      </c>
      <c r="G1022" s="39" t="s">
        <v>7828</v>
      </c>
      <c r="H1022" s="39" t="str">
        <f>("2014/08/11")</f>
        <v>2014/08/11</v>
      </c>
      <c r="I1022" s="39">
        <v>5</v>
      </c>
      <c r="J1022" s="39" t="s">
        <v>1478</v>
      </c>
      <c r="K1022" s="39" t="s">
        <v>2122</v>
      </c>
      <c r="L1022" s="39" t="s">
        <v>7830</v>
      </c>
      <c r="M1022" s="39" t="s">
        <v>7831</v>
      </c>
      <c r="N1022" s="39" t="str">
        <f>("0429757")</f>
        <v>0429757</v>
      </c>
      <c r="P1022" s="39" t="s">
        <v>12500</v>
      </c>
      <c r="Q1022" s="39" t="s">
        <v>8568</v>
      </c>
      <c r="R1022" s="39" t="s">
        <v>8569</v>
      </c>
      <c r="S1022" s="39" t="s">
        <v>8570</v>
      </c>
      <c r="AK1022" s="39" t="str">
        <f>("2025/03/24")</f>
        <v>2025/03/24</v>
      </c>
      <c r="AL1022" s="39" t="str">
        <f t="shared" si="83"/>
        <v>2025/04/01</v>
      </c>
    </row>
    <row r="1023" spans="1:39" x14ac:dyDescent="0.25">
      <c r="A1023" s="39" t="str">
        <f>("1408130011")</f>
        <v>1408130011</v>
      </c>
      <c r="C1023" s="39"/>
      <c r="D1023" s="39" t="s">
        <v>5760</v>
      </c>
      <c r="E1023" s="371" t="str">
        <f t="shared" si="78"/>
        <v>くげ　そうま</v>
      </c>
      <c r="F1023" s="39" t="s">
        <v>3867</v>
      </c>
      <c r="G1023" s="39" t="s">
        <v>7828</v>
      </c>
      <c r="H1023" s="39" t="str">
        <f>("2014/08/13")</f>
        <v>2014/08/13</v>
      </c>
      <c r="I1023" s="39">
        <v>5</v>
      </c>
      <c r="J1023" s="39" t="s">
        <v>1478</v>
      </c>
      <c r="K1023" s="39" t="s">
        <v>2122</v>
      </c>
      <c r="L1023" s="39" t="s">
        <v>7830</v>
      </c>
      <c r="M1023" s="39" t="s">
        <v>7831</v>
      </c>
      <c r="N1023" s="39" t="str">
        <f>("0129990")</f>
        <v>0129990</v>
      </c>
      <c r="P1023" s="39" t="s">
        <v>12501</v>
      </c>
      <c r="Q1023" s="39" t="s">
        <v>8568</v>
      </c>
      <c r="R1023" s="39" t="s">
        <v>8569</v>
      </c>
      <c r="S1023" s="39" t="s">
        <v>8570</v>
      </c>
      <c r="AA1023" s="39" t="s">
        <v>2122</v>
      </c>
      <c r="AB1023" s="39" t="s">
        <v>7830</v>
      </c>
      <c r="AC1023" s="39" t="s">
        <v>7831</v>
      </c>
      <c r="AD1023" s="39" t="str">
        <f>("1038323")</f>
        <v>1038323</v>
      </c>
      <c r="AE1023" s="39" t="s">
        <v>8858</v>
      </c>
      <c r="AK1023" s="39" t="str">
        <f>("2025/04/01")</f>
        <v>2025/04/01</v>
      </c>
      <c r="AL1023" s="39" t="str">
        <f t="shared" si="83"/>
        <v>2025/04/01</v>
      </c>
    </row>
    <row r="1024" spans="1:39" x14ac:dyDescent="0.25">
      <c r="A1024" s="39" t="str">
        <f>("1408130039")</f>
        <v>1408130039</v>
      </c>
      <c r="C1024" s="39"/>
      <c r="D1024" s="39" t="s">
        <v>4877</v>
      </c>
      <c r="E1024" s="371" t="str">
        <f t="shared" si="78"/>
        <v>せいけ　あると</v>
      </c>
      <c r="F1024" s="39" t="s">
        <v>3870</v>
      </c>
      <c r="G1024" s="39" t="s">
        <v>7828</v>
      </c>
      <c r="H1024" s="39" t="str">
        <f>("2014/08/13")</f>
        <v>2014/08/13</v>
      </c>
      <c r="I1024" s="39">
        <v>5</v>
      </c>
      <c r="J1024" s="39" t="s">
        <v>1478</v>
      </c>
      <c r="K1024" s="39" t="s">
        <v>2122</v>
      </c>
      <c r="L1024" s="39" t="s">
        <v>7830</v>
      </c>
      <c r="M1024" s="39" t="s">
        <v>7831</v>
      </c>
      <c r="N1024" s="39" t="str">
        <f>("1094183")</f>
        <v>1094183</v>
      </c>
      <c r="P1024" s="39" t="s">
        <v>12502</v>
      </c>
      <c r="Q1024" s="39" t="s">
        <v>8568</v>
      </c>
      <c r="R1024" s="39" t="s">
        <v>8569</v>
      </c>
      <c r="S1024" s="39" t="s">
        <v>8570</v>
      </c>
      <c r="AK1024" s="39" t="str">
        <f>("2025/03/27")</f>
        <v>2025/03/27</v>
      </c>
      <c r="AL1024" s="39" t="str">
        <f t="shared" si="83"/>
        <v>2025/04/01</v>
      </c>
    </row>
    <row r="1025" spans="1:39" x14ac:dyDescent="0.25">
      <c r="A1025" s="39" t="str">
        <f>("1408130136")</f>
        <v>1408130136</v>
      </c>
      <c r="C1025" s="39"/>
      <c r="D1025" s="39" t="s">
        <v>8121</v>
      </c>
      <c r="E1025" s="371" t="str">
        <f t="shared" si="78"/>
        <v>まつなが　しゅう</v>
      </c>
      <c r="F1025" s="39" t="s">
        <v>5621</v>
      </c>
      <c r="G1025" s="39" t="s">
        <v>7828</v>
      </c>
      <c r="H1025" s="39" t="str">
        <f>("2014/08/13")</f>
        <v>2014/08/13</v>
      </c>
      <c r="I1025" s="39">
        <v>5</v>
      </c>
      <c r="J1025" s="39" t="s">
        <v>1478</v>
      </c>
      <c r="K1025" s="39" t="s">
        <v>2122</v>
      </c>
      <c r="L1025" s="39" t="s">
        <v>7830</v>
      </c>
      <c r="M1025" s="39" t="s">
        <v>7831</v>
      </c>
      <c r="N1025" s="39" t="str">
        <f>("1110654")</f>
        <v>1110654</v>
      </c>
      <c r="P1025" s="39" t="s">
        <v>12503</v>
      </c>
      <c r="Q1025" s="39" t="s">
        <v>8568</v>
      </c>
      <c r="R1025" s="39" t="s">
        <v>8569</v>
      </c>
      <c r="S1025" s="39" t="s">
        <v>8570</v>
      </c>
      <c r="AA1025" s="39" t="s">
        <v>2122</v>
      </c>
      <c r="AB1025" s="39" t="s">
        <v>7830</v>
      </c>
      <c r="AC1025" s="39" t="s">
        <v>7831</v>
      </c>
      <c r="AD1025" s="39" t="str">
        <f>("0472823")</f>
        <v>0472823</v>
      </c>
      <c r="AE1025" s="39" t="s">
        <v>2619</v>
      </c>
      <c r="AK1025" s="39" t="str">
        <f>("2025/03/24")</f>
        <v>2025/03/24</v>
      </c>
      <c r="AL1025" s="39" t="str">
        <f t="shared" si="83"/>
        <v>2025/04/01</v>
      </c>
    </row>
    <row r="1026" spans="1:39" x14ac:dyDescent="0.25">
      <c r="A1026" s="39" t="str">
        <f>("1408130137")</f>
        <v>1408130137</v>
      </c>
      <c r="C1026" s="39"/>
      <c r="D1026" s="39" t="s">
        <v>8122</v>
      </c>
      <c r="E1026" s="371" t="str">
        <f t="shared" si="78"/>
        <v>まつなが　よう</v>
      </c>
      <c r="F1026" s="39" t="s">
        <v>5621</v>
      </c>
      <c r="G1026" s="39" t="s">
        <v>7828</v>
      </c>
      <c r="H1026" s="39" t="str">
        <f>("2014/08/13")</f>
        <v>2014/08/13</v>
      </c>
      <c r="I1026" s="39">
        <v>5</v>
      </c>
      <c r="J1026" s="39" t="s">
        <v>1478</v>
      </c>
      <c r="K1026" s="39" t="s">
        <v>2122</v>
      </c>
      <c r="L1026" s="39" t="s">
        <v>7830</v>
      </c>
      <c r="M1026" s="39" t="s">
        <v>7831</v>
      </c>
      <c r="N1026" s="39" t="str">
        <f>("1110654")</f>
        <v>1110654</v>
      </c>
      <c r="P1026" s="39" t="s">
        <v>12504</v>
      </c>
      <c r="Q1026" s="39" t="s">
        <v>8568</v>
      </c>
      <c r="R1026" s="39" t="s">
        <v>8569</v>
      </c>
      <c r="S1026" s="39" t="s">
        <v>8570</v>
      </c>
      <c r="AA1026" s="39" t="s">
        <v>2122</v>
      </c>
      <c r="AB1026" s="39" t="s">
        <v>7830</v>
      </c>
      <c r="AC1026" s="39" t="s">
        <v>7831</v>
      </c>
      <c r="AD1026" s="39" t="str">
        <f>("0472823")</f>
        <v>0472823</v>
      </c>
      <c r="AE1026" s="39" t="s">
        <v>2619</v>
      </c>
      <c r="AK1026" s="39" t="str">
        <f>("2025/03/24")</f>
        <v>2025/03/24</v>
      </c>
      <c r="AL1026" s="39" t="str">
        <f t="shared" si="83"/>
        <v>2025/04/01</v>
      </c>
    </row>
    <row r="1027" spans="1:39" x14ac:dyDescent="0.25">
      <c r="A1027" s="39" t="str">
        <f>("1408130163")</f>
        <v>1408130163</v>
      </c>
      <c r="C1027" s="39"/>
      <c r="D1027" s="39" t="s">
        <v>5897</v>
      </c>
      <c r="E1027" s="371" t="str">
        <f t="shared" ref="E1027:E1090" si="84">PHONETIC(P1027)</f>
        <v>のだ　たくま</v>
      </c>
      <c r="F1027" s="39" t="s">
        <v>2243</v>
      </c>
      <c r="G1027" s="39" t="s">
        <v>7828</v>
      </c>
      <c r="H1027" s="39" t="str">
        <f>("2014/08/13")</f>
        <v>2014/08/13</v>
      </c>
      <c r="I1027" s="39">
        <v>5</v>
      </c>
      <c r="J1027" s="39" t="s">
        <v>1478</v>
      </c>
      <c r="K1027" s="39" t="s">
        <v>2122</v>
      </c>
      <c r="L1027" s="39" t="s">
        <v>7830</v>
      </c>
      <c r="M1027" s="39" t="s">
        <v>7831</v>
      </c>
      <c r="N1027" s="39" t="str">
        <f>("0130565")</f>
        <v>0130565</v>
      </c>
      <c r="P1027" s="39" t="s">
        <v>12505</v>
      </c>
      <c r="Q1027" s="39" t="s">
        <v>8568</v>
      </c>
      <c r="R1027" s="39" t="s">
        <v>8569</v>
      </c>
      <c r="S1027" s="39" t="s">
        <v>8570</v>
      </c>
      <c r="AK1027" s="39" t="str">
        <f>("2025/03/17")</f>
        <v>2025/03/17</v>
      </c>
      <c r="AL1027" s="39" t="str">
        <f t="shared" si="83"/>
        <v>2025/04/01</v>
      </c>
    </row>
    <row r="1028" spans="1:39" x14ac:dyDescent="0.25">
      <c r="A1028" s="39" t="str">
        <f>("1408140003")</f>
        <v>1408140003</v>
      </c>
      <c r="C1028" s="39"/>
      <c r="D1028" s="39" t="s">
        <v>4392</v>
      </c>
      <c r="E1028" s="371" t="str">
        <f t="shared" si="84"/>
        <v>あきもと　ほまれ</v>
      </c>
      <c r="F1028" s="39" t="s">
        <v>2514</v>
      </c>
      <c r="G1028" s="39" t="s">
        <v>7828</v>
      </c>
      <c r="H1028" s="39" t="str">
        <f>("2014/08/14")</f>
        <v>2014/08/14</v>
      </c>
      <c r="I1028" s="39">
        <v>5</v>
      </c>
      <c r="J1028" s="39" t="s">
        <v>1480</v>
      </c>
      <c r="K1028" s="39" t="s">
        <v>2122</v>
      </c>
      <c r="L1028" s="39" t="s">
        <v>7830</v>
      </c>
      <c r="M1028" s="39" t="s">
        <v>7831</v>
      </c>
      <c r="N1028" s="39" t="str">
        <f>("0130093")</f>
        <v>0130093</v>
      </c>
      <c r="P1028" s="39" t="s">
        <v>12506</v>
      </c>
      <c r="Q1028" s="39" t="s">
        <v>8568</v>
      </c>
      <c r="R1028" s="39" t="s">
        <v>8569</v>
      </c>
      <c r="S1028" s="39" t="s">
        <v>8570</v>
      </c>
      <c r="AK1028" s="39" t="str">
        <f>("2025/04/01")</f>
        <v>2025/04/01</v>
      </c>
      <c r="AL1028" s="39" t="str">
        <f t="shared" si="83"/>
        <v>2025/04/01</v>
      </c>
    </row>
    <row r="1029" spans="1:39" x14ac:dyDescent="0.25">
      <c r="A1029" s="39" t="str">
        <f>("1408150165")</f>
        <v>1408150165</v>
      </c>
      <c r="C1029" s="39"/>
      <c r="D1029" s="39" t="s">
        <v>8123</v>
      </c>
      <c r="E1029" s="371" t="str">
        <f t="shared" si="84"/>
        <v>やまさき　よういちろう</v>
      </c>
      <c r="F1029" s="39" t="s">
        <v>2619</v>
      </c>
      <c r="G1029" s="39" t="s">
        <v>7828</v>
      </c>
      <c r="H1029" s="39" t="str">
        <f>("2014/08/15")</f>
        <v>2014/08/15</v>
      </c>
      <c r="I1029" s="39">
        <v>5</v>
      </c>
      <c r="J1029" s="39" t="s">
        <v>1478</v>
      </c>
      <c r="K1029" s="39" t="s">
        <v>2122</v>
      </c>
      <c r="L1029" s="39" t="s">
        <v>7830</v>
      </c>
      <c r="M1029" s="39" t="s">
        <v>7831</v>
      </c>
      <c r="N1029" s="39" t="str">
        <f>("0472823")</f>
        <v>0472823</v>
      </c>
      <c r="P1029" s="39" t="s">
        <v>12507</v>
      </c>
      <c r="Q1029" s="39" t="s">
        <v>8568</v>
      </c>
      <c r="R1029" s="39" t="s">
        <v>8569</v>
      </c>
      <c r="S1029" s="39" t="s">
        <v>8570</v>
      </c>
      <c r="AK1029" s="39" t="str">
        <f>("2025/03/17")</f>
        <v>2025/03/17</v>
      </c>
      <c r="AL1029" s="39" t="str">
        <f t="shared" si="83"/>
        <v>2025/04/01</v>
      </c>
    </row>
    <row r="1030" spans="1:39" x14ac:dyDescent="0.25">
      <c r="A1030" s="39" t="str">
        <f>("1408160036")</f>
        <v>1408160036</v>
      </c>
      <c r="C1030" s="39"/>
      <c r="D1030" s="39" t="s">
        <v>6192</v>
      </c>
      <c r="E1030" s="371" t="str">
        <f t="shared" si="84"/>
        <v>さくらい　こじろう</v>
      </c>
      <c r="F1030" s="39" t="s">
        <v>7864</v>
      </c>
      <c r="G1030" s="39" t="s">
        <v>7828</v>
      </c>
      <c r="H1030" s="39" t="str">
        <f>("2014/08/16")</f>
        <v>2014/08/16</v>
      </c>
      <c r="I1030" s="39">
        <v>5</v>
      </c>
      <c r="J1030" s="39" t="s">
        <v>1478</v>
      </c>
      <c r="K1030" s="39" t="s">
        <v>2122</v>
      </c>
      <c r="L1030" s="39" t="s">
        <v>7830</v>
      </c>
      <c r="M1030" s="39" t="s">
        <v>7831</v>
      </c>
      <c r="N1030" s="39" t="str">
        <f>("1039801")</f>
        <v>1039801</v>
      </c>
      <c r="P1030" s="39" t="s">
        <v>12508</v>
      </c>
      <c r="Q1030" s="39" t="s">
        <v>8568</v>
      </c>
      <c r="R1030" s="39" t="s">
        <v>8569</v>
      </c>
      <c r="S1030" s="39" t="s">
        <v>8570</v>
      </c>
      <c r="AA1030" s="39" t="s">
        <v>2122</v>
      </c>
      <c r="AB1030" s="39" t="s">
        <v>7830</v>
      </c>
      <c r="AC1030" s="39" t="s">
        <v>7831</v>
      </c>
      <c r="AD1030" s="39" t="str">
        <f>("0513313")</f>
        <v>0513313</v>
      </c>
      <c r="AE1030" s="39" t="s">
        <v>1014</v>
      </c>
      <c r="AF1030" s="39" t="s">
        <v>2122</v>
      </c>
      <c r="AG1030" s="39" t="s">
        <v>7830</v>
      </c>
      <c r="AH1030" s="39" t="s">
        <v>7831</v>
      </c>
      <c r="AI1030" s="39" t="str">
        <f>("0130475")</f>
        <v>0130475</v>
      </c>
      <c r="AJ1030" s="39" t="s">
        <v>2024</v>
      </c>
      <c r="AK1030" s="39" t="str">
        <f>("2025/04/11")</f>
        <v>2025/04/11</v>
      </c>
      <c r="AL1030" s="39" t="str">
        <f>("2025/04/11")</f>
        <v>2025/04/11</v>
      </c>
    </row>
    <row r="1031" spans="1:39" x14ac:dyDescent="0.25">
      <c r="A1031" s="39" t="str">
        <f>("1408160037")</f>
        <v>1408160037</v>
      </c>
      <c r="B1031" s="39" t="s">
        <v>8124</v>
      </c>
      <c r="C1031" s="39"/>
      <c r="D1031" s="39" t="s">
        <v>4494</v>
      </c>
      <c r="E1031" s="371" t="str">
        <f t="shared" si="84"/>
        <v>ひろおか　ひかる</v>
      </c>
      <c r="F1031" s="39" t="s">
        <v>2024</v>
      </c>
      <c r="G1031" s="39" t="s">
        <v>7828</v>
      </c>
      <c r="H1031" s="39" t="str">
        <f>("2014/08/16")</f>
        <v>2014/08/16</v>
      </c>
      <c r="I1031" s="39">
        <v>5</v>
      </c>
      <c r="J1031" s="39" t="s">
        <v>1478</v>
      </c>
      <c r="K1031" s="39" t="s">
        <v>2122</v>
      </c>
      <c r="L1031" s="39" t="s">
        <v>7830</v>
      </c>
      <c r="M1031" s="39" t="s">
        <v>7831</v>
      </c>
      <c r="N1031" s="39" t="str">
        <f>("0130475")</f>
        <v>0130475</v>
      </c>
      <c r="P1031" s="39" t="s">
        <v>12509</v>
      </c>
      <c r="Q1031" s="39" t="s">
        <v>8568</v>
      </c>
      <c r="R1031" s="39" t="s">
        <v>8569</v>
      </c>
      <c r="S1031" s="39" t="s">
        <v>8570</v>
      </c>
      <c r="AK1031" s="39" t="str">
        <f>("2025/04/04")</f>
        <v>2025/04/04</v>
      </c>
      <c r="AL1031" s="39" t="str">
        <f t="shared" ref="AL1031:AL1038" si="85">("2025/04/01")</f>
        <v>2025/04/01</v>
      </c>
    </row>
    <row r="1032" spans="1:39" x14ac:dyDescent="0.25">
      <c r="A1032" s="39" t="str">
        <f>("1408160088")</f>
        <v>1408160088</v>
      </c>
      <c r="C1032" s="39"/>
      <c r="D1032" s="39" t="s">
        <v>8125</v>
      </c>
      <c r="E1032" s="371" t="str">
        <f t="shared" si="84"/>
        <v>よしみず　こうすけ</v>
      </c>
      <c r="F1032" s="39" t="s">
        <v>2024</v>
      </c>
      <c r="G1032" s="39" t="s">
        <v>7828</v>
      </c>
      <c r="H1032" s="39" t="str">
        <f>("2014/08/16")</f>
        <v>2014/08/16</v>
      </c>
      <c r="I1032" s="39">
        <v>5</v>
      </c>
      <c r="J1032" s="39" t="s">
        <v>1478</v>
      </c>
      <c r="K1032" s="39" t="s">
        <v>2122</v>
      </c>
      <c r="L1032" s="39" t="s">
        <v>7830</v>
      </c>
      <c r="M1032" s="39" t="s">
        <v>7831</v>
      </c>
      <c r="N1032" s="39" t="str">
        <f>("0130475")</f>
        <v>0130475</v>
      </c>
      <c r="P1032" s="39" t="s">
        <v>12510</v>
      </c>
      <c r="Q1032" s="39" t="s">
        <v>8568</v>
      </c>
      <c r="R1032" s="39" t="s">
        <v>8569</v>
      </c>
      <c r="S1032" s="39" t="s">
        <v>8570</v>
      </c>
      <c r="AK1032" s="39" t="str">
        <f>("2025/04/04")</f>
        <v>2025/04/04</v>
      </c>
      <c r="AL1032" s="39" t="str">
        <f t="shared" si="85"/>
        <v>2025/04/01</v>
      </c>
    </row>
    <row r="1033" spans="1:39" x14ac:dyDescent="0.25">
      <c r="A1033" s="39" t="str">
        <f>("1408160126")</f>
        <v>1408160126</v>
      </c>
      <c r="C1033" s="39"/>
      <c r="D1033" s="39" t="s">
        <v>8126</v>
      </c>
      <c r="E1033" s="371" t="str">
        <f t="shared" si="84"/>
        <v>やまさき　かむい</v>
      </c>
      <c r="F1033" s="39" t="s">
        <v>1481</v>
      </c>
      <c r="G1033" s="39" t="s">
        <v>7828</v>
      </c>
      <c r="H1033" s="39" t="str">
        <f>("2014/08/16")</f>
        <v>2014/08/16</v>
      </c>
      <c r="I1033" s="39">
        <v>5</v>
      </c>
      <c r="J1033" s="39" t="s">
        <v>1478</v>
      </c>
      <c r="K1033" s="39" t="s">
        <v>2122</v>
      </c>
      <c r="L1033" s="39" t="s">
        <v>7830</v>
      </c>
      <c r="M1033" s="39" t="s">
        <v>7831</v>
      </c>
      <c r="N1033" s="39" t="str">
        <f>("0129866")</f>
        <v>0129866</v>
      </c>
      <c r="P1033" s="39" t="s">
        <v>12511</v>
      </c>
      <c r="Q1033" s="39" t="s">
        <v>8568</v>
      </c>
      <c r="R1033" s="39" t="s">
        <v>8569</v>
      </c>
      <c r="S1033" s="39" t="s">
        <v>8570</v>
      </c>
      <c r="AK1033" s="39" t="str">
        <f>("2025/03/19")</f>
        <v>2025/03/19</v>
      </c>
      <c r="AL1033" s="39" t="str">
        <f t="shared" si="85"/>
        <v>2025/04/01</v>
      </c>
    </row>
    <row r="1034" spans="1:39" x14ac:dyDescent="0.25">
      <c r="A1034" s="39" t="str">
        <f>("1408170131")</f>
        <v>1408170131</v>
      </c>
      <c r="C1034" s="39"/>
      <c r="D1034" s="39" t="s">
        <v>8127</v>
      </c>
      <c r="E1034" s="371" t="str">
        <f t="shared" si="84"/>
        <v>かわぐち　ゆづき</v>
      </c>
      <c r="F1034" s="39" t="s">
        <v>2600</v>
      </c>
      <c r="G1034" s="39" t="s">
        <v>7828</v>
      </c>
      <c r="H1034" s="39" t="str">
        <f>("2014/08/17")</f>
        <v>2014/08/17</v>
      </c>
      <c r="I1034" s="39">
        <v>5</v>
      </c>
      <c r="J1034" s="39" t="s">
        <v>1480</v>
      </c>
      <c r="K1034" s="39" t="s">
        <v>2122</v>
      </c>
      <c r="L1034" s="39" t="s">
        <v>7830</v>
      </c>
      <c r="M1034" s="39" t="s">
        <v>7831</v>
      </c>
      <c r="N1034" s="39" t="str">
        <f>("0429757")</f>
        <v>0429757</v>
      </c>
      <c r="P1034" s="39" t="s">
        <v>12512</v>
      </c>
      <c r="Q1034" s="39" t="s">
        <v>8568</v>
      </c>
      <c r="R1034" s="39" t="s">
        <v>8569</v>
      </c>
      <c r="S1034" s="39" t="s">
        <v>8570</v>
      </c>
      <c r="AK1034" s="39" t="str">
        <f>("2025/03/24")</f>
        <v>2025/03/24</v>
      </c>
      <c r="AL1034" s="39" t="str">
        <f t="shared" si="85"/>
        <v>2025/04/01</v>
      </c>
    </row>
    <row r="1035" spans="1:39" x14ac:dyDescent="0.25">
      <c r="A1035" s="39" t="str">
        <f>("1408180175")</f>
        <v>1408180175</v>
      </c>
      <c r="C1035" s="39"/>
      <c r="D1035" s="39" t="s">
        <v>8128</v>
      </c>
      <c r="E1035" s="371" t="str">
        <f t="shared" si="84"/>
        <v>みずたに　そうすけ</v>
      </c>
      <c r="F1035" s="39" t="s">
        <v>2469</v>
      </c>
      <c r="G1035" s="39" t="s">
        <v>7828</v>
      </c>
      <c r="H1035" s="39" t="str">
        <f>("2014/08/18")</f>
        <v>2014/08/18</v>
      </c>
      <c r="I1035" s="39">
        <v>5</v>
      </c>
      <c r="J1035" s="39" t="s">
        <v>1478</v>
      </c>
      <c r="K1035" s="39" t="s">
        <v>2122</v>
      </c>
      <c r="L1035" s="39" t="s">
        <v>7830</v>
      </c>
      <c r="M1035" s="39" t="s">
        <v>7831</v>
      </c>
      <c r="N1035" s="39" t="str">
        <f>("0129462")</f>
        <v>0129462</v>
      </c>
      <c r="P1035" s="39" t="s">
        <v>12513</v>
      </c>
      <c r="Q1035" s="39" t="s">
        <v>8568</v>
      </c>
      <c r="R1035" s="39" t="s">
        <v>8569</v>
      </c>
      <c r="S1035" s="39" t="s">
        <v>8570</v>
      </c>
      <c r="AK1035" s="39" t="str">
        <f>("2025/03/21")</f>
        <v>2025/03/21</v>
      </c>
      <c r="AL1035" s="39" t="str">
        <f t="shared" si="85"/>
        <v>2025/04/01</v>
      </c>
    </row>
    <row r="1036" spans="1:39" x14ac:dyDescent="0.25">
      <c r="A1036" s="39" t="str">
        <f>("1408190074")</f>
        <v>1408190074</v>
      </c>
      <c r="C1036" s="39"/>
      <c r="D1036" s="39" t="s">
        <v>8129</v>
      </c>
      <c r="E1036" s="371" t="str">
        <f t="shared" si="84"/>
        <v>ともきよ　りょうま</v>
      </c>
      <c r="F1036" s="39" t="s">
        <v>1239</v>
      </c>
      <c r="G1036" s="39" t="s">
        <v>7828</v>
      </c>
      <c r="H1036" s="39" t="str">
        <f>("2014/08/19")</f>
        <v>2014/08/19</v>
      </c>
      <c r="I1036" s="39">
        <v>5</v>
      </c>
      <c r="J1036" s="39" t="s">
        <v>1478</v>
      </c>
      <c r="K1036" s="39" t="s">
        <v>2122</v>
      </c>
      <c r="L1036" s="39" t="s">
        <v>7830</v>
      </c>
      <c r="M1036" s="39" t="s">
        <v>7831</v>
      </c>
      <c r="N1036" s="39" t="str">
        <f>("0129585")</f>
        <v>0129585</v>
      </c>
      <c r="P1036" s="39" t="s">
        <v>12514</v>
      </c>
      <c r="Q1036" s="39" t="s">
        <v>8568</v>
      </c>
      <c r="R1036" s="39" t="s">
        <v>8569</v>
      </c>
      <c r="S1036" s="39" t="s">
        <v>8570</v>
      </c>
      <c r="AK1036" s="39" t="str">
        <f>("2025/03/17")</f>
        <v>2025/03/17</v>
      </c>
      <c r="AL1036" s="39" t="str">
        <f t="shared" si="85"/>
        <v>2025/04/01</v>
      </c>
    </row>
    <row r="1037" spans="1:39" x14ac:dyDescent="0.25">
      <c r="A1037" s="39" t="str">
        <f>("1408190077")</f>
        <v>1408190077</v>
      </c>
      <c r="C1037" s="39"/>
      <c r="D1037" s="39" t="s">
        <v>6031</v>
      </c>
      <c r="E1037" s="371" t="str">
        <f t="shared" si="84"/>
        <v>まにわ　そう</v>
      </c>
      <c r="F1037" s="39" t="s">
        <v>2350</v>
      </c>
      <c r="G1037" s="39" t="s">
        <v>7828</v>
      </c>
      <c r="H1037" s="39" t="str">
        <f>("2014/08/19")</f>
        <v>2014/08/19</v>
      </c>
      <c r="I1037" s="39">
        <v>5</v>
      </c>
      <c r="J1037" s="39" t="s">
        <v>1478</v>
      </c>
      <c r="K1037" s="39" t="s">
        <v>2122</v>
      </c>
      <c r="L1037" s="39" t="s">
        <v>7830</v>
      </c>
      <c r="M1037" s="39" t="s">
        <v>7831</v>
      </c>
      <c r="N1037" s="39" t="str">
        <f>("0360032")</f>
        <v>0360032</v>
      </c>
      <c r="P1037" s="39" t="s">
        <v>12515</v>
      </c>
      <c r="Q1037" s="39" t="s">
        <v>8568</v>
      </c>
      <c r="R1037" s="39" t="s">
        <v>8569</v>
      </c>
      <c r="S1037" s="39" t="s">
        <v>8570</v>
      </c>
      <c r="AK1037" s="39" t="str">
        <f>("2025/03/17")</f>
        <v>2025/03/17</v>
      </c>
      <c r="AL1037" s="39" t="str">
        <f t="shared" si="85"/>
        <v>2025/04/01</v>
      </c>
    </row>
    <row r="1038" spans="1:39" x14ac:dyDescent="0.25">
      <c r="A1038" s="39" t="str">
        <f>("1408200071")</f>
        <v>1408200071</v>
      </c>
      <c r="C1038" s="39"/>
      <c r="D1038" s="39" t="s">
        <v>4321</v>
      </c>
      <c r="E1038" s="371" t="str">
        <f t="shared" si="84"/>
        <v>しゅとう　ゆうき</v>
      </c>
      <c r="F1038" s="39" t="s">
        <v>834</v>
      </c>
      <c r="G1038" s="39" t="s">
        <v>7828</v>
      </c>
      <c r="H1038" s="39" t="str">
        <f>("2014/08/20")</f>
        <v>2014/08/20</v>
      </c>
      <c r="I1038" s="39">
        <v>5</v>
      </c>
      <c r="J1038" s="39" t="s">
        <v>1478</v>
      </c>
      <c r="K1038" s="39" t="s">
        <v>2122</v>
      </c>
      <c r="L1038" s="39" t="s">
        <v>7830</v>
      </c>
      <c r="M1038" s="39" t="s">
        <v>7831</v>
      </c>
      <c r="N1038" s="39" t="str">
        <f>("0129844")</f>
        <v>0129844</v>
      </c>
      <c r="P1038" s="39" t="s">
        <v>12516</v>
      </c>
      <c r="Q1038" s="39" t="s">
        <v>8568</v>
      </c>
      <c r="R1038" s="39" t="s">
        <v>8569</v>
      </c>
      <c r="S1038" s="39" t="s">
        <v>8570</v>
      </c>
      <c r="AK1038" s="39" t="str">
        <f>("2025/03/17")</f>
        <v>2025/03/17</v>
      </c>
      <c r="AL1038" s="39" t="str">
        <f t="shared" si="85"/>
        <v>2025/04/01</v>
      </c>
    </row>
    <row r="1039" spans="1:39" x14ac:dyDescent="0.25">
      <c r="A1039" s="39" t="str">
        <f>("1408200137")</f>
        <v>1408200137</v>
      </c>
      <c r="C1039" s="39"/>
      <c r="D1039" s="39" t="s">
        <v>8130</v>
      </c>
      <c r="E1039" s="371" t="str">
        <f t="shared" si="84"/>
        <v>でぐち　なつ</v>
      </c>
      <c r="F1039" s="39" t="s">
        <v>2647</v>
      </c>
      <c r="G1039" s="39" t="s">
        <v>7828</v>
      </c>
      <c r="H1039" s="39" t="str">
        <f>("2014/08/20")</f>
        <v>2014/08/20</v>
      </c>
      <c r="I1039" s="39">
        <v>5</v>
      </c>
      <c r="J1039" s="39" t="s">
        <v>1478</v>
      </c>
      <c r="K1039" s="39" t="s">
        <v>2122</v>
      </c>
      <c r="L1039" s="39" t="s">
        <v>7830</v>
      </c>
      <c r="M1039" s="39" t="s">
        <v>7831</v>
      </c>
      <c r="N1039" s="39" t="str">
        <f>("1036817")</f>
        <v>1036817</v>
      </c>
      <c r="P1039" s="39" t="s">
        <v>12517</v>
      </c>
      <c r="Q1039" s="39" t="s">
        <v>8568</v>
      </c>
      <c r="R1039" s="39" t="s">
        <v>8569</v>
      </c>
      <c r="S1039" s="39" t="s">
        <v>8570</v>
      </c>
      <c r="AA1039" s="39" t="s">
        <v>9019</v>
      </c>
      <c r="AB1039" s="39" t="s">
        <v>7830</v>
      </c>
      <c r="AC1039" s="39" t="s">
        <v>7831</v>
      </c>
      <c r="AD1039" s="39" t="str">
        <f>("0084541")</f>
        <v>0084541</v>
      </c>
      <c r="AE1039" s="39" t="s">
        <v>9020</v>
      </c>
      <c r="AK1039" s="39" t="str">
        <f>("2025/04/10")</f>
        <v>2025/04/10</v>
      </c>
      <c r="AL1039" s="39" t="str">
        <f>("2025/04/10")</f>
        <v>2025/04/10</v>
      </c>
      <c r="AM1039" s="39" t="str">
        <f>("2025/04/10")</f>
        <v>2025/04/10</v>
      </c>
    </row>
    <row r="1040" spans="1:39" x14ac:dyDescent="0.25">
      <c r="A1040" s="39" t="str">
        <f>("1408200255")</f>
        <v>1408200255</v>
      </c>
      <c r="C1040" s="39"/>
      <c r="D1040" s="39" t="s">
        <v>8131</v>
      </c>
      <c r="E1040" s="371" t="str">
        <f t="shared" si="84"/>
        <v>あんどう　かいと</v>
      </c>
      <c r="F1040" s="39" t="s">
        <v>413</v>
      </c>
      <c r="G1040" s="39" t="s">
        <v>7828</v>
      </c>
      <c r="H1040" s="39" t="str">
        <f>("2014/08/20")</f>
        <v>2014/08/20</v>
      </c>
      <c r="I1040" s="39">
        <v>5</v>
      </c>
      <c r="J1040" s="39" t="s">
        <v>1478</v>
      </c>
      <c r="K1040" s="39" t="s">
        <v>2122</v>
      </c>
      <c r="L1040" s="39" t="s">
        <v>7830</v>
      </c>
      <c r="M1040" s="39" t="s">
        <v>7831</v>
      </c>
      <c r="N1040" s="39" t="str">
        <f>("0436902")</f>
        <v>0436902</v>
      </c>
      <c r="P1040" s="39" t="s">
        <v>12518</v>
      </c>
      <c r="Q1040" s="39" t="s">
        <v>8568</v>
      </c>
      <c r="R1040" s="39" t="s">
        <v>8569</v>
      </c>
      <c r="S1040" s="39" t="s">
        <v>8570</v>
      </c>
      <c r="AK1040" s="39" t="str">
        <f>("2025/03/24")</f>
        <v>2025/03/24</v>
      </c>
      <c r="AL1040" s="39" t="str">
        <f t="shared" ref="AL1040:AL1051" si="86">("2025/04/01")</f>
        <v>2025/04/01</v>
      </c>
    </row>
    <row r="1041" spans="1:39" x14ac:dyDescent="0.25">
      <c r="A1041" s="39" t="str">
        <f>("1408210033")</f>
        <v>1408210033</v>
      </c>
      <c r="C1041" s="39"/>
      <c r="D1041" s="39" t="s">
        <v>8132</v>
      </c>
      <c r="E1041" s="371" t="str">
        <f t="shared" si="84"/>
        <v>みやもと　りこ</v>
      </c>
      <c r="F1041" s="39" t="s">
        <v>2573</v>
      </c>
      <c r="G1041" s="39" t="s">
        <v>7828</v>
      </c>
      <c r="H1041" s="39" t="str">
        <f>("2014/08/21")</f>
        <v>2014/08/21</v>
      </c>
      <c r="I1041" s="39">
        <v>5</v>
      </c>
      <c r="J1041" s="39" t="s">
        <v>1480</v>
      </c>
      <c r="K1041" s="39" t="s">
        <v>2122</v>
      </c>
      <c r="L1041" s="39" t="s">
        <v>7830</v>
      </c>
      <c r="M1041" s="39" t="s">
        <v>7831</v>
      </c>
      <c r="N1041" s="39" t="str">
        <f>("0230982")</f>
        <v>0230982</v>
      </c>
      <c r="P1041" s="39" t="s">
        <v>12519</v>
      </c>
      <c r="Q1041" s="39" t="s">
        <v>8568</v>
      </c>
      <c r="R1041" s="39" t="s">
        <v>8569</v>
      </c>
      <c r="S1041" s="39" t="s">
        <v>8570</v>
      </c>
      <c r="AK1041" s="39" t="str">
        <f>("2025/03/17")</f>
        <v>2025/03/17</v>
      </c>
      <c r="AL1041" s="39" t="str">
        <f t="shared" si="86"/>
        <v>2025/04/01</v>
      </c>
    </row>
    <row r="1042" spans="1:39" x14ac:dyDescent="0.25">
      <c r="A1042" s="39" t="str">
        <f>("1408220010")</f>
        <v>1408220010</v>
      </c>
      <c r="B1042" s="39" t="s">
        <v>8133</v>
      </c>
      <c r="C1042" s="39"/>
      <c r="D1042" s="39" t="s">
        <v>8134</v>
      </c>
      <c r="E1042" s="371" t="str">
        <f t="shared" si="84"/>
        <v>さめじま　りょうせい</v>
      </c>
      <c r="F1042" s="39" t="s">
        <v>8135</v>
      </c>
      <c r="G1042" s="39" t="s">
        <v>7828</v>
      </c>
      <c r="H1042" s="39" t="str">
        <f>("2014/08/22")</f>
        <v>2014/08/22</v>
      </c>
      <c r="I1042" s="39">
        <v>5</v>
      </c>
      <c r="J1042" s="39" t="s">
        <v>1478</v>
      </c>
      <c r="K1042" s="39" t="s">
        <v>2122</v>
      </c>
      <c r="L1042" s="39" t="s">
        <v>7830</v>
      </c>
      <c r="M1042" s="39" t="s">
        <v>7831</v>
      </c>
      <c r="N1042" s="39" t="str">
        <f>("0475567")</f>
        <v>0475567</v>
      </c>
      <c r="P1042" s="39" t="s">
        <v>12520</v>
      </c>
      <c r="Q1042" s="39" t="s">
        <v>8568</v>
      </c>
      <c r="R1042" s="39" t="s">
        <v>8569</v>
      </c>
      <c r="S1042" s="39" t="s">
        <v>8570</v>
      </c>
      <c r="AK1042" s="39" t="str">
        <f>("2025/03/24")</f>
        <v>2025/03/24</v>
      </c>
      <c r="AL1042" s="39" t="str">
        <f t="shared" si="86"/>
        <v>2025/04/01</v>
      </c>
    </row>
    <row r="1043" spans="1:39" x14ac:dyDescent="0.25">
      <c r="A1043" s="39" t="str">
        <f>("1408220054")</f>
        <v>1408220054</v>
      </c>
      <c r="B1043" s="39" t="s">
        <v>8136</v>
      </c>
      <c r="C1043" s="39"/>
      <c r="D1043" s="39" t="s">
        <v>8137</v>
      </c>
      <c r="E1043" s="371" t="str">
        <f t="shared" si="84"/>
        <v>おはら　りこ</v>
      </c>
      <c r="F1043" s="39" t="s">
        <v>2024</v>
      </c>
      <c r="G1043" s="39" t="s">
        <v>7828</v>
      </c>
      <c r="H1043" s="39" t="str">
        <f>("2014/08/22")</f>
        <v>2014/08/22</v>
      </c>
      <c r="I1043" s="39">
        <v>5</v>
      </c>
      <c r="J1043" s="39" t="s">
        <v>1480</v>
      </c>
      <c r="K1043" s="39" t="s">
        <v>2122</v>
      </c>
      <c r="L1043" s="39" t="s">
        <v>7830</v>
      </c>
      <c r="M1043" s="39" t="s">
        <v>7831</v>
      </c>
      <c r="N1043" s="39" t="str">
        <f>("0130475")</f>
        <v>0130475</v>
      </c>
      <c r="P1043" s="39" t="s">
        <v>12521</v>
      </c>
      <c r="Q1043" s="39" t="s">
        <v>8568</v>
      </c>
      <c r="R1043" s="39" t="s">
        <v>8569</v>
      </c>
      <c r="S1043" s="39" t="s">
        <v>8570</v>
      </c>
      <c r="AK1043" s="39" t="str">
        <f>("2025/04/04")</f>
        <v>2025/04/04</v>
      </c>
      <c r="AL1043" s="39" t="str">
        <f t="shared" si="86"/>
        <v>2025/04/01</v>
      </c>
    </row>
    <row r="1044" spans="1:39" x14ac:dyDescent="0.25">
      <c r="A1044" s="39" t="str">
        <f>("1408220186")</f>
        <v>1408220186</v>
      </c>
      <c r="C1044" s="39"/>
      <c r="D1044" s="39" t="s">
        <v>8138</v>
      </c>
      <c r="E1044" s="371" t="str">
        <f t="shared" si="84"/>
        <v>みやわき　ことこ</v>
      </c>
      <c r="F1044" s="39" t="s">
        <v>2544</v>
      </c>
      <c r="G1044" s="39" t="s">
        <v>7828</v>
      </c>
      <c r="H1044" s="39" t="str">
        <f>("2014/08/22")</f>
        <v>2014/08/22</v>
      </c>
      <c r="I1044" s="39">
        <v>5</v>
      </c>
      <c r="J1044" s="39" t="s">
        <v>1480</v>
      </c>
      <c r="K1044" s="39" t="s">
        <v>2122</v>
      </c>
      <c r="L1044" s="39" t="s">
        <v>7830</v>
      </c>
      <c r="M1044" s="39" t="s">
        <v>7831</v>
      </c>
      <c r="N1044" s="39" t="str">
        <f>("0130644")</f>
        <v>0130644</v>
      </c>
      <c r="P1044" s="39" t="s">
        <v>12522</v>
      </c>
      <c r="Q1044" s="39" t="s">
        <v>8568</v>
      </c>
      <c r="R1044" s="39" t="s">
        <v>8569</v>
      </c>
      <c r="S1044" s="39" t="s">
        <v>8570</v>
      </c>
      <c r="AK1044" s="39" t="str">
        <f>("2025/03/17")</f>
        <v>2025/03/17</v>
      </c>
      <c r="AL1044" s="39" t="str">
        <f t="shared" si="86"/>
        <v>2025/04/01</v>
      </c>
    </row>
    <row r="1045" spans="1:39" x14ac:dyDescent="0.25">
      <c r="A1045" s="39" t="str">
        <f>("1408220221")</f>
        <v>1408220221</v>
      </c>
      <c r="C1045" s="39"/>
      <c r="D1045" s="39" t="s">
        <v>6038</v>
      </c>
      <c r="E1045" s="371" t="str">
        <f t="shared" si="84"/>
        <v>ながおか　はると</v>
      </c>
      <c r="F1045" s="39" t="s">
        <v>2395</v>
      </c>
      <c r="G1045" s="39" t="s">
        <v>7828</v>
      </c>
      <c r="H1045" s="39" t="str">
        <f>("2014/08/22")</f>
        <v>2014/08/22</v>
      </c>
      <c r="I1045" s="39">
        <v>5</v>
      </c>
      <c r="J1045" s="39" t="s">
        <v>1478</v>
      </c>
      <c r="K1045" s="39" t="s">
        <v>2122</v>
      </c>
      <c r="L1045" s="39" t="s">
        <v>7830</v>
      </c>
      <c r="M1045" s="39" t="s">
        <v>7831</v>
      </c>
      <c r="N1045" s="39" t="str">
        <f>("0366735")</f>
        <v>0366735</v>
      </c>
      <c r="P1045" s="39" t="s">
        <v>12523</v>
      </c>
      <c r="Q1045" s="39" t="s">
        <v>8568</v>
      </c>
      <c r="R1045" s="39" t="s">
        <v>8569</v>
      </c>
      <c r="S1045" s="39" t="s">
        <v>8570</v>
      </c>
      <c r="AK1045" s="39" t="str">
        <f>("2025/03/17")</f>
        <v>2025/03/17</v>
      </c>
      <c r="AL1045" s="39" t="str">
        <f t="shared" si="86"/>
        <v>2025/04/01</v>
      </c>
    </row>
    <row r="1046" spans="1:39" x14ac:dyDescent="0.25">
      <c r="A1046" s="39" t="str">
        <f>("1408230086")</f>
        <v>1408230086</v>
      </c>
      <c r="C1046" s="39"/>
      <c r="D1046" s="39" t="s">
        <v>8139</v>
      </c>
      <c r="E1046" s="371" t="str">
        <f t="shared" si="84"/>
        <v>たちばな　あゆき</v>
      </c>
      <c r="F1046" s="39" t="s">
        <v>2299</v>
      </c>
      <c r="G1046" s="39" t="s">
        <v>7828</v>
      </c>
      <c r="H1046" s="39" t="str">
        <f>("2014/08/23")</f>
        <v>2014/08/23</v>
      </c>
      <c r="I1046" s="39">
        <v>5</v>
      </c>
      <c r="J1046" s="39" t="s">
        <v>1478</v>
      </c>
      <c r="K1046" s="39" t="s">
        <v>2122</v>
      </c>
      <c r="L1046" s="39" t="s">
        <v>7830</v>
      </c>
      <c r="M1046" s="39" t="s">
        <v>7831</v>
      </c>
      <c r="N1046" s="39" t="str">
        <f>("1066647")</f>
        <v>1066647</v>
      </c>
      <c r="P1046" s="39" t="s">
        <v>12524</v>
      </c>
      <c r="Q1046" s="39" t="s">
        <v>8568</v>
      </c>
      <c r="R1046" s="39" t="s">
        <v>8569</v>
      </c>
      <c r="S1046" s="39" t="s">
        <v>8570</v>
      </c>
      <c r="AK1046" s="39" t="str">
        <f>("2025/03/21")</f>
        <v>2025/03/21</v>
      </c>
      <c r="AL1046" s="39" t="str">
        <f t="shared" si="86"/>
        <v>2025/04/01</v>
      </c>
      <c r="AM1046" s="39" t="str">
        <f>("2025/04/14")</f>
        <v>2025/04/14</v>
      </c>
    </row>
    <row r="1047" spans="1:39" x14ac:dyDescent="0.25">
      <c r="A1047" s="39" t="str">
        <f>("1408230089")</f>
        <v>1408230089</v>
      </c>
      <c r="C1047" s="39"/>
      <c r="D1047" s="39" t="s">
        <v>5742</v>
      </c>
      <c r="E1047" s="371" t="str">
        <f t="shared" si="84"/>
        <v>わたなべ　りんた</v>
      </c>
      <c r="F1047" s="39" t="s">
        <v>2918</v>
      </c>
      <c r="G1047" s="39" t="s">
        <v>7828</v>
      </c>
      <c r="H1047" s="39" t="str">
        <f>("2014/08/23")</f>
        <v>2014/08/23</v>
      </c>
      <c r="I1047" s="39">
        <v>5</v>
      </c>
      <c r="J1047" s="39" t="s">
        <v>1478</v>
      </c>
      <c r="K1047" s="39" t="s">
        <v>2122</v>
      </c>
      <c r="L1047" s="39" t="s">
        <v>7830</v>
      </c>
      <c r="M1047" s="39" t="s">
        <v>7831</v>
      </c>
      <c r="N1047" s="39" t="str">
        <f>("0129912")</f>
        <v>0129912</v>
      </c>
      <c r="P1047" s="39" t="s">
        <v>12525</v>
      </c>
      <c r="Q1047" s="39" t="s">
        <v>8568</v>
      </c>
      <c r="R1047" s="39" t="s">
        <v>8569</v>
      </c>
      <c r="S1047" s="39" t="s">
        <v>8570</v>
      </c>
      <c r="AK1047" s="39" t="str">
        <f>("2025/03/17")</f>
        <v>2025/03/17</v>
      </c>
      <c r="AL1047" s="39" t="str">
        <f t="shared" si="86"/>
        <v>2025/04/01</v>
      </c>
    </row>
    <row r="1048" spans="1:39" x14ac:dyDescent="0.25">
      <c r="A1048" s="39" t="str">
        <f>("1408240001")</f>
        <v>1408240001</v>
      </c>
      <c r="C1048" s="39"/>
      <c r="D1048" s="39" t="s">
        <v>8140</v>
      </c>
      <c r="E1048" s="371" t="str">
        <f t="shared" si="84"/>
        <v>かみかわ　はるき</v>
      </c>
      <c r="F1048" s="39" t="s">
        <v>2022</v>
      </c>
      <c r="G1048" s="39" t="s">
        <v>7828</v>
      </c>
      <c r="H1048" s="39" t="str">
        <f>("2014/08/24")</f>
        <v>2014/08/24</v>
      </c>
      <c r="I1048" s="39">
        <v>5</v>
      </c>
      <c r="J1048" s="39" t="s">
        <v>1478</v>
      </c>
      <c r="K1048" s="39" t="s">
        <v>2122</v>
      </c>
      <c r="L1048" s="39" t="s">
        <v>7830</v>
      </c>
      <c r="M1048" s="39" t="s">
        <v>7831</v>
      </c>
      <c r="N1048" s="39" t="str">
        <f>("0130329")</f>
        <v>0130329</v>
      </c>
      <c r="P1048" s="39" t="s">
        <v>12526</v>
      </c>
      <c r="Q1048" s="39" t="s">
        <v>8568</v>
      </c>
      <c r="R1048" s="39" t="s">
        <v>8569</v>
      </c>
      <c r="S1048" s="39" t="s">
        <v>8570</v>
      </c>
      <c r="AA1048" s="39" t="s">
        <v>2122</v>
      </c>
      <c r="AB1048" s="39" t="s">
        <v>7830</v>
      </c>
      <c r="AC1048" s="39" t="s">
        <v>7831</v>
      </c>
      <c r="AD1048" s="39" t="str">
        <f>("0130082")</f>
        <v>0130082</v>
      </c>
      <c r="AE1048" s="39" t="s">
        <v>2138</v>
      </c>
      <c r="AK1048" s="39" t="str">
        <f>("2025/03/17")</f>
        <v>2025/03/17</v>
      </c>
      <c r="AL1048" s="39" t="str">
        <f t="shared" si="86"/>
        <v>2025/04/01</v>
      </c>
    </row>
    <row r="1049" spans="1:39" x14ac:dyDescent="0.25">
      <c r="A1049" s="39" t="str">
        <f>("1408240053")</f>
        <v>1408240053</v>
      </c>
      <c r="C1049" s="39"/>
      <c r="D1049" s="39" t="s">
        <v>8141</v>
      </c>
      <c r="E1049" s="371" t="str">
        <f t="shared" si="84"/>
        <v>にいな　けんいちろう</v>
      </c>
      <c r="F1049" s="39" t="s">
        <v>1190</v>
      </c>
      <c r="G1049" s="39" t="s">
        <v>7876</v>
      </c>
      <c r="H1049" s="39" t="str">
        <f>("2014/08/24")</f>
        <v>2014/08/24</v>
      </c>
      <c r="I1049" s="39">
        <v>5</v>
      </c>
      <c r="J1049" s="39" t="s">
        <v>1478</v>
      </c>
      <c r="K1049" s="39" t="s">
        <v>2122</v>
      </c>
      <c r="L1049" s="39" t="s">
        <v>7830</v>
      </c>
      <c r="M1049" s="39" t="s">
        <v>7831</v>
      </c>
      <c r="N1049" s="39" t="str">
        <f>("0130554")</f>
        <v>0130554</v>
      </c>
      <c r="P1049" s="39" t="s">
        <v>12527</v>
      </c>
      <c r="Q1049" s="39" t="s">
        <v>8568</v>
      </c>
      <c r="R1049" s="39" t="s">
        <v>8569</v>
      </c>
      <c r="S1049" s="39" t="s">
        <v>8570</v>
      </c>
      <c r="AK1049" s="39" t="str">
        <f>("2025/03/17")</f>
        <v>2025/03/17</v>
      </c>
      <c r="AL1049" s="39" t="str">
        <f t="shared" si="86"/>
        <v>2025/04/01</v>
      </c>
      <c r="AM1049" s="39" t="str">
        <f>("2025/12/15")</f>
        <v>2025/12/15</v>
      </c>
    </row>
    <row r="1050" spans="1:39" x14ac:dyDescent="0.25">
      <c r="A1050" s="39" t="str">
        <f>("1408240148")</f>
        <v>1408240148</v>
      </c>
      <c r="C1050" s="39"/>
      <c r="D1050" s="39" t="s">
        <v>4761</v>
      </c>
      <c r="E1050" s="371" t="str">
        <f t="shared" si="84"/>
        <v>ひらやま　なぎ</v>
      </c>
      <c r="F1050" s="39" t="s">
        <v>1082</v>
      </c>
      <c r="G1050" s="39" t="s">
        <v>7828</v>
      </c>
      <c r="H1050" s="39" t="str">
        <f>("2014/08/24")</f>
        <v>2014/08/24</v>
      </c>
      <c r="I1050" s="39">
        <v>5</v>
      </c>
      <c r="J1050" s="39" t="s">
        <v>1478</v>
      </c>
      <c r="K1050" s="39" t="s">
        <v>2122</v>
      </c>
      <c r="L1050" s="39" t="s">
        <v>7830</v>
      </c>
      <c r="M1050" s="39" t="s">
        <v>7831</v>
      </c>
      <c r="N1050" s="39" t="str">
        <f>("0450009")</f>
        <v>0450009</v>
      </c>
      <c r="P1050" s="39" t="s">
        <v>12528</v>
      </c>
      <c r="Q1050" s="39" t="s">
        <v>8568</v>
      </c>
      <c r="R1050" s="39" t="s">
        <v>8569</v>
      </c>
      <c r="S1050" s="39" t="s">
        <v>8570</v>
      </c>
      <c r="AK1050" s="39" t="str">
        <f>("2025/03/17")</f>
        <v>2025/03/17</v>
      </c>
      <c r="AL1050" s="39" t="str">
        <f t="shared" si="86"/>
        <v>2025/04/01</v>
      </c>
    </row>
    <row r="1051" spans="1:39" x14ac:dyDescent="0.25">
      <c r="A1051" s="39" t="str">
        <f>("1408250116")</f>
        <v>1408250116</v>
      </c>
      <c r="B1051" s="39" t="s">
        <v>8142</v>
      </c>
      <c r="C1051" s="39"/>
      <c r="D1051" s="39" t="s">
        <v>6013</v>
      </c>
      <c r="E1051" s="371" t="str">
        <f t="shared" si="84"/>
        <v>たかだ　そうすけ</v>
      </c>
      <c r="F1051" s="39" t="s">
        <v>1865</v>
      </c>
      <c r="G1051" s="39" t="s">
        <v>7828</v>
      </c>
      <c r="H1051" s="39" t="str">
        <f>("2014/08/25")</f>
        <v>2014/08/25</v>
      </c>
      <c r="I1051" s="39">
        <v>5</v>
      </c>
      <c r="J1051" s="39" t="s">
        <v>1478</v>
      </c>
      <c r="K1051" s="39" t="s">
        <v>2122</v>
      </c>
      <c r="L1051" s="39" t="s">
        <v>7830</v>
      </c>
      <c r="M1051" s="39" t="s">
        <v>7831</v>
      </c>
      <c r="N1051" s="39" t="str">
        <f>("0310565")</f>
        <v>0310565</v>
      </c>
      <c r="P1051" s="39" t="s">
        <v>12529</v>
      </c>
      <c r="Q1051" s="39" t="s">
        <v>8568</v>
      </c>
      <c r="R1051" s="39" t="s">
        <v>8569</v>
      </c>
      <c r="S1051" s="39" t="s">
        <v>8570</v>
      </c>
      <c r="AK1051" s="39" t="str">
        <f>("2025/03/17")</f>
        <v>2025/03/17</v>
      </c>
      <c r="AL1051" s="39" t="str">
        <f t="shared" si="86"/>
        <v>2025/04/01</v>
      </c>
    </row>
    <row r="1052" spans="1:39" x14ac:dyDescent="0.25">
      <c r="A1052" s="39" t="str">
        <f>("1408260031")</f>
        <v>1408260031</v>
      </c>
      <c r="C1052" s="39"/>
      <c r="D1052" s="39" t="s">
        <v>8143</v>
      </c>
      <c r="E1052" s="371" t="str">
        <f t="shared" si="84"/>
        <v>やまぐち　いちろ</v>
      </c>
      <c r="F1052" s="39" t="s">
        <v>2544</v>
      </c>
      <c r="G1052" s="39" t="s">
        <v>7828</v>
      </c>
      <c r="H1052" s="39" t="str">
        <f>("2014/08/26")</f>
        <v>2014/08/26</v>
      </c>
      <c r="I1052" s="39">
        <v>5</v>
      </c>
      <c r="J1052" s="39" t="s">
        <v>1478</v>
      </c>
      <c r="K1052" s="39" t="s">
        <v>2122</v>
      </c>
      <c r="L1052" s="39" t="s">
        <v>7830</v>
      </c>
      <c r="M1052" s="39" t="s">
        <v>7831</v>
      </c>
      <c r="N1052" s="39" t="str">
        <f>("0130644")</f>
        <v>0130644</v>
      </c>
      <c r="P1052" s="39" t="s">
        <v>12530</v>
      </c>
      <c r="Q1052" s="39" t="s">
        <v>8568</v>
      </c>
      <c r="R1052" s="39" t="s">
        <v>8569</v>
      </c>
      <c r="S1052" s="39" t="s">
        <v>8570</v>
      </c>
      <c r="AA1052" s="39" t="s">
        <v>2122</v>
      </c>
      <c r="AB1052" s="39" t="s">
        <v>7830</v>
      </c>
      <c r="AC1052" s="39" t="s">
        <v>7831</v>
      </c>
      <c r="AD1052" s="39" t="str">
        <f>("0129541")</f>
        <v>0129541</v>
      </c>
      <c r="AE1052" s="39" t="s">
        <v>2477</v>
      </c>
      <c r="AK1052" s="39" t="str">
        <f>("2025/04/10")</f>
        <v>2025/04/10</v>
      </c>
      <c r="AL1052" s="39" t="str">
        <f>("2025/04/10")</f>
        <v>2025/04/10</v>
      </c>
      <c r="AM1052" s="39" t="str">
        <f>("2025/04/14")</f>
        <v>2025/04/14</v>
      </c>
    </row>
    <row r="1053" spans="1:39" x14ac:dyDescent="0.25">
      <c r="A1053" s="39" t="str">
        <f>("1408260080")</f>
        <v>1408260080</v>
      </c>
      <c r="B1053" s="39" t="s">
        <v>8144</v>
      </c>
      <c r="C1053" s="39"/>
      <c r="D1053" s="39" t="s">
        <v>8145</v>
      </c>
      <c r="E1053" s="371" t="str">
        <f t="shared" si="84"/>
        <v>あそう　たいし</v>
      </c>
      <c r="F1053" s="39" t="s">
        <v>1330</v>
      </c>
      <c r="G1053" s="39" t="s">
        <v>7828</v>
      </c>
      <c r="H1053" s="39" t="str">
        <f>("2014/08/26")</f>
        <v>2014/08/26</v>
      </c>
      <c r="I1053" s="39">
        <v>5</v>
      </c>
      <c r="J1053" s="39" t="s">
        <v>1478</v>
      </c>
      <c r="K1053" s="39" t="s">
        <v>2122</v>
      </c>
      <c r="L1053" s="39" t="s">
        <v>7830</v>
      </c>
      <c r="M1053" s="39" t="s">
        <v>7831</v>
      </c>
      <c r="N1053" s="39" t="str">
        <f>("0130598")</f>
        <v>0130598</v>
      </c>
      <c r="P1053" s="39" t="s">
        <v>12531</v>
      </c>
      <c r="Q1053" s="39" t="s">
        <v>8568</v>
      </c>
      <c r="R1053" s="39" t="s">
        <v>8569</v>
      </c>
      <c r="S1053" s="39" t="s">
        <v>8570</v>
      </c>
      <c r="AK1053" s="39" t="str">
        <f>("2025/03/17")</f>
        <v>2025/03/17</v>
      </c>
      <c r="AL1053" s="39" t="str">
        <f t="shared" ref="AL1053:AL1065" si="87">("2025/04/01")</f>
        <v>2025/04/01</v>
      </c>
    </row>
    <row r="1054" spans="1:39" x14ac:dyDescent="0.25">
      <c r="A1054" s="39" t="str">
        <f>("1408270069")</f>
        <v>1408270069</v>
      </c>
      <c r="B1054" s="39" t="s">
        <v>8146</v>
      </c>
      <c r="C1054" s="39"/>
      <c r="D1054" s="39" t="s">
        <v>8147</v>
      </c>
      <c r="E1054" s="371" t="str">
        <f t="shared" si="84"/>
        <v>あべ　はやと</v>
      </c>
      <c r="F1054" s="39" t="s">
        <v>1330</v>
      </c>
      <c r="G1054" s="39" t="s">
        <v>7828</v>
      </c>
      <c r="H1054" s="39" t="str">
        <f>("2014/08/27")</f>
        <v>2014/08/27</v>
      </c>
      <c r="I1054" s="39">
        <v>5</v>
      </c>
      <c r="J1054" s="39" t="s">
        <v>1478</v>
      </c>
      <c r="K1054" s="39" t="s">
        <v>2122</v>
      </c>
      <c r="L1054" s="39" t="s">
        <v>7830</v>
      </c>
      <c r="M1054" s="39" t="s">
        <v>7831</v>
      </c>
      <c r="N1054" s="39" t="str">
        <f>("0130598")</f>
        <v>0130598</v>
      </c>
      <c r="P1054" s="39" t="s">
        <v>12532</v>
      </c>
      <c r="Q1054" s="39" t="s">
        <v>8568</v>
      </c>
      <c r="R1054" s="39" t="s">
        <v>8569</v>
      </c>
      <c r="S1054" s="39" t="s">
        <v>8570</v>
      </c>
      <c r="AK1054" s="39" t="str">
        <f>("2025/03/17")</f>
        <v>2025/03/17</v>
      </c>
      <c r="AL1054" s="39" t="str">
        <f t="shared" si="87"/>
        <v>2025/04/01</v>
      </c>
    </row>
    <row r="1055" spans="1:39" x14ac:dyDescent="0.25">
      <c r="A1055" s="39" t="str">
        <f>("1408270232")</f>
        <v>1408270232</v>
      </c>
      <c r="C1055" s="39"/>
      <c r="D1055" s="39" t="s">
        <v>8148</v>
      </c>
      <c r="E1055" s="371" t="str">
        <f t="shared" si="84"/>
        <v>いけだ　あさひ</v>
      </c>
      <c r="F1055" s="39" t="s">
        <v>1692</v>
      </c>
      <c r="G1055" s="39" t="s">
        <v>7828</v>
      </c>
      <c r="H1055" s="39" t="str">
        <f>("2014/08/27")</f>
        <v>2014/08/27</v>
      </c>
      <c r="I1055" s="39">
        <v>5</v>
      </c>
      <c r="J1055" s="39" t="s">
        <v>1478</v>
      </c>
      <c r="K1055" s="39" t="s">
        <v>2122</v>
      </c>
      <c r="L1055" s="39" t="s">
        <v>7830</v>
      </c>
      <c r="M1055" s="39" t="s">
        <v>7831</v>
      </c>
      <c r="N1055" s="39" t="str">
        <f>("1052299")</f>
        <v>1052299</v>
      </c>
      <c r="P1055" s="39" t="s">
        <v>12533</v>
      </c>
      <c r="Q1055" s="39" t="s">
        <v>8568</v>
      </c>
      <c r="R1055" s="39" t="s">
        <v>8569</v>
      </c>
      <c r="S1055" s="39" t="s">
        <v>8570</v>
      </c>
      <c r="AK1055" s="39" t="str">
        <f>("2025/03/17")</f>
        <v>2025/03/17</v>
      </c>
      <c r="AL1055" s="39" t="str">
        <f t="shared" si="87"/>
        <v>2025/04/01</v>
      </c>
    </row>
    <row r="1056" spans="1:39" x14ac:dyDescent="0.25">
      <c r="A1056" s="39" t="str">
        <f>("1408280002")</f>
        <v>1408280002</v>
      </c>
      <c r="B1056" s="39" t="s">
        <v>8149</v>
      </c>
      <c r="C1056" s="39"/>
      <c r="D1056" s="39" t="s">
        <v>5877</v>
      </c>
      <c r="E1056" s="371" t="str">
        <f t="shared" si="84"/>
        <v>きべ　たつき</v>
      </c>
      <c r="F1056" s="39" t="s">
        <v>2137</v>
      </c>
      <c r="G1056" s="39" t="s">
        <v>7828</v>
      </c>
      <c r="H1056" s="39" t="str">
        <f>("2014/08/28")</f>
        <v>2014/08/28</v>
      </c>
      <c r="I1056" s="39">
        <v>5</v>
      </c>
      <c r="J1056" s="39" t="s">
        <v>1478</v>
      </c>
      <c r="K1056" s="39" t="s">
        <v>2122</v>
      </c>
      <c r="L1056" s="39" t="s">
        <v>7830</v>
      </c>
      <c r="M1056" s="39" t="s">
        <v>7831</v>
      </c>
      <c r="N1056" s="39" t="str">
        <f>("0130510")</f>
        <v>0130510</v>
      </c>
      <c r="P1056" s="39" t="s">
        <v>12534</v>
      </c>
      <c r="Q1056" s="39" t="s">
        <v>8568</v>
      </c>
      <c r="R1056" s="39" t="s">
        <v>8569</v>
      </c>
      <c r="S1056" s="39" t="s">
        <v>8570</v>
      </c>
      <c r="AK1056" s="39" t="str">
        <f>("2025/03/21")</f>
        <v>2025/03/21</v>
      </c>
      <c r="AL1056" s="39" t="str">
        <f t="shared" si="87"/>
        <v>2025/04/01</v>
      </c>
    </row>
    <row r="1057" spans="1:39" x14ac:dyDescent="0.25">
      <c r="A1057" s="39" t="str">
        <f>("1408280032")</f>
        <v>1408280032</v>
      </c>
      <c r="C1057" s="39"/>
      <c r="D1057" s="39" t="s">
        <v>8150</v>
      </c>
      <c r="E1057" s="371" t="str">
        <f t="shared" si="84"/>
        <v>かじわら　そうた</v>
      </c>
      <c r="F1057" s="39" t="s">
        <v>2477</v>
      </c>
      <c r="G1057" s="39" t="s">
        <v>7876</v>
      </c>
      <c r="H1057" s="39" t="str">
        <f>("2014/08/28")</f>
        <v>2014/08/28</v>
      </c>
      <c r="I1057" s="39">
        <v>5</v>
      </c>
      <c r="J1057" s="39" t="s">
        <v>1478</v>
      </c>
      <c r="K1057" s="39" t="s">
        <v>2122</v>
      </c>
      <c r="L1057" s="39" t="s">
        <v>7830</v>
      </c>
      <c r="M1057" s="39" t="s">
        <v>7831</v>
      </c>
      <c r="N1057" s="39" t="str">
        <f>("0129541")</f>
        <v>0129541</v>
      </c>
      <c r="P1057" s="39" t="s">
        <v>12535</v>
      </c>
      <c r="Q1057" s="39" t="s">
        <v>8568</v>
      </c>
      <c r="R1057" s="39" t="s">
        <v>8569</v>
      </c>
      <c r="S1057" s="39" t="s">
        <v>8570</v>
      </c>
      <c r="AK1057" s="39" t="str">
        <f>("2025/03/27")</f>
        <v>2025/03/27</v>
      </c>
      <c r="AL1057" s="39" t="str">
        <f t="shared" si="87"/>
        <v>2025/04/01</v>
      </c>
      <c r="AM1057" s="39" t="str">
        <f>("2025/09/22")</f>
        <v>2025/09/22</v>
      </c>
    </row>
    <row r="1058" spans="1:39" x14ac:dyDescent="0.25">
      <c r="A1058" s="39" t="str">
        <f>("1408280127")</f>
        <v>1408280127</v>
      </c>
      <c r="C1058" s="39"/>
      <c r="D1058" s="39" t="s">
        <v>6006</v>
      </c>
      <c r="E1058" s="371" t="str">
        <f t="shared" si="84"/>
        <v>ふくだ　みやび</v>
      </c>
      <c r="F1058" s="39" t="s">
        <v>1865</v>
      </c>
      <c r="G1058" s="39" t="s">
        <v>7828</v>
      </c>
      <c r="H1058" s="39" t="str">
        <f>("2014/08/28")</f>
        <v>2014/08/28</v>
      </c>
      <c r="I1058" s="39">
        <v>5</v>
      </c>
      <c r="J1058" s="39" t="s">
        <v>1478</v>
      </c>
      <c r="K1058" s="39" t="s">
        <v>2122</v>
      </c>
      <c r="L1058" s="39" t="s">
        <v>7830</v>
      </c>
      <c r="M1058" s="39" t="s">
        <v>7831</v>
      </c>
      <c r="N1058" s="39" t="str">
        <f>("0310565")</f>
        <v>0310565</v>
      </c>
      <c r="P1058" s="39" t="s">
        <v>12536</v>
      </c>
      <c r="Q1058" s="39" t="s">
        <v>8568</v>
      </c>
      <c r="R1058" s="39" t="s">
        <v>8569</v>
      </c>
      <c r="S1058" s="39" t="s">
        <v>8570</v>
      </c>
      <c r="AK1058" s="39" t="str">
        <f>("2025/03/17")</f>
        <v>2025/03/17</v>
      </c>
      <c r="AL1058" s="39" t="str">
        <f t="shared" si="87"/>
        <v>2025/04/01</v>
      </c>
    </row>
    <row r="1059" spans="1:39" x14ac:dyDescent="0.25">
      <c r="A1059" s="39" t="str">
        <f>("1408280194")</f>
        <v>1408280194</v>
      </c>
      <c r="C1059" s="39"/>
      <c r="D1059" s="39" t="s">
        <v>5978</v>
      </c>
      <c r="E1059" s="371" t="str">
        <f t="shared" si="84"/>
        <v>こもり　ゆうき</v>
      </c>
      <c r="F1059" s="39" t="s">
        <v>2574</v>
      </c>
      <c r="G1059" s="39" t="s">
        <v>7828</v>
      </c>
      <c r="H1059" s="39" t="str">
        <f>("2014/08/28")</f>
        <v>2014/08/28</v>
      </c>
      <c r="I1059" s="39">
        <v>5</v>
      </c>
      <c r="J1059" s="39" t="s">
        <v>1478</v>
      </c>
      <c r="K1059" s="39" t="s">
        <v>2122</v>
      </c>
      <c r="L1059" s="39" t="s">
        <v>7830</v>
      </c>
      <c r="M1059" s="39" t="s">
        <v>7831</v>
      </c>
      <c r="N1059" s="39" t="str">
        <f>("0237620")</f>
        <v>0237620</v>
      </c>
      <c r="P1059" s="39" t="s">
        <v>12537</v>
      </c>
      <c r="Q1059" s="39" t="s">
        <v>8568</v>
      </c>
      <c r="R1059" s="39" t="s">
        <v>8569</v>
      </c>
      <c r="S1059" s="39" t="s">
        <v>8570</v>
      </c>
      <c r="AK1059" s="39" t="str">
        <f>("2025/03/17")</f>
        <v>2025/03/17</v>
      </c>
      <c r="AL1059" s="39" t="str">
        <f t="shared" si="87"/>
        <v>2025/04/01</v>
      </c>
    </row>
    <row r="1060" spans="1:39" x14ac:dyDescent="0.25">
      <c r="A1060" s="39" t="str">
        <f>("1408280201")</f>
        <v>1408280201</v>
      </c>
      <c r="C1060" s="39"/>
      <c r="D1060" s="39" t="s">
        <v>8151</v>
      </c>
      <c r="E1060" s="371" t="str">
        <f t="shared" si="84"/>
        <v>おの　そうすけ</v>
      </c>
      <c r="F1060" s="39" t="s">
        <v>2557</v>
      </c>
      <c r="G1060" s="39" t="s">
        <v>7828</v>
      </c>
      <c r="H1060" s="39" t="str">
        <f>("2014/08/28")</f>
        <v>2014/08/28</v>
      </c>
      <c r="I1060" s="39">
        <v>5</v>
      </c>
      <c r="J1060" s="39" t="s">
        <v>1478</v>
      </c>
      <c r="K1060" s="39" t="s">
        <v>2122</v>
      </c>
      <c r="L1060" s="39" t="s">
        <v>7830</v>
      </c>
      <c r="M1060" s="39" t="s">
        <v>7831</v>
      </c>
      <c r="N1060" s="39" t="str">
        <f>("0130723")</f>
        <v>0130723</v>
      </c>
      <c r="P1060" s="39" t="s">
        <v>12538</v>
      </c>
      <c r="Q1060" s="39" t="s">
        <v>8568</v>
      </c>
      <c r="R1060" s="39" t="s">
        <v>8569</v>
      </c>
      <c r="S1060" s="39" t="s">
        <v>8570</v>
      </c>
      <c r="AK1060" s="39" t="str">
        <f>("2025/03/17")</f>
        <v>2025/03/17</v>
      </c>
      <c r="AL1060" s="39" t="str">
        <f t="shared" si="87"/>
        <v>2025/04/01</v>
      </c>
    </row>
    <row r="1061" spans="1:39" x14ac:dyDescent="0.25">
      <c r="A1061" s="39" t="str">
        <f>("1408290033")</f>
        <v>1408290033</v>
      </c>
      <c r="C1061" s="39"/>
      <c r="D1061" s="39" t="s">
        <v>5740</v>
      </c>
      <c r="E1061" s="371" t="str">
        <f t="shared" si="84"/>
        <v>まるた　しゅう</v>
      </c>
      <c r="F1061" s="39" t="s">
        <v>2918</v>
      </c>
      <c r="G1061" s="39" t="s">
        <v>7828</v>
      </c>
      <c r="H1061" s="39" t="str">
        <f>("2014/08/29")</f>
        <v>2014/08/29</v>
      </c>
      <c r="I1061" s="39">
        <v>5</v>
      </c>
      <c r="J1061" s="39" t="s">
        <v>1478</v>
      </c>
      <c r="K1061" s="39" t="s">
        <v>2122</v>
      </c>
      <c r="L1061" s="39" t="s">
        <v>7830</v>
      </c>
      <c r="M1061" s="39" t="s">
        <v>7831</v>
      </c>
      <c r="N1061" s="39" t="str">
        <f>("0129912")</f>
        <v>0129912</v>
      </c>
      <c r="P1061" s="39" t="s">
        <v>12539</v>
      </c>
      <c r="Q1061" s="39" t="s">
        <v>8568</v>
      </c>
      <c r="R1061" s="39" t="s">
        <v>8569</v>
      </c>
      <c r="S1061" s="39" t="s">
        <v>8570</v>
      </c>
      <c r="AK1061" s="39" t="str">
        <f>("2025/03/17")</f>
        <v>2025/03/17</v>
      </c>
      <c r="AL1061" s="39" t="str">
        <f t="shared" si="87"/>
        <v>2025/04/01</v>
      </c>
    </row>
    <row r="1062" spans="1:39" x14ac:dyDescent="0.25">
      <c r="A1062" s="39" t="str">
        <f>("1408290190")</f>
        <v>1408290190</v>
      </c>
      <c r="C1062" s="39"/>
      <c r="D1062" s="39" t="s">
        <v>8152</v>
      </c>
      <c r="E1062" s="371" t="str">
        <f t="shared" si="84"/>
        <v>ひらまつ　れんすけ</v>
      </c>
      <c r="F1062" s="39" t="s">
        <v>2602</v>
      </c>
      <c r="G1062" s="39" t="s">
        <v>7828</v>
      </c>
      <c r="H1062" s="39" t="str">
        <f>("2014/08/29")</f>
        <v>2014/08/29</v>
      </c>
      <c r="I1062" s="39">
        <v>5</v>
      </c>
      <c r="J1062" s="39" t="s">
        <v>1478</v>
      </c>
      <c r="K1062" s="39" t="s">
        <v>2122</v>
      </c>
      <c r="L1062" s="39" t="s">
        <v>7830</v>
      </c>
      <c r="M1062" s="39" t="s">
        <v>7831</v>
      </c>
      <c r="N1062" s="39" t="str">
        <f>("0430119")</f>
        <v>0430119</v>
      </c>
      <c r="P1062" s="39" t="s">
        <v>12540</v>
      </c>
      <c r="Q1062" s="39" t="s">
        <v>8568</v>
      </c>
      <c r="R1062" s="39" t="s">
        <v>8569</v>
      </c>
      <c r="S1062" s="39" t="s">
        <v>8570</v>
      </c>
      <c r="AK1062" s="39" t="str">
        <f>("2025/03/17")</f>
        <v>2025/03/17</v>
      </c>
      <c r="AL1062" s="39" t="str">
        <f t="shared" si="87"/>
        <v>2025/04/01</v>
      </c>
    </row>
    <row r="1063" spans="1:39" x14ac:dyDescent="0.25">
      <c r="A1063" s="39" t="str">
        <f>("1408300086")</f>
        <v>1408300086</v>
      </c>
      <c r="C1063" s="39"/>
      <c r="D1063" s="39" t="s">
        <v>8153</v>
      </c>
      <c r="E1063" s="371" t="str">
        <f t="shared" si="84"/>
        <v>まつお　いっき</v>
      </c>
      <c r="F1063" s="39" t="s">
        <v>2587</v>
      </c>
      <c r="G1063" s="39" t="s">
        <v>7828</v>
      </c>
      <c r="H1063" s="39" t="str">
        <f>("2014/08/30")</f>
        <v>2014/08/30</v>
      </c>
      <c r="I1063" s="39">
        <v>5</v>
      </c>
      <c r="J1063" s="39" t="s">
        <v>1478</v>
      </c>
      <c r="K1063" s="39" t="s">
        <v>2122</v>
      </c>
      <c r="L1063" s="39" t="s">
        <v>7830</v>
      </c>
      <c r="M1063" s="39" t="s">
        <v>7831</v>
      </c>
      <c r="N1063" s="39" t="str">
        <f>("0387334")</f>
        <v>0387334</v>
      </c>
      <c r="P1063" s="39" t="s">
        <v>12541</v>
      </c>
      <c r="Q1063" s="39" t="s">
        <v>8568</v>
      </c>
      <c r="R1063" s="39" t="s">
        <v>8569</v>
      </c>
      <c r="S1063" s="39" t="s">
        <v>8570</v>
      </c>
      <c r="AK1063" s="39" t="str">
        <f>("2025/03/27")</f>
        <v>2025/03/27</v>
      </c>
      <c r="AL1063" s="39" t="str">
        <f t="shared" si="87"/>
        <v>2025/04/01</v>
      </c>
    </row>
    <row r="1064" spans="1:39" x14ac:dyDescent="0.25">
      <c r="A1064" s="39" t="str">
        <f>("1408310015")</f>
        <v>1408310015</v>
      </c>
      <c r="C1064" s="39"/>
      <c r="D1064" s="39" t="s">
        <v>5960</v>
      </c>
      <c r="E1064" s="371" t="str">
        <f t="shared" si="84"/>
        <v>おおた　さくと</v>
      </c>
      <c r="F1064" s="39" t="s">
        <v>5617</v>
      </c>
      <c r="G1064" s="39" t="s">
        <v>7828</v>
      </c>
      <c r="H1064" s="39" t="str">
        <f>("2014/08/31")</f>
        <v>2014/08/31</v>
      </c>
      <c r="I1064" s="39">
        <v>5</v>
      </c>
      <c r="J1064" s="39" t="s">
        <v>1478</v>
      </c>
      <c r="K1064" s="39" t="s">
        <v>2122</v>
      </c>
      <c r="L1064" s="39" t="s">
        <v>7830</v>
      </c>
      <c r="M1064" s="39" t="s">
        <v>7831</v>
      </c>
      <c r="N1064" s="39" t="str">
        <f>("0130756")</f>
        <v>0130756</v>
      </c>
      <c r="P1064" s="39" t="s">
        <v>12542</v>
      </c>
      <c r="Q1064" s="39" t="s">
        <v>8568</v>
      </c>
      <c r="R1064" s="39" t="s">
        <v>8569</v>
      </c>
      <c r="S1064" s="39" t="s">
        <v>8570</v>
      </c>
      <c r="AK1064" s="39" t="str">
        <f>("2025/03/17")</f>
        <v>2025/03/17</v>
      </c>
      <c r="AL1064" s="39" t="str">
        <f t="shared" si="87"/>
        <v>2025/04/01</v>
      </c>
    </row>
    <row r="1065" spans="1:39" x14ac:dyDescent="0.25">
      <c r="A1065" s="39" t="str">
        <f>("1409010185")</f>
        <v>1409010185</v>
      </c>
      <c r="C1065" s="39"/>
      <c r="D1065" s="39" t="s">
        <v>8154</v>
      </c>
      <c r="E1065" s="371" t="str">
        <f t="shared" si="84"/>
        <v>ひろせ　たいが</v>
      </c>
      <c r="F1065" s="39" t="s">
        <v>2137</v>
      </c>
      <c r="G1065" s="39" t="s">
        <v>7828</v>
      </c>
      <c r="H1065" s="39" t="str">
        <f>("2014/09/01")</f>
        <v>2014/09/01</v>
      </c>
      <c r="I1065" s="39">
        <v>5</v>
      </c>
      <c r="J1065" s="39" t="s">
        <v>1478</v>
      </c>
      <c r="K1065" s="39" t="s">
        <v>2122</v>
      </c>
      <c r="L1065" s="39" t="s">
        <v>7830</v>
      </c>
      <c r="M1065" s="39" t="s">
        <v>7831</v>
      </c>
      <c r="N1065" s="39" t="str">
        <f>("0130510")</f>
        <v>0130510</v>
      </c>
      <c r="P1065" s="39" t="s">
        <v>12543</v>
      </c>
      <c r="Q1065" s="39" t="s">
        <v>8568</v>
      </c>
      <c r="R1065" s="39" t="s">
        <v>8569</v>
      </c>
      <c r="S1065" s="39" t="s">
        <v>8570</v>
      </c>
      <c r="AK1065" s="39" t="str">
        <f>("2025/03/21")</f>
        <v>2025/03/21</v>
      </c>
      <c r="AL1065" s="39" t="str">
        <f t="shared" si="87"/>
        <v>2025/04/01</v>
      </c>
    </row>
    <row r="1066" spans="1:39" x14ac:dyDescent="0.25">
      <c r="A1066" s="39" t="str">
        <f>("1409010257")</f>
        <v>1409010257</v>
      </c>
      <c r="C1066" s="39"/>
      <c r="D1066" s="39" t="s">
        <v>8155</v>
      </c>
      <c r="E1066" s="371" t="str">
        <f t="shared" si="84"/>
        <v>やすだ　こうすけ</v>
      </c>
      <c r="F1066" s="39" t="s">
        <v>2033</v>
      </c>
      <c r="G1066" s="39" t="s">
        <v>7828</v>
      </c>
      <c r="H1066" s="39" t="str">
        <f>("2014/09/01")</f>
        <v>2014/09/01</v>
      </c>
      <c r="I1066" s="39">
        <v>5</v>
      </c>
      <c r="J1066" s="39" t="s">
        <v>1478</v>
      </c>
      <c r="K1066" s="39" t="s">
        <v>2122</v>
      </c>
      <c r="L1066" s="39" t="s">
        <v>7830</v>
      </c>
      <c r="M1066" s="39" t="s">
        <v>7831</v>
      </c>
      <c r="N1066" s="39" t="str">
        <f>("0130442")</f>
        <v>0130442</v>
      </c>
      <c r="P1066" s="39" t="s">
        <v>12544</v>
      </c>
      <c r="Q1066" s="39" t="s">
        <v>8568</v>
      </c>
      <c r="R1066" s="39" t="s">
        <v>8569</v>
      </c>
      <c r="S1066" s="39" t="s">
        <v>8570</v>
      </c>
      <c r="AK1066" s="39" t="str">
        <f>("2025/11/28")</f>
        <v>2025/11/28</v>
      </c>
      <c r="AL1066" s="39" t="str">
        <f>("2025/11/28")</f>
        <v>2025/11/28</v>
      </c>
      <c r="AM1066" s="39" t="str">
        <f>("2025/12/12")</f>
        <v>2025/12/12</v>
      </c>
    </row>
    <row r="1067" spans="1:39" x14ac:dyDescent="0.25">
      <c r="A1067" s="39" t="str">
        <f>("1409020201")</f>
        <v>1409020201</v>
      </c>
      <c r="C1067" s="39"/>
      <c r="D1067" s="39" t="s">
        <v>6160</v>
      </c>
      <c r="E1067" s="371" t="str">
        <f t="shared" si="84"/>
        <v>しきな　とうじろう</v>
      </c>
      <c r="F1067" s="39" t="s">
        <v>1095</v>
      </c>
      <c r="G1067" s="39" t="s">
        <v>7828</v>
      </c>
      <c r="H1067" s="39" t="str">
        <f>("2014/09/02")</f>
        <v>2014/09/02</v>
      </c>
      <c r="I1067" s="39">
        <v>5</v>
      </c>
      <c r="J1067" s="39" t="s">
        <v>1478</v>
      </c>
      <c r="K1067" s="39" t="s">
        <v>2122</v>
      </c>
      <c r="L1067" s="39" t="s">
        <v>7830</v>
      </c>
      <c r="M1067" s="39" t="s">
        <v>7831</v>
      </c>
      <c r="N1067" s="39" t="str">
        <f>("0487492")</f>
        <v>0487492</v>
      </c>
      <c r="P1067" s="39" t="s">
        <v>12545</v>
      </c>
      <c r="Q1067" s="39" t="s">
        <v>8568</v>
      </c>
      <c r="R1067" s="39" t="s">
        <v>8569</v>
      </c>
      <c r="S1067" s="39" t="s">
        <v>8570</v>
      </c>
      <c r="AK1067" s="39" t="str">
        <f>("2025/03/21")</f>
        <v>2025/03/21</v>
      </c>
      <c r="AL1067" s="39" t="str">
        <f t="shared" ref="AL1067:AL1079" si="88">("2025/04/01")</f>
        <v>2025/04/01</v>
      </c>
    </row>
    <row r="1068" spans="1:39" x14ac:dyDescent="0.25">
      <c r="A1068" s="39" t="str">
        <f>("1409030194")</f>
        <v>1409030194</v>
      </c>
      <c r="C1068" s="39"/>
      <c r="D1068" s="39" t="s">
        <v>8156</v>
      </c>
      <c r="E1068" s="371" t="str">
        <f t="shared" si="84"/>
        <v>ごとう　りくう</v>
      </c>
      <c r="F1068" s="39" t="s">
        <v>2587</v>
      </c>
      <c r="G1068" s="39" t="s">
        <v>7828</v>
      </c>
      <c r="H1068" s="39" t="str">
        <f>("2014/09/03")</f>
        <v>2014/09/03</v>
      </c>
      <c r="I1068" s="39">
        <v>5</v>
      </c>
      <c r="J1068" s="39" t="s">
        <v>1478</v>
      </c>
      <c r="K1068" s="39" t="s">
        <v>2122</v>
      </c>
      <c r="L1068" s="39" t="s">
        <v>7830</v>
      </c>
      <c r="M1068" s="39" t="s">
        <v>7831</v>
      </c>
      <c r="N1068" s="39" t="str">
        <f>("0387334")</f>
        <v>0387334</v>
      </c>
      <c r="P1068" s="39" t="s">
        <v>12546</v>
      </c>
      <c r="Q1068" s="39" t="s">
        <v>8568</v>
      </c>
      <c r="R1068" s="39" t="s">
        <v>8569</v>
      </c>
      <c r="S1068" s="39" t="s">
        <v>8570</v>
      </c>
      <c r="AK1068" s="39" t="str">
        <f>("2025/03/27")</f>
        <v>2025/03/27</v>
      </c>
      <c r="AL1068" s="39" t="str">
        <f t="shared" si="88"/>
        <v>2025/04/01</v>
      </c>
    </row>
    <row r="1069" spans="1:39" x14ac:dyDescent="0.25">
      <c r="A1069" s="39" t="str">
        <f>("1409040099")</f>
        <v>1409040099</v>
      </c>
      <c r="C1069" s="39"/>
      <c r="D1069" s="39" t="s">
        <v>8157</v>
      </c>
      <c r="E1069" s="371" t="str">
        <f t="shared" si="84"/>
        <v>あそう　かなた</v>
      </c>
      <c r="F1069" s="39" t="s">
        <v>2619</v>
      </c>
      <c r="G1069" s="39" t="s">
        <v>7828</v>
      </c>
      <c r="H1069" s="39" t="str">
        <f>("2014/09/04")</f>
        <v>2014/09/04</v>
      </c>
      <c r="I1069" s="39">
        <v>5</v>
      </c>
      <c r="J1069" s="39" t="s">
        <v>1478</v>
      </c>
      <c r="K1069" s="39" t="s">
        <v>2122</v>
      </c>
      <c r="L1069" s="39" t="s">
        <v>7830</v>
      </c>
      <c r="M1069" s="39" t="s">
        <v>7831</v>
      </c>
      <c r="N1069" s="39" t="str">
        <f>("0472823")</f>
        <v>0472823</v>
      </c>
      <c r="P1069" s="39" t="s">
        <v>12547</v>
      </c>
      <c r="Q1069" s="39" t="s">
        <v>8568</v>
      </c>
      <c r="R1069" s="39" t="s">
        <v>8569</v>
      </c>
      <c r="S1069" s="39" t="s">
        <v>8570</v>
      </c>
      <c r="AK1069" s="39" t="str">
        <f t="shared" ref="AK1069:AK1079" si="89">("2025/03/17")</f>
        <v>2025/03/17</v>
      </c>
      <c r="AL1069" s="39" t="str">
        <f t="shared" si="88"/>
        <v>2025/04/01</v>
      </c>
    </row>
    <row r="1070" spans="1:39" x14ac:dyDescent="0.25">
      <c r="A1070" s="39" t="str">
        <f>("1409040146")</f>
        <v>1409040146</v>
      </c>
      <c r="C1070" s="39"/>
      <c r="D1070" s="39" t="s">
        <v>8158</v>
      </c>
      <c r="E1070" s="371" t="str">
        <f t="shared" si="84"/>
        <v>まつお　いっけい</v>
      </c>
      <c r="F1070" s="39" t="s">
        <v>1751</v>
      </c>
      <c r="G1070" s="39" t="s">
        <v>7828</v>
      </c>
      <c r="H1070" s="39" t="str">
        <f>("2014/09/04")</f>
        <v>2014/09/04</v>
      </c>
      <c r="I1070" s="39">
        <v>5</v>
      </c>
      <c r="J1070" s="39" t="s">
        <v>1478</v>
      </c>
      <c r="K1070" s="39" t="s">
        <v>2122</v>
      </c>
      <c r="L1070" s="39" t="s">
        <v>7830</v>
      </c>
      <c r="M1070" s="39" t="s">
        <v>7831</v>
      </c>
      <c r="N1070" s="39" t="str">
        <f>("0130453")</f>
        <v>0130453</v>
      </c>
      <c r="P1070" s="39" t="s">
        <v>12548</v>
      </c>
      <c r="Q1070" s="39" t="s">
        <v>8568</v>
      </c>
      <c r="R1070" s="39" t="s">
        <v>8569</v>
      </c>
      <c r="S1070" s="39" t="s">
        <v>8570</v>
      </c>
      <c r="AK1070" s="39" t="str">
        <f t="shared" si="89"/>
        <v>2025/03/17</v>
      </c>
      <c r="AL1070" s="39" t="str">
        <f t="shared" si="88"/>
        <v>2025/04/01</v>
      </c>
    </row>
    <row r="1071" spans="1:39" x14ac:dyDescent="0.25">
      <c r="A1071" s="39" t="str">
        <f>("1409050011")</f>
        <v>1409050011</v>
      </c>
      <c r="C1071" s="39"/>
      <c r="D1071" s="39" t="s">
        <v>5914</v>
      </c>
      <c r="E1071" s="371" t="str">
        <f t="shared" si="84"/>
        <v>あべ　こうすけ</v>
      </c>
      <c r="F1071" s="39" t="s">
        <v>2544</v>
      </c>
      <c r="G1071" s="39" t="s">
        <v>7828</v>
      </c>
      <c r="H1071" s="39" t="str">
        <f t="shared" ref="H1071:H1076" si="90">("2014/09/05")</f>
        <v>2014/09/05</v>
      </c>
      <c r="I1071" s="39">
        <v>5</v>
      </c>
      <c r="J1071" s="39" t="s">
        <v>1478</v>
      </c>
      <c r="K1071" s="39" t="s">
        <v>2122</v>
      </c>
      <c r="L1071" s="39" t="s">
        <v>7830</v>
      </c>
      <c r="M1071" s="39" t="s">
        <v>7831</v>
      </c>
      <c r="N1071" s="39" t="str">
        <f>("0130644")</f>
        <v>0130644</v>
      </c>
      <c r="P1071" s="39" t="s">
        <v>12549</v>
      </c>
      <c r="Q1071" s="39" t="s">
        <v>8568</v>
      </c>
      <c r="R1071" s="39" t="s">
        <v>8569</v>
      </c>
      <c r="S1071" s="39" t="s">
        <v>8570</v>
      </c>
      <c r="AK1071" s="39" t="str">
        <f t="shared" si="89"/>
        <v>2025/03/17</v>
      </c>
      <c r="AL1071" s="39" t="str">
        <f t="shared" si="88"/>
        <v>2025/04/01</v>
      </c>
    </row>
    <row r="1072" spans="1:39" x14ac:dyDescent="0.25">
      <c r="A1072" s="39" t="str">
        <f>("1409050024")</f>
        <v>1409050024</v>
      </c>
      <c r="C1072" s="39"/>
      <c r="D1072" s="39" t="s">
        <v>5826</v>
      </c>
      <c r="E1072" s="371" t="str">
        <f t="shared" si="84"/>
        <v>なかむら　きょうたろう</v>
      </c>
      <c r="F1072" s="39" t="s">
        <v>5616</v>
      </c>
      <c r="G1072" s="39" t="s">
        <v>7828</v>
      </c>
      <c r="H1072" s="39" t="str">
        <f t="shared" si="90"/>
        <v>2014/09/05</v>
      </c>
      <c r="I1072" s="39">
        <v>5</v>
      </c>
      <c r="J1072" s="39" t="s">
        <v>1478</v>
      </c>
      <c r="K1072" s="39" t="s">
        <v>2122</v>
      </c>
      <c r="L1072" s="39" t="s">
        <v>7830</v>
      </c>
      <c r="M1072" s="39" t="s">
        <v>7831</v>
      </c>
      <c r="N1072" s="39" t="str">
        <f>("0130385")</f>
        <v>0130385</v>
      </c>
      <c r="P1072" s="39" t="s">
        <v>12550</v>
      </c>
      <c r="Q1072" s="39" t="s">
        <v>8568</v>
      </c>
      <c r="R1072" s="39" t="s">
        <v>8569</v>
      </c>
      <c r="S1072" s="39" t="s">
        <v>8570</v>
      </c>
      <c r="AK1072" s="39" t="str">
        <f t="shared" si="89"/>
        <v>2025/03/17</v>
      </c>
      <c r="AL1072" s="39" t="str">
        <f t="shared" si="88"/>
        <v>2025/04/01</v>
      </c>
    </row>
    <row r="1073" spans="1:38" x14ac:dyDescent="0.25">
      <c r="A1073" s="39" t="str">
        <f>("1409050059")</f>
        <v>1409050059</v>
      </c>
      <c r="C1073" s="39"/>
      <c r="D1073" s="39" t="s">
        <v>8159</v>
      </c>
      <c r="E1073" s="371" t="str">
        <f t="shared" si="84"/>
        <v>はらだ　りこ</v>
      </c>
      <c r="F1073" s="39" t="s">
        <v>188</v>
      </c>
      <c r="G1073" s="39" t="s">
        <v>7828</v>
      </c>
      <c r="H1073" s="39" t="str">
        <f t="shared" si="90"/>
        <v>2014/09/05</v>
      </c>
      <c r="I1073" s="39">
        <v>5</v>
      </c>
      <c r="J1073" s="39" t="s">
        <v>1480</v>
      </c>
      <c r="K1073" s="39" t="s">
        <v>2122</v>
      </c>
      <c r="L1073" s="39" t="s">
        <v>7830</v>
      </c>
      <c r="M1073" s="39" t="s">
        <v>7831</v>
      </c>
      <c r="N1073" s="39" t="str">
        <f>("0130734")</f>
        <v>0130734</v>
      </c>
      <c r="P1073" s="39" t="s">
        <v>12551</v>
      </c>
      <c r="Q1073" s="39" t="s">
        <v>8568</v>
      </c>
      <c r="R1073" s="39" t="s">
        <v>8569</v>
      </c>
      <c r="S1073" s="39" t="s">
        <v>8570</v>
      </c>
      <c r="AK1073" s="39" t="str">
        <f t="shared" si="89"/>
        <v>2025/03/17</v>
      </c>
      <c r="AL1073" s="39" t="str">
        <f t="shared" si="88"/>
        <v>2025/04/01</v>
      </c>
    </row>
    <row r="1074" spans="1:38" x14ac:dyDescent="0.25">
      <c r="A1074" s="39" t="str">
        <f>("1409050144")</f>
        <v>1409050144</v>
      </c>
      <c r="C1074" s="39"/>
      <c r="D1074" s="39" t="s">
        <v>5845</v>
      </c>
      <c r="E1074" s="371" t="str">
        <f t="shared" si="84"/>
        <v>ひらの　こうた</v>
      </c>
      <c r="F1074" s="39" t="s">
        <v>2531</v>
      </c>
      <c r="G1074" s="39" t="s">
        <v>7828</v>
      </c>
      <c r="H1074" s="39" t="str">
        <f t="shared" si="90"/>
        <v>2014/09/05</v>
      </c>
      <c r="I1074" s="39">
        <v>5</v>
      </c>
      <c r="J1074" s="39" t="s">
        <v>1478</v>
      </c>
      <c r="K1074" s="39" t="s">
        <v>2122</v>
      </c>
      <c r="L1074" s="39" t="s">
        <v>7830</v>
      </c>
      <c r="M1074" s="39" t="s">
        <v>7831</v>
      </c>
      <c r="N1074" s="39" t="str">
        <f>("0130419")</f>
        <v>0130419</v>
      </c>
      <c r="P1074" s="39" t="s">
        <v>12552</v>
      </c>
      <c r="Q1074" s="39" t="s">
        <v>8568</v>
      </c>
      <c r="R1074" s="39" t="s">
        <v>8569</v>
      </c>
      <c r="S1074" s="39" t="s">
        <v>8570</v>
      </c>
      <c r="AK1074" s="39" t="str">
        <f t="shared" si="89"/>
        <v>2025/03/17</v>
      </c>
      <c r="AL1074" s="39" t="str">
        <f t="shared" si="88"/>
        <v>2025/04/01</v>
      </c>
    </row>
    <row r="1075" spans="1:38" x14ac:dyDescent="0.25">
      <c r="A1075" s="39" t="str">
        <f>("1409050145")</f>
        <v>1409050145</v>
      </c>
      <c r="C1075" s="39"/>
      <c r="D1075" s="39" t="s">
        <v>8160</v>
      </c>
      <c r="E1075" s="371" t="str">
        <f t="shared" si="84"/>
        <v>よしだ　そうま</v>
      </c>
      <c r="F1075" s="39" t="s">
        <v>1968</v>
      </c>
      <c r="G1075" s="39" t="s">
        <v>7828</v>
      </c>
      <c r="H1075" s="39" t="str">
        <f t="shared" si="90"/>
        <v>2014/09/05</v>
      </c>
      <c r="I1075" s="39">
        <v>5</v>
      </c>
      <c r="J1075" s="39" t="s">
        <v>1478</v>
      </c>
      <c r="K1075" s="39" t="s">
        <v>2122</v>
      </c>
      <c r="L1075" s="39" t="s">
        <v>7830</v>
      </c>
      <c r="M1075" s="39" t="s">
        <v>7831</v>
      </c>
      <c r="N1075" s="39" t="str">
        <f>("0129507")</f>
        <v>0129507</v>
      </c>
      <c r="P1075" s="39" t="s">
        <v>12553</v>
      </c>
      <c r="Q1075" s="39" t="s">
        <v>8568</v>
      </c>
      <c r="R1075" s="39" t="s">
        <v>8569</v>
      </c>
      <c r="S1075" s="39" t="s">
        <v>8570</v>
      </c>
      <c r="AK1075" s="39" t="str">
        <f t="shared" si="89"/>
        <v>2025/03/17</v>
      </c>
      <c r="AL1075" s="39" t="str">
        <f t="shared" si="88"/>
        <v>2025/04/01</v>
      </c>
    </row>
    <row r="1076" spans="1:38" x14ac:dyDescent="0.25">
      <c r="A1076" s="39" t="str">
        <f>("1409050194")</f>
        <v>1409050194</v>
      </c>
      <c r="C1076" s="39"/>
      <c r="D1076" s="39" t="s">
        <v>8161</v>
      </c>
      <c r="E1076" s="371" t="str">
        <f t="shared" si="84"/>
        <v>ふくしま　りょうが</v>
      </c>
      <c r="F1076" s="39" t="s">
        <v>2243</v>
      </c>
      <c r="G1076" s="39" t="s">
        <v>7828</v>
      </c>
      <c r="H1076" s="39" t="str">
        <f t="shared" si="90"/>
        <v>2014/09/05</v>
      </c>
      <c r="I1076" s="39">
        <v>5</v>
      </c>
      <c r="J1076" s="39" t="s">
        <v>1478</v>
      </c>
      <c r="K1076" s="39" t="s">
        <v>2122</v>
      </c>
      <c r="L1076" s="39" t="s">
        <v>7830</v>
      </c>
      <c r="M1076" s="39" t="s">
        <v>7831</v>
      </c>
      <c r="N1076" s="39" t="str">
        <f>("0130565")</f>
        <v>0130565</v>
      </c>
      <c r="P1076" s="39" t="s">
        <v>12554</v>
      </c>
      <c r="Q1076" s="39" t="s">
        <v>8568</v>
      </c>
      <c r="R1076" s="39" t="s">
        <v>8569</v>
      </c>
      <c r="S1076" s="39" t="s">
        <v>8570</v>
      </c>
      <c r="AA1076" s="39" t="s">
        <v>2122</v>
      </c>
      <c r="AB1076" s="39" t="s">
        <v>7830</v>
      </c>
      <c r="AC1076" s="39" t="s">
        <v>7831</v>
      </c>
      <c r="AD1076" s="39" t="str">
        <f>("1039801")</f>
        <v>1039801</v>
      </c>
      <c r="AE1076" s="39" t="s">
        <v>7864</v>
      </c>
      <c r="AK1076" s="39" t="str">
        <f t="shared" si="89"/>
        <v>2025/03/17</v>
      </c>
      <c r="AL1076" s="39" t="str">
        <f t="shared" si="88"/>
        <v>2025/04/01</v>
      </c>
    </row>
    <row r="1077" spans="1:38" x14ac:dyDescent="0.25">
      <c r="A1077" s="39" t="str">
        <f>("1409060049")</f>
        <v>1409060049</v>
      </c>
      <c r="B1077" s="39" t="s">
        <v>8162</v>
      </c>
      <c r="C1077" s="39"/>
      <c r="D1077" s="39" t="s">
        <v>245</v>
      </c>
      <c r="E1077" s="371" t="str">
        <f t="shared" si="84"/>
        <v>さとう　りょうま</v>
      </c>
      <c r="F1077" s="39" t="s">
        <v>686</v>
      </c>
      <c r="G1077" s="39" t="s">
        <v>7828</v>
      </c>
      <c r="H1077" s="39" t="str">
        <f>("2014/09/06")</f>
        <v>2014/09/06</v>
      </c>
      <c r="I1077" s="39">
        <v>5</v>
      </c>
      <c r="J1077" s="39" t="s">
        <v>1478</v>
      </c>
      <c r="K1077" s="39" t="s">
        <v>2122</v>
      </c>
      <c r="L1077" s="39" t="s">
        <v>7830</v>
      </c>
      <c r="M1077" s="39" t="s">
        <v>7831</v>
      </c>
      <c r="N1077" s="39" t="str">
        <f>("0130745")</f>
        <v>0130745</v>
      </c>
      <c r="P1077" s="39" t="s">
        <v>12555</v>
      </c>
      <c r="Q1077" s="39" t="s">
        <v>8568</v>
      </c>
      <c r="R1077" s="39" t="s">
        <v>8569</v>
      </c>
      <c r="S1077" s="39" t="s">
        <v>8570</v>
      </c>
      <c r="AK1077" s="39" t="str">
        <f t="shared" si="89"/>
        <v>2025/03/17</v>
      </c>
      <c r="AL1077" s="39" t="str">
        <f t="shared" si="88"/>
        <v>2025/04/01</v>
      </c>
    </row>
    <row r="1078" spans="1:38" x14ac:dyDescent="0.25">
      <c r="A1078" s="39" t="str">
        <f>("1409060105")</f>
        <v>1409060105</v>
      </c>
      <c r="C1078" s="39"/>
      <c r="D1078" s="39" t="s">
        <v>6172</v>
      </c>
      <c r="E1078" s="371" t="str">
        <f t="shared" si="84"/>
        <v>ふじわら　そうま</v>
      </c>
      <c r="F1078" s="39" t="s">
        <v>2156</v>
      </c>
      <c r="G1078" s="39" t="s">
        <v>7828</v>
      </c>
      <c r="H1078" s="39" t="str">
        <f>("2014/09/06")</f>
        <v>2014/09/06</v>
      </c>
      <c r="I1078" s="39">
        <v>5</v>
      </c>
      <c r="J1078" s="39" t="s">
        <v>1478</v>
      </c>
      <c r="K1078" s="39" t="s">
        <v>2122</v>
      </c>
      <c r="L1078" s="39" t="s">
        <v>7830</v>
      </c>
      <c r="M1078" s="39" t="s">
        <v>7831</v>
      </c>
      <c r="N1078" s="39" t="str">
        <f>("0493040")</f>
        <v>0493040</v>
      </c>
      <c r="P1078" s="39" t="s">
        <v>12556</v>
      </c>
      <c r="Q1078" s="39" t="s">
        <v>8568</v>
      </c>
      <c r="R1078" s="39" t="s">
        <v>8569</v>
      </c>
      <c r="S1078" s="39" t="s">
        <v>8570</v>
      </c>
      <c r="AK1078" s="39" t="str">
        <f t="shared" si="89"/>
        <v>2025/03/17</v>
      </c>
      <c r="AL1078" s="39" t="str">
        <f t="shared" si="88"/>
        <v>2025/04/01</v>
      </c>
    </row>
    <row r="1079" spans="1:38" x14ac:dyDescent="0.25">
      <c r="A1079" s="39" t="str">
        <f>("1409060140")</f>
        <v>1409060140</v>
      </c>
      <c r="C1079" s="39"/>
      <c r="D1079" s="39" t="s">
        <v>8163</v>
      </c>
      <c r="E1079" s="371" t="str">
        <f t="shared" si="84"/>
        <v>はたせ　とあ</v>
      </c>
      <c r="F1079" s="39" t="s">
        <v>1239</v>
      </c>
      <c r="G1079" s="39" t="s">
        <v>7828</v>
      </c>
      <c r="H1079" s="39" t="str">
        <f>("2014/09/06")</f>
        <v>2014/09/06</v>
      </c>
      <c r="I1079" s="39">
        <v>5</v>
      </c>
      <c r="J1079" s="39" t="s">
        <v>1478</v>
      </c>
      <c r="K1079" s="39" t="s">
        <v>2122</v>
      </c>
      <c r="L1079" s="39" t="s">
        <v>7830</v>
      </c>
      <c r="M1079" s="39" t="s">
        <v>7831</v>
      </c>
      <c r="N1079" s="39" t="str">
        <f>("0129585")</f>
        <v>0129585</v>
      </c>
      <c r="P1079" s="39" t="s">
        <v>12557</v>
      </c>
      <c r="Q1079" s="39" t="s">
        <v>8568</v>
      </c>
      <c r="R1079" s="39" t="s">
        <v>8569</v>
      </c>
      <c r="S1079" s="39" t="s">
        <v>8570</v>
      </c>
      <c r="AK1079" s="39" t="str">
        <f t="shared" si="89"/>
        <v>2025/03/17</v>
      </c>
      <c r="AL1079" s="39" t="str">
        <f t="shared" si="88"/>
        <v>2025/04/01</v>
      </c>
    </row>
    <row r="1080" spans="1:38" x14ac:dyDescent="0.25">
      <c r="A1080" s="39" t="str">
        <f>("1409060191")</f>
        <v>1409060191</v>
      </c>
      <c r="C1080" s="39"/>
      <c r="D1080" s="39" t="s">
        <v>8164</v>
      </c>
      <c r="E1080" s="371" t="str">
        <f t="shared" si="84"/>
        <v>やまなか　とあ</v>
      </c>
      <c r="F1080" s="39" t="s">
        <v>2342</v>
      </c>
      <c r="G1080" s="39" t="s">
        <v>7828</v>
      </c>
      <c r="H1080" s="39" t="str">
        <f>("2014/09/06")</f>
        <v>2014/09/06</v>
      </c>
      <c r="I1080" s="39">
        <v>5</v>
      </c>
      <c r="J1080" s="39" t="s">
        <v>1478</v>
      </c>
      <c r="K1080" s="39" t="s">
        <v>2122</v>
      </c>
      <c r="L1080" s="39" t="s">
        <v>7830</v>
      </c>
      <c r="M1080" s="39" t="s">
        <v>7831</v>
      </c>
      <c r="N1080" s="39" t="str">
        <f>("0130307")</f>
        <v>0130307</v>
      </c>
      <c r="P1080" s="39" t="s">
        <v>12558</v>
      </c>
      <c r="Q1080" s="39" t="s">
        <v>8568</v>
      </c>
      <c r="R1080" s="39" t="s">
        <v>8569</v>
      </c>
      <c r="S1080" s="39" t="s">
        <v>8570</v>
      </c>
      <c r="AK1080" s="39" t="str">
        <f>("2025/07/01")</f>
        <v>2025/07/01</v>
      </c>
      <c r="AL1080" s="39" t="str">
        <f>("2025/07/01")</f>
        <v>2025/07/01</v>
      </c>
    </row>
    <row r="1081" spans="1:38" x14ac:dyDescent="0.25">
      <c r="A1081" s="39" t="str">
        <f>("1409070051")</f>
        <v>1409070051</v>
      </c>
      <c r="C1081" s="39"/>
      <c r="D1081" s="39" t="s">
        <v>5761</v>
      </c>
      <c r="E1081" s="371" t="str">
        <f t="shared" si="84"/>
        <v>いで　さくと</v>
      </c>
      <c r="F1081" s="39" t="s">
        <v>1446</v>
      </c>
      <c r="G1081" s="39" t="s">
        <v>7828</v>
      </c>
      <c r="H1081" s="39" t="str">
        <f>("2014/09/07")</f>
        <v>2014/09/07</v>
      </c>
      <c r="I1081" s="39">
        <v>5</v>
      </c>
      <c r="J1081" s="39" t="s">
        <v>1478</v>
      </c>
      <c r="K1081" s="39" t="s">
        <v>2122</v>
      </c>
      <c r="L1081" s="39" t="s">
        <v>7830</v>
      </c>
      <c r="M1081" s="39" t="s">
        <v>7831</v>
      </c>
      <c r="N1081" s="39" t="str">
        <f>("0478807")</f>
        <v>0478807</v>
      </c>
      <c r="P1081" s="39" t="s">
        <v>12559</v>
      </c>
      <c r="Q1081" s="39" t="s">
        <v>8568</v>
      </c>
      <c r="R1081" s="39" t="s">
        <v>8569</v>
      </c>
      <c r="S1081" s="39" t="s">
        <v>8570</v>
      </c>
      <c r="AA1081" s="39" t="s">
        <v>2122</v>
      </c>
      <c r="AB1081" s="39" t="s">
        <v>7830</v>
      </c>
      <c r="AC1081" s="39" t="s">
        <v>7831</v>
      </c>
      <c r="AD1081" s="39" t="str">
        <f>("0129990")</f>
        <v>0129990</v>
      </c>
      <c r="AE1081" s="39" t="s">
        <v>3867</v>
      </c>
      <c r="AK1081" s="39" t="str">
        <f>("2025/09/12")</f>
        <v>2025/09/12</v>
      </c>
      <c r="AL1081" s="39" t="str">
        <f>("2025/09/12")</f>
        <v>2025/09/12</v>
      </c>
    </row>
    <row r="1082" spans="1:38" x14ac:dyDescent="0.25">
      <c r="A1082" s="39" t="str">
        <f>("1409070069")</f>
        <v>1409070069</v>
      </c>
      <c r="B1082" s="39" t="s">
        <v>8165</v>
      </c>
      <c r="C1082" s="39"/>
      <c r="D1082" s="39" t="s">
        <v>8166</v>
      </c>
      <c r="E1082" s="371" t="str">
        <f t="shared" si="84"/>
        <v>しむら　あおい</v>
      </c>
      <c r="F1082" s="39" t="s">
        <v>2587</v>
      </c>
      <c r="G1082" s="39" t="s">
        <v>7828</v>
      </c>
      <c r="H1082" s="39" t="str">
        <f>("2014/09/07")</f>
        <v>2014/09/07</v>
      </c>
      <c r="I1082" s="39">
        <v>5</v>
      </c>
      <c r="J1082" s="39" t="s">
        <v>1478</v>
      </c>
      <c r="K1082" s="39" t="s">
        <v>2122</v>
      </c>
      <c r="L1082" s="39" t="s">
        <v>7830</v>
      </c>
      <c r="M1082" s="39" t="s">
        <v>7831</v>
      </c>
      <c r="N1082" s="39" t="str">
        <f>("0387334")</f>
        <v>0387334</v>
      </c>
      <c r="P1082" s="39" t="s">
        <v>12560</v>
      </c>
      <c r="Q1082" s="39" t="s">
        <v>8568</v>
      </c>
      <c r="R1082" s="39" t="s">
        <v>8569</v>
      </c>
      <c r="S1082" s="39" t="s">
        <v>8570</v>
      </c>
      <c r="AK1082" s="39" t="str">
        <f>("2025/03/27")</f>
        <v>2025/03/27</v>
      </c>
      <c r="AL1082" s="39" t="str">
        <f t="shared" ref="AL1082:AL1093" si="91">("2025/04/01")</f>
        <v>2025/04/01</v>
      </c>
    </row>
    <row r="1083" spans="1:38" x14ac:dyDescent="0.25">
      <c r="A1083" s="39" t="str">
        <f>("1409070075")</f>
        <v>1409070075</v>
      </c>
      <c r="B1083" s="39" t="s">
        <v>8167</v>
      </c>
      <c r="C1083" s="39"/>
      <c r="D1083" s="39" t="s">
        <v>6012</v>
      </c>
      <c r="E1083" s="371" t="str">
        <f t="shared" si="84"/>
        <v>さとう　ゆうせい</v>
      </c>
      <c r="F1083" s="39" t="s">
        <v>1865</v>
      </c>
      <c r="G1083" s="39" t="s">
        <v>7828</v>
      </c>
      <c r="H1083" s="39" t="str">
        <f>("2014/09/07")</f>
        <v>2014/09/07</v>
      </c>
      <c r="I1083" s="39">
        <v>5</v>
      </c>
      <c r="J1083" s="39" t="s">
        <v>1478</v>
      </c>
      <c r="K1083" s="39" t="s">
        <v>2122</v>
      </c>
      <c r="L1083" s="39" t="s">
        <v>7830</v>
      </c>
      <c r="M1083" s="39" t="s">
        <v>7831</v>
      </c>
      <c r="N1083" s="39" t="str">
        <f>("0310565")</f>
        <v>0310565</v>
      </c>
      <c r="P1083" s="39" t="s">
        <v>11493</v>
      </c>
      <c r="Q1083" s="39" t="s">
        <v>8568</v>
      </c>
      <c r="R1083" s="39" t="s">
        <v>8569</v>
      </c>
      <c r="S1083" s="39" t="s">
        <v>8570</v>
      </c>
      <c r="AK1083" s="39" t="str">
        <f>("2025/03/17")</f>
        <v>2025/03/17</v>
      </c>
      <c r="AL1083" s="39" t="str">
        <f t="shared" si="91"/>
        <v>2025/04/01</v>
      </c>
    </row>
    <row r="1084" spans="1:38" x14ac:dyDescent="0.25">
      <c r="A1084" s="39" t="str">
        <f>("1409070109")</f>
        <v>1409070109</v>
      </c>
      <c r="C1084" s="39"/>
      <c r="D1084" s="39" t="s">
        <v>8168</v>
      </c>
      <c r="E1084" s="371" t="str">
        <f t="shared" si="84"/>
        <v>しじょう　そうた</v>
      </c>
      <c r="F1084" s="39" t="s">
        <v>1481</v>
      </c>
      <c r="G1084" s="39" t="s">
        <v>7828</v>
      </c>
      <c r="H1084" s="39" t="str">
        <f>("2014/09/07")</f>
        <v>2014/09/07</v>
      </c>
      <c r="I1084" s="39">
        <v>5</v>
      </c>
      <c r="J1084" s="39" t="s">
        <v>1478</v>
      </c>
      <c r="K1084" s="39" t="s">
        <v>2122</v>
      </c>
      <c r="L1084" s="39" t="s">
        <v>7830</v>
      </c>
      <c r="M1084" s="39" t="s">
        <v>7831</v>
      </c>
      <c r="N1084" s="39" t="str">
        <f>("0129866")</f>
        <v>0129866</v>
      </c>
      <c r="P1084" s="39" t="s">
        <v>12561</v>
      </c>
      <c r="Q1084" s="39" t="s">
        <v>8568</v>
      </c>
      <c r="R1084" s="39" t="s">
        <v>8569</v>
      </c>
      <c r="S1084" s="39" t="s">
        <v>8570</v>
      </c>
      <c r="AK1084" s="39" t="str">
        <f>("2025/03/19")</f>
        <v>2025/03/19</v>
      </c>
      <c r="AL1084" s="39" t="str">
        <f t="shared" si="91"/>
        <v>2025/04/01</v>
      </c>
    </row>
    <row r="1085" spans="1:38" x14ac:dyDescent="0.25">
      <c r="A1085" s="39" t="str">
        <f>("1409080042")</f>
        <v>1409080042</v>
      </c>
      <c r="B1085" s="39" t="s">
        <v>8169</v>
      </c>
      <c r="C1085" s="39"/>
      <c r="D1085" s="39" t="s">
        <v>8170</v>
      </c>
      <c r="E1085" s="371" t="str">
        <f t="shared" si="84"/>
        <v>ごとう　きいる</v>
      </c>
      <c r="F1085" s="39" t="s">
        <v>2395</v>
      </c>
      <c r="G1085" s="39" t="s">
        <v>7828</v>
      </c>
      <c r="H1085" s="39" t="str">
        <f>("2014/09/08")</f>
        <v>2014/09/08</v>
      </c>
      <c r="I1085" s="39">
        <v>5</v>
      </c>
      <c r="J1085" s="39" t="s">
        <v>1478</v>
      </c>
      <c r="K1085" s="39" t="s">
        <v>2122</v>
      </c>
      <c r="L1085" s="39" t="s">
        <v>7830</v>
      </c>
      <c r="M1085" s="39" t="s">
        <v>7831</v>
      </c>
      <c r="N1085" s="39" t="str">
        <f>("0366735")</f>
        <v>0366735</v>
      </c>
      <c r="P1085" s="39" t="s">
        <v>12562</v>
      </c>
      <c r="Q1085" s="39" t="s">
        <v>8568</v>
      </c>
      <c r="R1085" s="39" t="s">
        <v>8569</v>
      </c>
      <c r="S1085" s="39" t="s">
        <v>8570</v>
      </c>
      <c r="AK1085" s="39" t="str">
        <f>("2025/03/17")</f>
        <v>2025/03/17</v>
      </c>
      <c r="AL1085" s="39" t="str">
        <f t="shared" si="91"/>
        <v>2025/04/01</v>
      </c>
    </row>
    <row r="1086" spans="1:38" x14ac:dyDescent="0.25">
      <c r="A1086" s="39" t="str">
        <f>("1409080233")</f>
        <v>1409080233</v>
      </c>
      <c r="C1086" s="39"/>
      <c r="D1086" s="39" t="s">
        <v>5664</v>
      </c>
      <c r="E1086" s="371" t="str">
        <f t="shared" si="84"/>
        <v>ともまつ　あおし</v>
      </c>
      <c r="F1086" s="39" t="s">
        <v>2274</v>
      </c>
      <c r="G1086" s="39" t="s">
        <v>7828</v>
      </c>
      <c r="H1086" s="39" t="str">
        <f>("2014/09/08")</f>
        <v>2014/09/08</v>
      </c>
      <c r="I1086" s="39">
        <v>5</v>
      </c>
      <c r="J1086" s="39" t="s">
        <v>1478</v>
      </c>
      <c r="K1086" s="39" t="s">
        <v>2122</v>
      </c>
      <c r="L1086" s="39" t="s">
        <v>7830</v>
      </c>
      <c r="M1086" s="39" t="s">
        <v>7831</v>
      </c>
      <c r="N1086" s="39" t="str">
        <f>("0129563")</f>
        <v>0129563</v>
      </c>
      <c r="P1086" s="39" t="s">
        <v>12563</v>
      </c>
      <c r="Q1086" s="39" t="s">
        <v>8568</v>
      </c>
      <c r="R1086" s="39" t="s">
        <v>8569</v>
      </c>
      <c r="S1086" s="39" t="s">
        <v>8570</v>
      </c>
      <c r="AK1086" s="39" t="str">
        <f>("2025/03/17")</f>
        <v>2025/03/17</v>
      </c>
      <c r="AL1086" s="39" t="str">
        <f t="shared" si="91"/>
        <v>2025/04/01</v>
      </c>
    </row>
    <row r="1087" spans="1:38" x14ac:dyDescent="0.25">
      <c r="A1087" s="39" t="str">
        <f>("1409090051")</f>
        <v>1409090051</v>
      </c>
      <c r="B1087" s="39" t="s">
        <v>8171</v>
      </c>
      <c r="C1087" s="39"/>
      <c r="D1087" s="39" t="s">
        <v>8172</v>
      </c>
      <c r="E1087" s="371" t="str">
        <f t="shared" si="84"/>
        <v>ほしだ　てつじろう</v>
      </c>
      <c r="F1087" s="39" t="s">
        <v>2024</v>
      </c>
      <c r="G1087" s="39" t="s">
        <v>7828</v>
      </c>
      <c r="H1087" s="39" t="str">
        <f>("2014/09/09")</f>
        <v>2014/09/09</v>
      </c>
      <c r="I1087" s="39">
        <v>5</v>
      </c>
      <c r="J1087" s="39" t="s">
        <v>1478</v>
      </c>
      <c r="K1087" s="39" t="s">
        <v>2122</v>
      </c>
      <c r="L1087" s="39" t="s">
        <v>7830</v>
      </c>
      <c r="M1087" s="39" t="s">
        <v>7831</v>
      </c>
      <c r="N1087" s="39" t="str">
        <f>("0130475")</f>
        <v>0130475</v>
      </c>
      <c r="P1087" s="39" t="s">
        <v>12564</v>
      </c>
      <c r="Q1087" s="39" t="s">
        <v>8568</v>
      </c>
      <c r="R1087" s="39" t="s">
        <v>8569</v>
      </c>
      <c r="S1087" s="39" t="s">
        <v>8570</v>
      </c>
      <c r="AK1087" s="39" t="str">
        <f>("2025/04/04")</f>
        <v>2025/04/04</v>
      </c>
      <c r="AL1087" s="39" t="str">
        <f t="shared" si="91"/>
        <v>2025/04/01</v>
      </c>
    </row>
    <row r="1088" spans="1:38" x14ac:dyDescent="0.25">
      <c r="A1088" s="39" t="str">
        <f>("1409090182")</f>
        <v>1409090182</v>
      </c>
      <c r="C1088" s="39"/>
      <c r="D1088" s="39" t="s">
        <v>5875</v>
      </c>
      <c r="E1088" s="371" t="str">
        <f t="shared" si="84"/>
        <v>たなか　るい</v>
      </c>
      <c r="F1088" s="39" t="s">
        <v>2137</v>
      </c>
      <c r="G1088" s="39" t="s">
        <v>7828</v>
      </c>
      <c r="H1088" s="39" t="str">
        <f>("2014/09/09")</f>
        <v>2014/09/09</v>
      </c>
      <c r="I1088" s="39">
        <v>5</v>
      </c>
      <c r="J1088" s="39" t="s">
        <v>1478</v>
      </c>
      <c r="K1088" s="39" t="s">
        <v>2122</v>
      </c>
      <c r="L1088" s="39" t="s">
        <v>7830</v>
      </c>
      <c r="M1088" s="39" t="s">
        <v>7831</v>
      </c>
      <c r="N1088" s="39" t="str">
        <f>("0130510")</f>
        <v>0130510</v>
      </c>
      <c r="P1088" s="39" t="s">
        <v>12565</v>
      </c>
      <c r="Q1088" s="39" t="s">
        <v>8568</v>
      </c>
      <c r="R1088" s="39" t="s">
        <v>8569</v>
      </c>
      <c r="S1088" s="39" t="s">
        <v>8570</v>
      </c>
      <c r="AK1088" s="39" t="str">
        <f>("2025/03/21")</f>
        <v>2025/03/21</v>
      </c>
      <c r="AL1088" s="39" t="str">
        <f t="shared" si="91"/>
        <v>2025/04/01</v>
      </c>
    </row>
    <row r="1089" spans="1:39" x14ac:dyDescent="0.25">
      <c r="A1089" s="39" t="str">
        <f>("1409090236")</f>
        <v>1409090236</v>
      </c>
      <c r="C1089" s="39"/>
      <c r="D1089" s="39" t="s">
        <v>8173</v>
      </c>
      <c r="E1089" s="371" t="str">
        <f t="shared" si="84"/>
        <v>かとう　そう</v>
      </c>
      <c r="F1089" s="39" t="s">
        <v>827</v>
      </c>
      <c r="G1089" s="39" t="s">
        <v>7828</v>
      </c>
      <c r="H1089" s="39" t="str">
        <f>("2014/09/09")</f>
        <v>2014/09/09</v>
      </c>
      <c r="I1089" s="39">
        <v>5</v>
      </c>
      <c r="J1089" s="39" t="s">
        <v>1478</v>
      </c>
      <c r="K1089" s="39" t="s">
        <v>2122</v>
      </c>
      <c r="L1089" s="39" t="s">
        <v>7830</v>
      </c>
      <c r="M1089" s="39" t="s">
        <v>7831</v>
      </c>
      <c r="N1089" s="39" t="str">
        <f>("0504908")</f>
        <v>0504908</v>
      </c>
      <c r="P1089" s="39" t="s">
        <v>12566</v>
      </c>
      <c r="Q1089" s="39" t="s">
        <v>8568</v>
      </c>
      <c r="R1089" s="39" t="s">
        <v>8569</v>
      </c>
      <c r="S1089" s="39" t="s">
        <v>8570</v>
      </c>
      <c r="AK1089" s="39" t="str">
        <f>("2025/03/21")</f>
        <v>2025/03/21</v>
      </c>
      <c r="AL1089" s="39" t="str">
        <f t="shared" si="91"/>
        <v>2025/04/01</v>
      </c>
    </row>
    <row r="1090" spans="1:39" x14ac:dyDescent="0.25">
      <c r="A1090" s="39" t="str">
        <f>("1409100009")</f>
        <v>1409100009</v>
      </c>
      <c r="C1090" s="39"/>
      <c r="D1090" s="39" t="s">
        <v>5919</v>
      </c>
      <c r="E1090" s="371" t="str">
        <f t="shared" si="84"/>
        <v>まき　しゅんすけ</v>
      </c>
      <c r="F1090" s="39" t="s">
        <v>2422</v>
      </c>
      <c r="G1090" s="39" t="s">
        <v>7828</v>
      </c>
      <c r="H1090" s="39" t="str">
        <f>("2014/09/10")</f>
        <v>2014/09/10</v>
      </c>
      <c r="I1090" s="39">
        <v>5</v>
      </c>
      <c r="J1090" s="39" t="s">
        <v>1478</v>
      </c>
      <c r="K1090" s="39" t="s">
        <v>2122</v>
      </c>
      <c r="L1090" s="39" t="s">
        <v>7830</v>
      </c>
      <c r="M1090" s="39" t="s">
        <v>7831</v>
      </c>
      <c r="N1090" s="39" t="str">
        <f>("0130699")</f>
        <v>0130699</v>
      </c>
      <c r="P1090" s="39" t="s">
        <v>12567</v>
      </c>
      <c r="Q1090" s="39" t="s">
        <v>8568</v>
      </c>
      <c r="R1090" s="39" t="s">
        <v>8569</v>
      </c>
      <c r="S1090" s="39" t="s">
        <v>8570</v>
      </c>
      <c r="AK1090" s="39" t="str">
        <f>("2025/03/17")</f>
        <v>2025/03/17</v>
      </c>
      <c r="AL1090" s="39" t="str">
        <f t="shared" si="91"/>
        <v>2025/04/01</v>
      </c>
    </row>
    <row r="1091" spans="1:39" x14ac:dyDescent="0.25">
      <c r="A1091" s="39" t="str">
        <f>("1409120122")</f>
        <v>1409120122</v>
      </c>
      <c r="C1091" s="39"/>
      <c r="D1091" s="39" t="s">
        <v>6220</v>
      </c>
      <c r="E1091" s="371" t="str">
        <f t="shared" ref="E1091:E1154" si="92">PHONETIC(P1091)</f>
        <v>あべ　ふみや</v>
      </c>
      <c r="F1091" s="39" t="s">
        <v>7864</v>
      </c>
      <c r="G1091" s="39" t="s">
        <v>7828</v>
      </c>
      <c r="H1091" s="39" t="str">
        <f>("2014/09/12")</f>
        <v>2014/09/12</v>
      </c>
      <c r="I1091" s="39">
        <v>5</v>
      </c>
      <c r="J1091" s="39" t="s">
        <v>1478</v>
      </c>
      <c r="K1091" s="39" t="s">
        <v>2122</v>
      </c>
      <c r="L1091" s="39" t="s">
        <v>7830</v>
      </c>
      <c r="M1091" s="39" t="s">
        <v>7831</v>
      </c>
      <c r="N1091" s="39" t="str">
        <f>("1039801")</f>
        <v>1039801</v>
      </c>
      <c r="P1091" s="39" t="s">
        <v>12568</v>
      </c>
      <c r="Q1091" s="39" t="s">
        <v>8568</v>
      </c>
      <c r="R1091" s="39" t="s">
        <v>8569</v>
      </c>
      <c r="S1091" s="39" t="s">
        <v>8570</v>
      </c>
      <c r="AK1091" s="39" t="str">
        <f>("2025/03/24")</f>
        <v>2025/03/24</v>
      </c>
      <c r="AL1091" s="39" t="str">
        <f t="shared" si="91"/>
        <v>2025/04/01</v>
      </c>
    </row>
    <row r="1092" spans="1:39" x14ac:dyDescent="0.25">
      <c r="A1092" s="39" t="str">
        <f>("1409120213")</f>
        <v>1409120213</v>
      </c>
      <c r="C1092" s="39"/>
      <c r="D1092" s="39" t="s">
        <v>5631</v>
      </c>
      <c r="E1092" s="371" t="str">
        <f t="shared" si="92"/>
        <v>やつしろ　ぜんたろう</v>
      </c>
      <c r="F1092" s="39" t="s">
        <v>2878</v>
      </c>
      <c r="G1092" s="39" t="s">
        <v>7828</v>
      </c>
      <c r="H1092" s="39" t="str">
        <f>("2013/09/12")</f>
        <v>2013/09/12</v>
      </c>
      <c r="I1092" s="39">
        <v>6</v>
      </c>
      <c r="J1092" s="39" t="s">
        <v>1478</v>
      </c>
      <c r="K1092" s="39" t="s">
        <v>2122</v>
      </c>
      <c r="L1092" s="39" t="s">
        <v>7830</v>
      </c>
      <c r="M1092" s="39" t="s">
        <v>7831</v>
      </c>
      <c r="N1092" s="39" t="str">
        <f>("0129484")</f>
        <v>0129484</v>
      </c>
      <c r="P1092" s="39" t="s">
        <v>12569</v>
      </c>
      <c r="Q1092" s="39" t="s">
        <v>8568</v>
      </c>
      <c r="R1092" s="39" t="s">
        <v>8569</v>
      </c>
      <c r="S1092" s="39" t="s">
        <v>8570</v>
      </c>
      <c r="AK1092" s="39" t="str">
        <f>("2025/03/17")</f>
        <v>2025/03/17</v>
      </c>
      <c r="AL1092" s="39" t="str">
        <f t="shared" si="91"/>
        <v>2025/04/01</v>
      </c>
    </row>
    <row r="1093" spans="1:39" x14ac:dyDescent="0.25">
      <c r="A1093" s="39" t="str">
        <f>("1409120214")</f>
        <v>1409120214</v>
      </c>
      <c r="C1093" s="39"/>
      <c r="D1093" s="39" t="s">
        <v>5630</v>
      </c>
      <c r="E1093" s="371" t="str">
        <f t="shared" si="92"/>
        <v>やつしろ　じゅたろう</v>
      </c>
      <c r="F1093" s="39" t="s">
        <v>2878</v>
      </c>
      <c r="G1093" s="39" t="s">
        <v>7828</v>
      </c>
      <c r="H1093" s="39" t="str">
        <f>("2013/09/12")</f>
        <v>2013/09/12</v>
      </c>
      <c r="I1093" s="39">
        <v>6</v>
      </c>
      <c r="J1093" s="39" t="s">
        <v>1478</v>
      </c>
      <c r="K1093" s="39" t="s">
        <v>2122</v>
      </c>
      <c r="L1093" s="39" t="s">
        <v>7830</v>
      </c>
      <c r="M1093" s="39" t="s">
        <v>7831</v>
      </c>
      <c r="N1093" s="39" t="str">
        <f>("0129484")</f>
        <v>0129484</v>
      </c>
      <c r="P1093" s="39" t="s">
        <v>12570</v>
      </c>
      <c r="Q1093" s="39" t="s">
        <v>8568</v>
      </c>
      <c r="R1093" s="39" t="s">
        <v>8569</v>
      </c>
      <c r="S1093" s="39" t="s">
        <v>8570</v>
      </c>
      <c r="AK1093" s="39" t="str">
        <f>("2025/03/17")</f>
        <v>2025/03/17</v>
      </c>
      <c r="AL1093" s="39" t="str">
        <f t="shared" si="91"/>
        <v>2025/04/01</v>
      </c>
    </row>
    <row r="1094" spans="1:39" x14ac:dyDescent="0.25">
      <c r="A1094" s="39" t="str">
        <f>("1409130059")</f>
        <v>1409130059</v>
      </c>
      <c r="C1094" s="39"/>
      <c r="D1094" s="39" t="s">
        <v>4348</v>
      </c>
      <c r="E1094" s="371" t="str">
        <f t="shared" si="92"/>
        <v>はやし　りく</v>
      </c>
      <c r="F1094" s="39" t="s">
        <v>1692</v>
      </c>
      <c r="G1094" s="39" t="s">
        <v>7828</v>
      </c>
      <c r="H1094" s="39" t="str">
        <f>("2014/09/13")</f>
        <v>2014/09/13</v>
      </c>
      <c r="I1094" s="39">
        <v>5</v>
      </c>
      <c r="J1094" s="39" t="s">
        <v>1478</v>
      </c>
      <c r="K1094" s="39" t="s">
        <v>2122</v>
      </c>
      <c r="L1094" s="39" t="s">
        <v>7830</v>
      </c>
      <c r="M1094" s="39" t="s">
        <v>7831</v>
      </c>
      <c r="N1094" s="39" t="str">
        <f>("1052299")</f>
        <v>1052299</v>
      </c>
      <c r="P1094" s="39" t="s">
        <v>12320</v>
      </c>
      <c r="Q1094" s="39" t="s">
        <v>8568</v>
      </c>
      <c r="R1094" s="39" t="s">
        <v>8569</v>
      </c>
      <c r="S1094" s="39" t="s">
        <v>8570</v>
      </c>
      <c r="AA1094" s="39" t="s">
        <v>2122</v>
      </c>
      <c r="AB1094" s="39" t="s">
        <v>7830</v>
      </c>
      <c r="AC1094" s="39" t="s">
        <v>7831</v>
      </c>
      <c r="AD1094" s="39" t="str">
        <f>("0129923")</f>
        <v>0129923</v>
      </c>
      <c r="AE1094" s="39" t="s">
        <v>2505</v>
      </c>
      <c r="AK1094" s="39" t="str">
        <f>("2025/08/08")</f>
        <v>2025/08/08</v>
      </c>
      <c r="AL1094" s="39" t="str">
        <f>("2025/08/08")</f>
        <v>2025/08/08</v>
      </c>
    </row>
    <row r="1095" spans="1:39" x14ac:dyDescent="0.25">
      <c r="A1095" s="39" t="str">
        <f>("1409130105")</f>
        <v>1409130105</v>
      </c>
      <c r="C1095" s="39"/>
      <c r="D1095" s="39" t="s">
        <v>8174</v>
      </c>
      <c r="E1095" s="371" t="str">
        <f t="shared" si="92"/>
        <v>やの　しょうすけ</v>
      </c>
      <c r="F1095" s="39" t="s">
        <v>1207</v>
      </c>
      <c r="G1095" s="39" t="s">
        <v>7828</v>
      </c>
      <c r="H1095" s="39" t="str">
        <f>("2014/09/13")</f>
        <v>2014/09/13</v>
      </c>
      <c r="I1095" s="39">
        <v>5</v>
      </c>
      <c r="J1095" s="39" t="s">
        <v>1478</v>
      </c>
      <c r="K1095" s="39" t="s">
        <v>2122</v>
      </c>
      <c r="L1095" s="39" t="s">
        <v>7830</v>
      </c>
      <c r="M1095" s="39" t="s">
        <v>7831</v>
      </c>
      <c r="N1095" s="39" t="str">
        <f>("0381608")</f>
        <v>0381608</v>
      </c>
      <c r="P1095" s="39" t="s">
        <v>12571</v>
      </c>
      <c r="Q1095" s="39" t="s">
        <v>8568</v>
      </c>
      <c r="R1095" s="39" t="s">
        <v>8569</v>
      </c>
      <c r="S1095" s="39" t="s">
        <v>8570</v>
      </c>
      <c r="AK1095" s="39" t="str">
        <f>("2025/03/21")</f>
        <v>2025/03/21</v>
      </c>
      <c r="AL1095" s="39" t="str">
        <f t="shared" ref="AL1095:AL1118" si="93">("2025/04/01")</f>
        <v>2025/04/01</v>
      </c>
    </row>
    <row r="1096" spans="1:39" x14ac:dyDescent="0.25">
      <c r="A1096" s="39" t="str">
        <f>("1409130165")</f>
        <v>1409130165</v>
      </c>
      <c r="C1096" s="39"/>
      <c r="D1096" s="39" t="s">
        <v>8175</v>
      </c>
      <c r="E1096" s="371" t="str">
        <f t="shared" si="92"/>
        <v>にしみね　みのる</v>
      </c>
      <c r="F1096" s="39" t="s">
        <v>2544</v>
      </c>
      <c r="G1096" s="39" t="s">
        <v>7828</v>
      </c>
      <c r="H1096" s="39" t="str">
        <f>("2014/09/13")</f>
        <v>2014/09/13</v>
      </c>
      <c r="I1096" s="39">
        <v>5</v>
      </c>
      <c r="J1096" s="39" t="s">
        <v>1478</v>
      </c>
      <c r="K1096" s="39" t="s">
        <v>2122</v>
      </c>
      <c r="L1096" s="39" t="s">
        <v>7830</v>
      </c>
      <c r="M1096" s="39" t="s">
        <v>7831</v>
      </c>
      <c r="N1096" s="39" t="str">
        <f>("0130644")</f>
        <v>0130644</v>
      </c>
      <c r="P1096" s="39" t="s">
        <v>12572</v>
      </c>
      <c r="Q1096" s="39" t="s">
        <v>8568</v>
      </c>
      <c r="R1096" s="39" t="s">
        <v>8569</v>
      </c>
      <c r="S1096" s="39" t="s">
        <v>8570</v>
      </c>
      <c r="AK1096" s="39" t="str">
        <f>("2025/03/17")</f>
        <v>2025/03/17</v>
      </c>
      <c r="AL1096" s="39" t="str">
        <f t="shared" si="93"/>
        <v>2025/04/01</v>
      </c>
    </row>
    <row r="1097" spans="1:39" x14ac:dyDescent="0.25">
      <c r="A1097" s="39" t="str">
        <f>("1409140055")</f>
        <v>1409140055</v>
      </c>
      <c r="B1097" s="39" t="s">
        <v>8176</v>
      </c>
      <c r="C1097" s="39"/>
      <c r="D1097" s="39" t="s">
        <v>4580</v>
      </c>
      <c r="E1097" s="371" t="str">
        <f t="shared" si="92"/>
        <v>わたなべ　しょうた</v>
      </c>
      <c r="F1097" s="39" t="s">
        <v>1330</v>
      </c>
      <c r="G1097" s="39" t="s">
        <v>7828</v>
      </c>
      <c r="H1097" s="39" t="str">
        <f>("2014/09/14")</f>
        <v>2014/09/14</v>
      </c>
      <c r="I1097" s="39">
        <v>5</v>
      </c>
      <c r="J1097" s="39" t="s">
        <v>1478</v>
      </c>
      <c r="K1097" s="39" t="s">
        <v>2122</v>
      </c>
      <c r="L1097" s="39" t="s">
        <v>7830</v>
      </c>
      <c r="M1097" s="39" t="s">
        <v>7831</v>
      </c>
      <c r="N1097" s="39" t="str">
        <f>("0130598")</f>
        <v>0130598</v>
      </c>
      <c r="P1097" s="39" t="s">
        <v>12573</v>
      </c>
      <c r="Q1097" s="39" t="s">
        <v>8568</v>
      </c>
      <c r="R1097" s="39" t="s">
        <v>8569</v>
      </c>
      <c r="S1097" s="39" t="s">
        <v>8570</v>
      </c>
      <c r="AK1097" s="39" t="str">
        <f>("2025/03/17")</f>
        <v>2025/03/17</v>
      </c>
      <c r="AL1097" s="39" t="str">
        <f t="shared" si="93"/>
        <v>2025/04/01</v>
      </c>
    </row>
    <row r="1098" spans="1:39" x14ac:dyDescent="0.25">
      <c r="A1098" s="39" t="str">
        <f>("1409140114")</f>
        <v>1409140114</v>
      </c>
      <c r="C1098" s="39"/>
      <c r="D1098" s="39" t="s">
        <v>5857</v>
      </c>
      <c r="E1098" s="371" t="str">
        <f t="shared" si="92"/>
        <v>たきやま　しょうた</v>
      </c>
      <c r="F1098" s="39" t="s">
        <v>1751</v>
      </c>
      <c r="G1098" s="39" t="s">
        <v>7828</v>
      </c>
      <c r="H1098" s="39" t="str">
        <f>("2014/09/14")</f>
        <v>2014/09/14</v>
      </c>
      <c r="I1098" s="39">
        <v>5</v>
      </c>
      <c r="J1098" s="39" t="s">
        <v>1478</v>
      </c>
      <c r="K1098" s="39" t="s">
        <v>2122</v>
      </c>
      <c r="L1098" s="39" t="s">
        <v>7830</v>
      </c>
      <c r="M1098" s="39" t="s">
        <v>7831</v>
      </c>
      <c r="N1098" s="39" t="str">
        <f>("0130453")</f>
        <v>0130453</v>
      </c>
      <c r="P1098" s="39" t="s">
        <v>12574</v>
      </c>
      <c r="Q1098" s="39" t="s">
        <v>8568</v>
      </c>
      <c r="R1098" s="39" t="s">
        <v>8569</v>
      </c>
      <c r="S1098" s="39" t="s">
        <v>8570</v>
      </c>
      <c r="AK1098" s="39" t="str">
        <f>("2025/03/17")</f>
        <v>2025/03/17</v>
      </c>
      <c r="AL1098" s="39" t="str">
        <f t="shared" si="93"/>
        <v>2025/04/01</v>
      </c>
    </row>
    <row r="1099" spans="1:39" x14ac:dyDescent="0.25">
      <c r="A1099" s="39" t="str">
        <f>("1409140117")</f>
        <v>1409140117</v>
      </c>
      <c r="C1099" s="39"/>
      <c r="D1099" s="39" t="s">
        <v>8177</v>
      </c>
      <c r="E1099" s="371" t="str">
        <f t="shared" si="92"/>
        <v>みのはら　ただひこ</v>
      </c>
      <c r="F1099" s="39" t="s">
        <v>2594</v>
      </c>
      <c r="G1099" s="39" t="s">
        <v>7828</v>
      </c>
      <c r="H1099" s="39" t="str">
        <f>("2014/09/14")</f>
        <v>2014/09/14</v>
      </c>
      <c r="I1099" s="39">
        <v>5</v>
      </c>
      <c r="J1099" s="39" t="s">
        <v>1478</v>
      </c>
      <c r="K1099" s="39" t="s">
        <v>2122</v>
      </c>
      <c r="L1099" s="39" t="s">
        <v>7830</v>
      </c>
      <c r="M1099" s="39" t="s">
        <v>7831</v>
      </c>
      <c r="N1099" s="39" t="str">
        <f>("0424583")</f>
        <v>0424583</v>
      </c>
      <c r="P1099" s="39" t="s">
        <v>12575</v>
      </c>
      <c r="Q1099" s="39" t="s">
        <v>8568</v>
      </c>
      <c r="R1099" s="39" t="s">
        <v>8569</v>
      </c>
      <c r="S1099" s="39" t="s">
        <v>8570</v>
      </c>
      <c r="AK1099" s="39" t="str">
        <f>("2025/03/17")</f>
        <v>2025/03/17</v>
      </c>
      <c r="AL1099" s="39" t="str">
        <f t="shared" si="93"/>
        <v>2025/04/01</v>
      </c>
    </row>
    <row r="1100" spans="1:39" x14ac:dyDescent="0.25">
      <c r="A1100" s="39" t="str">
        <f>("1409140173")</f>
        <v>1409140173</v>
      </c>
      <c r="C1100" s="39"/>
      <c r="D1100" s="39" t="s">
        <v>8178</v>
      </c>
      <c r="E1100" s="371" t="str">
        <f t="shared" si="92"/>
        <v>たけもと　いぶき</v>
      </c>
      <c r="F1100" s="39" t="s">
        <v>2574</v>
      </c>
      <c r="G1100" s="39" t="s">
        <v>7828</v>
      </c>
      <c r="H1100" s="39" t="str">
        <f>("2014/09/14")</f>
        <v>2014/09/14</v>
      </c>
      <c r="I1100" s="39">
        <v>5</v>
      </c>
      <c r="J1100" s="39" t="s">
        <v>1478</v>
      </c>
      <c r="K1100" s="39" t="s">
        <v>2122</v>
      </c>
      <c r="L1100" s="39" t="s">
        <v>7830</v>
      </c>
      <c r="M1100" s="39" t="s">
        <v>7831</v>
      </c>
      <c r="N1100" s="39" t="str">
        <f>("0237620")</f>
        <v>0237620</v>
      </c>
      <c r="P1100" s="39" t="s">
        <v>12576</v>
      </c>
      <c r="Q1100" s="39" t="s">
        <v>8568</v>
      </c>
      <c r="R1100" s="39" t="s">
        <v>8569</v>
      </c>
      <c r="S1100" s="39" t="s">
        <v>8570</v>
      </c>
      <c r="AK1100" s="39" t="str">
        <f>("2025/03/17")</f>
        <v>2025/03/17</v>
      </c>
      <c r="AL1100" s="39" t="str">
        <f t="shared" si="93"/>
        <v>2025/04/01</v>
      </c>
    </row>
    <row r="1101" spans="1:39" x14ac:dyDescent="0.25">
      <c r="A1101" s="39" t="str">
        <f>("1409150095")</f>
        <v>1409150095</v>
      </c>
      <c r="C1101" s="39"/>
      <c r="D1101" s="39" t="s">
        <v>8179</v>
      </c>
      <c r="E1101" s="371" t="str">
        <f t="shared" si="92"/>
        <v>いけだ　みゆ</v>
      </c>
      <c r="F1101" s="39" t="s">
        <v>2587</v>
      </c>
      <c r="G1101" s="39" t="s">
        <v>7828</v>
      </c>
      <c r="H1101" s="39" t="str">
        <f>("2014/09/15")</f>
        <v>2014/09/15</v>
      </c>
      <c r="I1101" s="39">
        <v>5</v>
      </c>
      <c r="J1101" s="39" t="s">
        <v>1480</v>
      </c>
      <c r="K1101" s="39" t="s">
        <v>2122</v>
      </c>
      <c r="L1101" s="39" t="s">
        <v>7830</v>
      </c>
      <c r="M1101" s="39" t="s">
        <v>7831</v>
      </c>
      <c r="N1101" s="39" t="str">
        <f>("0387334")</f>
        <v>0387334</v>
      </c>
      <c r="P1101" s="39" t="s">
        <v>12577</v>
      </c>
      <c r="Q1101" s="39" t="s">
        <v>8568</v>
      </c>
      <c r="R1101" s="39" t="s">
        <v>8569</v>
      </c>
      <c r="S1101" s="39" t="s">
        <v>8570</v>
      </c>
      <c r="AK1101" s="39" t="str">
        <f>("2025/03/27")</f>
        <v>2025/03/27</v>
      </c>
      <c r="AL1101" s="39" t="str">
        <f t="shared" si="93"/>
        <v>2025/04/01</v>
      </c>
    </row>
    <row r="1102" spans="1:39" x14ac:dyDescent="0.25">
      <c r="A1102" s="39" t="str">
        <f>("1409150101")</f>
        <v>1409150101</v>
      </c>
      <c r="B1102" s="39" t="s">
        <v>8180</v>
      </c>
      <c r="C1102" s="39"/>
      <c r="D1102" s="39" t="s">
        <v>8181</v>
      </c>
      <c r="E1102" s="371" t="str">
        <f t="shared" si="92"/>
        <v>かわばた　がく</v>
      </c>
      <c r="F1102" s="39" t="s">
        <v>2530</v>
      </c>
      <c r="G1102" s="39" t="s">
        <v>7828</v>
      </c>
      <c r="H1102" s="39" t="str">
        <f>("2014/09/15")</f>
        <v>2014/09/15</v>
      </c>
      <c r="I1102" s="39">
        <v>5</v>
      </c>
      <c r="J1102" s="39" t="s">
        <v>1478</v>
      </c>
      <c r="K1102" s="39" t="s">
        <v>2122</v>
      </c>
      <c r="L1102" s="39" t="s">
        <v>7830</v>
      </c>
      <c r="M1102" s="39" t="s">
        <v>7831</v>
      </c>
      <c r="N1102" s="39" t="str">
        <f>("0338756")</f>
        <v>0338756</v>
      </c>
      <c r="P1102" s="39" t="s">
        <v>12578</v>
      </c>
      <c r="Q1102" s="39" t="s">
        <v>8568</v>
      </c>
      <c r="R1102" s="39" t="s">
        <v>8569</v>
      </c>
      <c r="S1102" s="39" t="s">
        <v>8570</v>
      </c>
      <c r="AK1102" s="39" t="str">
        <f>("2025/04/01")</f>
        <v>2025/04/01</v>
      </c>
      <c r="AL1102" s="39" t="str">
        <f t="shared" si="93"/>
        <v>2025/04/01</v>
      </c>
    </row>
    <row r="1103" spans="1:39" x14ac:dyDescent="0.25">
      <c r="A1103" s="39" t="str">
        <f>("1409150131")</f>
        <v>1409150131</v>
      </c>
      <c r="C1103" s="39"/>
      <c r="D1103" s="39" t="s">
        <v>8182</v>
      </c>
      <c r="E1103" s="371" t="str">
        <f t="shared" si="92"/>
        <v>さとう　てっぺい</v>
      </c>
      <c r="F1103" s="39" t="s">
        <v>520</v>
      </c>
      <c r="G1103" s="39" t="s">
        <v>7876</v>
      </c>
      <c r="H1103" s="39" t="str">
        <f>("2014/09/15")</f>
        <v>2014/09/15</v>
      </c>
      <c r="I1103" s="39">
        <v>5</v>
      </c>
      <c r="J1103" s="39" t="s">
        <v>1478</v>
      </c>
      <c r="K1103" s="39" t="s">
        <v>2122</v>
      </c>
      <c r="L1103" s="39" t="s">
        <v>7830</v>
      </c>
      <c r="M1103" s="39" t="s">
        <v>7831</v>
      </c>
      <c r="N1103" s="39" t="str">
        <f>("0129765")</f>
        <v>0129765</v>
      </c>
      <c r="P1103" s="39" t="s">
        <v>12579</v>
      </c>
      <c r="Q1103" s="39" t="s">
        <v>8568</v>
      </c>
      <c r="R1103" s="39" t="s">
        <v>8569</v>
      </c>
      <c r="S1103" s="39" t="s">
        <v>8570</v>
      </c>
      <c r="AK1103" s="39" t="str">
        <f>("2025/03/17")</f>
        <v>2025/03/17</v>
      </c>
      <c r="AL1103" s="39" t="str">
        <f t="shared" si="93"/>
        <v>2025/04/01</v>
      </c>
      <c r="AM1103" s="39" t="str">
        <f>("2025/05/28")</f>
        <v>2025/05/28</v>
      </c>
    </row>
    <row r="1104" spans="1:39" x14ac:dyDescent="0.25">
      <c r="A1104" s="39" t="str">
        <f>("1409150143")</f>
        <v>1409150143</v>
      </c>
      <c r="C1104" s="39"/>
      <c r="D1104" s="39" t="s">
        <v>8183</v>
      </c>
      <c r="E1104" s="371" t="str">
        <f t="shared" si="92"/>
        <v>まつかわ　かなと</v>
      </c>
      <c r="F1104" s="39" t="s">
        <v>2647</v>
      </c>
      <c r="G1104" s="39" t="s">
        <v>7828</v>
      </c>
      <c r="H1104" s="39" t="str">
        <f>("2014/09/15")</f>
        <v>2014/09/15</v>
      </c>
      <c r="I1104" s="39">
        <v>5</v>
      </c>
      <c r="J1104" s="39" t="s">
        <v>1478</v>
      </c>
      <c r="K1104" s="39" t="s">
        <v>2122</v>
      </c>
      <c r="L1104" s="39" t="s">
        <v>7830</v>
      </c>
      <c r="M1104" s="39" t="s">
        <v>7831</v>
      </c>
      <c r="N1104" s="39" t="str">
        <f>("1036817")</f>
        <v>1036817</v>
      </c>
      <c r="P1104" s="39" t="s">
        <v>12580</v>
      </c>
      <c r="Q1104" s="39" t="s">
        <v>8568</v>
      </c>
      <c r="R1104" s="39" t="s">
        <v>8569</v>
      </c>
      <c r="S1104" s="39" t="s">
        <v>8570</v>
      </c>
      <c r="AK1104" s="39" t="str">
        <f>("2025/03/17")</f>
        <v>2025/03/17</v>
      </c>
      <c r="AL1104" s="39" t="str">
        <f t="shared" si="93"/>
        <v>2025/04/01</v>
      </c>
    </row>
    <row r="1105" spans="1:39" x14ac:dyDescent="0.25">
      <c r="A1105" s="39" t="str">
        <f>("1409160073")</f>
        <v>1409160073</v>
      </c>
      <c r="B1105" s="39" t="s">
        <v>8184</v>
      </c>
      <c r="C1105" s="39"/>
      <c r="D1105" s="39" t="s">
        <v>8185</v>
      </c>
      <c r="E1105" s="371" t="str">
        <f t="shared" si="92"/>
        <v>えとう　みつき</v>
      </c>
      <c r="F1105" s="39" t="s">
        <v>2024</v>
      </c>
      <c r="G1105" s="39" t="s">
        <v>7828</v>
      </c>
      <c r="H1105" s="39" t="str">
        <f>("2014/09/16")</f>
        <v>2014/09/16</v>
      </c>
      <c r="I1105" s="39">
        <v>5</v>
      </c>
      <c r="J1105" s="39" t="s">
        <v>1478</v>
      </c>
      <c r="K1105" s="39" t="s">
        <v>2122</v>
      </c>
      <c r="L1105" s="39" t="s">
        <v>7830</v>
      </c>
      <c r="M1105" s="39" t="s">
        <v>7831</v>
      </c>
      <c r="N1105" s="39" t="str">
        <f>("0130475")</f>
        <v>0130475</v>
      </c>
      <c r="P1105" s="39" t="s">
        <v>12581</v>
      </c>
      <c r="Q1105" s="39" t="s">
        <v>8568</v>
      </c>
      <c r="R1105" s="39" t="s">
        <v>8569</v>
      </c>
      <c r="S1105" s="39" t="s">
        <v>8570</v>
      </c>
      <c r="AK1105" s="39" t="str">
        <f>("2025/04/04")</f>
        <v>2025/04/04</v>
      </c>
      <c r="AL1105" s="39" t="str">
        <f t="shared" si="93"/>
        <v>2025/04/01</v>
      </c>
    </row>
    <row r="1106" spans="1:39" x14ac:dyDescent="0.25">
      <c r="A1106" s="39" t="str">
        <f>("1409160074")</f>
        <v>1409160074</v>
      </c>
      <c r="C1106" s="39"/>
      <c r="D1106" s="39" t="s">
        <v>5863</v>
      </c>
      <c r="E1106" s="371" t="str">
        <f t="shared" si="92"/>
        <v>もり　ゆうま</v>
      </c>
      <c r="F1106" s="39" t="s">
        <v>2024</v>
      </c>
      <c r="G1106" s="39" t="s">
        <v>7828</v>
      </c>
      <c r="H1106" s="39" t="str">
        <f>("2014/09/16")</f>
        <v>2014/09/16</v>
      </c>
      <c r="I1106" s="39">
        <v>5</v>
      </c>
      <c r="J1106" s="39" t="s">
        <v>1478</v>
      </c>
      <c r="K1106" s="39" t="s">
        <v>2122</v>
      </c>
      <c r="L1106" s="39" t="s">
        <v>7830</v>
      </c>
      <c r="M1106" s="39" t="s">
        <v>7831</v>
      </c>
      <c r="N1106" s="39" t="str">
        <f>("0130475")</f>
        <v>0130475</v>
      </c>
      <c r="P1106" s="39" t="s">
        <v>12582</v>
      </c>
      <c r="Q1106" s="39" t="s">
        <v>8568</v>
      </c>
      <c r="R1106" s="39" t="s">
        <v>8569</v>
      </c>
      <c r="S1106" s="39" t="s">
        <v>8570</v>
      </c>
      <c r="AK1106" s="39" t="str">
        <f>("2025/04/04")</f>
        <v>2025/04/04</v>
      </c>
      <c r="AL1106" s="39" t="str">
        <f t="shared" si="93"/>
        <v>2025/04/01</v>
      </c>
    </row>
    <row r="1107" spans="1:39" x14ac:dyDescent="0.25">
      <c r="A1107" s="39" t="str">
        <f>("1409160163")</f>
        <v>1409160163</v>
      </c>
      <c r="B1107" s="39" t="s">
        <v>8186</v>
      </c>
      <c r="C1107" s="39"/>
      <c r="D1107" s="39" t="s">
        <v>4299</v>
      </c>
      <c r="E1107" s="371" t="str">
        <f t="shared" si="92"/>
        <v>とうだ　ゆうしん</v>
      </c>
      <c r="F1107" s="39" t="s">
        <v>2139</v>
      </c>
      <c r="G1107" s="39" t="s">
        <v>7828</v>
      </c>
      <c r="H1107" s="39" t="str">
        <f>("2014/09/16")</f>
        <v>2014/09/16</v>
      </c>
      <c r="I1107" s="39">
        <v>5</v>
      </c>
      <c r="J1107" s="39" t="s">
        <v>1478</v>
      </c>
      <c r="K1107" s="39" t="s">
        <v>2122</v>
      </c>
      <c r="L1107" s="39" t="s">
        <v>7830</v>
      </c>
      <c r="M1107" s="39" t="s">
        <v>7831</v>
      </c>
      <c r="N1107" s="39" t="str">
        <f>("0129798")</f>
        <v>0129798</v>
      </c>
      <c r="P1107" s="39" t="s">
        <v>12583</v>
      </c>
      <c r="Q1107" s="39" t="s">
        <v>8568</v>
      </c>
      <c r="R1107" s="39" t="s">
        <v>8569</v>
      </c>
      <c r="S1107" s="39" t="s">
        <v>8570</v>
      </c>
      <c r="AK1107" s="39" t="str">
        <f>("2025/03/27")</f>
        <v>2025/03/27</v>
      </c>
      <c r="AL1107" s="39" t="str">
        <f t="shared" si="93"/>
        <v>2025/04/01</v>
      </c>
    </row>
    <row r="1108" spans="1:39" x14ac:dyDescent="0.25">
      <c r="A1108" s="39" t="str">
        <f>("1409160176")</f>
        <v>1409160176</v>
      </c>
      <c r="C1108" s="39"/>
      <c r="D1108" s="39" t="s">
        <v>6105</v>
      </c>
      <c r="E1108" s="371" t="str">
        <f t="shared" si="92"/>
        <v>しぶや　いっせい</v>
      </c>
      <c r="F1108" s="39" t="s">
        <v>5618</v>
      </c>
      <c r="G1108" s="39" t="s">
        <v>7828</v>
      </c>
      <c r="H1108" s="39" t="str">
        <f>("2014/09/16")</f>
        <v>2014/09/16</v>
      </c>
      <c r="I1108" s="39">
        <v>5</v>
      </c>
      <c r="J1108" s="39" t="s">
        <v>1478</v>
      </c>
      <c r="K1108" s="39" t="s">
        <v>2122</v>
      </c>
      <c r="L1108" s="39" t="s">
        <v>7830</v>
      </c>
      <c r="M1108" s="39" t="s">
        <v>7831</v>
      </c>
      <c r="N1108" s="39" t="str">
        <f>("0433235")</f>
        <v>0433235</v>
      </c>
      <c r="P1108" s="39" t="s">
        <v>12584</v>
      </c>
      <c r="Q1108" s="39" t="s">
        <v>8568</v>
      </c>
      <c r="R1108" s="39" t="s">
        <v>8569</v>
      </c>
      <c r="S1108" s="39" t="s">
        <v>8570</v>
      </c>
      <c r="AK1108" s="39" t="str">
        <f>("2025/03/17")</f>
        <v>2025/03/17</v>
      </c>
      <c r="AL1108" s="39" t="str">
        <f t="shared" si="93"/>
        <v>2025/04/01</v>
      </c>
    </row>
    <row r="1109" spans="1:39" x14ac:dyDescent="0.25">
      <c r="A1109" s="39" t="str">
        <f>("1409170002")</f>
        <v>1409170002</v>
      </c>
      <c r="C1109" s="39"/>
      <c r="D1109" s="39" t="s">
        <v>5780</v>
      </c>
      <c r="E1109" s="371" t="str">
        <f t="shared" si="92"/>
        <v>かわた　いたる</v>
      </c>
      <c r="F1109" s="39" t="s">
        <v>2138</v>
      </c>
      <c r="G1109" s="39" t="s">
        <v>7828</v>
      </c>
      <c r="H1109" s="39" t="str">
        <f>("2014/09/17")</f>
        <v>2014/09/17</v>
      </c>
      <c r="I1109" s="39">
        <v>5</v>
      </c>
      <c r="J1109" s="39" t="s">
        <v>1478</v>
      </c>
      <c r="K1109" s="39" t="s">
        <v>2122</v>
      </c>
      <c r="L1109" s="39" t="s">
        <v>7830</v>
      </c>
      <c r="M1109" s="39" t="s">
        <v>7831</v>
      </c>
      <c r="N1109" s="39" t="str">
        <f>("0130082")</f>
        <v>0130082</v>
      </c>
      <c r="P1109" s="39" t="s">
        <v>12585</v>
      </c>
      <c r="Q1109" s="39" t="s">
        <v>8568</v>
      </c>
      <c r="R1109" s="39" t="s">
        <v>8569</v>
      </c>
      <c r="S1109" s="39" t="s">
        <v>8570</v>
      </c>
      <c r="AK1109" s="39" t="str">
        <f>("2025/03/17")</f>
        <v>2025/03/17</v>
      </c>
      <c r="AL1109" s="39" t="str">
        <f t="shared" si="93"/>
        <v>2025/04/01</v>
      </c>
    </row>
    <row r="1110" spans="1:39" x14ac:dyDescent="0.25">
      <c r="A1110" s="39" t="str">
        <f>("1409170045")</f>
        <v>1409170045</v>
      </c>
      <c r="C1110" s="39"/>
      <c r="D1110" s="39" t="s">
        <v>8187</v>
      </c>
      <c r="E1110" s="371" t="str">
        <f t="shared" si="92"/>
        <v>あない　ゆうた</v>
      </c>
      <c r="F1110" s="39" t="s">
        <v>2477</v>
      </c>
      <c r="G1110" s="39" t="s">
        <v>7828</v>
      </c>
      <c r="H1110" s="39" t="str">
        <f>("2014/09/17")</f>
        <v>2014/09/17</v>
      </c>
      <c r="I1110" s="39">
        <v>5</v>
      </c>
      <c r="J1110" s="39" t="s">
        <v>1478</v>
      </c>
      <c r="K1110" s="39" t="s">
        <v>2122</v>
      </c>
      <c r="L1110" s="39" t="s">
        <v>7830</v>
      </c>
      <c r="M1110" s="39" t="s">
        <v>7831</v>
      </c>
      <c r="N1110" s="39" t="str">
        <f>("0129541")</f>
        <v>0129541</v>
      </c>
      <c r="P1110" s="39" t="s">
        <v>12586</v>
      </c>
      <c r="Q1110" s="39" t="s">
        <v>8568</v>
      </c>
      <c r="R1110" s="39" t="s">
        <v>8569</v>
      </c>
      <c r="S1110" s="39" t="s">
        <v>8570</v>
      </c>
      <c r="AK1110" s="39" t="str">
        <f>("2025/03/27")</f>
        <v>2025/03/27</v>
      </c>
      <c r="AL1110" s="39" t="str">
        <f t="shared" si="93"/>
        <v>2025/04/01</v>
      </c>
    </row>
    <row r="1111" spans="1:39" x14ac:dyDescent="0.25">
      <c r="A1111" s="39" t="str">
        <f>("1409170293")</f>
        <v>1409170293</v>
      </c>
      <c r="C1111" s="39"/>
      <c r="D1111" s="39" t="s">
        <v>8188</v>
      </c>
      <c r="E1111" s="371" t="str">
        <f t="shared" si="92"/>
        <v>なかい　こうせい</v>
      </c>
      <c r="F1111" s="39" t="s">
        <v>947</v>
      </c>
      <c r="G1111" s="39" t="s">
        <v>7828</v>
      </c>
      <c r="H1111" s="39" t="str">
        <f>("2014/09/17")</f>
        <v>2014/09/17</v>
      </c>
      <c r="I1111" s="39">
        <v>5</v>
      </c>
      <c r="J1111" s="39" t="s">
        <v>1478</v>
      </c>
      <c r="K1111" s="39" t="s">
        <v>2122</v>
      </c>
      <c r="L1111" s="39" t="s">
        <v>7830</v>
      </c>
      <c r="M1111" s="39" t="s">
        <v>7831</v>
      </c>
      <c r="N1111" s="39" t="str">
        <f>("0130183")</f>
        <v>0130183</v>
      </c>
      <c r="P1111" s="39" t="s">
        <v>12587</v>
      </c>
      <c r="Q1111" s="39" t="s">
        <v>8568</v>
      </c>
      <c r="R1111" s="39" t="s">
        <v>8569</v>
      </c>
      <c r="S1111" s="39" t="s">
        <v>8570</v>
      </c>
      <c r="AK1111" s="39" t="str">
        <f>("2025/03/27")</f>
        <v>2025/03/27</v>
      </c>
      <c r="AL1111" s="39" t="str">
        <f t="shared" si="93"/>
        <v>2025/04/01</v>
      </c>
    </row>
    <row r="1112" spans="1:39" x14ac:dyDescent="0.25">
      <c r="A1112" s="39" t="str">
        <f>("1409180008")</f>
        <v>1409180008</v>
      </c>
      <c r="B1112" s="39" t="s">
        <v>8189</v>
      </c>
      <c r="C1112" s="39"/>
      <c r="D1112" s="39" t="s">
        <v>5981</v>
      </c>
      <c r="E1112" s="371" t="str">
        <f t="shared" si="92"/>
        <v>はしざこ　ふうが</v>
      </c>
      <c r="F1112" s="39" t="s">
        <v>2574</v>
      </c>
      <c r="G1112" s="39" t="s">
        <v>7828</v>
      </c>
      <c r="H1112" s="39" t="str">
        <f>("2014/09/18")</f>
        <v>2014/09/18</v>
      </c>
      <c r="I1112" s="39">
        <v>5</v>
      </c>
      <c r="J1112" s="39" t="s">
        <v>1478</v>
      </c>
      <c r="K1112" s="39" t="s">
        <v>2122</v>
      </c>
      <c r="L1112" s="39" t="s">
        <v>7830</v>
      </c>
      <c r="M1112" s="39" t="s">
        <v>7831</v>
      </c>
      <c r="N1112" s="39" t="str">
        <f>("0237620")</f>
        <v>0237620</v>
      </c>
      <c r="P1112" s="39" t="s">
        <v>12588</v>
      </c>
      <c r="Q1112" s="39" t="s">
        <v>8568</v>
      </c>
      <c r="R1112" s="39" t="s">
        <v>8569</v>
      </c>
      <c r="S1112" s="39" t="s">
        <v>8570</v>
      </c>
      <c r="AK1112" s="39" t="str">
        <f>("2025/03/17")</f>
        <v>2025/03/17</v>
      </c>
      <c r="AL1112" s="39" t="str">
        <f t="shared" si="93"/>
        <v>2025/04/01</v>
      </c>
    </row>
    <row r="1113" spans="1:39" x14ac:dyDescent="0.25">
      <c r="A1113" s="39" t="str">
        <f>("1409180037")</f>
        <v>1409180037</v>
      </c>
      <c r="B1113" s="39" t="s">
        <v>8190</v>
      </c>
      <c r="C1113" s="39"/>
      <c r="D1113" s="39" t="s">
        <v>8191</v>
      </c>
      <c r="E1113" s="371" t="str">
        <f t="shared" si="92"/>
        <v>おおたに　よしき</v>
      </c>
      <c r="F1113" s="39" t="s">
        <v>7843</v>
      </c>
      <c r="G1113" s="39" t="s">
        <v>7828</v>
      </c>
      <c r="H1113" s="39" t="str">
        <f>("2014/09/18")</f>
        <v>2014/09/18</v>
      </c>
      <c r="I1113" s="39">
        <v>5</v>
      </c>
      <c r="J1113" s="39" t="s">
        <v>1478</v>
      </c>
      <c r="K1113" s="39" t="s">
        <v>2122</v>
      </c>
      <c r="L1113" s="39" t="s">
        <v>7830</v>
      </c>
      <c r="M1113" s="39" t="s">
        <v>7831</v>
      </c>
      <c r="N1113" s="39" t="str">
        <f>("1117332")</f>
        <v>1117332</v>
      </c>
      <c r="P1113" s="39" t="s">
        <v>12589</v>
      </c>
      <c r="Q1113" s="39" t="s">
        <v>8568</v>
      </c>
      <c r="R1113" s="39" t="s">
        <v>8569</v>
      </c>
      <c r="S1113" s="39" t="s">
        <v>8570</v>
      </c>
      <c r="AA1113" s="39" t="s">
        <v>2122</v>
      </c>
      <c r="AB1113" s="39" t="s">
        <v>7830</v>
      </c>
      <c r="AC1113" s="39" t="s">
        <v>7831</v>
      </c>
      <c r="AD1113" s="39" t="str">
        <f>("1073454")</f>
        <v>1073454</v>
      </c>
      <c r="AE1113" s="39" t="s">
        <v>8749</v>
      </c>
      <c r="AK1113" s="39" t="str">
        <f>("2025/03/17")</f>
        <v>2025/03/17</v>
      </c>
      <c r="AL1113" s="39" t="str">
        <f t="shared" si="93"/>
        <v>2025/04/01</v>
      </c>
    </row>
    <row r="1114" spans="1:39" x14ac:dyDescent="0.25">
      <c r="A1114" s="39" t="str">
        <f>("1409180163")</f>
        <v>1409180163</v>
      </c>
      <c r="C1114" s="39"/>
      <c r="D1114" s="39" t="s">
        <v>8192</v>
      </c>
      <c r="E1114" s="371" t="str">
        <f t="shared" si="92"/>
        <v>おだ　こうすけ</v>
      </c>
      <c r="F1114" s="39" t="s">
        <v>1751</v>
      </c>
      <c r="G1114" s="39" t="s">
        <v>7828</v>
      </c>
      <c r="H1114" s="39" t="str">
        <f>("2014/09/18")</f>
        <v>2014/09/18</v>
      </c>
      <c r="I1114" s="39">
        <v>5</v>
      </c>
      <c r="J1114" s="39" t="s">
        <v>1478</v>
      </c>
      <c r="K1114" s="39" t="s">
        <v>2122</v>
      </c>
      <c r="L1114" s="39" t="s">
        <v>7830</v>
      </c>
      <c r="M1114" s="39" t="s">
        <v>7831</v>
      </c>
      <c r="N1114" s="39" t="str">
        <f>("0130453")</f>
        <v>0130453</v>
      </c>
      <c r="P1114" s="39" t="s">
        <v>12590</v>
      </c>
      <c r="Q1114" s="39" t="s">
        <v>8568</v>
      </c>
      <c r="R1114" s="39" t="s">
        <v>8569</v>
      </c>
      <c r="S1114" s="39" t="s">
        <v>8570</v>
      </c>
      <c r="AK1114" s="39" t="str">
        <f>("2025/03/17")</f>
        <v>2025/03/17</v>
      </c>
      <c r="AL1114" s="39" t="str">
        <f t="shared" si="93"/>
        <v>2025/04/01</v>
      </c>
    </row>
    <row r="1115" spans="1:39" x14ac:dyDescent="0.25">
      <c r="A1115" s="39" t="str">
        <f>("1409190189")</f>
        <v>1409190189</v>
      </c>
      <c r="C1115" s="39"/>
      <c r="D1115" s="39" t="s">
        <v>8193</v>
      </c>
      <c r="E1115" s="371" t="str">
        <f t="shared" si="92"/>
        <v>さとう　あらた</v>
      </c>
      <c r="F1115" s="39" t="s">
        <v>2587</v>
      </c>
      <c r="G1115" s="39" t="s">
        <v>7828</v>
      </c>
      <c r="H1115" s="39" t="str">
        <f>("2014/09/19")</f>
        <v>2014/09/19</v>
      </c>
      <c r="I1115" s="39">
        <v>5</v>
      </c>
      <c r="J1115" s="39" t="s">
        <v>1478</v>
      </c>
      <c r="K1115" s="39" t="s">
        <v>2122</v>
      </c>
      <c r="L1115" s="39" t="s">
        <v>7830</v>
      </c>
      <c r="M1115" s="39" t="s">
        <v>7831</v>
      </c>
      <c r="N1115" s="39" t="str">
        <f>("0387334")</f>
        <v>0387334</v>
      </c>
      <c r="P1115" s="39" t="s">
        <v>12591</v>
      </c>
      <c r="Q1115" s="39" t="s">
        <v>8568</v>
      </c>
      <c r="R1115" s="39" t="s">
        <v>8569</v>
      </c>
      <c r="S1115" s="39" t="s">
        <v>8570</v>
      </c>
      <c r="AK1115" s="39" t="str">
        <f>("2025/03/27")</f>
        <v>2025/03/27</v>
      </c>
      <c r="AL1115" s="39" t="str">
        <f t="shared" si="93"/>
        <v>2025/04/01</v>
      </c>
    </row>
    <row r="1116" spans="1:39" x14ac:dyDescent="0.25">
      <c r="A1116" s="39" t="str">
        <f>("1409200139")</f>
        <v>1409200139</v>
      </c>
      <c r="C1116" s="39"/>
      <c r="D1116" s="39" t="s">
        <v>8194</v>
      </c>
      <c r="E1116" s="371" t="str">
        <f t="shared" si="92"/>
        <v>きのした　はると</v>
      </c>
      <c r="F1116" s="39" t="s">
        <v>1917</v>
      </c>
      <c r="G1116" s="39" t="s">
        <v>7828</v>
      </c>
      <c r="H1116" s="39" t="str">
        <f>("2014/09/20")</f>
        <v>2014/09/20</v>
      </c>
      <c r="I1116" s="39">
        <v>5</v>
      </c>
      <c r="J1116" s="39" t="s">
        <v>1478</v>
      </c>
      <c r="K1116" s="39" t="s">
        <v>2122</v>
      </c>
      <c r="L1116" s="39" t="s">
        <v>7830</v>
      </c>
      <c r="M1116" s="39" t="s">
        <v>7831</v>
      </c>
      <c r="N1116" s="39" t="str">
        <f>("1032161")</f>
        <v>1032161</v>
      </c>
      <c r="P1116" s="39" t="s">
        <v>12592</v>
      </c>
      <c r="Q1116" s="39" t="s">
        <v>8568</v>
      </c>
      <c r="R1116" s="39" t="s">
        <v>8569</v>
      </c>
      <c r="S1116" s="39" t="s">
        <v>8570</v>
      </c>
      <c r="AK1116" s="39" t="str">
        <f>("2025/03/21")</f>
        <v>2025/03/21</v>
      </c>
      <c r="AL1116" s="39" t="str">
        <f t="shared" si="93"/>
        <v>2025/04/01</v>
      </c>
    </row>
    <row r="1117" spans="1:39" x14ac:dyDescent="0.25">
      <c r="A1117" s="39" t="str">
        <f>("1409200144")</f>
        <v>1409200144</v>
      </c>
      <c r="C1117" s="39"/>
      <c r="D1117" s="39" t="s">
        <v>6095</v>
      </c>
      <c r="E1117" s="371" t="str">
        <f t="shared" si="92"/>
        <v>わき　ゆうと</v>
      </c>
      <c r="F1117" s="39" t="s">
        <v>2600</v>
      </c>
      <c r="G1117" s="39" t="s">
        <v>7828</v>
      </c>
      <c r="H1117" s="39" t="str">
        <f>("2014/09/20")</f>
        <v>2014/09/20</v>
      </c>
      <c r="I1117" s="39">
        <v>5</v>
      </c>
      <c r="J1117" s="39" t="s">
        <v>1478</v>
      </c>
      <c r="K1117" s="39" t="s">
        <v>2122</v>
      </c>
      <c r="L1117" s="39" t="s">
        <v>7830</v>
      </c>
      <c r="M1117" s="39" t="s">
        <v>7831</v>
      </c>
      <c r="N1117" s="39" t="str">
        <f>("0429757")</f>
        <v>0429757</v>
      </c>
      <c r="P1117" s="39" t="s">
        <v>12593</v>
      </c>
      <c r="Q1117" s="39" t="s">
        <v>8568</v>
      </c>
      <c r="R1117" s="39" t="s">
        <v>8569</v>
      </c>
      <c r="S1117" s="39" t="s">
        <v>8570</v>
      </c>
      <c r="AK1117" s="39" t="str">
        <f>("2025/03/24")</f>
        <v>2025/03/24</v>
      </c>
      <c r="AL1117" s="39" t="str">
        <f t="shared" si="93"/>
        <v>2025/04/01</v>
      </c>
    </row>
    <row r="1118" spans="1:39" x14ac:dyDescent="0.25">
      <c r="A1118" s="39" t="str">
        <f>("1409200174")</f>
        <v>1409200174</v>
      </c>
      <c r="C1118" s="39"/>
      <c r="D1118" s="39" t="s">
        <v>8195</v>
      </c>
      <c r="E1118" s="371" t="str">
        <f t="shared" si="92"/>
        <v>ひぐま　はると</v>
      </c>
      <c r="F1118" s="39" t="s">
        <v>827</v>
      </c>
      <c r="G1118" s="39" t="s">
        <v>7876</v>
      </c>
      <c r="H1118" s="39" t="str">
        <f>("2014/09/20")</f>
        <v>2014/09/20</v>
      </c>
      <c r="I1118" s="39">
        <v>5</v>
      </c>
      <c r="J1118" s="39" t="s">
        <v>1478</v>
      </c>
      <c r="K1118" s="39" t="s">
        <v>2122</v>
      </c>
      <c r="L1118" s="39" t="s">
        <v>7830</v>
      </c>
      <c r="M1118" s="39" t="s">
        <v>7831</v>
      </c>
      <c r="N1118" s="39" t="str">
        <f>("0504908")</f>
        <v>0504908</v>
      </c>
      <c r="P1118" s="39" t="s">
        <v>12594</v>
      </c>
      <c r="Q1118" s="39" t="s">
        <v>8568</v>
      </c>
      <c r="R1118" s="39" t="s">
        <v>8569</v>
      </c>
      <c r="S1118" s="39" t="s">
        <v>8570</v>
      </c>
      <c r="AK1118" s="39" t="str">
        <f>("2025/03/21")</f>
        <v>2025/03/21</v>
      </c>
      <c r="AL1118" s="39" t="str">
        <f t="shared" si="93"/>
        <v>2025/04/01</v>
      </c>
      <c r="AM1118" s="39" t="str">
        <f>("2025/09/03")</f>
        <v>2025/09/03</v>
      </c>
    </row>
    <row r="1119" spans="1:39" x14ac:dyDescent="0.25">
      <c r="A1119" s="39" t="str">
        <f>("1409200207")</f>
        <v>1409200207</v>
      </c>
      <c r="C1119" s="39"/>
      <c r="D1119" s="39" t="s">
        <v>8196</v>
      </c>
      <c r="E1119" s="371" t="str">
        <f t="shared" si="92"/>
        <v>いとう　おうが</v>
      </c>
      <c r="F1119" s="39" t="s">
        <v>2395</v>
      </c>
      <c r="G1119" s="39" t="s">
        <v>7828</v>
      </c>
      <c r="H1119" s="39" t="str">
        <f>("2014/09/20")</f>
        <v>2014/09/20</v>
      </c>
      <c r="I1119" s="39">
        <v>5</v>
      </c>
      <c r="J1119" s="39" t="s">
        <v>1478</v>
      </c>
      <c r="K1119" s="39" t="s">
        <v>2122</v>
      </c>
      <c r="L1119" s="39" t="s">
        <v>7830</v>
      </c>
      <c r="M1119" s="39" t="s">
        <v>7831</v>
      </c>
      <c r="N1119" s="39" t="str">
        <f>("0366735")</f>
        <v>0366735</v>
      </c>
      <c r="P1119" s="39" t="s">
        <v>12595</v>
      </c>
      <c r="Q1119" s="39" t="s">
        <v>8568</v>
      </c>
      <c r="R1119" s="39" t="s">
        <v>8569</v>
      </c>
      <c r="S1119" s="39" t="s">
        <v>8570</v>
      </c>
      <c r="AK1119" s="39" t="str">
        <f>("2025/05/16")</f>
        <v>2025/05/16</v>
      </c>
      <c r="AL1119" s="39" t="str">
        <f>("2025/05/16")</f>
        <v>2025/05/16</v>
      </c>
    </row>
    <row r="1120" spans="1:39" x14ac:dyDescent="0.25">
      <c r="A1120" s="39" t="str">
        <f>("1409210086")</f>
        <v>1409210086</v>
      </c>
      <c r="B1120" s="39" t="s">
        <v>8197</v>
      </c>
      <c r="C1120" s="39"/>
      <c r="D1120" s="39" t="s">
        <v>8198</v>
      </c>
      <c r="E1120" s="371" t="str">
        <f t="shared" si="92"/>
        <v>かわの　けいご</v>
      </c>
      <c r="F1120" s="39" t="s">
        <v>2325</v>
      </c>
      <c r="G1120" s="39" t="s">
        <v>7828</v>
      </c>
      <c r="H1120" s="39" t="str">
        <f>("2014/09/21")</f>
        <v>2014/09/21</v>
      </c>
      <c r="I1120" s="39">
        <v>5</v>
      </c>
      <c r="J1120" s="39" t="s">
        <v>1478</v>
      </c>
      <c r="K1120" s="39" t="s">
        <v>2122</v>
      </c>
      <c r="L1120" s="39" t="s">
        <v>7830</v>
      </c>
      <c r="M1120" s="39" t="s">
        <v>7831</v>
      </c>
      <c r="N1120" s="39" t="str">
        <f>("0155034")</f>
        <v>0155034</v>
      </c>
      <c r="P1120" s="39" t="s">
        <v>12596</v>
      </c>
      <c r="Q1120" s="39" t="s">
        <v>8568</v>
      </c>
      <c r="R1120" s="39" t="s">
        <v>8569</v>
      </c>
      <c r="S1120" s="39" t="s">
        <v>8570</v>
      </c>
      <c r="AK1120" s="39" t="str">
        <f>("2025/03/17")</f>
        <v>2025/03/17</v>
      </c>
      <c r="AL1120" s="39" t="str">
        <f>("2025/04/01")</f>
        <v>2025/04/01</v>
      </c>
    </row>
    <row r="1121" spans="1:39" x14ac:dyDescent="0.25">
      <c r="A1121" s="39" t="str">
        <f>("1409210088")</f>
        <v>1409210088</v>
      </c>
      <c r="C1121" s="39"/>
      <c r="D1121" s="39" t="s">
        <v>4351</v>
      </c>
      <c r="E1121" s="371" t="str">
        <f t="shared" si="92"/>
        <v>そが　あゆむ</v>
      </c>
      <c r="F1121" s="39" t="s">
        <v>2505</v>
      </c>
      <c r="G1121" s="39" t="s">
        <v>7828</v>
      </c>
      <c r="H1121" s="39" t="str">
        <f>("2014/09/21")</f>
        <v>2014/09/21</v>
      </c>
      <c r="I1121" s="39">
        <v>5</v>
      </c>
      <c r="J1121" s="39" t="s">
        <v>1478</v>
      </c>
      <c r="K1121" s="39" t="s">
        <v>2122</v>
      </c>
      <c r="L1121" s="39" t="s">
        <v>7830</v>
      </c>
      <c r="M1121" s="39" t="s">
        <v>7831</v>
      </c>
      <c r="N1121" s="39" t="str">
        <f>("0129923")</f>
        <v>0129923</v>
      </c>
      <c r="P1121" s="39" t="s">
        <v>12597</v>
      </c>
      <c r="Q1121" s="39" t="s">
        <v>8568</v>
      </c>
      <c r="R1121" s="39" t="s">
        <v>8569</v>
      </c>
      <c r="S1121" s="39" t="s">
        <v>8570</v>
      </c>
      <c r="AK1121" s="39" t="str">
        <f>("2025/03/17")</f>
        <v>2025/03/17</v>
      </c>
      <c r="AL1121" s="39" t="str">
        <f>("2025/04/01")</f>
        <v>2025/04/01</v>
      </c>
    </row>
    <row r="1122" spans="1:39" x14ac:dyDescent="0.25">
      <c r="A1122" s="39" t="str">
        <f>("1409220140")</f>
        <v>1409220140</v>
      </c>
      <c r="C1122" s="39"/>
      <c r="D1122" s="39" t="s">
        <v>8199</v>
      </c>
      <c r="E1122" s="371" t="str">
        <f t="shared" si="92"/>
        <v>みやもと　らいま</v>
      </c>
      <c r="F1122" s="39" t="s">
        <v>2587</v>
      </c>
      <c r="G1122" s="39" t="s">
        <v>7828</v>
      </c>
      <c r="H1122" s="39" t="str">
        <f>("2014/09/22")</f>
        <v>2014/09/22</v>
      </c>
      <c r="I1122" s="39">
        <v>4</v>
      </c>
      <c r="J1122" s="39" t="s">
        <v>1478</v>
      </c>
      <c r="K1122" s="39" t="s">
        <v>2122</v>
      </c>
      <c r="L1122" s="39" t="s">
        <v>7830</v>
      </c>
      <c r="M1122" s="39" t="s">
        <v>7831</v>
      </c>
      <c r="N1122" s="39" t="str">
        <f>("0387334")</f>
        <v>0387334</v>
      </c>
      <c r="P1122" s="39" t="s">
        <v>12598</v>
      </c>
      <c r="Q1122" s="39" t="s">
        <v>8568</v>
      </c>
      <c r="R1122" s="39" t="s">
        <v>8569</v>
      </c>
      <c r="S1122" s="39" t="s">
        <v>8570</v>
      </c>
      <c r="AK1122" s="39" t="str">
        <f>("2025/05/02")</f>
        <v>2025/05/02</v>
      </c>
      <c r="AL1122" s="39" t="str">
        <f>("2025/05/02")</f>
        <v>2025/05/02</v>
      </c>
    </row>
    <row r="1123" spans="1:39" x14ac:dyDescent="0.25">
      <c r="A1123" s="39" t="str">
        <f>("1409220153")</f>
        <v>1409220153</v>
      </c>
      <c r="C1123" s="39"/>
      <c r="D1123" s="39" t="s">
        <v>5669</v>
      </c>
      <c r="E1123" s="371" t="str">
        <f t="shared" si="92"/>
        <v>はやま　あさひ</v>
      </c>
      <c r="F1123" s="39" t="s">
        <v>1239</v>
      </c>
      <c r="G1123" s="39" t="s">
        <v>7828</v>
      </c>
      <c r="H1123" s="39" t="str">
        <f>("2014/09/22")</f>
        <v>2014/09/22</v>
      </c>
      <c r="I1123" s="39">
        <v>5</v>
      </c>
      <c r="J1123" s="39" t="s">
        <v>1478</v>
      </c>
      <c r="K1123" s="39" t="s">
        <v>2122</v>
      </c>
      <c r="L1123" s="39" t="s">
        <v>7830</v>
      </c>
      <c r="M1123" s="39" t="s">
        <v>7831</v>
      </c>
      <c r="N1123" s="39" t="str">
        <f>("0129585")</f>
        <v>0129585</v>
      </c>
      <c r="P1123" s="39" t="s">
        <v>12599</v>
      </c>
      <c r="Q1123" s="39" t="s">
        <v>8568</v>
      </c>
      <c r="R1123" s="39" t="s">
        <v>8569</v>
      </c>
      <c r="S1123" s="39" t="s">
        <v>8570</v>
      </c>
      <c r="AK1123" s="39" t="str">
        <f>("2025/03/17")</f>
        <v>2025/03/17</v>
      </c>
      <c r="AL1123" s="39" t="str">
        <f t="shared" ref="AL1123:AL1130" si="94">("2025/04/01")</f>
        <v>2025/04/01</v>
      </c>
    </row>
    <row r="1124" spans="1:39" x14ac:dyDescent="0.25">
      <c r="A1124" s="39" t="str">
        <f>("1409220241")</f>
        <v>1409220241</v>
      </c>
      <c r="C1124" s="39"/>
      <c r="D1124" s="39" t="s">
        <v>6090</v>
      </c>
      <c r="E1124" s="371" t="str">
        <f t="shared" si="92"/>
        <v>たかはし　そうた</v>
      </c>
      <c r="F1124" s="39" t="s">
        <v>2600</v>
      </c>
      <c r="G1124" s="39" t="s">
        <v>7828</v>
      </c>
      <c r="H1124" s="39" t="str">
        <f>("2014/09/22")</f>
        <v>2014/09/22</v>
      </c>
      <c r="I1124" s="39">
        <v>5</v>
      </c>
      <c r="J1124" s="39" t="s">
        <v>1478</v>
      </c>
      <c r="K1124" s="39" t="s">
        <v>2122</v>
      </c>
      <c r="L1124" s="39" t="s">
        <v>7830</v>
      </c>
      <c r="M1124" s="39" t="s">
        <v>7831</v>
      </c>
      <c r="N1124" s="39" t="str">
        <f>("0429757")</f>
        <v>0429757</v>
      </c>
      <c r="P1124" s="39" t="s">
        <v>12600</v>
      </c>
      <c r="Q1124" s="39" t="s">
        <v>8568</v>
      </c>
      <c r="R1124" s="39" t="s">
        <v>8569</v>
      </c>
      <c r="S1124" s="39" t="s">
        <v>8570</v>
      </c>
      <c r="AK1124" s="39" t="str">
        <f>("2025/03/24")</f>
        <v>2025/03/24</v>
      </c>
      <c r="AL1124" s="39" t="str">
        <f t="shared" si="94"/>
        <v>2025/04/01</v>
      </c>
    </row>
    <row r="1125" spans="1:39" x14ac:dyDescent="0.25">
      <c r="A1125" s="39" t="str">
        <f>("1409220251")</f>
        <v>1409220251</v>
      </c>
      <c r="C1125" s="39"/>
      <c r="D1125" s="39" t="s">
        <v>8200</v>
      </c>
      <c r="E1125" s="371" t="str">
        <f t="shared" si="92"/>
        <v>とくべ　ともひと</v>
      </c>
      <c r="F1125" s="39" t="s">
        <v>1014</v>
      </c>
      <c r="G1125" s="39" t="s">
        <v>7828</v>
      </c>
      <c r="H1125" s="39" t="str">
        <f>("2014/09/22")</f>
        <v>2014/09/22</v>
      </c>
      <c r="I1125" s="39">
        <v>5</v>
      </c>
      <c r="J1125" s="39" t="s">
        <v>1478</v>
      </c>
      <c r="K1125" s="39" t="s">
        <v>2122</v>
      </c>
      <c r="L1125" s="39" t="s">
        <v>7830</v>
      </c>
      <c r="M1125" s="39" t="s">
        <v>7831</v>
      </c>
      <c r="N1125" s="39" t="str">
        <f>("0513313")</f>
        <v>0513313</v>
      </c>
      <c r="P1125" s="39" t="s">
        <v>12601</v>
      </c>
      <c r="Q1125" s="39" t="s">
        <v>8568</v>
      </c>
      <c r="R1125" s="39" t="s">
        <v>8569</v>
      </c>
      <c r="S1125" s="39" t="s">
        <v>8570</v>
      </c>
      <c r="AK1125" s="39" t="str">
        <f>("2025/03/17")</f>
        <v>2025/03/17</v>
      </c>
      <c r="AL1125" s="39" t="str">
        <f t="shared" si="94"/>
        <v>2025/04/01</v>
      </c>
    </row>
    <row r="1126" spans="1:39" x14ac:dyDescent="0.25">
      <c r="A1126" s="39" t="str">
        <f>("1409240118")</f>
        <v>1409240118</v>
      </c>
      <c r="C1126" s="39"/>
      <c r="D1126" s="39" t="s">
        <v>8201</v>
      </c>
      <c r="E1126" s="371" t="str">
        <f t="shared" si="92"/>
        <v>えはら　りく</v>
      </c>
      <c r="F1126" s="39" t="s">
        <v>2619</v>
      </c>
      <c r="G1126" s="39" t="s">
        <v>7828</v>
      </c>
      <c r="H1126" s="39" t="str">
        <f>("2014/09/24")</f>
        <v>2014/09/24</v>
      </c>
      <c r="I1126" s="39">
        <v>5</v>
      </c>
      <c r="J1126" s="39" t="s">
        <v>1478</v>
      </c>
      <c r="K1126" s="39" t="s">
        <v>2122</v>
      </c>
      <c r="L1126" s="39" t="s">
        <v>7830</v>
      </c>
      <c r="M1126" s="39" t="s">
        <v>7831</v>
      </c>
      <c r="N1126" s="39" t="str">
        <f>("0472823")</f>
        <v>0472823</v>
      </c>
      <c r="P1126" s="39" t="s">
        <v>12602</v>
      </c>
      <c r="Q1126" s="39" t="s">
        <v>8568</v>
      </c>
      <c r="R1126" s="39" t="s">
        <v>8569</v>
      </c>
      <c r="S1126" s="39" t="s">
        <v>8570</v>
      </c>
      <c r="AK1126" s="39" t="str">
        <f>("2025/03/17")</f>
        <v>2025/03/17</v>
      </c>
      <c r="AL1126" s="39" t="str">
        <f t="shared" si="94"/>
        <v>2025/04/01</v>
      </c>
    </row>
    <row r="1127" spans="1:39" x14ac:dyDescent="0.25">
      <c r="A1127" s="39" t="str">
        <f>("1409250174")</f>
        <v>1409250174</v>
      </c>
      <c r="C1127" s="39"/>
      <c r="D1127" s="39" t="s">
        <v>6099</v>
      </c>
      <c r="E1127" s="371" t="str">
        <f t="shared" si="92"/>
        <v>たぐち　いちと</v>
      </c>
      <c r="F1127" s="39" t="s">
        <v>2602</v>
      </c>
      <c r="G1127" s="39" t="s">
        <v>7828</v>
      </c>
      <c r="H1127" s="39" t="str">
        <f>("2014/09/25")</f>
        <v>2014/09/25</v>
      </c>
      <c r="I1127" s="39">
        <v>5</v>
      </c>
      <c r="J1127" s="39" t="s">
        <v>1478</v>
      </c>
      <c r="K1127" s="39" t="s">
        <v>2122</v>
      </c>
      <c r="L1127" s="39" t="s">
        <v>7830</v>
      </c>
      <c r="M1127" s="39" t="s">
        <v>7831</v>
      </c>
      <c r="N1127" s="39" t="str">
        <f>("0430119")</f>
        <v>0430119</v>
      </c>
      <c r="P1127" s="39" t="s">
        <v>12603</v>
      </c>
      <c r="Q1127" s="39" t="s">
        <v>8568</v>
      </c>
      <c r="R1127" s="39" t="s">
        <v>8569</v>
      </c>
      <c r="S1127" s="39" t="s">
        <v>8570</v>
      </c>
      <c r="AK1127" s="39" t="str">
        <f>("2025/03/17")</f>
        <v>2025/03/17</v>
      </c>
      <c r="AL1127" s="39" t="str">
        <f t="shared" si="94"/>
        <v>2025/04/01</v>
      </c>
    </row>
    <row r="1128" spans="1:39" x14ac:dyDescent="0.25">
      <c r="A1128" s="39" t="str">
        <f>("1409260155")</f>
        <v>1409260155</v>
      </c>
      <c r="B1128" s="39" t="s">
        <v>8202</v>
      </c>
      <c r="C1128" s="39"/>
      <c r="D1128" s="39" t="s">
        <v>8203</v>
      </c>
      <c r="E1128" s="371" t="str">
        <f t="shared" si="92"/>
        <v>ひらかわ　たくみ</v>
      </c>
      <c r="F1128" s="39" t="s">
        <v>413</v>
      </c>
      <c r="G1128" s="39" t="s">
        <v>7828</v>
      </c>
      <c r="H1128" s="39" t="str">
        <f>("2014/09/26")</f>
        <v>2014/09/26</v>
      </c>
      <c r="I1128" s="39">
        <v>5</v>
      </c>
      <c r="J1128" s="39" t="s">
        <v>1478</v>
      </c>
      <c r="K1128" s="39" t="s">
        <v>2122</v>
      </c>
      <c r="L1128" s="39" t="s">
        <v>7830</v>
      </c>
      <c r="M1128" s="39" t="s">
        <v>7831</v>
      </c>
      <c r="N1128" s="39" t="str">
        <f>("0436902")</f>
        <v>0436902</v>
      </c>
      <c r="P1128" s="39" t="s">
        <v>12604</v>
      </c>
      <c r="Q1128" s="39" t="s">
        <v>8568</v>
      </c>
      <c r="R1128" s="39" t="s">
        <v>8569</v>
      </c>
      <c r="S1128" s="39" t="s">
        <v>8570</v>
      </c>
      <c r="AK1128" s="39" t="str">
        <f>("2025/03/24")</f>
        <v>2025/03/24</v>
      </c>
      <c r="AL1128" s="39" t="str">
        <f t="shared" si="94"/>
        <v>2025/04/01</v>
      </c>
    </row>
    <row r="1129" spans="1:39" x14ac:dyDescent="0.25">
      <c r="A1129" s="39" t="str">
        <f>("1409260199")</f>
        <v>1409260199</v>
      </c>
      <c r="C1129" s="39"/>
      <c r="D1129" s="39" t="s">
        <v>8204</v>
      </c>
      <c r="E1129" s="371" t="str">
        <f t="shared" si="92"/>
        <v>さとう　ひいろ</v>
      </c>
      <c r="F1129" s="39" t="s">
        <v>7864</v>
      </c>
      <c r="G1129" s="39" t="s">
        <v>7828</v>
      </c>
      <c r="H1129" s="39" t="str">
        <f>("2014/09/26")</f>
        <v>2014/09/26</v>
      </c>
      <c r="I1129" s="39">
        <v>5</v>
      </c>
      <c r="J1129" s="39" t="s">
        <v>1478</v>
      </c>
      <c r="K1129" s="39" t="s">
        <v>2122</v>
      </c>
      <c r="L1129" s="39" t="s">
        <v>7830</v>
      </c>
      <c r="M1129" s="39" t="s">
        <v>7831</v>
      </c>
      <c r="N1129" s="39" t="str">
        <f>("1039801")</f>
        <v>1039801</v>
      </c>
      <c r="P1129" s="39" t="s">
        <v>12605</v>
      </c>
      <c r="Q1129" s="39" t="s">
        <v>8568</v>
      </c>
      <c r="R1129" s="39" t="s">
        <v>8569</v>
      </c>
      <c r="S1129" s="39" t="s">
        <v>8570</v>
      </c>
      <c r="AK1129" s="39" t="str">
        <f>("2025/03/24")</f>
        <v>2025/03/24</v>
      </c>
      <c r="AL1129" s="39" t="str">
        <f t="shared" si="94"/>
        <v>2025/04/01</v>
      </c>
    </row>
    <row r="1130" spans="1:39" x14ac:dyDescent="0.25">
      <c r="A1130" s="39" t="str">
        <f>("1409260213")</f>
        <v>1409260213</v>
      </c>
      <c r="C1130" s="39"/>
      <c r="D1130" s="39" t="s">
        <v>8205</v>
      </c>
      <c r="E1130" s="371" t="str">
        <f t="shared" si="92"/>
        <v>かも　しょうた</v>
      </c>
      <c r="F1130" s="39" t="s">
        <v>1239</v>
      </c>
      <c r="G1130" s="39" t="s">
        <v>7828</v>
      </c>
      <c r="H1130" s="39" t="str">
        <f>("2014/09/26")</f>
        <v>2014/09/26</v>
      </c>
      <c r="I1130" s="39">
        <v>5</v>
      </c>
      <c r="J1130" s="39" t="s">
        <v>1478</v>
      </c>
      <c r="K1130" s="39" t="s">
        <v>2122</v>
      </c>
      <c r="L1130" s="39" t="s">
        <v>7830</v>
      </c>
      <c r="M1130" s="39" t="s">
        <v>7831</v>
      </c>
      <c r="N1130" s="39" t="str">
        <f>("0129585")</f>
        <v>0129585</v>
      </c>
      <c r="P1130" s="39" t="s">
        <v>12606</v>
      </c>
      <c r="Q1130" s="39" t="s">
        <v>8568</v>
      </c>
      <c r="R1130" s="39" t="s">
        <v>8569</v>
      </c>
      <c r="S1130" s="39" t="s">
        <v>8570</v>
      </c>
      <c r="AK1130" s="39" t="str">
        <f>("2025/03/17")</f>
        <v>2025/03/17</v>
      </c>
      <c r="AL1130" s="39" t="str">
        <f t="shared" si="94"/>
        <v>2025/04/01</v>
      </c>
    </row>
    <row r="1131" spans="1:39" x14ac:dyDescent="0.25">
      <c r="A1131" s="39" t="str">
        <f>("1409260275")</f>
        <v>1409260275</v>
      </c>
      <c r="C1131" s="39"/>
      <c r="D1131" s="39" t="s">
        <v>8206</v>
      </c>
      <c r="E1131" s="371" t="str">
        <f t="shared" si="92"/>
        <v>いっぽうし　あおき</v>
      </c>
      <c r="F1131" s="39" t="s">
        <v>2594</v>
      </c>
      <c r="G1131" s="39" t="s">
        <v>7828</v>
      </c>
      <c r="H1131" s="39" t="str">
        <f>("2014/09/26")</f>
        <v>2014/09/26</v>
      </c>
      <c r="I1131" s="39">
        <v>5</v>
      </c>
      <c r="J1131" s="39" t="s">
        <v>1478</v>
      </c>
      <c r="K1131" s="39" t="s">
        <v>2122</v>
      </c>
      <c r="L1131" s="39" t="s">
        <v>7830</v>
      </c>
      <c r="M1131" s="39" t="s">
        <v>7831</v>
      </c>
      <c r="N1131" s="39" t="str">
        <f>("0424583")</f>
        <v>0424583</v>
      </c>
      <c r="P1131" s="39" t="s">
        <v>12607</v>
      </c>
      <c r="Q1131" s="39" t="s">
        <v>8568</v>
      </c>
      <c r="R1131" s="39" t="s">
        <v>8569</v>
      </c>
      <c r="S1131" s="39" t="s">
        <v>8570</v>
      </c>
      <c r="AK1131" s="39" t="str">
        <f>("2025/06/10")</f>
        <v>2025/06/10</v>
      </c>
      <c r="AL1131" s="39" t="str">
        <f>("2025/06/10")</f>
        <v>2025/06/10</v>
      </c>
      <c r="AM1131" s="39" t="str">
        <f>("2025/06/13")</f>
        <v>2025/06/13</v>
      </c>
    </row>
    <row r="1132" spans="1:39" x14ac:dyDescent="0.25">
      <c r="A1132" s="39" t="str">
        <f>("1409260281")</f>
        <v>1409260281</v>
      </c>
      <c r="C1132" s="39"/>
      <c r="D1132" s="39" t="s">
        <v>8207</v>
      </c>
      <c r="E1132" s="371" t="str">
        <f t="shared" si="92"/>
        <v>おおひら　くれは</v>
      </c>
      <c r="F1132" s="39" t="s">
        <v>2587</v>
      </c>
      <c r="G1132" s="39" t="s">
        <v>7828</v>
      </c>
      <c r="H1132" s="39" t="str">
        <f>("2014/09/26")</f>
        <v>2014/09/26</v>
      </c>
      <c r="I1132" s="39">
        <v>5</v>
      </c>
      <c r="J1132" s="39" t="s">
        <v>1480</v>
      </c>
      <c r="K1132" s="39" t="s">
        <v>2122</v>
      </c>
      <c r="L1132" s="39" t="s">
        <v>7830</v>
      </c>
      <c r="M1132" s="39" t="s">
        <v>7831</v>
      </c>
      <c r="N1132" s="39" t="str">
        <f>("0387334")</f>
        <v>0387334</v>
      </c>
      <c r="P1132" s="39" t="s">
        <v>12608</v>
      </c>
      <c r="Q1132" s="39" t="s">
        <v>8568</v>
      </c>
      <c r="R1132" s="39" t="s">
        <v>8569</v>
      </c>
      <c r="S1132" s="39" t="s">
        <v>8570</v>
      </c>
      <c r="AK1132" s="39" t="str">
        <f>("2025/08/12")</f>
        <v>2025/08/12</v>
      </c>
      <c r="AL1132" s="39" t="str">
        <f>("2025/08/12")</f>
        <v>2025/08/12</v>
      </c>
    </row>
    <row r="1133" spans="1:39" x14ac:dyDescent="0.25">
      <c r="A1133" s="39" t="str">
        <f>("1409270091")</f>
        <v>1409270091</v>
      </c>
      <c r="C1133" s="39"/>
      <c r="D1133" s="39" t="s">
        <v>5781</v>
      </c>
      <c r="E1133" s="371" t="str">
        <f t="shared" si="92"/>
        <v>にしかた　さくや</v>
      </c>
      <c r="F1133" s="39" t="s">
        <v>2138</v>
      </c>
      <c r="G1133" s="39" t="s">
        <v>7828</v>
      </c>
      <c r="H1133" s="39" t="str">
        <f>("2014/09/27")</f>
        <v>2014/09/27</v>
      </c>
      <c r="I1133" s="39">
        <v>5</v>
      </c>
      <c r="J1133" s="39" t="s">
        <v>1478</v>
      </c>
      <c r="K1133" s="39" t="s">
        <v>2122</v>
      </c>
      <c r="L1133" s="39" t="s">
        <v>7830</v>
      </c>
      <c r="M1133" s="39" t="s">
        <v>7831</v>
      </c>
      <c r="N1133" s="39" t="str">
        <f>("0130082")</f>
        <v>0130082</v>
      </c>
      <c r="P1133" s="39" t="s">
        <v>12609</v>
      </c>
      <c r="Q1133" s="39" t="s">
        <v>8568</v>
      </c>
      <c r="R1133" s="39" t="s">
        <v>8569</v>
      </c>
      <c r="S1133" s="39" t="s">
        <v>8570</v>
      </c>
      <c r="AK1133" s="39" t="str">
        <f>("2025/03/17")</f>
        <v>2025/03/17</v>
      </c>
      <c r="AL1133" s="39" t="str">
        <f>("2025/04/01")</f>
        <v>2025/04/01</v>
      </c>
    </row>
    <row r="1134" spans="1:39" x14ac:dyDescent="0.25">
      <c r="A1134" s="39" t="str">
        <f>("1409270133")</f>
        <v>1409270133</v>
      </c>
      <c r="C1134" s="39"/>
      <c r="D1134" s="39" t="s">
        <v>8208</v>
      </c>
      <c r="E1134" s="371" t="str">
        <f t="shared" si="92"/>
        <v>やまもと　ひなた</v>
      </c>
      <c r="F1134" s="39" t="s">
        <v>1481</v>
      </c>
      <c r="G1134" s="39" t="s">
        <v>7828</v>
      </c>
      <c r="H1134" s="39" t="str">
        <f>("2014/09/27")</f>
        <v>2014/09/27</v>
      </c>
      <c r="I1134" s="39">
        <v>5</v>
      </c>
      <c r="J1134" s="39" t="s">
        <v>1478</v>
      </c>
      <c r="K1134" s="39" t="s">
        <v>2122</v>
      </c>
      <c r="L1134" s="39" t="s">
        <v>7830</v>
      </c>
      <c r="M1134" s="39" t="s">
        <v>7831</v>
      </c>
      <c r="N1134" s="39" t="str">
        <f>("0129866")</f>
        <v>0129866</v>
      </c>
      <c r="P1134" s="39" t="s">
        <v>12610</v>
      </c>
      <c r="Q1134" s="39" t="s">
        <v>8568</v>
      </c>
      <c r="R1134" s="39" t="s">
        <v>8569</v>
      </c>
      <c r="S1134" s="39" t="s">
        <v>8570</v>
      </c>
      <c r="AK1134" s="39" t="str">
        <f>("2025/03/19")</f>
        <v>2025/03/19</v>
      </c>
      <c r="AL1134" s="39" t="str">
        <f>("2025/04/01")</f>
        <v>2025/04/01</v>
      </c>
    </row>
    <row r="1135" spans="1:39" x14ac:dyDescent="0.25">
      <c r="A1135" s="39" t="str">
        <f>("1409290072")</f>
        <v>1409290072</v>
      </c>
      <c r="B1135" s="39" t="s">
        <v>8209</v>
      </c>
      <c r="C1135" s="39"/>
      <c r="D1135" s="39" t="s">
        <v>8210</v>
      </c>
      <c r="E1135" s="371" t="str">
        <f t="shared" si="92"/>
        <v>ためいけ　なお</v>
      </c>
      <c r="F1135" s="39" t="s">
        <v>1330</v>
      </c>
      <c r="G1135" s="39" t="s">
        <v>7828</v>
      </c>
      <c r="H1135" s="39" t="str">
        <f>("2014/09/29")</f>
        <v>2014/09/29</v>
      </c>
      <c r="I1135" s="39">
        <v>5</v>
      </c>
      <c r="J1135" s="39" t="s">
        <v>1478</v>
      </c>
      <c r="K1135" s="39" t="s">
        <v>2122</v>
      </c>
      <c r="L1135" s="39" t="s">
        <v>7830</v>
      </c>
      <c r="M1135" s="39" t="s">
        <v>7831</v>
      </c>
      <c r="N1135" s="39" t="str">
        <f>("0130598")</f>
        <v>0130598</v>
      </c>
      <c r="P1135" s="39" t="s">
        <v>12611</v>
      </c>
      <c r="Q1135" s="39" t="s">
        <v>8568</v>
      </c>
      <c r="R1135" s="39" t="s">
        <v>8569</v>
      </c>
      <c r="S1135" s="39" t="s">
        <v>8570</v>
      </c>
      <c r="AK1135" s="39" t="str">
        <f>("2025/03/17")</f>
        <v>2025/03/17</v>
      </c>
      <c r="AL1135" s="39" t="str">
        <f>("2025/04/01")</f>
        <v>2025/04/01</v>
      </c>
    </row>
    <row r="1136" spans="1:39" x14ac:dyDescent="0.25">
      <c r="A1136" s="39" t="str">
        <f>("1409290187")</f>
        <v>1409290187</v>
      </c>
      <c r="B1136" s="39" t="s">
        <v>8211</v>
      </c>
      <c r="C1136" s="39"/>
      <c r="D1136" s="39" t="s">
        <v>5688</v>
      </c>
      <c r="E1136" s="371" t="str">
        <f t="shared" si="92"/>
        <v>おおにし　ふうりゅう</v>
      </c>
      <c r="F1136" s="39" t="s">
        <v>5615</v>
      </c>
      <c r="G1136" s="39" t="s">
        <v>7828</v>
      </c>
      <c r="H1136" s="39" t="str">
        <f>("2014/09/29")</f>
        <v>2014/09/29</v>
      </c>
      <c r="I1136" s="39">
        <v>5</v>
      </c>
      <c r="J1136" s="39" t="s">
        <v>1478</v>
      </c>
      <c r="K1136" s="39" t="s">
        <v>2122</v>
      </c>
      <c r="L1136" s="39" t="s">
        <v>7830</v>
      </c>
      <c r="M1136" s="39" t="s">
        <v>7831</v>
      </c>
      <c r="N1136" s="39" t="str">
        <f>("0129642")</f>
        <v>0129642</v>
      </c>
      <c r="P1136" s="39" t="s">
        <v>12612</v>
      </c>
      <c r="Q1136" s="39" t="s">
        <v>8568</v>
      </c>
      <c r="R1136" s="39" t="s">
        <v>8569</v>
      </c>
      <c r="S1136" s="39" t="s">
        <v>8570</v>
      </c>
      <c r="AK1136" s="39" t="str">
        <f>("2025/03/24")</f>
        <v>2025/03/24</v>
      </c>
      <c r="AL1136" s="39" t="str">
        <f>("2025/04/01")</f>
        <v>2025/04/01</v>
      </c>
    </row>
    <row r="1137" spans="1:39" x14ac:dyDescent="0.25">
      <c r="A1137" s="39" t="str">
        <f>("1409290225")</f>
        <v>1409290225</v>
      </c>
      <c r="C1137" s="39"/>
      <c r="D1137" s="39" t="s">
        <v>8212</v>
      </c>
      <c r="E1137" s="371" t="str">
        <f t="shared" si="92"/>
        <v>ひがしかわ　ゆいと</v>
      </c>
      <c r="F1137" s="39" t="s">
        <v>2600</v>
      </c>
      <c r="G1137" s="39" t="s">
        <v>7828</v>
      </c>
      <c r="H1137" s="39" t="str">
        <f>("2014/09/29")</f>
        <v>2014/09/29</v>
      </c>
      <c r="I1137" s="39">
        <v>5</v>
      </c>
      <c r="J1137" s="39" t="s">
        <v>1478</v>
      </c>
      <c r="K1137" s="39" t="s">
        <v>2122</v>
      </c>
      <c r="L1137" s="39" t="s">
        <v>7830</v>
      </c>
      <c r="M1137" s="39" t="s">
        <v>7831</v>
      </c>
      <c r="N1137" s="39" t="str">
        <f>("0429757")</f>
        <v>0429757</v>
      </c>
      <c r="P1137" s="39" t="s">
        <v>12613</v>
      </c>
      <c r="Q1137" s="39" t="s">
        <v>8568</v>
      </c>
      <c r="R1137" s="39" t="s">
        <v>8569</v>
      </c>
      <c r="S1137" s="39" t="s">
        <v>8570</v>
      </c>
      <c r="AA1137" s="39" t="s">
        <v>2122</v>
      </c>
      <c r="AB1137" s="39" t="s">
        <v>7830</v>
      </c>
      <c r="AC1137" s="39" t="s">
        <v>7831</v>
      </c>
      <c r="AD1137" s="39" t="str">
        <f>("0381608")</f>
        <v>0381608</v>
      </c>
      <c r="AE1137" s="39" t="s">
        <v>1207</v>
      </c>
      <c r="AK1137" s="39" t="str">
        <f>("2025/04/04")</f>
        <v>2025/04/04</v>
      </c>
      <c r="AL1137" s="39" t="str">
        <f>("2025/04/04")</f>
        <v>2025/04/04</v>
      </c>
    </row>
    <row r="1138" spans="1:39" x14ac:dyDescent="0.25">
      <c r="A1138" s="39" t="str">
        <f>("1409290230")</f>
        <v>1409290230</v>
      </c>
      <c r="C1138" s="39"/>
      <c r="D1138" s="39" t="s">
        <v>8213</v>
      </c>
      <c r="E1138" s="371" t="str">
        <f t="shared" si="92"/>
        <v>あべ　りんたろう</v>
      </c>
      <c r="F1138" s="39" t="s">
        <v>5615</v>
      </c>
      <c r="G1138" s="39" t="s">
        <v>7828</v>
      </c>
      <c r="H1138" s="39" t="str">
        <f>("2014/09/29")</f>
        <v>2014/09/29</v>
      </c>
      <c r="I1138" s="39">
        <v>5</v>
      </c>
      <c r="J1138" s="39" t="s">
        <v>1478</v>
      </c>
      <c r="K1138" s="39" t="s">
        <v>2122</v>
      </c>
      <c r="L1138" s="39" t="s">
        <v>7830</v>
      </c>
      <c r="M1138" s="39" t="s">
        <v>7831</v>
      </c>
      <c r="N1138" s="39" t="str">
        <f>("0129642")</f>
        <v>0129642</v>
      </c>
      <c r="P1138" s="39" t="s">
        <v>12614</v>
      </c>
      <c r="Q1138" s="39" t="s">
        <v>8568</v>
      </c>
      <c r="R1138" s="39" t="s">
        <v>8569</v>
      </c>
      <c r="S1138" s="39" t="s">
        <v>8570</v>
      </c>
      <c r="AA1138" s="39" t="s">
        <v>2122</v>
      </c>
      <c r="AB1138" s="39" t="s">
        <v>7830</v>
      </c>
      <c r="AC1138" s="39" t="s">
        <v>7831</v>
      </c>
      <c r="AD1138" s="39" t="str">
        <f>("0360021")</f>
        <v>0360021</v>
      </c>
      <c r="AE1138" s="39" t="s">
        <v>838</v>
      </c>
      <c r="AK1138" s="39" t="str">
        <f>("2025/03/24")</f>
        <v>2025/03/24</v>
      </c>
      <c r="AL1138" s="39" t="str">
        <f>("2025/04/01")</f>
        <v>2025/04/01</v>
      </c>
    </row>
    <row r="1139" spans="1:39" x14ac:dyDescent="0.25">
      <c r="A1139" s="39" t="str">
        <f>("1409300051")</f>
        <v>1409300051</v>
      </c>
      <c r="C1139" s="39"/>
      <c r="D1139" s="39" t="s">
        <v>4685</v>
      </c>
      <c r="E1139" s="371" t="str">
        <f t="shared" si="92"/>
        <v>まつもと　ゆうし</v>
      </c>
      <c r="F1139" s="39" t="s">
        <v>413</v>
      </c>
      <c r="G1139" s="39" t="s">
        <v>7828</v>
      </c>
      <c r="H1139" s="39" t="str">
        <f>("2014/09/30")</f>
        <v>2014/09/30</v>
      </c>
      <c r="I1139" s="39">
        <v>5</v>
      </c>
      <c r="J1139" s="39" t="s">
        <v>1478</v>
      </c>
      <c r="K1139" s="39" t="s">
        <v>2122</v>
      </c>
      <c r="L1139" s="39" t="s">
        <v>7830</v>
      </c>
      <c r="M1139" s="39" t="s">
        <v>7831</v>
      </c>
      <c r="N1139" s="39" t="str">
        <f>("0436902")</f>
        <v>0436902</v>
      </c>
      <c r="P1139" s="39" t="s">
        <v>12615</v>
      </c>
      <c r="Q1139" s="39" t="s">
        <v>8568</v>
      </c>
      <c r="R1139" s="39" t="s">
        <v>8569</v>
      </c>
      <c r="S1139" s="39" t="s">
        <v>8570</v>
      </c>
      <c r="AA1139" s="39" t="s">
        <v>2122</v>
      </c>
      <c r="AB1139" s="39" t="s">
        <v>7830</v>
      </c>
      <c r="AC1139" s="39" t="s">
        <v>7831</v>
      </c>
      <c r="AD1139" s="39" t="str">
        <f>("0354901")</f>
        <v>0354901</v>
      </c>
      <c r="AE1139" s="39" t="s">
        <v>2025</v>
      </c>
      <c r="AK1139" s="39" t="str">
        <f>("2025/06/27")</f>
        <v>2025/06/27</v>
      </c>
      <c r="AL1139" s="39" t="str">
        <f>("2025/06/27")</f>
        <v>2025/06/27</v>
      </c>
    </row>
    <row r="1140" spans="1:39" x14ac:dyDescent="0.25">
      <c r="A1140" s="39" t="str">
        <f>("1409300175")</f>
        <v>1409300175</v>
      </c>
      <c r="C1140" s="39"/>
      <c r="D1140" s="39" t="s">
        <v>8214</v>
      </c>
      <c r="E1140" s="371" t="str">
        <f t="shared" si="92"/>
        <v>おがわ　こうた</v>
      </c>
      <c r="F1140" s="39" t="s">
        <v>520</v>
      </c>
      <c r="G1140" s="39" t="s">
        <v>7828</v>
      </c>
      <c r="H1140" s="39" t="str">
        <f>("2014/09/30")</f>
        <v>2014/09/30</v>
      </c>
      <c r="I1140" s="39">
        <v>5</v>
      </c>
      <c r="J1140" s="39" t="s">
        <v>1478</v>
      </c>
      <c r="K1140" s="39" t="s">
        <v>2122</v>
      </c>
      <c r="L1140" s="39" t="s">
        <v>7830</v>
      </c>
      <c r="M1140" s="39" t="s">
        <v>7831</v>
      </c>
      <c r="N1140" s="39" t="str">
        <f>("0129765")</f>
        <v>0129765</v>
      </c>
      <c r="P1140" s="39" t="s">
        <v>12616</v>
      </c>
      <c r="Q1140" s="39" t="s">
        <v>8568</v>
      </c>
      <c r="R1140" s="39" t="s">
        <v>8569</v>
      </c>
      <c r="S1140" s="39" t="s">
        <v>8570</v>
      </c>
      <c r="AK1140" s="39" t="str">
        <f t="shared" ref="AK1140:AK1148" si="95">("2025/03/17")</f>
        <v>2025/03/17</v>
      </c>
      <c r="AL1140" s="39" t="str">
        <f t="shared" ref="AL1140:AL1157" si="96">("2025/04/01")</f>
        <v>2025/04/01</v>
      </c>
    </row>
    <row r="1141" spans="1:39" x14ac:dyDescent="0.25">
      <c r="A1141" s="39" t="str">
        <f>("1410010086")</f>
        <v>1410010086</v>
      </c>
      <c r="C1141" s="39"/>
      <c r="D1141" s="39" t="s">
        <v>5827</v>
      </c>
      <c r="E1141" s="371" t="str">
        <f t="shared" si="92"/>
        <v>きくち　そうすけ</v>
      </c>
      <c r="F1141" s="39" t="s">
        <v>5616</v>
      </c>
      <c r="G1141" s="39" t="s">
        <v>7828</v>
      </c>
      <c r="H1141" s="39" t="str">
        <f>("2014/10/01")</f>
        <v>2014/10/01</v>
      </c>
      <c r="I1141" s="39">
        <v>5</v>
      </c>
      <c r="J1141" s="39" t="s">
        <v>1478</v>
      </c>
      <c r="K1141" s="39" t="s">
        <v>2122</v>
      </c>
      <c r="L1141" s="39" t="s">
        <v>7830</v>
      </c>
      <c r="M1141" s="39" t="s">
        <v>7831</v>
      </c>
      <c r="N1141" s="39" t="str">
        <f>("0130385")</f>
        <v>0130385</v>
      </c>
      <c r="P1141" s="39" t="s">
        <v>12617</v>
      </c>
      <c r="Q1141" s="39" t="s">
        <v>8568</v>
      </c>
      <c r="R1141" s="39" t="s">
        <v>8569</v>
      </c>
      <c r="S1141" s="39" t="s">
        <v>8570</v>
      </c>
      <c r="AK1141" s="39" t="str">
        <f t="shared" si="95"/>
        <v>2025/03/17</v>
      </c>
      <c r="AL1141" s="39" t="str">
        <f t="shared" si="96"/>
        <v>2025/04/01</v>
      </c>
    </row>
    <row r="1142" spans="1:39" x14ac:dyDescent="0.25">
      <c r="A1142" s="39" t="str">
        <f>("1410020091")</f>
        <v>1410020091</v>
      </c>
      <c r="C1142" s="39"/>
      <c r="D1142" s="39" t="s">
        <v>8215</v>
      </c>
      <c r="E1142" s="371" t="str">
        <f t="shared" si="92"/>
        <v>あさり　つづみ</v>
      </c>
      <c r="F1142" s="39" t="s">
        <v>2619</v>
      </c>
      <c r="G1142" s="39" t="s">
        <v>7828</v>
      </c>
      <c r="H1142" s="39" t="str">
        <f>("2014/10/02")</f>
        <v>2014/10/02</v>
      </c>
      <c r="I1142" s="39">
        <v>5</v>
      </c>
      <c r="J1142" s="39" t="s">
        <v>1480</v>
      </c>
      <c r="K1142" s="39" t="s">
        <v>2122</v>
      </c>
      <c r="L1142" s="39" t="s">
        <v>7830</v>
      </c>
      <c r="M1142" s="39" t="s">
        <v>7831</v>
      </c>
      <c r="N1142" s="39" t="str">
        <f>("0472823")</f>
        <v>0472823</v>
      </c>
      <c r="P1142" s="39" t="s">
        <v>12618</v>
      </c>
      <c r="Q1142" s="39" t="s">
        <v>8568</v>
      </c>
      <c r="R1142" s="39" t="s">
        <v>8569</v>
      </c>
      <c r="S1142" s="39" t="s">
        <v>8570</v>
      </c>
      <c r="AK1142" s="39" t="str">
        <f t="shared" si="95"/>
        <v>2025/03/17</v>
      </c>
      <c r="AL1142" s="39" t="str">
        <f t="shared" si="96"/>
        <v>2025/04/01</v>
      </c>
    </row>
    <row r="1143" spans="1:39" x14ac:dyDescent="0.25">
      <c r="A1143" s="39" t="str">
        <f>("1410020141")</f>
        <v>1410020141</v>
      </c>
      <c r="C1143" s="39"/>
      <c r="D1143" s="39" t="s">
        <v>8216</v>
      </c>
      <c r="E1143" s="371" t="str">
        <f t="shared" si="92"/>
        <v>しゅとう　ひろや</v>
      </c>
      <c r="F1143" s="39" t="s">
        <v>1190</v>
      </c>
      <c r="G1143" s="39" t="s">
        <v>7876</v>
      </c>
      <c r="H1143" s="39" t="str">
        <f>("2014/10/02")</f>
        <v>2014/10/02</v>
      </c>
      <c r="I1143" s="39">
        <v>5</v>
      </c>
      <c r="J1143" s="39" t="s">
        <v>1478</v>
      </c>
      <c r="K1143" s="39" t="s">
        <v>2122</v>
      </c>
      <c r="L1143" s="39" t="s">
        <v>7830</v>
      </c>
      <c r="M1143" s="39" t="s">
        <v>7831</v>
      </c>
      <c r="N1143" s="39" t="str">
        <f>("0130554")</f>
        <v>0130554</v>
      </c>
      <c r="P1143" s="39" t="s">
        <v>12619</v>
      </c>
      <c r="Q1143" s="39" t="s">
        <v>8568</v>
      </c>
      <c r="R1143" s="39" t="s">
        <v>8569</v>
      </c>
      <c r="S1143" s="39" t="s">
        <v>8570</v>
      </c>
      <c r="AK1143" s="39" t="str">
        <f t="shared" si="95"/>
        <v>2025/03/17</v>
      </c>
      <c r="AL1143" s="39" t="str">
        <f t="shared" si="96"/>
        <v>2025/04/01</v>
      </c>
      <c r="AM1143" s="39" t="str">
        <f>("2025/12/15")</f>
        <v>2025/12/15</v>
      </c>
    </row>
    <row r="1144" spans="1:39" x14ac:dyDescent="0.25">
      <c r="A1144" s="39" t="str">
        <f>("1410030061")</f>
        <v>1410030061</v>
      </c>
      <c r="C1144" s="39"/>
      <c r="D1144" s="39" t="s">
        <v>5725</v>
      </c>
      <c r="E1144" s="371" t="str">
        <f t="shared" si="92"/>
        <v>あさごえ　はるき</v>
      </c>
      <c r="F1144" s="39" t="s">
        <v>834</v>
      </c>
      <c r="G1144" s="39" t="s">
        <v>7828</v>
      </c>
      <c r="H1144" s="39" t="str">
        <f>("2014/10/03")</f>
        <v>2014/10/03</v>
      </c>
      <c r="I1144" s="39">
        <v>5</v>
      </c>
      <c r="J1144" s="39" t="s">
        <v>1478</v>
      </c>
      <c r="K1144" s="39" t="s">
        <v>2122</v>
      </c>
      <c r="L1144" s="39" t="s">
        <v>7830</v>
      </c>
      <c r="M1144" s="39" t="s">
        <v>7831</v>
      </c>
      <c r="N1144" s="39" t="str">
        <f>("0129844")</f>
        <v>0129844</v>
      </c>
      <c r="P1144" s="39" t="s">
        <v>12620</v>
      </c>
      <c r="Q1144" s="39" t="s">
        <v>8568</v>
      </c>
      <c r="R1144" s="39" t="s">
        <v>8569</v>
      </c>
      <c r="S1144" s="39" t="s">
        <v>8570</v>
      </c>
      <c r="AK1144" s="39" t="str">
        <f t="shared" si="95"/>
        <v>2025/03/17</v>
      </c>
      <c r="AL1144" s="39" t="str">
        <f t="shared" si="96"/>
        <v>2025/04/01</v>
      </c>
    </row>
    <row r="1145" spans="1:39" x14ac:dyDescent="0.25">
      <c r="A1145" s="39" t="str">
        <f>("1410030120")</f>
        <v>1410030120</v>
      </c>
      <c r="C1145" s="39"/>
      <c r="D1145" s="39" t="s">
        <v>8217</v>
      </c>
      <c r="E1145" s="371" t="str">
        <f t="shared" si="92"/>
        <v>うえすぎ　いつき</v>
      </c>
      <c r="F1145" s="39" t="s">
        <v>2619</v>
      </c>
      <c r="G1145" s="39" t="s">
        <v>7828</v>
      </c>
      <c r="H1145" s="39" t="str">
        <f>("2014/10/03")</f>
        <v>2014/10/03</v>
      </c>
      <c r="I1145" s="39">
        <v>5</v>
      </c>
      <c r="J1145" s="39" t="s">
        <v>1478</v>
      </c>
      <c r="K1145" s="39" t="s">
        <v>2122</v>
      </c>
      <c r="L1145" s="39" t="s">
        <v>7830</v>
      </c>
      <c r="M1145" s="39" t="s">
        <v>7831</v>
      </c>
      <c r="N1145" s="39" t="str">
        <f>("0472823")</f>
        <v>0472823</v>
      </c>
      <c r="P1145" s="39" t="s">
        <v>12621</v>
      </c>
      <c r="Q1145" s="39" t="s">
        <v>8568</v>
      </c>
      <c r="R1145" s="39" t="s">
        <v>8569</v>
      </c>
      <c r="S1145" s="39" t="s">
        <v>8570</v>
      </c>
      <c r="AK1145" s="39" t="str">
        <f t="shared" si="95"/>
        <v>2025/03/17</v>
      </c>
      <c r="AL1145" s="39" t="str">
        <f t="shared" si="96"/>
        <v>2025/04/01</v>
      </c>
    </row>
    <row r="1146" spans="1:39" x14ac:dyDescent="0.25">
      <c r="A1146" s="39" t="str">
        <f>("1410030148")</f>
        <v>1410030148</v>
      </c>
      <c r="C1146" s="39"/>
      <c r="D1146" s="39" t="s">
        <v>8218</v>
      </c>
      <c r="E1146" s="371" t="str">
        <f t="shared" si="92"/>
        <v>そが　そうた</v>
      </c>
      <c r="F1146" s="39" t="s">
        <v>2350</v>
      </c>
      <c r="G1146" s="39" t="s">
        <v>7828</v>
      </c>
      <c r="H1146" s="39" t="str">
        <f>("2014/10/03")</f>
        <v>2014/10/03</v>
      </c>
      <c r="I1146" s="39">
        <v>5</v>
      </c>
      <c r="J1146" s="39" t="s">
        <v>1478</v>
      </c>
      <c r="K1146" s="39" t="s">
        <v>2122</v>
      </c>
      <c r="L1146" s="39" t="s">
        <v>7830</v>
      </c>
      <c r="M1146" s="39" t="s">
        <v>7831</v>
      </c>
      <c r="N1146" s="39" t="str">
        <f>("0360032")</f>
        <v>0360032</v>
      </c>
      <c r="P1146" s="39" t="s">
        <v>12622</v>
      </c>
      <c r="Q1146" s="39" t="s">
        <v>8568</v>
      </c>
      <c r="R1146" s="39" t="s">
        <v>8569</v>
      </c>
      <c r="S1146" s="39" t="s">
        <v>8570</v>
      </c>
      <c r="AK1146" s="39" t="str">
        <f t="shared" si="95"/>
        <v>2025/03/17</v>
      </c>
      <c r="AL1146" s="39" t="str">
        <f t="shared" si="96"/>
        <v>2025/04/01</v>
      </c>
    </row>
    <row r="1147" spans="1:39" x14ac:dyDescent="0.25">
      <c r="A1147" s="39" t="str">
        <f>("1410030176")</f>
        <v>1410030176</v>
      </c>
      <c r="C1147" s="39"/>
      <c r="D1147" s="39" t="s">
        <v>8219</v>
      </c>
      <c r="E1147" s="371" t="str">
        <f t="shared" si="92"/>
        <v>うちだ　あつと</v>
      </c>
      <c r="F1147" s="39" t="s">
        <v>1190</v>
      </c>
      <c r="G1147" s="39" t="s">
        <v>7828</v>
      </c>
      <c r="H1147" s="39" t="str">
        <f>("2014/10/03")</f>
        <v>2014/10/03</v>
      </c>
      <c r="I1147" s="39">
        <v>5</v>
      </c>
      <c r="J1147" s="39" t="s">
        <v>1478</v>
      </c>
      <c r="K1147" s="39" t="s">
        <v>2122</v>
      </c>
      <c r="L1147" s="39" t="s">
        <v>7830</v>
      </c>
      <c r="M1147" s="39" t="s">
        <v>7831</v>
      </c>
      <c r="N1147" s="39" t="str">
        <f>("0130554")</f>
        <v>0130554</v>
      </c>
      <c r="P1147" s="39" t="s">
        <v>12623</v>
      </c>
      <c r="Q1147" s="39" t="s">
        <v>8568</v>
      </c>
      <c r="R1147" s="39" t="s">
        <v>8569</v>
      </c>
      <c r="S1147" s="39" t="s">
        <v>8570</v>
      </c>
      <c r="AK1147" s="39" t="str">
        <f t="shared" si="95"/>
        <v>2025/03/17</v>
      </c>
      <c r="AL1147" s="39" t="str">
        <f t="shared" si="96"/>
        <v>2025/04/01</v>
      </c>
    </row>
    <row r="1148" spans="1:39" x14ac:dyDescent="0.25">
      <c r="A1148" s="39" t="str">
        <f>("1410040057")</f>
        <v>1410040057</v>
      </c>
      <c r="B1148" s="39" t="s">
        <v>8220</v>
      </c>
      <c r="C1148" s="39"/>
      <c r="D1148" s="39" t="s">
        <v>5951</v>
      </c>
      <c r="E1148" s="371" t="str">
        <f t="shared" si="92"/>
        <v>こやま　そうま</v>
      </c>
      <c r="F1148" s="39" t="s">
        <v>686</v>
      </c>
      <c r="G1148" s="39" t="s">
        <v>7828</v>
      </c>
      <c r="H1148" s="39" t="str">
        <f>("2014/10/04")</f>
        <v>2014/10/04</v>
      </c>
      <c r="I1148" s="39">
        <v>5</v>
      </c>
      <c r="J1148" s="39" t="s">
        <v>1478</v>
      </c>
      <c r="K1148" s="39" t="s">
        <v>2122</v>
      </c>
      <c r="L1148" s="39" t="s">
        <v>7830</v>
      </c>
      <c r="M1148" s="39" t="s">
        <v>7831</v>
      </c>
      <c r="N1148" s="39" t="str">
        <f>("0130745")</f>
        <v>0130745</v>
      </c>
      <c r="P1148" s="39" t="s">
        <v>12624</v>
      </c>
      <c r="Q1148" s="39" t="s">
        <v>8568</v>
      </c>
      <c r="R1148" s="39" t="s">
        <v>8569</v>
      </c>
      <c r="S1148" s="39" t="s">
        <v>8570</v>
      </c>
      <c r="AK1148" s="39" t="str">
        <f t="shared" si="95"/>
        <v>2025/03/17</v>
      </c>
      <c r="AL1148" s="39" t="str">
        <f t="shared" si="96"/>
        <v>2025/04/01</v>
      </c>
    </row>
    <row r="1149" spans="1:39" x14ac:dyDescent="0.25">
      <c r="A1149" s="39" t="str">
        <f>("1410040153")</f>
        <v>1410040153</v>
      </c>
      <c r="C1149" s="39"/>
      <c r="D1149" s="39" t="s">
        <v>8221</v>
      </c>
      <c r="E1149" s="371" t="str">
        <f t="shared" si="92"/>
        <v>たなか　あさひ</v>
      </c>
      <c r="F1149" s="39" t="s">
        <v>1481</v>
      </c>
      <c r="G1149" s="39" t="s">
        <v>7828</v>
      </c>
      <c r="H1149" s="39" t="str">
        <f>("2014/10/04")</f>
        <v>2014/10/04</v>
      </c>
      <c r="I1149" s="39">
        <v>5</v>
      </c>
      <c r="J1149" s="39" t="s">
        <v>1480</v>
      </c>
      <c r="K1149" s="39" t="s">
        <v>2122</v>
      </c>
      <c r="L1149" s="39" t="s">
        <v>7830</v>
      </c>
      <c r="M1149" s="39" t="s">
        <v>7831</v>
      </c>
      <c r="N1149" s="39" t="str">
        <f>("0129866")</f>
        <v>0129866</v>
      </c>
      <c r="P1149" s="39" t="s">
        <v>12625</v>
      </c>
      <c r="Q1149" s="39" t="s">
        <v>8568</v>
      </c>
      <c r="R1149" s="39" t="s">
        <v>8569</v>
      </c>
      <c r="S1149" s="39" t="s">
        <v>8570</v>
      </c>
      <c r="AK1149" s="39" t="str">
        <f>("2025/03/19")</f>
        <v>2025/03/19</v>
      </c>
      <c r="AL1149" s="39" t="str">
        <f t="shared" si="96"/>
        <v>2025/04/01</v>
      </c>
    </row>
    <row r="1150" spans="1:39" x14ac:dyDescent="0.25">
      <c r="A1150" s="39" t="str">
        <f>("1410050085")</f>
        <v>1410050085</v>
      </c>
      <c r="B1150" s="39" t="s">
        <v>8222</v>
      </c>
      <c r="C1150" s="39"/>
      <c r="D1150" s="39" t="s">
        <v>8223</v>
      </c>
      <c r="E1150" s="371" t="str">
        <f t="shared" si="92"/>
        <v>たかはし　れんすけ</v>
      </c>
      <c r="F1150" s="39" t="s">
        <v>1968</v>
      </c>
      <c r="G1150" s="39" t="s">
        <v>7828</v>
      </c>
      <c r="H1150" s="39" t="str">
        <f>("2014/10/05")</f>
        <v>2014/10/05</v>
      </c>
      <c r="I1150" s="39">
        <v>5</v>
      </c>
      <c r="J1150" s="39" t="s">
        <v>1478</v>
      </c>
      <c r="K1150" s="39" t="s">
        <v>2122</v>
      </c>
      <c r="L1150" s="39" t="s">
        <v>7830</v>
      </c>
      <c r="M1150" s="39" t="s">
        <v>7831</v>
      </c>
      <c r="N1150" s="39" t="str">
        <f>("0129507")</f>
        <v>0129507</v>
      </c>
      <c r="P1150" s="39" t="s">
        <v>12626</v>
      </c>
      <c r="Q1150" s="39" t="s">
        <v>8568</v>
      </c>
      <c r="R1150" s="39" t="s">
        <v>8569</v>
      </c>
      <c r="S1150" s="39" t="s">
        <v>8570</v>
      </c>
      <c r="AK1150" s="39" t="str">
        <f t="shared" ref="AK1150:AK1157" si="97">("2025/03/17")</f>
        <v>2025/03/17</v>
      </c>
      <c r="AL1150" s="39" t="str">
        <f t="shared" si="96"/>
        <v>2025/04/01</v>
      </c>
    </row>
    <row r="1151" spans="1:39" x14ac:dyDescent="0.25">
      <c r="A1151" s="39" t="str">
        <f>("1410060135")</f>
        <v>1410060135</v>
      </c>
      <c r="C1151" s="39"/>
      <c r="D1151" s="39" t="s">
        <v>5896</v>
      </c>
      <c r="E1151" s="371" t="str">
        <f t="shared" si="92"/>
        <v>いわなが　きっぺい</v>
      </c>
      <c r="F1151" s="39" t="s">
        <v>2243</v>
      </c>
      <c r="G1151" s="39" t="s">
        <v>7828</v>
      </c>
      <c r="H1151" s="39" t="str">
        <f>("2014/10/06")</f>
        <v>2014/10/06</v>
      </c>
      <c r="I1151" s="39">
        <v>5</v>
      </c>
      <c r="J1151" s="39" t="s">
        <v>1478</v>
      </c>
      <c r="K1151" s="39" t="s">
        <v>2122</v>
      </c>
      <c r="L1151" s="39" t="s">
        <v>7830</v>
      </c>
      <c r="M1151" s="39" t="s">
        <v>7831</v>
      </c>
      <c r="N1151" s="39" t="str">
        <f>("0130565")</f>
        <v>0130565</v>
      </c>
      <c r="P1151" s="39" t="s">
        <v>12627</v>
      </c>
      <c r="Q1151" s="39" t="s">
        <v>8568</v>
      </c>
      <c r="R1151" s="39" t="s">
        <v>8569</v>
      </c>
      <c r="S1151" s="39" t="s">
        <v>8570</v>
      </c>
      <c r="AK1151" s="39" t="str">
        <f t="shared" si="97"/>
        <v>2025/03/17</v>
      </c>
      <c r="AL1151" s="39" t="str">
        <f t="shared" si="96"/>
        <v>2025/04/01</v>
      </c>
    </row>
    <row r="1152" spans="1:39" x14ac:dyDescent="0.25">
      <c r="A1152" s="39" t="str">
        <f>("1410060182")</f>
        <v>1410060182</v>
      </c>
      <c r="C1152" s="39"/>
      <c r="D1152" s="39" t="s">
        <v>8224</v>
      </c>
      <c r="E1152" s="371" t="str">
        <f t="shared" si="92"/>
        <v>やまざき　あお</v>
      </c>
      <c r="F1152" s="39" t="s">
        <v>838</v>
      </c>
      <c r="G1152" s="39" t="s">
        <v>7828</v>
      </c>
      <c r="H1152" s="39" t="str">
        <f>("2014/10/06")</f>
        <v>2014/10/06</v>
      </c>
      <c r="I1152" s="39">
        <v>5</v>
      </c>
      <c r="J1152" s="39" t="s">
        <v>1478</v>
      </c>
      <c r="K1152" s="39" t="s">
        <v>2122</v>
      </c>
      <c r="L1152" s="39" t="s">
        <v>7830</v>
      </c>
      <c r="M1152" s="39" t="s">
        <v>7831</v>
      </c>
      <c r="N1152" s="39" t="str">
        <f>("0360021")</f>
        <v>0360021</v>
      </c>
      <c r="P1152" s="39" t="s">
        <v>12628</v>
      </c>
      <c r="Q1152" s="39" t="s">
        <v>8568</v>
      </c>
      <c r="R1152" s="39" t="s">
        <v>8569</v>
      </c>
      <c r="S1152" s="39" t="s">
        <v>8570</v>
      </c>
      <c r="AK1152" s="39" t="str">
        <f t="shared" si="97"/>
        <v>2025/03/17</v>
      </c>
      <c r="AL1152" s="39" t="str">
        <f t="shared" si="96"/>
        <v>2025/04/01</v>
      </c>
    </row>
    <row r="1153" spans="1:38" x14ac:dyDescent="0.25">
      <c r="A1153" s="39" t="str">
        <f>("1410060183")</f>
        <v>1410060183</v>
      </c>
      <c r="C1153" s="39"/>
      <c r="D1153" s="39" t="s">
        <v>5649</v>
      </c>
      <c r="E1153" s="371" t="str">
        <f t="shared" si="92"/>
        <v>かじわら　なおたろう</v>
      </c>
      <c r="F1153" s="39" t="s">
        <v>684</v>
      </c>
      <c r="G1153" s="39" t="s">
        <v>7828</v>
      </c>
      <c r="H1153" s="39" t="str">
        <f>("2014/10/06")</f>
        <v>2014/10/06</v>
      </c>
      <c r="I1153" s="39">
        <v>5</v>
      </c>
      <c r="J1153" s="39" t="s">
        <v>1478</v>
      </c>
      <c r="K1153" s="39" t="s">
        <v>2122</v>
      </c>
      <c r="L1153" s="39" t="s">
        <v>7830</v>
      </c>
      <c r="M1153" s="39" t="s">
        <v>7831</v>
      </c>
      <c r="N1153" s="39" t="str">
        <f>("0129518")</f>
        <v>0129518</v>
      </c>
      <c r="P1153" s="39" t="s">
        <v>12629</v>
      </c>
      <c r="Q1153" s="39" t="s">
        <v>8568</v>
      </c>
      <c r="R1153" s="39" t="s">
        <v>8569</v>
      </c>
      <c r="S1153" s="39" t="s">
        <v>8570</v>
      </c>
      <c r="AK1153" s="39" t="str">
        <f t="shared" si="97"/>
        <v>2025/03/17</v>
      </c>
      <c r="AL1153" s="39" t="str">
        <f t="shared" si="96"/>
        <v>2025/04/01</v>
      </c>
    </row>
    <row r="1154" spans="1:38" x14ac:dyDescent="0.25">
      <c r="A1154" s="39" t="str">
        <f>("1410060203")</f>
        <v>1410060203</v>
      </c>
      <c r="C1154" s="39"/>
      <c r="D1154" s="39" t="s">
        <v>8225</v>
      </c>
      <c r="E1154" s="371" t="str">
        <f t="shared" si="92"/>
        <v>いわした　あおい</v>
      </c>
      <c r="F1154" s="39" t="s">
        <v>2602</v>
      </c>
      <c r="G1154" s="39" t="s">
        <v>7828</v>
      </c>
      <c r="H1154" s="39" t="str">
        <f>("2014/10/06")</f>
        <v>2014/10/06</v>
      </c>
      <c r="I1154" s="39">
        <v>5</v>
      </c>
      <c r="J1154" s="39" t="s">
        <v>1478</v>
      </c>
      <c r="K1154" s="39" t="s">
        <v>2122</v>
      </c>
      <c r="L1154" s="39" t="s">
        <v>7830</v>
      </c>
      <c r="M1154" s="39" t="s">
        <v>7831</v>
      </c>
      <c r="N1154" s="39" t="str">
        <f>("0430119")</f>
        <v>0430119</v>
      </c>
      <c r="P1154" s="39" t="s">
        <v>12630</v>
      </c>
      <c r="Q1154" s="39" t="s">
        <v>8568</v>
      </c>
      <c r="R1154" s="39" t="s">
        <v>8569</v>
      </c>
      <c r="S1154" s="39" t="s">
        <v>8570</v>
      </c>
      <c r="AK1154" s="39" t="str">
        <f t="shared" si="97"/>
        <v>2025/03/17</v>
      </c>
      <c r="AL1154" s="39" t="str">
        <f t="shared" si="96"/>
        <v>2025/04/01</v>
      </c>
    </row>
    <row r="1155" spans="1:38" x14ac:dyDescent="0.25">
      <c r="A1155" s="39" t="str">
        <f>("1410070118")</f>
        <v>1410070118</v>
      </c>
      <c r="B1155" s="39" t="s">
        <v>8226</v>
      </c>
      <c r="C1155" s="39"/>
      <c r="D1155" s="39" t="s">
        <v>5776</v>
      </c>
      <c r="E1155" s="371" t="str">
        <f t="shared" ref="E1155:E1218" si="98">PHONETIC(P1155)</f>
        <v>きもと　けいすけ</v>
      </c>
      <c r="F1155" s="39" t="s">
        <v>2138</v>
      </c>
      <c r="G1155" s="39" t="s">
        <v>7828</v>
      </c>
      <c r="H1155" s="39" t="str">
        <f>("2014/10/07")</f>
        <v>2014/10/07</v>
      </c>
      <c r="I1155" s="39">
        <v>5</v>
      </c>
      <c r="J1155" s="39" t="s">
        <v>1478</v>
      </c>
      <c r="K1155" s="39" t="s">
        <v>2122</v>
      </c>
      <c r="L1155" s="39" t="s">
        <v>7830</v>
      </c>
      <c r="M1155" s="39" t="s">
        <v>7831</v>
      </c>
      <c r="N1155" s="39" t="str">
        <f>("0130082")</f>
        <v>0130082</v>
      </c>
      <c r="P1155" s="39" t="s">
        <v>12631</v>
      </c>
      <c r="Q1155" s="39" t="s">
        <v>8568</v>
      </c>
      <c r="R1155" s="39" t="s">
        <v>8569</v>
      </c>
      <c r="S1155" s="39" t="s">
        <v>8570</v>
      </c>
      <c r="AK1155" s="39" t="str">
        <f t="shared" si="97"/>
        <v>2025/03/17</v>
      </c>
      <c r="AL1155" s="39" t="str">
        <f t="shared" si="96"/>
        <v>2025/04/01</v>
      </c>
    </row>
    <row r="1156" spans="1:38" x14ac:dyDescent="0.25">
      <c r="A1156" s="39" t="str">
        <f>("1410080068")</f>
        <v>1410080068</v>
      </c>
      <c r="B1156" s="39" t="s">
        <v>8227</v>
      </c>
      <c r="C1156" s="39"/>
      <c r="D1156" s="39" t="s">
        <v>4578</v>
      </c>
      <c r="E1156" s="371" t="str">
        <f t="shared" si="98"/>
        <v>たなか　ゆうせい</v>
      </c>
      <c r="F1156" s="39" t="s">
        <v>1330</v>
      </c>
      <c r="G1156" s="39" t="s">
        <v>7828</v>
      </c>
      <c r="H1156" s="39" t="str">
        <f>("2014/10/08")</f>
        <v>2014/10/08</v>
      </c>
      <c r="I1156" s="39">
        <v>5</v>
      </c>
      <c r="J1156" s="39" t="s">
        <v>1478</v>
      </c>
      <c r="K1156" s="39" t="s">
        <v>2122</v>
      </c>
      <c r="L1156" s="39" t="s">
        <v>7830</v>
      </c>
      <c r="M1156" s="39" t="s">
        <v>7831</v>
      </c>
      <c r="N1156" s="39" t="str">
        <f>("0130598")</f>
        <v>0130598</v>
      </c>
      <c r="P1156" s="39" t="s">
        <v>12632</v>
      </c>
      <c r="Q1156" s="39" t="s">
        <v>8568</v>
      </c>
      <c r="R1156" s="39" t="s">
        <v>8569</v>
      </c>
      <c r="S1156" s="39" t="s">
        <v>8570</v>
      </c>
      <c r="AK1156" s="39" t="str">
        <f t="shared" si="97"/>
        <v>2025/03/17</v>
      </c>
      <c r="AL1156" s="39" t="str">
        <f t="shared" si="96"/>
        <v>2025/04/01</v>
      </c>
    </row>
    <row r="1157" spans="1:38" x14ac:dyDescent="0.25">
      <c r="A1157" s="39" t="str">
        <f>("1410080203")</f>
        <v>1410080203</v>
      </c>
      <c r="C1157" s="39"/>
      <c r="D1157" s="39" t="s">
        <v>8228</v>
      </c>
      <c r="E1157" s="371" t="str">
        <f t="shared" si="98"/>
        <v>やの　ゆうき</v>
      </c>
      <c r="F1157" s="39" t="s">
        <v>2323</v>
      </c>
      <c r="G1157" s="39" t="s">
        <v>7828</v>
      </c>
      <c r="H1157" s="39" t="str">
        <f>("2014/10/08")</f>
        <v>2014/10/08</v>
      </c>
      <c r="I1157" s="39">
        <v>5</v>
      </c>
      <c r="J1157" s="39" t="s">
        <v>1478</v>
      </c>
      <c r="K1157" s="39" t="s">
        <v>2122</v>
      </c>
      <c r="L1157" s="39" t="s">
        <v>7830</v>
      </c>
      <c r="M1157" s="39" t="s">
        <v>7831</v>
      </c>
      <c r="N1157" s="39" t="str">
        <f>("0472722")</f>
        <v>0472722</v>
      </c>
      <c r="P1157" s="39" t="s">
        <v>12633</v>
      </c>
      <c r="Q1157" s="39" t="s">
        <v>8568</v>
      </c>
      <c r="R1157" s="39" t="s">
        <v>8569</v>
      </c>
      <c r="S1157" s="39" t="s">
        <v>8570</v>
      </c>
      <c r="AK1157" s="39" t="str">
        <f t="shared" si="97"/>
        <v>2025/03/17</v>
      </c>
      <c r="AL1157" s="39" t="str">
        <f t="shared" si="96"/>
        <v>2025/04/01</v>
      </c>
    </row>
    <row r="1158" spans="1:38" x14ac:dyDescent="0.25">
      <c r="A1158" s="39" t="str">
        <f>("1410080239")</f>
        <v>1410080239</v>
      </c>
      <c r="C1158" s="39"/>
      <c r="D1158" s="39" t="s">
        <v>8229</v>
      </c>
      <c r="E1158" s="371" t="str">
        <f t="shared" si="98"/>
        <v>きたさこ　たける</v>
      </c>
      <c r="F1158" s="39" t="s">
        <v>1207</v>
      </c>
      <c r="G1158" s="39" t="s">
        <v>7828</v>
      </c>
      <c r="H1158" s="39" t="str">
        <f>("2014/10/08")</f>
        <v>2014/10/08</v>
      </c>
      <c r="I1158" s="39">
        <v>5</v>
      </c>
      <c r="J1158" s="39" t="s">
        <v>1478</v>
      </c>
      <c r="K1158" s="39" t="s">
        <v>2122</v>
      </c>
      <c r="L1158" s="39" t="s">
        <v>7830</v>
      </c>
      <c r="M1158" s="39" t="s">
        <v>7831</v>
      </c>
      <c r="N1158" s="39" t="str">
        <f>("0381608")</f>
        <v>0381608</v>
      </c>
      <c r="P1158" s="39" t="s">
        <v>12634</v>
      </c>
      <c r="Q1158" s="39" t="s">
        <v>8568</v>
      </c>
      <c r="R1158" s="39" t="s">
        <v>8569</v>
      </c>
      <c r="S1158" s="39" t="s">
        <v>8570</v>
      </c>
      <c r="AK1158" s="39" t="str">
        <f>("2025/04/23")</f>
        <v>2025/04/23</v>
      </c>
      <c r="AL1158" s="39" t="str">
        <f>("2025/04/23")</f>
        <v>2025/04/23</v>
      </c>
    </row>
    <row r="1159" spans="1:38" x14ac:dyDescent="0.25">
      <c r="A1159" s="39" t="str">
        <f>("1410090150")</f>
        <v>1410090150</v>
      </c>
      <c r="C1159" s="39"/>
      <c r="D1159" s="39" t="s">
        <v>8230</v>
      </c>
      <c r="E1159" s="371" t="str">
        <f t="shared" si="98"/>
        <v>もとかわ　はやと</v>
      </c>
      <c r="F1159" s="39" t="s">
        <v>2573</v>
      </c>
      <c r="G1159" s="39" t="s">
        <v>7828</v>
      </c>
      <c r="H1159" s="39" t="str">
        <f>("2014/10/09")</f>
        <v>2014/10/09</v>
      </c>
      <c r="I1159" s="39">
        <v>5</v>
      </c>
      <c r="J1159" s="39" t="s">
        <v>1478</v>
      </c>
      <c r="K1159" s="39" t="s">
        <v>2122</v>
      </c>
      <c r="L1159" s="39" t="s">
        <v>7830</v>
      </c>
      <c r="M1159" s="39" t="s">
        <v>7831</v>
      </c>
      <c r="N1159" s="39" t="str">
        <f>("0230982")</f>
        <v>0230982</v>
      </c>
      <c r="P1159" s="39" t="s">
        <v>12635</v>
      </c>
      <c r="Q1159" s="39" t="s">
        <v>8568</v>
      </c>
      <c r="R1159" s="39" t="s">
        <v>8569</v>
      </c>
      <c r="S1159" s="39" t="s">
        <v>8570</v>
      </c>
      <c r="AK1159" s="39" t="str">
        <f>("2025/03/17")</f>
        <v>2025/03/17</v>
      </c>
      <c r="AL1159" s="39" t="str">
        <f t="shared" ref="AL1159:AL1172" si="99">("2025/04/01")</f>
        <v>2025/04/01</v>
      </c>
    </row>
    <row r="1160" spans="1:38" x14ac:dyDescent="0.25">
      <c r="A1160" s="39" t="str">
        <f>("1410100153")</f>
        <v>1410100153</v>
      </c>
      <c r="B1160" s="39" t="s">
        <v>8231</v>
      </c>
      <c r="C1160" s="39"/>
      <c r="D1160" s="39" t="s">
        <v>8232</v>
      </c>
      <c r="E1160" s="371" t="str">
        <f t="shared" si="98"/>
        <v>おおくぼ　しゅう</v>
      </c>
      <c r="F1160" s="39" t="s">
        <v>2587</v>
      </c>
      <c r="G1160" s="39" t="s">
        <v>7828</v>
      </c>
      <c r="H1160" s="39" t="str">
        <f>("2014/10/10")</f>
        <v>2014/10/10</v>
      </c>
      <c r="I1160" s="39">
        <v>5</v>
      </c>
      <c r="J1160" s="39" t="s">
        <v>1478</v>
      </c>
      <c r="K1160" s="39" t="s">
        <v>2122</v>
      </c>
      <c r="L1160" s="39" t="s">
        <v>7830</v>
      </c>
      <c r="M1160" s="39" t="s">
        <v>7831</v>
      </c>
      <c r="N1160" s="39" t="str">
        <f>("0387334")</f>
        <v>0387334</v>
      </c>
      <c r="P1160" s="39" t="s">
        <v>12636</v>
      </c>
      <c r="Q1160" s="39" t="s">
        <v>8568</v>
      </c>
      <c r="R1160" s="39" t="s">
        <v>8569</v>
      </c>
      <c r="S1160" s="39" t="s">
        <v>8570</v>
      </c>
      <c r="AK1160" s="39" t="str">
        <f>("2025/03/27")</f>
        <v>2025/03/27</v>
      </c>
      <c r="AL1160" s="39" t="str">
        <f t="shared" si="99"/>
        <v>2025/04/01</v>
      </c>
    </row>
    <row r="1161" spans="1:38" x14ac:dyDescent="0.25">
      <c r="A1161" s="39" t="str">
        <f>("1410100229")</f>
        <v>1410100229</v>
      </c>
      <c r="C1161" s="39"/>
      <c r="D1161" s="39" t="s">
        <v>6193</v>
      </c>
      <c r="E1161" s="371" t="str">
        <f t="shared" si="98"/>
        <v>ごとう　こお</v>
      </c>
      <c r="F1161" s="39" t="s">
        <v>1014</v>
      </c>
      <c r="G1161" s="39" t="s">
        <v>7828</v>
      </c>
      <c r="H1161" s="39" t="str">
        <f>("2014/10/10")</f>
        <v>2014/10/10</v>
      </c>
      <c r="I1161" s="39">
        <v>5</v>
      </c>
      <c r="J1161" s="39" t="s">
        <v>1478</v>
      </c>
      <c r="K1161" s="39" t="s">
        <v>2122</v>
      </c>
      <c r="L1161" s="39" t="s">
        <v>7830</v>
      </c>
      <c r="M1161" s="39" t="s">
        <v>7831</v>
      </c>
      <c r="N1161" s="39" t="str">
        <f>("0513313")</f>
        <v>0513313</v>
      </c>
      <c r="P1161" s="39" t="s">
        <v>12637</v>
      </c>
      <c r="Q1161" s="39" t="s">
        <v>8568</v>
      </c>
      <c r="R1161" s="39" t="s">
        <v>8569</v>
      </c>
      <c r="S1161" s="39" t="s">
        <v>8570</v>
      </c>
      <c r="AK1161" s="39" t="str">
        <f>("2025/03/17")</f>
        <v>2025/03/17</v>
      </c>
      <c r="AL1161" s="39" t="str">
        <f t="shared" si="99"/>
        <v>2025/04/01</v>
      </c>
    </row>
    <row r="1162" spans="1:38" x14ac:dyDescent="0.25">
      <c r="A1162" s="39" t="str">
        <f>("1410110119")</f>
        <v>1410110119</v>
      </c>
      <c r="C1162" s="39"/>
      <c r="D1162" s="39" t="s">
        <v>5854</v>
      </c>
      <c r="E1162" s="371" t="str">
        <f t="shared" si="98"/>
        <v>やまむら　しゅんた</v>
      </c>
      <c r="F1162" s="39" t="s">
        <v>1751</v>
      </c>
      <c r="G1162" s="39" t="s">
        <v>7828</v>
      </c>
      <c r="H1162" s="39" t="str">
        <f>("2014/10/11")</f>
        <v>2014/10/11</v>
      </c>
      <c r="I1162" s="39">
        <v>5</v>
      </c>
      <c r="J1162" s="39" t="s">
        <v>1478</v>
      </c>
      <c r="K1162" s="39" t="s">
        <v>2122</v>
      </c>
      <c r="L1162" s="39" t="s">
        <v>7830</v>
      </c>
      <c r="M1162" s="39" t="s">
        <v>7831</v>
      </c>
      <c r="N1162" s="39" t="str">
        <f>("0130453")</f>
        <v>0130453</v>
      </c>
      <c r="P1162" s="39" t="s">
        <v>12638</v>
      </c>
      <c r="Q1162" s="39" t="s">
        <v>8568</v>
      </c>
      <c r="R1162" s="39" t="s">
        <v>8569</v>
      </c>
      <c r="S1162" s="39" t="s">
        <v>8570</v>
      </c>
      <c r="AK1162" s="39" t="str">
        <f>("2025/03/17")</f>
        <v>2025/03/17</v>
      </c>
      <c r="AL1162" s="39" t="str">
        <f t="shared" si="99"/>
        <v>2025/04/01</v>
      </c>
    </row>
    <row r="1163" spans="1:38" x14ac:dyDescent="0.25">
      <c r="A1163" s="39" t="str">
        <f>("1410130007")</f>
        <v>1410130007</v>
      </c>
      <c r="B1163" s="39" t="s">
        <v>8233</v>
      </c>
      <c r="C1163" s="39"/>
      <c r="D1163" s="39" t="s">
        <v>8234</v>
      </c>
      <c r="E1163" s="371" t="str">
        <f t="shared" si="98"/>
        <v>ひめの　うた</v>
      </c>
      <c r="F1163" s="39" t="s">
        <v>8135</v>
      </c>
      <c r="G1163" s="39" t="s">
        <v>7828</v>
      </c>
      <c r="H1163" s="39" t="str">
        <f>("2014/10/13")</f>
        <v>2014/10/13</v>
      </c>
      <c r="I1163" s="39">
        <v>5</v>
      </c>
      <c r="J1163" s="39" t="s">
        <v>1478</v>
      </c>
      <c r="K1163" s="39" t="s">
        <v>2122</v>
      </c>
      <c r="L1163" s="39" t="s">
        <v>7830</v>
      </c>
      <c r="M1163" s="39" t="s">
        <v>7831</v>
      </c>
      <c r="N1163" s="39" t="str">
        <f>("0475567")</f>
        <v>0475567</v>
      </c>
      <c r="P1163" s="39" t="s">
        <v>12639</v>
      </c>
      <c r="Q1163" s="39" t="s">
        <v>8568</v>
      </c>
      <c r="R1163" s="39" t="s">
        <v>8569</v>
      </c>
      <c r="S1163" s="39" t="s">
        <v>8570</v>
      </c>
      <c r="AK1163" s="39" t="str">
        <f>("2025/03/24")</f>
        <v>2025/03/24</v>
      </c>
      <c r="AL1163" s="39" t="str">
        <f t="shared" si="99"/>
        <v>2025/04/01</v>
      </c>
    </row>
    <row r="1164" spans="1:38" x14ac:dyDescent="0.25">
      <c r="A1164" s="39" t="str">
        <f>("1410130111")</f>
        <v>1410130111</v>
      </c>
      <c r="C1164" s="39"/>
      <c r="D1164" s="39" t="s">
        <v>8235</v>
      </c>
      <c r="E1164" s="371" t="str">
        <f t="shared" si="98"/>
        <v>たぐち　りゅうと</v>
      </c>
      <c r="F1164" s="39" t="s">
        <v>1239</v>
      </c>
      <c r="G1164" s="39" t="s">
        <v>7828</v>
      </c>
      <c r="H1164" s="39" t="str">
        <f>("2014/10/13")</f>
        <v>2014/10/13</v>
      </c>
      <c r="I1164" s="39">
        <v>5</v>
      </c>
      <c r="J1164" s="39" t="s">
        <v>1478</v>
      </c>
      <c r="K1164" s="39" t="s">
        <v>2122</v>
      </c>
      <c r="L1164" s="39" t="s">
        <v>7830</v>
      </c>
      <c r="M1164" s="39" t="s">
        <v>7831</v>
      </c>
      <c r="N1164" s="39" t="str">
        <f>("0129585")</f>
        <v>0129585</v>
      </c>
      <c r="P1164" s="39" t="s">
        <v>12640</v>
      </c>
      <c r="Q1164" s="39" t="s">
        <v>8568</v>
      </c>
      <c r="R1164" s="39" t="s">
        <v>8569</v>
      </c>
      <c r="S1164" s="39" t="s">
        <v>8570</v>
      </c>
      <c r="AK1164" s="39" t="str">
        <f>("2025/03/17")</f>
        <v>2025/03/17</v>
      </c>
      <c r="AL1164" s="39" t="str">
        <f t="shared" si="99"/>
        <v>2025/04/01</v>
      </c>
    </row>
    <row r="1165" spans="1:38" x14ac:dyDescent="0.25">
      <c r="A1165" s="39" t="str">
        <f>("1410140138")</f>
        <v>1410140138</v>
      </c>
      <c r="C1165" s="39"/>
      <c r="D1165" s="39" t="s">
        <v>5842</v>
      </c>
      <c r="E1165" s="371" t="str">
        <f t="shared" si="98"/>
        <v>かわの　かいと</v>
      </c>
      <c r="F1165" s="39" t="s">
        <v>2531</v>
      </c>
      <c r="G1165" s="39" t="s">
        <v>7828</v>
      </c>
      <c r="H1165" s="39" t="str">
        <f>("2014/10/14")</f>
        <v>2014/10/14</v>
      </c>
      <c r="I1165" s="39">
        <v>5</v>
      </c>
      <c r="J1165" s="39" t="s">
        <v>1478</v>
      </c>
      <c r="K1165" s="39" t="s">
        <v>2122</v>
      </c>
      <c r="L1165" s="39" t="s">
        <v>7830</v>
      </c>
      <c r="M1165" s="39" t="s">
        <v>7831</v>
      </c>
      <c r="N1165" s="39" t="str">
        <f>("0130419")</f>
        <v>0130419</v>
      </c>
      <c r="P1165" s="39" t="s">
        <v>12641</v>
      </c>
      <c r="Q1165" s="39" t="s">
        <v>8568</v>
      </c>
      <c r="R1165" s="39" t="s">
        <v>8569</v>
      </c>
      <c r="S1165" s="39" t="s">
        <v>8570</v>
      </c>
      <c r="AK1165" s="39" t="str">
        <f>("2025/03/17")</f>
        <v>2025/03/17</v>
      </c>
      <c r="AL1165" s="39" t="str">
        <f t="shared" si="99"/>
        <v>2025/04/01</v>
      </c>
    </row>
    <row r="1166" spans="1:38" x14ac:dyDescent="0.25">
      <c r="A1166" s="39" t="str">
        <f>("1410140191")</f>
        <v>1410140191</v>
      </c>
      <c r="C1166" s="39"/>
      <c r="D1166" s="39" t="s">
        <v>8236</v>
      </c>
      <c r="E1166" s="371" t="str">
        <f t="shared" si="98"/>
        <v>ふるの　ゆうた</v>
      </c>
      <c r="F1166" s="39" t="s">
        <v>829</v>
      </c>
      <c r="G1166" s="39" t="s">
        <v>7828</v>
      </c>
      <c r="H1166" s="39" t="str">
        <f>("2014/10/14")</f>
        <v>2014/10/14</v>
      </c>
      <c r="I1166" s="39">
        <v>5</v>
      </c>
      <c r="J1166" s="39" t="s">
        <v>1478</v>
      </c>
      <c r="K1166" s="39" t="s">
        <v>2122</v>
      </c>
      <c r="L1166" s="39" t="s">
        <v>7830</v>
      </c>
      <c r="M1166" s="39" t="s">
        <v>7831</v>
      </c>
      <c r="N1166" s="39" t="str">
        <f>("0426631")</f>
        <v>0426631</v>
      </c>
      <c r="P1166" s="39" t="s">
        <v>12642</v>
      </c>
      <c r="Q1166" s="39" t="s">
        <v>8568</v>
      </c>
      <c r="R1166" s="39" t="s">
        <v>8569</v>
      </c>
      <c r="S1166" s="39" t="s">
        <v>8570</v>
      </c>
      <c r="AK1166" s="39" t="str">
        <f>("2025/03/21")</f>
        <v>2025/03/21</v>
      </c>
      <c r="AL1166" s="39" t="str">
        <f t="shared" si="99"/>
        <v>2025/04/01</v>
      </c>
    </row>
    <row r="1167" spans="1:38" x14ac:dyDescent="0.25">
      <c r="A1167" s="39" t="str">
        <f>("1410140203")</f>
        <v>1410140203</v>
      </c>
      <c r="C1167" s="39"/>
      <c r="D1167" s="39" t="s">
        <v>8237</v>
      </c>
      <c r="E1167" s="371" t="str">
        <f t="shared" si="98"/>
        <v>きたざと　だいち</v>
      </c>
      <c r="F1167" s="39" t="s">
        <v>1968</v>
      </c>
      <c r="G1167" s="39" t="s">
        <v>7828</v>
      </c>
      <c r="H1167" s="39" t="str">
        <f>("2014/10/14")</f>
        <v>2014/10/14</v>
      </c>
      <c r="I1167" s="39">
        <v>5</v>
      </c>
      <c r="J1167" s="39" t="s">
        <v>1478</v>
      </c>
      <c r="K1167" s="39" t="s">
        <v>2122</v>
      </c>
      <c r="L1167" s="39" t="s">
        <v>7830</v>
      </c>
      <c r="M1167" s="39" t="s">
        <v>7831</v>
      </c>
      <c r="N1167" s="39" t="str">
        <f>("0129507")</f>
        <v>0129507</v>
      </c>
      <c r="P1167" s="39" t="s">
        <v>12643</v>
      </c>
      <c r="Q1167" s="39" t="s">
        <v>8568</v>
      </c>
      <c r="R1167" s="39" t="s">
        <v>8569</v>
      </c>
      <c r="S1167" s="39" t="s">
        <v>8570</v>
      </c>
      <c r="AK1167" s="39" t="str">
        <f>("2025/03/17")</f>
        <v>2025/03/17</v>
      </c>
      <c r="AL1167" s="39" t="str">
        <f t="shared" si="99"/>
        <v>2025/04/01</v>
      </c>
    </row>
    <row r="1168" spans="1:38" x14ac:dyDescent="0.25">
      <c r="A1168" s="39" t="str">
        <f>("1410150033")</f>
        <v>1410150033</v>
      </c>
      <c r="C1168" s="39"/>
      <c r="D1168" s="39" t="s">
        <v>8238</v>
      </c>
      <c r="E1168" s="371" t="str">
        <f t="shared" si="98"/>
        <v>ありま　けいと</v>
      </c>
      <c r="F1168" s="39" t="s">
        <v>2477</v>
      </c>
      <c r="G1168" s="39" t="s">
        <v>7828</v>
      </c>
      <c r="H1168" s="39" t="str">
        <f>("2014/10/15")</f>
        <v>2014/10/15</v>
      </c>
      <c r="I1168" s="39">
        <v>5</v>
      </c>
      <c r="J1168" s="39" t="s">
        <v>1478</v>
      </c>
      <c r="K1168" s="39" t="s">
        <v>2122</v>
      </c>
      <c r="L1168" s="39" t="s">
        <v>7830</v>
      </c>
      <c r="M1168" s="39" t="s">
        <v>7831</v>
      </c>
      <c r="N1168" s="39" t="str">
        <f>("0129541")</f>
        <v>0129541</v>
      </c>
      <c r="P1168" s="39" t="s">
        <v>12644</v>
      </c>
      <c r="Q1168" s="39" t="s">
        <v>8568</v>
      </c>
      <c r="R1168" s="39" t="s">
        <v>8569</v>
      </c>
      <c r="S1168" s="39" t="s">
        <v>8570</v>
      </c>
      <c r="AK1168" s="39" t="str">
        <f>("2025/03/27")</f>
        <v>2025/03/27</v>
      </c>
      <c r="AL1168" s="39" t="str">
        <f t="shared" si="99"/>
        <v>2025/04/01</v>
      </c>
    </row>
    <row r="1169" spans="1:39" x14ac:dyDescent="0.25">
      <c r="A1169" s="39" t="str">
        <f>("1410150043")</f>
        <v>1410150043</v>
      </c>
      <c r="C1169" s="39"/>
      <c r="D1169" s="39" t="s">
        <v>8239</v>
      </c>
      <c r="E1169" s="371" t="str">
        <f t="shared" si="98"/>
        <v>もろおか　あさひ</v>
      </c>
      <c r="F1169" s="39" t="s">
        <v>2299</v>
      </c>
      <c r="G1169" s="39" t="s">
        <v>7828</v>
      </c>
      <c r="H1169" s="39" t="str">
        <f>("2014/10/15")</f>
        <v>2014/10/15</v>
      </c>
      <c r="I1169" s="39">
        <v>5</v>
      </c>
      <c r="J1169" s="39" t="s">
        <v>1478</v>
      </c>
      <c r="K1169" s="39" t="s">
        <v>2122</v>
      </c>
      <c r="L1169" s="39" t="s">
        <v>7830</v>
      </c>
      <c r="M1169" s="39" t="s">
        <v>7831</v>
      </c>
      <c r="N1169" s="39" t="str">
        <f>("1066647")</f>
        <v>1066647</v>
      </c>
      <c r="P1169" s="39" t="s">
        <v>12645</v>
      </c>
      <c r="Q1169" s="39" t="s">
        <v>8568</v>
      </c>
      <c r="R1169" s="39" t="s">
        <v>8569</v>
      </c>
      <c r="S1169" s="39" t="s">
        <v>8570</v>
      </c>
      <c r="AK1169" s="39" t="str">
        <f>("2025/03/21")</f>
        <v>2025/03/21</v>
      </c>
      <c r="AL1169" s="39" t="str">
        <f t="shared" si="99"/>
        <v>2025/04/01</v>
      </c>
    </row>
    <row r="1170" spans="1:39" x14ac:dyDescent="0.25">
      <c r="A1170" s="39" t="str">
        <f>("1410160109")</f>
        <v>1410160109</v>
      </c>
      <c r="C1170" s="39"/>
      <c r="D1170" s="39" t="s">
        <v>8240</v>
      </c>
      <c r="E1170" s="371" t="str">
        <f t="shared" si="98"/>
        <v>はしもと　がくと</v>
      </c>
      <c r="F1170" s="39" t="s">
        <v>1917</v>
      </c>
      <c r="G1170" s="39" t="s">
        <v>7828</v>
      </c>
      <c r="H1170" s="39" t="str">
        <f>("2014/10/16")</f>
        <v>2014/10/16</v>
      </c>
      <c r="I1170" s="39">
        <v>5</v>
      </c>
      <c r="J1170" s="39" t="s">
        <v>1478</v>
      </c>
      <c r="K1170" s="39" t="s">
        <v>2122</v>
      </c>
      <c r="L1170" s="39" t="s">
        <v>7830</v>
      </c>
      <c r="M1170" s="39" t="s">
        <v>7831</v>
      </c>
      <c r="N1170" s="39" t="str">
        <f>("1032161")</f>
        <v>1032161</v>
      </c>
      <c r="P1170" s="39" t="s">
        <v>12646</v>
      </c>
      <c r="Q1170" s="39" t="s">
        <v>8568</v>
      </c>
      <c r="R1170" s="39" t="s">
        <v>8569</v>
      </c>
      <c r="S1170" s="39" t="s">
        <v>8570</v>
      </c>
      <c r="AK1170" s="39" t="str">
        <f>("2025/03/21")</f>
        <v>2025/03/21</v>
      </c>
      <c r="AL1170" s="39" t="str">
        <f t="shared" si="99"/>
        <v>2025/04/01</v>
      </c>
    </row>
    <row r="1171" spans="1:39" x14ac:dyDescent="0.25">
      <c r="A1171" s="39" t="str">
        <f>("1410160130")</f>
        <v>1410160130</v>
      </c>
      <c r="C1171" s="39"/>
      <c r="D1171" s="39" t="s">
        <v>8241</v>
      </c>
      <c r="E1171" s="371" t="str">
        <f t="shared" si="98"/>
        <v>はらの　こうすけ</v>
      </c>
      <c r="F1171" s="39" t="s">
        <v>2587</v>
      </c>
      <c r="G1171" s="39" t="s">
        <v>7828</v>
      </c>
      <c r="H1171" s="39" t="str">
        <f>("2014/10/16")</f>
        <v>2014/10/16</v>
      </c>
      <c r="I1171" s="39">
        <v>5</v>
      </c>
      <c r="J1171" s="39" t="s">
        <v>1478</v>
      </c>
      <c r="K1171" s="39" t="s">
        <v>2122</v>
      </c>
      <c r="L1171" s="39" t="s">
        <v>7830</v>
      </c>
      <c r="M1171" s="39" t="s">
        <v>7831</v>
      </c>
      <c r="N1171" s="39" t="str">
        <f>("0387334")</f>
        <v>0387334</v>
      </c>
      <c r="P1171" s="39" t="s">
        <v>12647</v>
      </c>
      <c r="Q1171" s="39" t="s">
        <v>8568</v>
      </c>
      <c r="R1171" s="39" t="s">
        <v>8569</v>
      </c>
      <c r="S1171" s="39" t="s">
        <v>8570</v>
      </c>
      <c r="AK1171" s="39" t="str">
        <f>("2025/03/27")</f>
        <v>2025/03/27</v>
      </c>
      <c r="AL1171" s="39" t="str">
        <f t="shared" si="99"/>
        <v>2025/04/01</v>
      </c>
    </row>
    <row r="1172" spans="1:39" x14ac:dyDescent="0.25">
      <c r="A1172" s="39" t="str">
        <f>("1410160139")</f>
        <v>1410160139</v>
      </c>
      <c r="B1172" s="39" t="s">
        <v>8242</v>
      </c>
      <c r="C1172" s="39"/>
      <c r="D1172" s="39" t="s">
        <v>6212</v>
      </c>
      <c r="E1172" s="371" t="str">
        <f t="shared" si="98"/>
        <v>いとう　あやの</v>
      </c>
      <c r="F1172" s="39" t="s">
        <v>7864</v>
      </c>
      <c r="G1172" s="39" t="s">
        <v>7828</v>
      </c>
      <c r="H1172" s="39" t="str">
        <f>("2014/10/16")</f>
        <v>2014/10/16</v>
      </c>
      <c r="I1172" s="39">
        <v>5</v>
      </c>
      <c r="J1172" s="39" t="s">
        <v>1480</v>
      </c>
      <c r="K1172" s="39" t="s">
        <v>2122</v>
      </c>
      <c r="L1172" s="39" t="s">
        <v>7830</v>
      </c>
      <c r="M1172" s="39" t="s">
        <v>7831</v>
      </c>
      <c r="N1172" s="39" t="str">
        <f>("1039801")</f>
        <v>1039801</v>
      </c>
      <c r="P1172" s="39" t="s">
        <v>12648</v>
      </c>
      <c r="Q1172" s="39" t="s">
        <v>8568</v>
      </c>
      <c r="R1172" s="39" t="s">
        <v>8569</v>
      </c>
      <c r="S1172" s="39" t="s">
        <v>8570</v>
      </c>
      <c r="AK1172" s="39" t="str">
        <f>("2025/03/24")</f>
        <v>2025/03/24</v>
      </c>
      <c r="AL1172" s="39" t="str">
        <f t="shared" si="99"/>
        <v>2025/04/01</v>
      </c>
    </row>
    <row r="1173" spans="1:39" x14ac:dyDescent="0.25">
      <c r="A1173" s="39" t="str">
        <f>("1410160202")</f>
        <v>1410160202</v>
      </c>
      <c r="C1173" s="39"/>
      <c r="D1173" s="39" t="s">
        <v>8243</v>
      </c>
      <c r="E1173" s="371" t="str">
        <f t="shared" si="98"/>
        <v>てつもと　しゅうと</v>
      </c>
      <c r="F1173" s="39" t="s">
        <v>1481</v>
      </c>
      <c r="G1173" s="39" t="s">
        <v>7828</v>
      </c>
      <c r="H1173" s="39" t="str">
        <f>("2014/10/16")</f>
        <v>2014/10/16</v>
      </c>
      <c r="I1173" s="39">
        <v>5</v>
      </c>
      <c r="J1173" s="39" t="s">
        <v>1478</v>
      </c>
      <c r="K1173" s="39" t="s">
        <v>2122</v>
      </c>
      <c r="L1173" s="39" t="s">
        <v>7830</v>
      </c>
      <c r="M1173" s="39" t="s">
        <v>7831</v>
      </c>
      <c r="N1173" s="39" t="str">
        <f>("0129866")</f>
        <v>0129866</v>
      </c>
      <c r="P1173" s="39" t="s">
        <v>12649</v>
      </c>
      <c r="Q1173" s="39" t="s">
        <v>8568</v>
      </c>
      <c r="R1173" s="39" t="s">
        <v>8569</v>
      </c>
      <c r="S1173" s="39" t="s">
        <v>8570</v>
      </c>
      <c r="AK1173" s="39" t="str">
        <f>("2025/04/10")</f>
        <v>2025/04/10</v>
      </c>
      <c r="AL1173" s="39" t="str">
        <f>("2025/04/10")</f>
        <v>2025/04/10</v>
      </c>
    </row>
    <row r="1174" spans="1:39" x14ac:dyDescent="0.25">
      <c r="A1174" s="39" t="str">
        <f>("1410170002")</f>
        <v>1410170002</v>
      </c>
      <c r="B1174" s="39" t="s">
        <v>8244</v>
      </c>
      <c r="C1174" s="39"/>
      <c r="D1174" s="39" t="s">
        <v>6041</v>
      </c>
      <c r="E1174" s="371" t="str">
        <f t="shared" si="98"/>
        <v>しまだ　ひろと</v>
      </c>
      <c r="F1174" s="39" t="s">
        <v>2584</v>
      </c>
      <c r="G1174" s="39" t="s">
        <v>7828</v>
      </c>
      <c r="H1174" s="39" t="str">
        <f>("2014/10/17")</f>
        <v>2014/10/17</v>
      </c>
      <c r="I1174" s="39">
        <v>5</v>
      </c>
      <c r="J1174" s="39" t="s">
        <v>1478</v>
      </c>
      <c r="K1174" s="39" t="s">
        <v>2122</v>
      </c>
      <c r="L1174" s="39" t="s">
        <v>7830</v>
      </c>
      <c r="M1174" s="39" t="s">
        <v>7831</v>
      </c>
      <c r="N1174" s="39" t="str">
        <f>("0374071")</f>
        <v>0374071</v>
      </c>
      <c r="P1174" s="39" t="s">
        <v>11895</v>
      </c>
      <c r="Q1174" s="39" t="s">
        <v>8568</v>
      </c>
      <c r="R1174" s="39" t="s">
        <v>8569</v>
      </c>
      <c r="S1174" s="39" t="s">
        <v>8570</v>
      </c>
      <c r="AK1174" s="39" t="str">
        <f>("2025/03/17")</f>
        <v>2025/03/17</v>
      </c>
      <c r="AL1174" s="39" t="str">
        <f t="shared" ref="AL1174:AL1197" si="100">("2025/04/01")</f>
        <v>2025/04/01</v>
      </c>
    </row>
    <row r="1175" spans="1:39" x14ac:dyDescent="0.25">
      <c r="A1175" s="39" t="str">
        <f>("1410170099")</f>
        <v>1410170099</v>
      </c>
      <c r="B1175" s="39" t="s">
        <v>8245</v>
      </c>
      <c r="C1175" s="39"/>
      <c r="D1175" s="39" t="s">
        <v>5822</v>
      </c>
      <c r="E1175" s="371" t="str">
        <f t="shared" si="98"/>
        <v>あさお　けいた</v>
      </c>
      <c r="F1175" s="39" t="s">
        <v>1912</v>
      </c>
      <c r="G1175" s="39" t="s">
        <v>7828</v>
      </c>
      <c r="H1175" s="39" t="str">
        <f>("2014/10/17")</f>
        <v>2014/10/17</v>
      </c>
      <c r="I1175" s="39">
        <v>5</v>
      </c>
      <c r="J1175" s="39" t="s">
        <v>1478</v>
      </c>
      <c r="K1175" s="39" t="s">
        <v>2122</v>
      </c>
      <c r="L1175" s="39" t="s">
        <v>7830</v>
      </c>
      <c r="M1175" s="39" t="s">
        <v>7831</v>
      </c>
      <c r="N1175" s="39" t="str">
        <f>("0130363")</f>
        <v>0130363</v>
      </c>
      <c r="P1175" s="39" t="s">
        <v>12650</v>
      </c>
      <c r="Q1175" s="39" t="s">
        <v>8568</v>
      </c>
      <c r="R1175" s="39" t="s">
        <v>8569</v>
      </c>
      <c r="S1175" s="39" t="s">
        <v>8570</v>
      </c>
      <c r="AK1175" s="39" t="str">
        <f>("2025/03/17")</f>
        <v>2025/03/17</v>
      </c>
      <c r="AL1175" s="39" t="str">
        <f t="shared" si="100"/>
        <v>2025/04/01</v>
      </c>
    </row>
    <row r="1176" spans="1:39" x14ac:dyDescent="0.25">
      <c r="A1176" s="39" t="str">
        <f>("1410180020")</f>
        <v>1410180020</v>
      </c>
      <c r="B1176" s="39" t="s">
        <v>8246</v>
      </c>
      <c r="C1176" s="39"/>
      <c r="D1176" s="39" t="s">
        <v>5686</v>
      </c>
      <c r="E1176" s="371" t="str">
        <f t="shared" si="98"/>
        <v>あべ　はるき</v>
      </c>
      <c r="F1176" s="39" t="s">
        <v>5615</v>
      </c>
      <c r="G1176" s="39" t="s">
        <v>7828</v>
      </c>
      <c r="H1176" s="39" t="str">
        <f>("2014/10/18")</f>
        <v>2014/10/18</v>
      </c>
      <c r="I1176" s="39">
        <v>5</v>
      </c>
      <c r="J1176" s="39" t="s">
        <v>1478</v>
      </c>
      <c r="K1176" s="39" t="s">
        <v>2122</v>
      </c>
      <c r="L1176" s="39" t="s">
        <v>7830</v>
      </c>
      <c r="M1176" s="39" t="s">
        <v>7831</v>
      </c>
      <c r="N1176" s="39" t="str">
        <f>("0129642")</f>
        <v>0129642</v>
      </c>
      <c r="P1176" s="39" t="s">
        <v>12651</v>
      </c>
      <c r="Q1176" s="39" t="s">
        <v>8568</v>
      </c>
      <c r="R1176" s="39" t="s">
        <v>8569</v>
      </c>
      <c r="S1176" s="39" t="s">
        <v>8570</v>
      </c>
      <c r="AK1176" s="39" t="str">
        <f>("2025/03/24")</f>
        <v>2025/03/24</v>
      </c>
      <c r="AL1176" s="39" t="str">
        <f t="shared" si="100"/>
        <v>2025/04/01</v>
      </c>
    </row>
    <row r="1177" spans="1:39" x14ac:dyDescent="0.25">
      <c r="A1177" s="39" t="str">
        <f>("1410190034")</f>
        <v>1410190034</v>
      </c>
      <c r="B1177" s="39" t="s">
        <v>8247</v>
      </c>
      <c r="C1177" s="39"/>
      <c r="D1177" s="39" t="s">
        <v>4376</v>
      </c>
      <c r="E1177" s="371" t="str">
        <f t="shared" si="98"/>
        <v>ありなが　むつき</v>
      </c>
      <c r="F1177" s="39" t="s">
        <v>156</v>
      </c>
      <c r="G1177" s="39" t="s">
        <v>7828</v>
      </c>
      <c r="H1177" s="39" t="str">
        <f>("2014/10/19")</f>
        <v>2014/10/19</v>
      </c>
      <c r="I1177" s="39">
        <v>5</v>
      </c>
      <c r="J1177" s="39" t="s">
        <v>1478</v>
      </c>
      <c r="K1177" s="39" t="s">
        <v>2122</v>
      </c>
      <c r="L1177" s="39" t="s">
        <v>7830</v>
      </c>
      <c r="M1177" s="39" t="s">
        <v>7831</v>
      </c>
      <c r="N1177" s="39" t="str">
        <f>("0130037")</f>
        <v>0130037</v>
      </c>
      <c r="P1177" s="39" t="s">
        <v>12652</v>
      </c>
      <c r="Q1177" s="39" t="s">
        <v>8568</v>
      </c>
      <c r="R1177" s="39" t="s">
        <v>8569</v>
      </c>
      <c r="S1177" s="39" t="s">
        <v>8570</v>
      </c>
      <c r="AK1177" s="39" t="str">
        <f>("2025/03/17")</f>
        <v>2025/03/17</v>
      </c>
      <c r="AL1177" s="39" t="str">
        <f t="shared" si="100"/>
        <v>2025/04/01</v>
      </c>
    </row>
    <row r="1178" spans="1:39" x14ac:dyDescent="0.25">
      <c r="A1178" s="39" t="str">
        <f>("1410200115")</f>
        <v>1410200115</v>
      </c>
      <c r="C1178" s="39"/>
      <c r="D1178" s="39" t="s">
        <v>6011</v>
      </c>
      <c r="E1178" s="371" t="str">
        <f t="shared" si="98"/>
        <v>さかい　こたろう</v>
      </c>
      <c r="F1178" s="39" t="s">
        <v>1865</v>
      </c>
      <c r="G1178" s="39" t="s">
        <v>7828</v>
      </c>
      <c r="H1178" s="39" t="str">
        <f>("2014/10/20")</f>
        <v>2014/10/20</v>
      </c>
      <c r="I1178" s="39">
        <v>5</v>
      </c>
      <c r="J1178" s="39" t="s">
        <v>1478</v>
      </c>
      <c r="K1178" s="39" t="s">
        <v>2122</v>
      </c>
      <c r="L1178" s="39" t="s">
        <v>7830</v>
      </c>
      <c r="M1178" s="39" t="s">
        <v>7831</v>
      </c>
      <c r="N1178" s="39" t="str">
        <f>("0310565")</f>
        <v>0310565</v>
      </c>
      <c r="P1178" s="39" t="s">
        <v>12653</v>
      </c>
      <c r="Q1178" s="39" t="s">
        <v>8568</v>
      </c>
      <c r="R1178" s="39" t="s">
        <v>8569</v>
      </c>
      <c r="S1178" s="39" t="s">
        <v>8570</v>
      </c>
      <c r="AK1178" s="39" t="str">
        <f>("2025/03/17")</f>
        <v>2025/03/17</v>
      </c>
      <c r="AL1178" s="39" t="str">
        <f t="shared" si="100"/>
        <v>2025/04/01</v>
      </c>
    </row>
    <row r="1179" spans="1:39" x14ac:dyDescent="0.25">
      <c r="A1179" s="39" t="str">
        <f>("1410200138")</f>
        <v>1410200138</v>
      </c>
      <c r="C1179" s="39"/>
      <c r="D1179" s="39" t="s">
        <v>5853</v>
      </c>
      <c r="E1179" s="371" t="str">
        <f t="shared" si="98"/>
        <v>くろかわ　あつき</v>
      </c>
      <c r="F1179" s="39" t="s">
        <v>1751</v>
      </c>
      <c r="G1179" s="39" t="s">
        <v>7828</v>
      </c>
      <c r="H1179" s="39" t="str">
        <f>("2014/10/20")</f>
        <v>2014/10/20</v>
      </c>
      <c r="I1179" s="39">
        <v>5</v>
      </c>
      <c r="J1179" s="39" t="s">
        <v>1478</v>
      </c>
      <c r="K1179" s="39" t="s">
        <v>2122</v>
      </c>
      <c r="L1179" s="39" t="s">
        <v>7830</v>
      </c>
      <c r="M1179" s="39" t="s">
        <v>7831</v>
      </c>
      <c r="N1179" s="39" t="str">
        <f>("0130453")</f>
        <v>0130453</v>
      </c>
      <c r="P1179" s="39" t="s">
        <v>12654</v>
      </c>
      <c r="Q1179" s="39" t="s">
        <v>8568</v>
      </c>
      <c r="R1179" s="39" t="s">
        <v>8569</v>
      </c>
      <c r="S1179" s="39" t="s">
        <v>8570</v>
      </c>
      <c r="AK1179" s="39" t="str">
        <f>("2025/03/17")</f>
        <v>2025/03/17</v>
      </c>
      <c r="AL1179" s="39" t="str">
        <f t="shared" si="100"/>
        <v>2025/04/01</v>
      </c>
    </row>
    <row r="1180" spans="1:39" x14ac:dyDescent="0.25">
      <c r="A1180" s="39" t="str">
        <f>("1410200171")</f>
        <v>1410200171</v>
      </c>
      <c r="C1180" s="39"/>
      <c r="D1180" s="39" t="s">
        <v>8248</v>
      </c>
      <c r="E1180" s="371" t="str">
        <f t="shared" si="98"/>
        <v>あだち　まおや</v>
      </c>
      <c r="F1180" s="39" t="s">
        <v>2647</v>
      </c>
      <c r="G1180" s="39" t="s">
        <v>7828</v>
      </c>
      <c r="H1180" s="39" t="str">
        <f>("2014/10/20")</f>
        <v>2014/10/20</v>
      </c>
      <c r="I1180" s="39">
        <v>5</v>
      </c>
      <c r="J1180" s="39" t="s">
        <v>1478</v>
      </c>
      <c r="K1180" s="39" t="s">
        <v>2122</v>
      </c>
      <c r="L1180" s="39" t="s">
        <v>7830</v>
      </c>
      <c r="M1180" s="39" t="s">
        <v>7831</v>
      </c>
      <c r="N1180" s="39" t="str">
        <f>("1036817")</f>
        <v>1036817</v>
      </c>
      <c r="P1180" s="39" t="s">
        <v>12655</v>
      </c>
      <c r="Q1180" s="39" t="s">
        <v>8568</v>
      </c>
      <c r="R1180" s="39" t="s">
        <v>8569</v>
      </c>
      <c r="S1180" s="39" t="s">
        <v>8570</v>
      </c>
      <c r="AK1180" s="39" t="str">
        <f>("2025/03/17")</f>
        <v>2025/03/17</v>
      </c>
      <c r="AL1180" s="39" t="str">
        <f t="shared" si="100"/>
        <v>2025/04/01</v>
      </c>
    </row>
    <row r="1181" spans="1:39" x14ac:dyDescent="0.25">
      <c r="A1181" s="39" t="str">
        <f>("1410200200")</f>
        <v>1410200200</v>
      </c>
      <c r="C1181" s="39"/>
      <c r="D1181" s="39" t="s">
        <v>8249</v>
      </c>
      <c r="E1181" s="371" t="str">
        <f t="shared" si="98"/>
        <v>いしい　はると</v>
      </c>
      <c r="F1181" s="39" t="s">
        <v>2323</v>
      </c>
      <c r="G1181" s="39" t="s">
        <v>7876</v>
      </c>
      <c r="H1181" s="39" t="str">
        <f>("2014/10/20")</f>
        <v>2014/10/20</v>
      </c>
      <c r="I1181" s="39">
        <v>5</v>
      </c>
      <c r="J1181" s="39" t="s">
        <v>1478</v>
      </c>
      <c r="K1181" s="39" t="s">
        <v>2122</v>
      </c>
      <c r="L1181" s="39" t="s">
        <v>7830</v>
      </c>
      <c r="M1181" s="39" t="s">
        <v>7831</v>
      </c>
      <c r="N1181" s="39" t="str">
        <f>("0472722")</f>
        <v>0472722</v>
      </c>
      <c r="P1181" s="39" t="s">
        <v>12656</v>
      </c>
      <c r="Q1181" s="39" t="s">
        <v>8568</v>
      </c>
      <c r="R1181" s="39" t="s">
        <v>8569</v>
      </c>
      <c r="S1181" s="39" t="s">
        <v>8570</v>
      </c>
      <c r="AK1181" s="39" t="str">
        <f>("2025/03/17")</f>
        <v>2025/03/17</v>
      </c>
      <c r="AL1181" s="39" t="str">
        <f t="shared" si="100"/>
        <v>2025/04/01</v>
      </c>
      <c r="AM1181" s="39" t="str">
        <f>("2025/07/25")</f>
        <v>2025/07/25</v>
      </c>
    </row>
    <row r="1182" spans="1:39" x14ac:dyDescent="0.25">
      <c r="A1182" s="39" t="str">
        <f>("1410210093")</f>
        <v>1410210093</v>
      </c>
      <c r="C1182" s="39"/>
      <c r="D1182" s="39" t="s">
        <v>6270</v>
      </c>
      <c r="E1182" s="371" t="str">
        <f t="shared" si="98"/>
        <v>おおぼし　りゅうき</v>
      </c>
      <c r="F1182" s="39" t="s">
        <v>3870</v>
      </c>
      <c r="G1182" s="39" t="s">
        <v>7828</v>
      </c>
      <c r="H1182" s="39" t="str">
        <f>("2014/10/21")</f>
        <v>2014/10/21</v>
      </c>
      <c r="I1182" s="39">
        <v>5</v>
      </c>
      <c r="J1182" s="39" t="s">
        <v>1478</v>
      </c>
      <c r="K1182" s="39" t="s">
        <v>2122</v>
      </c>
      <c r="L1182" s="39" t="s">
        <v>7830</v>
      </c>
      <c r="M1182" s="39" t="s">
        <v>7831</v>
      </c>
      <c r="N1182" s="39" t="str">
        <f>("1094183")</f>
        <v>1094183</v>
      </c>
      <c r="P1182" s="39" t="s">
        <v>12657</v>
      </c>
      <c r="Q1182" s="39" t="s">
        <v>8568</v>
      </c>
      <c r="R1182" s="39" t="s">
        <v>8569</v>
      </c>
      <c r="S1182" s="39" t="s">
        <v>8570</v>
      </c>
      <c r="AK1182" s="39" t="str">
        <f>("2025/03/27")</f>
        <v>2025/03/27</v>
      </c>
      <c r="AL1182" s="39" t="str">
        <f t="shared" si="100"/>
        <v>2025/04/01</v>
      </c>
    </row>
    <row r="1183" spans="1:39" x14ac:dyDescent="0.25">
      <c r="A1183" s="39" t="str">
        <f>("1410210163")</f>
        <v>1410210163</v>
      </c>
      <c r="C1183" s="39"/>
      <c r="D1183" s="39" t="s">
        <v>8250</v>
      </c>
      <c r="E1183" s="371" t="str">
        <f t="shared" si="98"/>
        <v>いけだ　れんと</v>
      </c>
      <c r="F1183" s="39" t="s">
        <v>1481</v>
      </c>
      <c r="G1183" s="39" t="s">
        <v>7828</v>
      </c>
      <c r="H1183" s="39" t="str">
        <f>("2014/10/21")</f>
        <v>2014/10/21</v>
      </c>
      <c r="I1183" s="39">
        <v>5</v>
      </c>
      <c r="J1183" s="39" t="s">
        <v>1478</v>
      </c>
      <c r="K1183" s="39" t="s">
        <v>2122</v>
      </c>
      <c r="L1183" s="39" t="s">
        <v>7830</v>
      </c>
      <c r="M1183" s="39" t="s">
        <v>7831</v>
      </c>
      <c r="N1183" s="39" t="str">
        <f>("0129866")</f>
        <v>0129866</v>
      </c>
      <c r="P1183" s="39" t="s">
        <v>12658</v>
      </c>
      <c r="Q1183" s="39" t="s">
        <v>8568</v>
      </c>
      <c r="R1183" s="39" t="s">
        <v>8569</v>
      </c>
      <c r="S1183" s="39" t="s">
        <v>8570</v>
      </c>
      <c r="AK1183" s="39" t="str">
        <f>("2025/03/19")</f>
        <v>2025/03/19</v>
      </c>
      <c r="AL1183" s="39" t="str">
        <f t="shared" si="100"/>
        <v>2025/04/01</v>
      </c>
    </row>
    <row r="1184" spans="1:39" x14ac:dyDescent="0.25">
      <c r="A1184" s="39" t="str">
        <f>("1410220038")</f>
        <v>1410220038</v>
      </c>
      <c r="C1184" s="39"/>
      <c r="D1184" s="39" t="s">
        <v>5969</v>
      </c>
      <c r="E1184" s="371" t="str">
        <f t="shared" si="98"/>
        <v>ふじわら　しょうご</v>
      </c>
      <c r="F1184" s="39" t="s">
        <v>2573</v>
      </c>
      <c r="G1184" s="39" t="s">
        <v>7828</v>
      </c>
      <c r="H1184" s="39" t="str">
        <f>("2014/10/22")</f>
        <v>2014/10/22</v>
      </c>
      <c r="I1184" s="39">
        <v>5</v>
      </c>
      <c r="J1184" s="39" t="s">
        <v>1478</v>
      </c>
      <c r="K1184" s="39" t="s">
        <v>2122</v>
      </c>
      <c r="L1184" s="39" t="s">
        <v>7830</v>
      </c>
      <c r="M1184" s="39" t="s">
        <v>7831</v>
      </c>
      <c r="N1184" s="39" t="str">
        <f>("0230982")</f>
        <v>0230982</v>
      </c>
      <c r="P1184" s="39" t="s">
        <v>12659</v>
      </c>
      <c r="Q1184" s="39" t="s">
        <v>8568</v>
      </c>
      <c r="R1184" s="39" t="s">
        <v>8569</v>
      </c>
      <c r="S1184" s="39" t="s">
        <v>8570</v>
      </c>
      <c r="AK1184" s="39" t="str">
        <f>("2025/03/17")</f>
        <v>2025/03/17</v>
      </c>
      <c r="AL1184" s="39" t="str">
        <f t="shared" si="100"/>
        <v>2025/04/01</v>
      </c>
    </row>
    <row r="1185" spans="1:38" x14ac:dyDescent="0.25">
      <c r="A1185" s="39" t="str">
        <f>("1410220217")</f>
        <v>1410220217</v>
      </c>
      <c r="C1185" s="39"/>
      <c r="D1185" s="39" t="s">
        <v>8251</v>
      </c>
      <c r="E1185" s="371" t="str">
        <f t="shared" si="98"/>
        <v>いかがわ　あんな</v>
      </c>
      <c r="F1185" s="39" t="s">
        <v>2602</v>
      </c>
      <c r="G1185" s="39" t="s">
        <v>7828</v>
      </c>
      <c r="H1185" s="39" t="str">
        <f>("2014/10/22")</f>
        <v>2014/10/22</v>
      </c>
      <c r="I1185" s="39">
        <v>5</v>
      </c>
      <c r="J1185" s="39" t="s">
        <v>1480</v>
      </c>
      <c r="K1185" s="39" t="s">
        <v>2122</v>
      </c>
      <c r="L1185" s="39" t="s">
        <v>7830</v>
      </c>
      <c r="M1185" s="39" t="s">
        <v>7831</v>
      </c>
      <c r="N1185" s="39" t="str">
        <f>("0430119")</f>
        <v>0430119</v>
      </c>
      <c r="P1185" s="39" t="s">
        <v>12660</v>
      </c>
      <c r="Q1185" s="39" t="s">
        <v>8568</v>
      </c>
      <c r="R1185" s="39" t="s">
        <v>8569</v>
      </c>
      <c r="S1185" s="39" t="s">
        <v>8570</v>
      </c>
      <c r="AK1185" s="39" t="str">
        <f>("2025/03/17")</f>
        <v>2025/03/17</v>
      </c>
      <c r="AL1185" s="39" t="str">
        <f t="shared" si="100"/>
        <v>2025/04/01</v>
      </c>
    </row>
    <row r="1186" spans="1:38" x14ac:dyDescent="0.25">
      <c r="A1186" s="39" t="str">
        <f>("1410230109")</f>
        <v>1410230109</v>
      </c>
      <c r="C1186" s="39"/>
      <c r="D1186" s="39" t="s">
        <v>5843</v>
      </c>
      <c r="E1186" s="371" t="str">
        <f t="shared" si="98"/>
        <v>しん　あゆむ</v>
      </c>
      <c r="F1186" s="39" t="s">
        <v>2531</v>
      </c>
      <c r="G1186" s="39" t="s">
        <v>7828</v>
      </c>
      <c r="H1186" s="39" t="str">
        <f>("2014/10/23")</f>
        <v>2014/10/23</v>
      </c>
      <c r="I1186" s="39">
        <v>5</v>
      </c>
      <c r="J1186" s="39" t="s">
        <v>1478</v>
      </c>
      <c r="K1186" s="39" t="s">
        <v>2122</v>
      </c>
      <c r="L1186" s="39" t="s">
        <v>7830</v>
      </c>
      <c r="M1186" s="39" t="s">
        <v>7831</v>
      </c>
      <c r="N1186" s="39" t="str">
        <f>("0130419")</f>
        <v>0130419</v>
      </c>
      <c r="P1186" s="39" t="s">
        <v>12661</v>
      </c>
      <c r="Q1186" s="39" t="s">
        <v>8568</v>
      </c>
      <c r="R1186" s="39" t="s">
        <v>8569</v>
      </c>
      <c r="S1186" s="39" t="s">
        <v>8570</v>
      </c>
      <c r="AK1186" s="39" t="str">
        <f>("2025/03/17")</f>
        <v>2025/03/17</v>
      </c>
      <c r="AL1186" s="39" t="str">
        <f t="shared" si="100"/>
        <v>2025/04/01</v>
      </c>
    </row>
    <row r="1187" spans="1:38" x14ac:dyDescent="0.25">
      <c r="A1187" s="39" t="str">
        <f>("1410230180")</f>
        <v>1410230180</v>
      </c>
      <c r="C1187" s="39"/>
      <c r="D1187" s="39" t="s">
        <v>8252</v>
      </c>
      <c r="E1187" s="371" t="str">
        <f t="shared" si="98"/>
        <v>ありま　ゆうさい</v>
      </c>
      <c r="F1187" s="39" t="s">
        <v>2619</v>
      </c>
      <c r="G1187" s="39" t="s">
        <v>7828</v>
      </c>
      <c r="H1187" s="39" t="str">
        <f>("2014/10/23")</f>
        <v>2014/10/23</v>
      </c>
      <c r="I1187" s="39">
        <v>5</v>
      </c>
      <c r="J1187" s="39" t="s">
        <v>1478</v>
      </c>
      <c r="K1187" s="39" t="s">
        <v>2122</v>
      </c>
      <c r="L1187" s="39" t="s">
        <v>7830</v>
      </c>
      <c r="M1187" s="39" t="s">
        <v>7831</v>
      </c>
      <c r="N1187" s="39" t="str">
        <f>("0472823")</f>
        <v>0472823</v>
      </c>
      <c r="P1187" s="39" t="s">
        <v>12662</v>
      </c>
      <c r="Q1187" s="39" t="s">
        <v>8568</v>
      </c>
      <c r="R1187" s="39" t="s">
        <v>8569</v>
      </c>
      <c r="S1187" s="39" t="s">
        <v>8570</v>
      </c>
      <c r="AK1187" s="39" t="str">
        <f>("2025/03/17")</f>
        <v>2025/03/17</v>
      </c>
      <c r="AL1187" s="39" t="str">
        <f t="shared" si="100"/>
        <v>2025/04/01</v>
      </c>
    </row>
    <row r="1188" spans="1:38" x14ac:dyDescent="0.25">
      <c r="A1188" s="39" t="str">
        <f>("1410240027")</f>
        <v>1410240027</v>
      </c>
      <c r="C1188" s="39"/>
      <c r="D1188" s="39" t="s">
        <v>8253</v>
      </c>
      <c r="E1188" s="371" t="str">
        <f t="shared" si="98"/>
        <v>くどう　はるま</v>
      </c>
      <c r="F1188" s="39" t="s">
        <v>5617</v>
      </c>
      <c r="G1188" s="39" t="s">
        <v>7828</v>
      </c>
      <c r="H1188" s="39" t="str">
        <f>("2014/10/24")</f>
        <v>2014/10/24</v>
      </c>
      <c r="I1188" s="39">
        <v>5</v>
      </c>
      <c r="J1188" s="39" t="s">
        <v>1478</v>
      </c>
      <c r="K1188" s="39" t="s">
        <v>2122</v>
      </c>
      <c r="L1188" s="39" t="s">
        <v>7830</v>
      </c>
      <c r="M1188" s="39" t="s">
        <v>7831</v>
      </c>
      <c r="N1188" s="39" t="str">
        <f>("0130756")</f>
        <v>0130756</v>
      </c>
      <c r="P1188" s="39" t="s">
        <v>12663</v>
      </c>
      <c r="Q1188" s="39" t="s">
        <v>8568</v>
      </c>
      <c r="R1188" s="39" t="s">
        <v>8569</v>
      </c>
      <c r="S1188" s="39" t="s">
        <v>8570</v>
      </c>
      <c r="AK1188" s="39" t="str">
        <f>("2025/03/17")</f>
        <v>2025/03/17</v>
      </c>
      <c r="AL1188" s="39" t="str">
        <f t="shared" si="100"/>
        <v>2025/04/01</v>
      </c>
    </row>
    <row r="1189" spans="1:38" x14ac:dyDescent="0.25">
      <c r="A1189" s="39" t="str">
        <f>("1410240102")</f>
        <v>1410240102</v>
      </c>
      <c r="B1189" s="39" t="s">
        <v>8254</v>
      </c>
      <c r="C1189" s="39"/>
      <c r="D1189" s="39" t="s">
        <v>6014</v>
      </c>
      <c r="E1189" s="371" t="str">
        <f t="shared" si="98"/>
        <v>うえだ　たいよう</v>
      </c>
      <c r="F1189" s="39" t="s">
        <v>2530</v>
      </c>
      <c r="G1189" s="39" t="s">
        <v>7828</v>
      </c>
      <c r="H1189" s="39" t="str">
        <f>("2014/10/24")</f>
        <v>2014/10/24</v>
      </c>
      <c r="I1189" s="39">
        <v>5</v>
      </c>
      <c r="J1189" s="39" t="s">
        <v>1478</v>
      </c>
      <c r="K1189" s="39" t="s">
        <v>2122</v>
      </c>
      <c r="L1189" s="39" t="s">
        <v>7830</v>
      </c>
      <c r="M1189" s="39" t="s">
        <v>7831</v>
      </c>
      <c r="N1189" s="39" t="str">
        <f>("0338756")</f>
        <v>0338756</v>
      </c>
      <c r="P1189" s="39" t="s">
        <v>12664</v>
      </c>
      <c r="Q1189" s="39" t="s">
        <v>8568</v>
      </c>
      <c r="R1189" s="39" t="s">
        <v>8569</v>
      </c>
      <c r="S1189" s="39" t="s">
        <v>8570</v>
      </c>
      <c r="AK1189" s="39" t="str">
        <f>("2025/04/01")</f>
        <v>2025/04/01</v>
      </c>
      <c r="AL1189" s="39" t="str">
        <f t="shared" si="100"/>
        <v>2025/04/01</v>
      </c>
    </row>
    <row r="1190" spans="1:38" x14ac:dyDescent="0.25">
      <c r="A1190" s="39" t="str">
        <f>("1410240111")</f>
        <v>1410240111</v>
      </c>
      <c r="B1190" s="39" t="s">
        <v>8255</v>
      </c>
      <c r="C1190" s="39"/>
      <c r="D1190" s="39" t="s">
        <v>8256</v>
      </c>
      <c r="E1190" s="371" t="str">
        <f t="shared" si="98"/>
        <v>こうばる　よりと</v>
      </c>
      <c r="F1190" s="39" t="s">
        <v>2188</v>
      </c>
      <c r="G1190" s="39" t="s">
        <v>7828</v>
      </c>
      <c r="H1190" s="39" t="str">
        <f>("2014/10/24")</f>
        <v>2014/10/24</v>
      </c>
      <c r="I1190" s="39">
        <v>5</v>
      </c>
      <c r="J1190" s="39" t="s">
        <v>1478</v>
      </c>
      <c r="K1190" s="39" t="s">
        <v>2122</v>
      </c>
      <c r="L1190" s="39" t="s">
        <v>7830</v>
      </c>
      <c r="M1190" s="39" t="s">
        <v>7831</v>
      </c>
      <c r="N1190" s="39" t="str">
        <f>("0129596")</f>
        <v>0129596</v>
      </c>
      <c r="P1190" s="39" t="s">
        <v>12665</v>
      </c>
      <c r="Q1190" s="39" t="s">
        <v>8568</v>
      </c>
      <c r="R1190" s="39" t="s">
        <v>8569</v>
      </c>
      <c r="S1190" s="39" t="s">
        <v>8570</v>
      </c>
      <c r="AK1190" s="39" t="str">
        <f>("2025/03/17")</f>
        <v>2025/03/17</v>
      </c>
      <c r="AL1190" s="39" t="str">
        <f t="shared" si="100"/>
        <v>2025/04/01</v>
      </c>
    </row>
    <row r="1191" spans="1:38" x14ac:dyDescent="0.25">
      <c r="A1191" s="39" t="str">
        <f>("1410240134")</f>
        <v>1410240134</v>
      </c>
      <c r="C1191" s="39"/>
      <c r="D1191" s="39" t="s">
        <v>8257</v>
      </c>
      <c r="E1191" s="371" t="str">
        <f t="shared" si="98"/>
        <v>のがみ　とうい</v>
      </c>
      <c r="F1191" s="39" t="s">
        <v>2587</v>
      </c>
      <c r="G1191" s="39" t="s">
        <v>7828</v>
      </c>
      <c r="H1191" s="39" t="str">
        <f>("2014/10/24")</f>
        <v>2014/10/24</v>
      </c>
      <c r="I1191" s="39">
        <v>5</v>
      </c>
      <c r="J1191" s="39" t="s">
        <v>1478</v>
      </c>
      <c r="K1191" s="39" t="s">
        <v>2122</v>
      </c>
      <c r="L1191" s="39" t="s">
        <v>7830</v>
      </c>
      <c r="M1191" s="39" t="s">
        <v>7831</v>
      </c>
      <c r="N1191" s="39" t="str">
        <f>("0387334")</f>
        <v>0387334</v>
      </c>
      <c r="P1191" s="39" t="s">
        <v>12666</v>
      </c>
      <c r="Q1191" s="39" t="s">
        <v>8568</v>
      </c>
      <c r="R1191" s="39" t="s">
        <v>8569</v>
      </c>
      <c r="S1191" s="39" t="s">
        <v>8570</v>
      </c>
      <c r="AK1191" s="39" t="str">
        <f>("2025/03/27")</f>
        <v>2025/03/27</v>
      </c>
      <c r="AL1191" s="39" t="str">
        <f t="shared" si="100"/>
        <v>2025/04/01</v>
      </c>
    </row>
    <row r="1192" spans="1:38" x14ac:dyDescent="0.25">
      <c r="A1192" s="39" t="str">
        <f>("1410250022")</f>
        <v>1410250022</v>
      </c>
      <c r="C1192" s="39"/>
      <c r="D1192" s="39" t="s">
        <v>8258</v>
      </c>
      <c r="E1192" s="371" t="str">
        <f t="shared" si="98"/>
        <v>かわづ　あやと</v>
      </c>
      <c r="F1192" s="39" t="s">
        <v>2477</v>
      </c>
      <c r="G1192" s="39" t="s">
        <v>7828</v>
      </c>
      <c r="H1192" s="39" t="str">
        <f>("2014/10/25")</f>
        <v>2014/10/25</v>
      </c>
      <c r="I1192" s="39">
        <v>5</v>
      </c>
      <c r="J1192" s="39" t="s">
        <v>1478</v>
      </c>
      <c r="K1192" s="39" t="s">
        <v>2122</v>
      </c>
      <c r="L1192" s="39" t="s">
        <v>7830</v>
      </c>
      <c r="M1192" s="39" t="s">
        <v>7831</v>
      </c>
      <c r="N1192" s="39" t="str">
        <f>("0129541")</f>
        <v>0129541</v>
      </c>
      <c r="P1192" s="39" t="s">
        <v>12667</v>
      </c>
      <c r="Q1192" s="39" t="s">
        <v>8568</v>
      </c>
      <c r="R1192" s="39" t="s">
        <v>8569</v>
      </c>
      <c r="S1192" s="39" t="s">
        <v>8570</v>
      </c>
      <c r="AK1192" s="39" t="str">
        <f>("2025/03/27")</f>
        <v>2025/03/27</v>
      </c>
      <c r="AL1192" s="39" t="str">
        <f t="shared" si="100"/>
        <v>2025/04/01</v>
      </c>
    </row>
    <row r="1193" spans="1:38" x14ac:dyDescent="0.25">
      <c r="A1193" s="39" t="str">
        <f>("1410250055")</f>
        <v>1410250055</v>
      </c>
      <c r="B1193" s="39" t="s">
        <v>8259</v>
      </c>
      <c r="C1193" s="39"/>
      <c r="D1193" s="39" t="s">
        <v>8260</v>
      </c>
      <c r="E1193" s="371" t="str">
        <f t="shared" si="98"/>
        <v>なかしま　とうり</v>
      </c>
      <c r="F1193" s="39" t="s">
        <v>1330</v>
      </c>
      <c r="G1193" s="39" t="s">
        <v>7828</v>
      </c>
      <c r="H1193" s="39" t="str">
        <f>("2014/10/25")</f>
        <v>2014/10/25</v>
      </c>
      <c r="I1193" s="39">
        <v>5</v>
      </c>
      <c r="J1193" s="39" t="s">
        <v>1478</v>
      </c>
      <c r="K1193" s="39" t="s">
        <v>2122</v>
      </c>
      <c r="L1193" s="39" t="s">
        <v>7830</v>
      </c>
      <c r="M1193" s="39" t="s">
        <v>7831</v>
      </c>
      <c r="N1193" s="39" t="str">
        <f>("0130598")</f>
        <v>0130598</v>
      </c>
      <c r="P1193" s="39" t="s">
        <v>12668</v>
      </c>
      <c r="Q1193" s="39" t="s">
        <v>8568</v>
      </c>
      <c r="R1193" s="39" t="s">
        <v>8569</v>
      </c>
      <c r="S1193" s="39" t="s">
        <v>8570</v>
      </c>
      <c r="AK1193" s="39" t="str">
        <f>("2025/03/17")</f>
        <v>2025/03/17</v>
      </c>
      <c r="AL1193" s="39" t="str">
        <f t="shared" si="100"/>
        <v>2025/04/01</v>
      </c>
    </row>
    <row r="1194" spans="1:38" x14ac:dyDescent="0.25">
      <c r="A1194" s="39" t="str">
        <f>("1410270106")</f>
        <v>1410270106</v>
      </c>
      <c r="C1194" s="39"/>
      <c r="D1194" s="39" t="s">
        <v>6161</v>
      </c>
      <c r="E1194" s="371" t="str">
        <f t="shared" si="98"/>
        <v>こうの　そうた</v>
      </c>
      <c r="F1194" s="39" t="s">
        <v>1095</v>
      </c>
      <c r="G1194" s="39" t="s">
        <v>7828</v>
      </c>
      <c r="H1194" s="39" t="str">
        <f>("2014/10/27")</f>
        <v>2014/10/27</v>
      </c>
      <c r="I1194" s="39">
        <v>5</v>
      </c>
      <c r="J1194" s="39" t="s">
        <v>1478</v>
      </c>
      <c r="K1194" s="39" t="s">
        <v>2122</v>
      </c>
      <c r="L1194" s="39" t="s">
        <v>7830</v>
      </c>
      <c r="M1194" s="39" t="s">
        <v>7831</v>
      </c>
      <c r="N1194" s="39" t="str">
        <f>("0487492")</f>
        <v>0487492</v>
      </c>
      <c r="P1194" s="39" t="s">
        <v>12669</v>
      </c>
      <c r="Q1194" s="39" t="s">
        <v>8568</v>
      </c>
      <c r="R1194" s="39" t="s">
        <v>8569</v>
      </c>
      <c r="S1194" s="39" t="s">
        <v>8570</v>
      </c>
      <c r="AK1194" s="39" t="str">
        <f>("2025/03/21")</f>
        <v>2025/03/21</v>
      </c>
      <c r="AL1194" s="39" t="str">
        <f t="shared" si="100"/>
        <v>2025/04/01</v>
      </c>
    </row>
    <row r="1195" spans="1:38" x14ac:dyDescent="0.25">
      <c r="A1195" s="39" t="str">
        <f>("1410280020")</f>
        <v>1410280020</v>
      </c>
      <c r="B1195" s="39" t="s">
        <v>8261</v>
      </c>
      <c r="C1195" s="39"/>
      <c r="D1195" s="39" t="s">
        <v>4259</v>
      </c>
      <c r="E1195" s="371" t="str">
        <f t="shared" si="98"/>
        <v>こうの　ゆいと</v>
      </c>
      <c r="F1195" s="39" t="s">
        <v>334</v>
      </c>
      <c r="G1195" s="39" t="s">
        <v>7828</v>
      </c>
      <c r="H1195" s="39" t="str">
        <f>("2014/10/28")</f>
        <v>2014/10/28</v>
      </c>
      <c r="I1195" s="39">
        <v>5</v>
      </c>
      <c r="J1195" s="39" t="s">
        <v>1478</v>
      </c>
      <c r="K1195" s="39" t="s">
        <v>2122</v>
      </c>
      <c r="L1195" s="39" t="s">
        <v>7830</v>
      </c>
      <c r="M1195" s="39" t="s">
        <v>7831</v>
      </c>
      <c r="N1195" s="39" t="str">
        <f>("0129664")</f>
        <v>0129664</v>
      </c>
      <c r="P1195" s="39" t="s">
        <v>12670</v>
      </c>
      <c r="Q1195" s="39" t="s">
        <v>8568</v>
      </c>
      <c r="R1195" s="39" t="s">
        <v>8569</v>
      </c>
      <c r="S1195" s="39" t="s">
        <v>8570</v>
      </c>
      <c r="AK1195" s="39" t="str">
        <f>("2025/03/17")</f>
        <v>2025/03/17</v>
      </c>
      <c r="AL1195" s="39" t="str">
        <f t="shared" si="100"/>
        <v>2025/04/01</v>
      </c>
    </row>
    <row r="1196" spans="1:38" x14ac:dyDescent="0.25">
      <c r="A1196" s="39" t="str">
        <f>("1410280200")</f>
        <v>1410280200</v>
      </c>
      <c r="C1196" s="39"/>
      <c r="D1196" s="39" t="s">
        <v>8262</v>
      </c>
      <c r="E1196" s="371" t="str">
        <f t="shared" si="98"/>
        <v>やまだ　はると</v>
      </c>
      <c r="F1196" s="39" t="s">
        <v>2648</v>
      </c>
      <c r="G1196" s="39" t="s">
        <v>7828</v>
      </c>
      <c r="H1196" s="39" t="str">
        <f>("2014/10/28")</f>
        <v>2014/10/28</v>
      </c>
      <c r="I1196" s="39">
        <v>5</v>
      </c>
      <c r="J1196" s="39" t="s">
        <v>1478</v>
      </c>
      <c r="K1196" s="39" t="s">
        <v>2122</v>
      </c>
      <c r="L1196" s="39" t="s">
        <v>7830</v>
      </c>
      <c r="M1196" s="39" t="s">
        <v>7831</v>
      </c>
      <c r="N1196" s="39" t="str">
        <f>("1050097")</f>
        <v>1050097</v>
      </c>
      <c r="P1196" s="39" t="s">
        <v>12671</v>
      </c>
      <c r="Q1196" s="39" t="s">
        <v>8568</v>
      </c>
      <c r="R1196" s="39" t="s">
        <v>8569</v>
      </c>
      <c r="S1196" s="39" t="s">
        <v>8570</v>
      </c>
      <c r="AK1196" s="39" t="str">
        <f>("2025/03/25")</f>
        <v>2025/03/25</v>
      </c>
      <c r="AL1196" s="39" t="str">
        <f t="shared" si="100"/>
        <v>2025/04/01</v>
      </c>
    </row>
    <row r="1197" spans="1:38" x14ac:dyDescent="0.25">
      <c r="A1197" s="39" t="str">
        <f>("1410280205")</f>
        <v>1410280205</v>
      </c>
      <c r="C1197" s="39"/>
      <c r="D1197" s="39" t="s">
        <v>5700</v>
      </c>
      <c r="E1197" s="371" t="str">
        <f t="shared" si="98"/>
        <v>えがわ　ゆうま</v>
      </c>
      <c r="F1197" s="39" t="s">
        <v>2485</v>
      </c>
      <c r="G1197" s="39" t="s">
        <v>7828</v>
      </c>
      <c r="H1197" s="39" t="str">
        <f>("2014/10/28")</f>
        <v>2014/10/28</v>
      </c>
      <c r="I1197" s="39">
        <v>5</v>
      </c>
      <c r="J1197" s="39" t="s">
        <v>1478</v>
      </c>
      <c r="K1197" s="39" t="s">
        <v>2122</v>
      </c>
      <c r="L1197" s="39" t="s">
        <v>7830</v>
      </c>
      <c r="M1197" s="39" t="s">
        <v>7831</v>
      </c>
      <c r="N1197" s="39" t="str">
        <f>("0129754")</f>
        <v>0129754</v>
      </c>
      <c r="P1197" s="39" t="s">
        <v>12672</v>
      </c>
      <c r="Q1197" s="39" t="s">
        <v>8568</v>
      </c>
      <c r="R1197" s="39" t="s">
        <v>8569</v>
      </c>
      <c r="S1197" s="39" t="s">
        <v>8570</v>
      </c>
      <c r="AK1197" s="39" t="str">
        <f>("2025/03/24")</f>
        <v>2025/03/24</v>
      </c>
      <c r="AL1197" s="39" t="str">
        <f t="shared" si="100"/>
        <v>2025/04/01</v>
      </c>
    </row>
    <row r="1198" spans="1:38" x14ac:dyDescent="0.25">
      <c r="A1198" s="39" t="str">
        <f>("1410290145")</f>
        <v>1410290145</v>
      </c>
      <c r="C1198" s="39"/>
      <c r="D1198" s="39" t="s">
        <v>6093</v>
      </c>
      <c r="E1198" s="371" t="str">
        <f t="shared" si="98"/>
        <v>えとう　じょうじ</v>
      </c>
      <c r="F1198" s="39" t="s">
        <v>2573</v>
      </c>
      <c r="G1198" s="39" t="s">
        <v>7828</v>
      </c>
      <c r="H1198" s="39" t="str">
        <f>("2014/10/29")</f>
        <v>2014/10/29</v>
      </c>
      <c r="I1198" s="39">
        <v>5</v>
      </c>
      <c r="J1198" s="39" t="s">
        <v>1478</v>
      </c>
      <c r="K1198" s="39" t="s">
        <v>2122</v>
      </c>
      <c r="L1198" s="39" t="s">
        <v>7830</v>
      </c>
      <c r="M1198" s="39" t="s">
        <v>7831</v>
      </c>
      <c r="N1198" s="39" t="str">
        <f>("0230982")</f>
        <v>0230982</v>
      </c>
      <c r="P1198" s="39" t="s">
        <v>12673</v>
      </c>
      <c r="Q1198" s="39" t="s">
        <v>8568</v>
      </c>
      <c r="R1198" s="39" t="s">
        <v>8569</v>
      </c>
      <c r="S1198" s="39" t="s">
        <v>8570</v>
      </c>
      <c r="AA1198" s="39" t="s">
        <v>2122</v>
      </c>
      <c r="AB1198" s="39" t="s">
        <v>7830</v>
      </c>
      <c r="AC1198" s="39" t="s">
        <v>7831</v>
      </c>
      <c r="AD1198" s="39" t="str">
        <f>("0381608")</f>
        <v>0381608</v>
      </c>
      <c r="AE1198" s="39" t="s">
        <v>1207</v>
      </c>
      <c r="AF1198" s="39" t="s">
        <v>2122</v>
      </c>
      <c r="AG1198" s="39" t="s">
        <v>7830</v>
      </c>
      <c r="AH1198" s="39" t="s">
        <v>7831</v>
      </c>
      <c r="AI1198" s="39" t="str">
        <f>("0429757")</f>
        <v>0429757</v>
      </c>
      <c r="AJ1198" s="39" t="s">
        <v>2600</v>
      </c>
      <c r="AK1198" s="39" t="str">
        <f>("2025/12/01")</f>
        <v>2025/12/01</v>
      </c>
      <c r="AL1198" s="39" t="str">
        <f>("2025/12/01")</f>
        <v>2025/12/01</v>
      </c>
    </row>
    <row r="1199" spans="1:38" x14ac:dyDescent="0.25">
      <c r="A1199" s="39" t="str">
        <f>("1410310029")</f>
        <v>1410310029</v>
      </c>
      <c r="B1199" s="39" t="s">
        <v>8263</v>
      </c>
      <c r="C1199" s="39"/>
      <c r="D1199" s="39" t="s">
        <v>4288</v>
      </c>
      <c r="E1199" s="371" t="str">
        <f t="shared" si="98"/>
        <v>すえひろ　みきや</v>
      </c>
      <c r="F1199" s="39" t="s">
        <v>2485</v>
      </c>
      <c r="G1199" s="39" t="s">
        <v>7828</v>
      </c>
      <c r="H1199" s="39" t="str">
        <f>("2014/10/31")</f>
        <v>2014/10/31</v>
      </c>
      <c r="I1199" s="39">
        <v>5</v>
      </c>
      <c r="J1199" s="39" t="s">
        <v>1478</v>
      </c>
      <c r="K1199" s="39" t="s">
        <v>2122</v>
      </c>
      <c r="L1199" s="39" t="s">
        <v>7830</v>
      </c>
      <c r="M1199" s="39" t="s">
        <v>7831</v>
      </c>
      <c r="N1199" s="39" t="str">
        <f>("0129754")</f>
        <v>0129754</v>
      </c>
      <c r="P1199" s="39" t="s">
        <v>12674</v>
      </c>
      <c r="Q1199" s="39" t="s">
        <v>8568</v>
      </c>
      <c r="R1199" s="39" t="s">
        <v>8569</v>
      </c>
      <c r="S1199" s="39" t="s">
        <v>8570</v>
      </c>
      <c r="AK1199" s="39" t="str">
        <f>("2025/03/24")</f>
        <v>2025/03/24</v>
      </c>
      <c r="AL1199" s="39" t="str">
        <f t="shared" ref="AL1199:AL1205" si="101">("2025/04/01")</f>
        <v>2025/04/01</v>
      </c>
    </row>
    <row r="1200" spans="1:38" x14ac:dyDescent="0.25">
      <c r="A1200" s="39" t="str">
        <f>("1410310146")</f>
        <v>1410310146</v>
      </c>
      <c r="C1200" s="39"/>
      <c r="D1200" s="39" t="s">
        <v>5858</v>
      </c>
      <c r="E1200" s="371" t="str">
        <f t="shared" si="98"/>
        <v>さがら　とくたろう</v>
      </c>
      <c r="F1200" s="39" t="s">
        <v>1751</v>
      </c>
      <c r="G1200" s="39" t="s">
        <v>7828</v>
      </c>
      <c r="H1200" s="39" t="str">
        <f>("2014/10/31")</f>
        <v>2014/10/31</v>
      </c>
      <c r="I1200" s="39">
        <v>5</v>
      </c>
      <c r="J1200" s="39" t="s">
        <v>1478</v>
      </c>
      <c r="K1200" s="39" t="s">
        <v>2122</v>
      </c>
      <c r="L1200" s="39" t="s">
        <v>7830</v>
      </c>
      <c r="M1200" s="39" t="s">
        <v>7831</v>
      </c>
      <c r="N1200" s="39" t="str">
        <f>("0130453")</f>
        <v>0130453</v>
      </c>
      <c r="P1200" s="39" t="s">
        <v>12675</v>
      </c>
      <c r="Q1200" s="39" t="s">
        <v>8568</v>
      </c>
      <c r="R1200" s="39" t="s">
        <v>8569</v>
      </c>
      <c r="S1200" s="39" t="s">
        <v>8570</v>
      </c>
      <c r="AK1200" s="39" t="str">
        <f>("2025/03/17")</f>
        <v>2025/03/17</v>
      </c>
      <c r="AL1200" s="39" t="str">
        <f t="shared" si="101"/>
        <v>2025/04/01</v>
      </c>
    </row>
    <row r="1201" spans="1:38" x14ac:dyDescent="0.25">
      <c r="A1201" s="39" t="str">
        <f>("1411020027")</f>
        <v>1411020027</v>
      </c>
      <c r="B1201" s="39" t="s">
        <v>8264</v>
      </c>
      <c r="C1201" s="39"/>
      <c r="D1201" s="39" t="s">
        <v>8265</v>
      </c>
      <c r="E1201" s="371" t="str">
        <f t="shared" si="98"/>
        <v>ますだ　こうき</v>
      </c>
      <c r="F1201" s="39" t="s">
        <v>2137</v>
      </c>
      <c r="G1201" s="39" t="s">
        <v>7828</v>
      </c>
      <c r="H1201" s="39" t="str">
        <f>("2014/11/02")</f>
        <v>2014/11/02</v>
      </c>
      <c r="I1201" s="39">
        <v>5</v>
      </c>
      <c r="J1201" s="39" t="s">
        <v>1478</v>
      </c>
      <c r="K1201" s="39" t="s">
        <v>2122</v>
      </c>
      <c r="L1201" s="39" t="s">
        <v>7830</v>
      </c>
      <c r="M1201" s="39" t="s">
        <v>7831</v>
      </c>
      <c r="N1201" s="39" t="str">
        <f>("0130510")</f>
        <v>0130510</v>
      </c>
      <c r="P1201" s="39" t="s">
        <v>12676</v>
      </c>
      <c r="Q1201" s="39" t="s">
        <v>8568</v>
      </c>
      <c r="R1201" s="39" t="s">
        <v>8569</v>
      </c>
      <c r="S1201" s="39" t="s">
        <v>8570</v>
      </c>
      <c r="AK1201" s="39" t="str">
        <f>("2025/03/21")</f>
        <v>2025/03/21</v>
      </c>
      <c r="AL1201" s="39" t="str">
        <f t="shared" si="101"/>
        <v>2025/04/01</v>
      </c>
    </row>
    <row r="1202" spans="1:38" x14ac:dyDescent="0.25">
      <c r="A1202" s="39" t="str">
        <f>("1411020036")</f>
        <v>1411020036</v>
      </c>
      <c r="B1202" s="39" t="s">
        <v>8266</v>
      </c>
      <c r="C1202" s="39"/>
      <c r="D1202" s="39" t="s">
        <v>5805</v>
      </c>
      <c r="E1202" s="371" t="str">
        <f t="shared" si="98"/>
        <v>あそう　ともき</v>
      </c>
      <c r="F1202" s="39" t="s">
        <v>2342</v>
      </c>
      <c r="G1202" s="39" t="s">
        <v>7828</v>
      </c>
      <c r="H1202" s="39" t="str">
        <f>("2014/11/02")</f>
        <v>2014/11/02</v>
      </c>
      <c r="I1202" s="39">
        <v>5</v>
      </c>
      <c r="J1202" s="39" t="s">
        <v>1478</v>
      </c>
      <c r="K1202" s="39" t="s">
        <v>2122</v>
      </c>
      <c r="L1202" s="39" t="s">
        <v>7830</v>
      </c>
      <c r="M1202" s="39" t="s">
        <v>7831</v>
      </c>
      <c r="N1202" s="39" t="str">
        <f>("0130307")</f>
        <v>0130307</v>
      </c>
      <c r="P1202" s="39" t="s">
        <v>12677</v>
      </c>
      <c r="Q1202" s="39" t="s">
        <v>8568</v>
      </c>
      <c r="R1202" s="39" t="s">
        <v>8569</v>
      </c>
      <c r="S1202" s="39" t="s">
        <v>8570</v>
      </c>
      <c r="AA1202" s="39" t="s">
        <v>2122</v>
      </c>
      <c r="AB1202" s="39" t="s">
        <v>7830</v>
      </c>
      <c r="AC1202" s="39" t="s">
        <v>7831</v>
      </c>
      <c r="AD1202" s="39" t="str">
        <f>("0130475")</f>
        <v>0130475</v>
      </c>
      <c r="AE1202" s="39" t="s">
        <v>2024</v>
      </c>
      <c r="AK1202" s="39" t="str">
        <f>("2025/03/17")</f>
        <v>2025/03/17</v>
      </c>
      <c r="AL1202" s="39" t="str">
        <f t="shared" si="101"/>
        <v>2025/04/01</v>
      </c>
    </row>
    <row r="1203" spans="1:38" x14ac:dyDescent="0.25">
      <c r="A1203" s="39" t="str">
        <f>("1411020093")</f>
        <v>1411020093</v>
      </c>
      <c r="C1203" s="39"/>
      <c r="D1203" s="39" t="s">
        <v>8267</v>
      </c>
      <c r="E1203" s="371" t="str">
        <f t="shared" si="98"/>
        <v>おとめ　こころ</v>
      </c>
      <c r="F1203" s="39" t="s">
        <v>1446</v>
      </c>
      <c r="G1203" s="39" t="s">
        <v>7828</v>
      </c>
      <c r="H1203" s="39" t="str">
        <f>("2014/11/02")</f>
        <v>2014/11/02</v>
      </c>
      <c r="I1203" s="39">
        <v>5</v>
      </c>
      <c r="J1203" s="39" t="s">
        <v>1480</v>
      </c>
      <c r="K1203" s="39" t="s">
        <v>2122</v>
      </c>
      <c r="L1203" s="39" t="s">
        <v>7830</v>
      </c>
      <c r="M1203" s="39" t="s">
        <v>7831</v>
      </c>
      <c r="N1203" s="39" t="str">
        <f>("0478807")</f>
        <v>0478807</v>
      </c>
      <c r="P1203" s="39" t="s">
        <v>12678</v>
      </c>
      <c r="Q1203" s="39" t="s">
        <v>8568</v>
      </c>
      <c r="R1203" s="39" t="s">
        <v>8569</v>
      </c>
      <c r="S1203" s="39" t="s">
        <v>8570</v>
      </c>
      <c r="AK1203" s="39" t="str">
        <f>("2025/03/21")</f>
        <v>2025/03/21</v>
      </c>
      <c r="AL1203" s="39" t="str">
        <f t="shared" si="101"/>
        <v>2025/04/01</v>
      </c>
    </row>
    <row r="1204" spans="1:38" x14ac:dyDescent="0.25">
      <c r="A1204" s="39" t="str">
        <f>("1411020142")</f>
        <v>1411020142</v>
      </c>
      <c r="C1204" s="39"/>
      <c r="D1204" s="39" t="s">
        <v>8268</v>
      </c>
      <c r="E1204" s="371" t="str">
        <f t="shared" si="98"/>
        <v>かんざき　とうしん</v>
      </c>
      <c r="F1204" s="39" t="s">
        <v>413</v>
      </c>
      <c r="G1204" s="39" t="s">
        <v>7828</v>
      </c>
      <c r="H1204" s="39" t="str">
        <f>("2014/11/02")</f>
        <v>2014/11/02</v>
      </c>
      <c r="I1204" s="39">
        <v>5</v>
      </c>
      <c r="J1204" s="39" t="s">
        <v>1478</v>
      </c>
      <c r="K1204" s="39" t="s">
        <v>2122</v>
      </c>
      <c r="L1204" s="39" t="s">
        <v>7830</v>
      </c>
      <c r="M1204" s="39" t="s">
        <v>7831</v>
      </c>
      <c r="N1204" s="39" t="str">
        <f>("0436902")</f>
        <v>0436902</v>
      </c>
      <c r="P1204" s="39" t="s">
        <v>12679</v>
      </c>
      <c r="Q1204" s="39" t="s">
        <v>8568</v>
      </c>
      <c r="R1204" s="39" t="s">
        <v>8569</v>
      </c>
      <c r="S1204" s="39" t="s">
        <v>8570</v>
      </c>
      <c r="AK1204" s="39" t="str">
        <f>("2025/03/24")</f>
        <v>2025/03/24</v>
      </c>
      <c r="AL1204" s="39" t="str">
        <f t="shared" si="101"/>
        <v>2025/04/01</v>
      </c>
    </row>
    <row r="1205" spans="1:38" x14ac:dyDescent="0.25">
      <c r="A1205" s="39" t="str">
        <f>("1411030105")</f>
        <v>1411030105</v>
      </c>
      <c r="B1205" s="39" t="s">
        <v>8269</v>
      </c>
      <c r="C1205" s="39"/>
      <c r="D1205" s="39" t="s">
        <v>8270</v>
      </c>
      <c r="E1205" s="371" t="str">
        <f t="shared" si="98"/>
        <v>おかもと　ともや</v>
      </c>
      <c r="F1205" s="39" t="s">
        <v>8135</v>
      </c>
      <c r="G1205" s="39" t="s">
        <v>7828</v>
      </c>
      <c r="H1205" s="39" t="str">
        <f>("2014/11/03")</f>
        <v>2014/11/03</v>
      </c>
      <c r="I1205" s="39">
        <v>5</v>
      </c>
      <c r="J1205" s="39" t="s">
        <v>1478</v>
      </c>
      <c r="K1205" s="39" t="s">
        <v>2122</v>
      </c>
      <c r="L1205" s="39" t="s">
        <v>7830</v>
      </c>
      <c r="M1205" s="39" t="s">
        <v>7831</v>
      </c>
      <c r="N1205" s="39" t="str">
        <f>("0475567")</f>
        <v>0475567</v>
      </c>
      <c r="P1205" s="39" t="s">
        <v>12680</v>
      </c>
      <c r="Q1205" s="39" t="s">
        <v>8568</v>
      </c>
      <c r="R1205" s="39" t="s">
        <v>8569</v>
      </c>
      <c r="S1205" s="39" t="s">
        <v>8570</v>
      </c>
      <c r="AK1205" s="39" t="str">
        <f>("2025/03/24")</f>
        <v>2025/03/24</v>
      </c>
      <c r="AL1205" s="39" t="str">
        <f t="shared" si="101"/>
        <v>2025/04/01</v>
      </c>
    </row>
    <row r="1206" spans="1:38" x14ac:dyDescent="0.25">
      <c r="A1206" s="39" t="str">
        <f>("1411040016")</f>
        <v>1411040016</v>
      </c>
      <c r="B1206" s="39" t="s">
        <v>8271</v>
      </c>
      <c r="C1206" s="39"/>
      <c r="D1206" s="39" t="s">
        <v>8272</v>
      </c>
      <c r="E1206" s="371" t="str">
        <f t="shared" si="98"/>
        <v>かとう　ゆうき</v>
      </c>
      <c r="F1206" s="39" t="s">
        <v>2022</v>
      </c>
      <c r="G1206" s="39" t="s">
        <v>7828</v>
      </c>
      <c r="H1206" s="39" t="str">
        <f t="shared" ref="H1206:H1213" si="102">("2014/11/04")</f>
        <v>2014/11/04</v>
      </c>
      <c r="I1206" s="39">
        <v>5</v>
      </c>
      <c r="J1206" s="39" t="s">
        <v>1478</v>
      </c>
      <c r="K1206" s="39" t="s">
        <v>2122</v>
      </c>
      <c r="L1206" s="39" t="s">
        <v>7830</v>
      </c>
      <c r="M1206" s="39" t="s">
        <v>7831</v>
      </c>
      <c r="N1206" s="39" t="str">
        <f>("0130329")</f>
        <v>0130329</v>
      </c>
      <c r="P1206" s="39" t="s">
        <v>12681</v>
      </c>
      <c r="Q1206" s="39" t="s">
        <v>8568</v>
      </c>
      <c r="R1206" s="39" t="s">
        <v>8569</v>
      </c>
      <c r="S1206" s="39" t="s">
        <v>8570</v>
      </c>
      <c r="AA1206" s="39" t="s">
        <v>2122</v>
      </c>
      <c r="AB1206" s="39" t="s">
        <v>7830</v>
      </c>
      <c r="AC1206" s="39" t="s">
        <v>7831</v>
      </c>
      <c r="AD1206" s="39" t="str">
        <f>("0130633")</f>
        <v>0130633</v>
      </c>
      <c r="AE1206" s="39" t="s">
        <v>639</v>
      </c>
      <c r="AK1206" s="39" t="str">
        <f>("2025/04/10")</f>
        <v>2025/04/10</v>
      </c>
      <c r="AL1206" s="39" t="str">
        <f>("2025/04/10")</f>
        <v>2025/04/10</v>
      </c>
    </row>
    <row r="1207" spans="1:38" x14ac:dyDescent="0.25">
      <c r="A1207" s="39" t="str">
        <f>("1411040045")</f>
        <v>1411040045</v>
      </c>
      <c r="C1207" s="39"/>
      <c r="D1207" s="39" t="s">
        <v>8273</v>
      </c>
      <c r="E1207" s="371" t="str">
        <f t="shared" si="98"/>
        <v>やなぎだ　きょうのすけ</v>
      </c>
      <c r="F1207" s="39" t="s">
        <v>1692</v>
      </c>
      <c r="G1207" s="39" t="s">
        <v>7828</v>
      </c>
      <c r="H1207" s="39" t="str">
        <f t="shared" si="102"/>
        <v>2014/11/04</v>
      </c>
      <c r="I1207" s="39">
        <v>5</v>
      </c>
      <c r="J1207" s="39" t="s">
        <v>1478</v>
      </c>
      <c r="K1207" s="39" t="s">
        <v>2122</v>
      </c>
      <c r="L1207" s="39" t="s">
        <v>7830</v>
      </c>
      <c r="M1207" s="39" t="s">
        <v>7831</v>
      </c>
      <c r="N1207" s="39" t="str">
        <f>("1052299")</f>
        <v>1052299</v>
      </c>
      <c r="P1207" s="39" t="s">
        <v>12682</v>
      </c>
      <c r="Q1207" s="39" t="s">
        <v>8568</v>
      </c>
      <c r="R1207" s="39" t="s">
        <v>8569</v>
      </c>
      <c r="S1207" s="39" t="s">
        <v>8570</v>
      </c>
      <c r="AA1207" s="39" t="s">
        <v>2122</v>
      </c>
      <c r="AB1207" s="39" t="s">
        <v>7830</v>
      </c>
      <c r="AC1207" s="39" t="s">
        <v>7831</v>
      </c>
      <c r="AD1207" s="39" t="str">
        <f>("0493040")</f>
        <v>0493040</v>
      </c>
      <c r="AE1207" s="39" t="s">
        <v>2156</v>
      </c>
      <c r="AK1207" s="39" t="str">
        <f>("2025/03/17")</f>
        <v>2025/03/17</v>
      </c>
      <c r="AL1207" s="39" t="str">
        <f t="shared" ref="AL1207:AL1212" si="103">("2025/04/01")</f>
        <v>2025/04/01</v>
      </c>
    </row>
    <row r="1208" spans="1:38" x14ac:dyDescent="0.25">
      <c r="A1208" s="39" t="str">
        <f>("1411040082")</f>
        <v>1411040082</v>
      </c>
      <c r="B1208" s="39" t="s">
        <v>8274</v>
      </c>
      <c r="C1208" s="39"/>
      <c r="D1208" s="39" t="s">
        <v>8275</v>
      </c>
      <c r="E1208" s="371" t="str">
        <f t="shared" si="98"/>
        <v>きりかわ　ひゅうが</v>
      </c>
      <c r="F1208" s="39" t="s">
        <v>1692</v>
      </c>
      <c r="G1208" s="39" t="s">
        <v>7828</v>
      </c>
      <c r="H1208" s="39" t="str">
        <f t="shared" si="102"/>
        <v>2014/11/04</v>
      </c>
      <c r="I1208" s="39">
        <v>5</v>
      </c>
      <c r="J1208" s="39" t="s">
        <v>1478</v>
      </c>
      <c r="K1208" s="39" t="s">
        <v>2122</v>
      </c>
      <c r="L1208" s="39" t="s">
        <v>7830</v>
      </c>
      <c r="M1208" s="39" t="s">
        <v>7831</v>
      </c>
      <c r="N1208" s="39" t="str">
        <f>("1052299")</f>
        <v>1052299</v>
      </c>
      <c r="P1208" s="39" t="s">
        <v>12683</v>
      </c>
      <c r="Q1208" s="39" t="s">
        <v>8568</v>
      </c>
      <c r="R1208" s="39" t="s">
        <v>8569</v>
      </c>
      <c r="S1208" s="39" t="s">
        <v>8570</v>
      </c>
      <c r="AA1208" s="39" t="s">
        <v>2035</v>
      </c>
      <c r="AB1208" s="39" t="s">
        <v>7830</v>
      </c>
      <c r="AC1208" s="39" t="s">
        <v>7831</v>
      </c>
      <c r="AD1208" s="39" t="str">
        <f>("0288266")</f>
        <v>0288266</v>
      </c>
      <c r="AE1208" s="39" t="s">
        <v>9021</v>
      </c>
      <c r="AK1208" s="39" t="str">
        <f>("2025/03/17")</f>
        <v>2025/03/17</v>
      </c>
      <c r="AL1208" s="39" t="str">
        <f t="shared" si="103"/>
        <v>2025/04/01</v>
      </c>
    </row>
    <row r="1209" spans="1:38" x14ac:dyDescent="0.25">
      <c r="A1209" s="39" t="str">
        <f>("1411040132")</f>
        <v>1411040132</v>
      </c>
      <c r="C1209" s="39"/>
      <c r="D1209" s="39" t="s">
        <v>8276</v>
      </c>
      <c r="E1209" s="371" t="str">
        <f t="shared" si="98"/>
        <v>いけなが　ゆうと</v>
      </c>
      <c r="F1209" s="39" t="s">
        <v>2587</v>
      </c>
      <c r="G1209" s="39" t="s">
        <v>7828</v>
      </c>
      <c r="H1209" s="39" t="str">
        <f t="shared" si="102"/>
        <v>2014/11/04</v>
      </c>
      <c r="I1209" s="39">
        <v>5</v>
      </c>
      <c r="J1209" s="39" t="s">
        <v>1478</v>
      </c>
      <c r="K1209" s="39" t="s">
        <v>2122</v>
      </c>
      <c r="L1209" s="39" t="s">
        <v>7830</v>
      </c>
      <c r="M1209" s="39" t="s">
        <v>7831</v>
      </c>
      <c r="N1209" s="39" t="str">
        <f>("0387334")</f>
        <v>0387334</v>
      </c>
      <c r="P1209" s="39" t="s">
        <v>12684</v>
      </c>
      <c r="Q1209" s="39" t="s">
        <v>8568</v>
      </c>
      <c r="R1209" s="39" t="s">
        <v>8569</v>
      </c>
      <c r="S1209" s="39" t="s">
        <v>8570</v>
      </c>
      <c r="AK1209" s="39" t="str">
        <f>("2025/03/27")</f>
        <v>2025/03/27</v>
      </c>
      <c r="AL1209" s="39" t="str">
        <f t="shared" si="103"/>
        <v>2025/04/01</v>
      </c>
    </row>
    <row r="1210" spans="1:38" x14ac:dyDescent="0.25">
      <c r="A1210" s="39" t="str">
        <f>("1411040142")</f>
        <v>1411040142</v>
      </c>
      <c r="C1210" s="39"/>
      <c r="D1210" s="39" t="s">
        <v>8277</v>
      </c>
      <c r="E1210" s="371" t="str">
        <f t="shared" si="98"/>
        <v>さとう　ゆうと</v>
      </c>
      <c r="F1210" s="39" t="s">
        <v>1968</v>
      </c>
      <c r="G1210" s="39" t="s">
        <v>7828</v>
      </c>
      <c r="H1210" s="39" t="str">
        <f t="shared" si="102"/>
        <v>2014/11/04</v>
      </c>
      <c r="I1210" s="39">
        <v>5</v>
      </c>
      <c r="J1210" s="39" t="s">
        <v>1478</v>
      </c>
      <c r="K1210" s="39" t="s">
        <v>2122</v>
      </c>
      <c r="L1210" s="39" t="s">
        <v>7830</v>
      </c>
      <c r="M1210" s="39" t="s">
        <v>7831</v>
      </c>
      <c r="N1210" s="39" t="str">
        <f>("0129507")</f>
        <v>0129507</v>
      </c>
      <c r="P1210" s="39" t="s">
        <v>11881</v>
      </c>
      <c r="Q1210" s="39" t="s">
        <v>8568</v>
      </c>
      <c r="R1210" s="39" t="s">
        <v>8569</v>
      </c>
      <c r="S1210" s="39" t="s">
        <v>8570</v>
      </c>
      <c r="AK1210" s="39" t="str">
        <f>("2025/03/17")</f>
        <v>2025/03/17</v>
      </c>
      <c r="AL1210" s="39" t="str">
        <f t="shared" si="103"/>
        <v>2025/04/01</v>
      </c>
    </row>
    <row r="1211" spans="1:38" x14ac:dyDescent="0.25">
      <c r="A1211" s="39" t="str">
        <f>("1411040165")</f>
        <v>1411040165</v>
      </c>
      <c r="B1211" s="39" t="s">
        <v>8278</v>
      </c>
      <c r="C1211" s="39"/>
      <c r="D1211" s="39" t="s">
        <v>8279</v>
      </c>
      <c r="E1211" s="371" t="str">
        <f t="shared" si="98"/>
        <v>かわばた　けんしん</v>
      </c>
      <c r="F1211" s="39" t="s">
        <v>2188</v>
      </c>
      <c r="G1211" s="39" t="s">
        <v>7828</v>
      </c>
      <c r="H1211" s="39" t="str">
        <f t="shared" si="102"/>
        <v>2014/11/04</v>
      </c>
      <c r="I1211" s="39">
        <v>5</v>
      </c>
      <c r="J1211" s="39" t="s">
        <v>1478</v>
      </c>
      <c r="K1211" s="39" t="s">
        <v>2122</v>
      </c>
      <c r="L1211" s="39" t="s">
        <v>7830</v>
      </c>
      <c r="M1211" s="39" t="s">
        <v>7831</v>
      </c>
      <c r="N1211" s="39" t="str">
        <f>("0129596")</f>
        <v>0129596</v>
      </c>
      <c r="P1211" s="39" t="s">
        <v>12685</v>
      </c>
      <c r="Q1211" s="39" t="s">
        <v>8568</v>
      </c>
      <c r="R1211" s="39" t="s">
        <v>8569</v>
      </c>
      <c r="S1211" s="39" t="s">
        <v>8570</v>
      </c>
      <c r="AK1211" s="39" t="str">
        <f>("2025/03/17")</f>
        <v>2025/03/17</v>
      </c>
      <c r="AL1211" s="39" t="str">
        <f t="shared" si="103"/>
        <v>2025/04/01</v>
      </c>
    </row>
    <row r="1212" spans="1:38" x14ac:dyDescent="0.25">
      <c r="A1212" s="39" t="str">
        <f>("1411040250")</f>
        <v>1411040250</v>
      </c>
      <c r="C1212" s="39"/>
      <c r="D1212" s="39" t="s">
        <v>8280</v>
      </c>
      <c r="E1212" s="371" t="str">
        <f t="shared" si="98"/>
        <v>ひらかわ　しゅん</v>
      </c>
      <c r="F1212" s="39" t="s">
        <v>2602</v>
      </c>
      <c r="G1212" s="39" t="s">
        <v>7828</v>
      </c>
      <c r="H1212" s="39" t="str">
        <f t="shared" si="102"/>
        <v>2014/11/04</v>
      </c>
      <c r="I1212" s="39">
        <v>5</v>
      </c>
      <c r="J1212" s="39" t="s">
        <v>1478</v>
      </c>
      <c r="K1212" s="39" t="s">
        <v>2122</v>
      </c>
      <c r="L1212" s="39" t="s">
        <v>7830</v>
      </c>
      <c r="M1212" s="39" t="s">
        <v>7831</v>
      </c>
      <c r="N1212" s="39" t="str">
        <f>("0430119")</f>
        <v>0430119</v>
      </c>
      <c r="P1212" s="39" t="s">
        <v>12686</v>
      </c>
      <c r="Q1212" s="39" t="s">
        <v>8568</v>
      </c>
      <c r="R1212" s="39" t="s">
        <v>8569</v>
      </c>
      <c r="S1212" s="39" t="s">
        <v>8570</v>
      </c>
      <c r="AK1212" s="39" t="str">
        <f>("2025/03/17")</f>
        <v>2025/03/17</v>
      </c>
      <c r="AL1212" s="39" t="str">
        <f t="shared" si="103"/>
        <v>2025/04/01</v>
      </c>
    </row>
    <row r="1213" spans="1:38" x14ac:dyDescent="0.25">
      <c r="A1213" s="39" t="str">
        <f>("1411040261")</f>
        <v>1411040261</v>
      </c>
      <c r="C1213" s="39"/>
      <c r="D1213" s="39" t="s">
        <v>8281</v>
      </c>
      <c r="E1213" s="371" t="str">
        <f t="shared" si="98"/>
        <v>おくなが　りゅうせい</v>
      </c>
      <c r="F1213" s="39" t="s">
        <v>1481</v>
      </c>
      <c r="G1213" s="39" t="s">
        <v>7828</v>
      </c>
      <c r="H1213" s="39" t="str">
        <f t="shared" si="102"/>
        <v>2014/11/04</v>
      </c>
      <c r="I1213" s="39">
        <v>5</v>
      </c>
      <c r="J1213" s="39" t="s">
        <v>1478</v>
      </c>
      <c r="K1213" s="39" t="s">
        <v>2122</v>
      </c>
      <c r="L1213" s="39" t="s">
        <v>7830</v>
      </c>
      <c r="M1213" s="39" t="s">
        <v>7831</v>
      </c>
      <c r="N1213" s="39" t="str">
        <f>("0129866")</f>
        <v>0129866</v>
      </c>
      <c r="P1213" s="39" t="s">
        <v>12687</v>
      </c>
      <c r="Q1213" s="39" t="s">
        <v>8568</v>
      </c>
      <c r="R1213" s="39" t="s">
        <v>8569</v>
      </c>
      <c r="S1213" s="39" t="s">
        <v>8570</v>
      </c>
      <c r="AK1213" s="39" t="str">
        <f>("2025/04/10")</f>
        <v>2025/04/10</v>
      </c>
      <c r="AL1213" s="39" t="str">
        <f>("2025/04/10")</f>
        <v>2025/04/10</v>
      </c>
    </row>
    <row r="1214" spans="1:38" x14ac:dyDescent="0.25">
      <c r="A1214" s="39" t="str">
        <f>("1411050035")</f>
        <v>1411050035</v>
      </c>
      <c r="C1214" s="39"/>
      <c r="D1214" s="39" t="s">
        <v>5829</v>
      </c>
      <c r="E1214" s="371" t="str">
        <f t="shared" si="98"/>
        <v>いわた　ひより</v>
      </c>
      <c r="F1214" s="39" t="s">
        <v>5616</v>
      </c>
      <c r="G1214" s="39" t="s">
        <v>7828</v>
      </c>
      <c r="H1214" s="39" t="str">
        <f>("2014/11/05")</f>
        <v>2014/11/05</v>
      </c>
      <c r="I1214" s="39">
        <v>5</v>
      </c>
      <c r="J1214" s="39" t="s">
        <v>1480</v>
      </c>
      <c r="K1214" s="39" t="s">
        <v>2122</v>
      </c>
      <c r="L1214" s="39" t="s">
        <v>7830</v>
      </c>
      <c r="M1214" s="39" t="s">
        <v>7831</v>
      </c>
      <c r="N1214" s="39" t="str">
        <f>("0130385")</f>
        <v>0130385</v>
      </c>
      <c r="P1214" s="39" t="s">
        <v>12688</v>
      </c>
      <c r="Q1214" s="39" t="s">
        <v>8568</v>
      </c>
      <c r="R1214" s="39" t="s">
        <v>8569</v>
      </c>
      <c r="S1214" s="39" t="s">
        <v>8570</v>
      </c>
      <c r="AK1214" s="39" t="str">
        <f>("2025/03/17")</f>
        <v>2025/03/17</v>
      </c>
      <c r="AL1214" s="39" t="str">
        <f>("2025/04/01")</f>
        <v>2025/04/01</v>
      </c>
    </row>
    <row r="1215" spans="1:38" x14ac:dyDescent="0.25">
      <c r="A1215" s="39" t="str">
        <f>("1411050082")</f>
        <v>1411050082</v>
      </c>
      <c r="B1215" s="39" t="s">
        <v>8282</v>
      </c>
      <c r="C1215" s="39"/>
      <c r="D1215" s="39" t="s">
        <v>8283</v>
      </c>
      <c r="E1215" s="371" t="str">
        <f t="shared" si="98"/>
        <v>さとう　こうせい</v>
      </c>
      <c r="F1215" s="39" t="s">
        <v>2325</v>
      </c>
      <c r="G1215" s="39" t="s">
        <v>7828</v>
      </c>
      <c r="H1215" s="39" t="str">
        <f>("2014/11/05")</f>
        <v>2014/11/05</v>
      </c>
      <c r="I1215" s="39">
        <v>5</v>
      </c>
      <c r="J1215" s="39" t="s">
        <v>1478</v>
      </c>
      <c r="K1215" s="39" t="s">
        <v>2122</v>
      </c>
      <c r="L1215" s="39" t="s">
        <v>7830</v>
      </c>
      <c r="M1215" s="39" t="s">
        <v>7831</v>
      </c>
      <c r="N1215" s="39" t="str">
        <f>("0155034")</f>
        <v>0155034</v>
      </c>
      <c r="P1215" s="39" t="s">
        <v>12689</v>
      </c>
      <c r="Q1215" s="39" t="s">
        <v>8568</v>
      </c>
      <c r="R1215" s="39" t="s">
        <v>8569</v>
      </c>
      <c r="S1215" s="39" t="s">
        <v>8570</v>
      </c>
      <c r="AK1215" s="39" t="str">
        <f>("2025/03/17")</f>
        <v>2025/03/17</v>
      </c>
      <c r="AL1215" s="39" t="str">
        <f>("2025/04/01")</f>
        <v>2025/04/01</v>
      </c>
    </row>
    <row r="1216" spans="1:38" x14ac:dyDescent="0.25">
      <c r="A1216" s="39" t="str">
        <f>("1411050228")</f>
        <v>1411050228</v>
      </c>
      <c r="C1216" s="39"/>
      <c r="D1216" s="39" t="s">
        <v>8284</v>
      </c>
      <c r="E1216" s="371" t="str">
        <f t="shared" si="98"/>
        <v>ふじかわ　あおと</v>
      </c>
      <c r="F1216" s="39" t="s">
        <v>2256</v>
      </c>
      <c r="G1216" s="39" t="s">
        <v>7828</v>
      </c>
      <c r="H1216" s="39" t="str">
        <f>("2014/11/05")</f>
        <v>2014/11/05</v>
      </c>
      <c r="I1216" s="39">
        <v>5</v>
      </c>
      <c r="J1216" s="39" t="s">
        <v>1478</v>
      </c>
      <c r="K1216" s="39" t="s">
        <v>2122</v>
      </c>
      <c r="L1216" s="39" t="s">
        <v>7830</v>
      </c>
      <c r="M1216" s="39" t="s">
        <v>7831</v>
      </c>
      <c r="N1216" s="39" t="str">
        <f>("0449119")</f>
        <v>0449119</v>
      </c>
      <c r="P1216" s="39" t="s">
        <v>12690</v>
      </c>
      <c r="Q1216" s="39" t="s">
        <v>8568</v>
      </c>
      <c r="R1216" s="39" t="s">
        <v>8569</v>
      </c>
      <c r="S1216" s="39" t="s">
        <v>8570</v>
      </c>
      <c r="AK1216" s="39" t="str">
        <f>("2025/09/03")</f>
        <v>2025/09/03</v>
      </c>
      <c r="AL1216" s="39" t="str">
        <f>("2025/09/03")</f>
        <v>2025/09/03</v>
      </c>
    </row>
    <row r="1217" spans="1:38" x14ac:dyDescent="0.25">
      <c r="A1217" s="39" t="str">
        <f>("1411070034")</f>
        <v>1411070034</v>
      </c>
      <c r="C1217" s="39"/>
      <c r="D1217" s="39" t="s">
        <v>5825</v>
      </c>
      <c r="E1217" s="371" t="str">
        <f t="shared" si="98"/>
        <v>あんどう　あやと</v>
      </c>
      <c r="F1217" s="39" t="s">
        <v>5616</v>
      </c>
      <c r="G1217" s="39" t="s">
        <v>7828</v>
      </c>
      <c r="H1217" s="39" t="str">
        <f>("2014/11/07")</f>
        <v>2014/11/07</v>
      </c>
      <c r="I1217" s="39">
        <v>5</v>
      </c>
      <c r="J1217" s="39" t="s">
        <v>1478</v>
      </c>
      <c r="K1217" s="39" t="s">
        <v>2122</v>
      </c>
      <c r="L1217" s="39" t="s">
        <v>7830</v>
      </c>
      <c r="M1217" s="39" t="s">
        <v>7831</v>
      </c>
      <c r="N1217" s="39" t="str">
        <f>("0130385")</f>
        <v>0130385</v>
      </c>
      <c r="P1217" s="39" t="s">
        <v>12691</v>
      </c>
      <c r="Q1217" s="39" t="s">
        <v>8568</v>
      </c>
      <c r="R1217" s="39" t="s">
        <v>8569</v>
      </c>
      <c r="S1217" s="39" t="s">
        <v>8570</v>
      </c>
      <c r="AK1217" s="39" t="str">
        <f>("2025/03/17")</f>
        <v>2025/03/17</v>
      </c>
      <c r="AL1217" s="39" t="str">
        <f t="shared" ref="AL1217:AL1238" si="104">("2025/04/01")</f>
        <v>2025/04/01</v>
      </c>
    </row>
    <row r="1218" spans="1:38" x14ac:dyDescent="0.25">
      <c r="A1218" s="39" t="str">
        <f>("1411080105")</f>
        <v>1411080105</v>
      </c>
      <c r="C1218" s="39"/>
      <c r="D1218" s="39" t="s">
        <v>8285</v>
      </c>
      <c r="E1218" s="371" t="str">
        <f t="shared" si="98"/>
        <v>みつのぶ　じょうじ</v>
      </c>
      <c r="F1218" s="39" t="s">
        <v>1014</v>
      </c>
      <c r="G1218" s="39" t="s">
        <v>7828</v>
      </c>
      <c r="H1218" s="39" t="str">
        <f>("2014/11/08")</f>
        <v>2014/11/08</v>
      </c>
      <c r="I1218" s="39">
        <v>5</v>
      </c>
      <c r="J1218" s="39" t="s">
        <v>1478</v>
      </c>
      <c r="K1218" s="39" t="s">
        <v>2122</v>
      </c>
      <c r="L1218" s="39" t="s">
        <v>7830</v>
      </c>
      <c r="M1218" s="39" t="s">
        <v>7831</v>
      </c>
      <c r="N1218" s="39" t="str">
        <f>("0513313")</f>
        <v>0513313</v>
      </c>
      <c r="P1218" s="39" t="s">
        <v>12692</v>
      </c>
      <c r="Q1218" s="39" t="s">
        <v>8568</v>
      </c>
      <c r="R1218" s="39" t="s">
        <v>8569</v>
      </c>
      <c r="S1218" s="39" t="s">
        <v>8570</v>
      </c>
      <c r="AK1218" s="39" t="str">
        <f>("2025/03/17")</f>
        <v>2025/03/17</v>
      </c>
      <c r="AL1218" s="39" t="str">
        <f t="shared" si="104"/>
        <v>2025/04/01</v>
      </c>
    </row>
    <row r="1219" spans="1:38" x14ac:dyDescent="0.25">
      <c r="A1219" s="39" t="str">
        <f>("1411080167")</f>
        <v>1411080167</v>
      </c>
      <c r="C1219" s="39"/>
      <c r="D1219" s="39" t="s">
        <v>8286</v>
      </c>
      <c r="E1219" s="371" t="str">
        <f t="shared" ref="E1219:E1282" si="105">PHONETIC(P1219)</f>
        <v>もとぎ　ゆうと</v>
      </c>
      <c r="F1219" s="39" t="s">
        <v>2574</v>
      </c>
      <c r="G1219" s="39" t="s">
        <v>7828</v>
      </c>
      <c r="H1219" s="39" t="str">
        <f>("2014/11/08")</f>
        <v>2014/11/08</v>
      </c>
      <c r="I1219" s="39">
        <v>5</v>
      </c>
      <c r="J1219" s="39" t="s">
        <v>1478</v>
      </c>
      <c r="K1219" s="39" t="s">
        <v>2122</v>
      </c>
      <c r="L1219" s="39" t="s">
        <v>7830</v>
      </c>
      <c r="M1219" s="39" t="s">
        <v>7831</v>
      </c>
      <c r="N1219" s="39" t="str">
        <f>("0237620")</f>
        <v>0237620</v>
      </c>
      <c r="P1219" s="39" t="s">
        <v>12693</v>
      </c>
      <c r="Q1219" s="39" t="s">
        <v>8568</v>
      </c>
      <c r="R1219" s="39" t="s">
        <v>8569</v>
      </c>
      <c r="S1219" s="39" t="s">
        <v>8570</v>
      </c>
      <c r="AK1219" s="39" t="str">
        <f>("2025/03/17")</f>
        <v>2025/03/17</v>
      </c>
      <c r="AL1219" s="39" t="str">
        <f t="shared" si="104"/>
        <v>2025/04/01</v>
      </c>
    </row>
    <row r="1220" spans="1:38" x14ac:dyDescent="0.25">
      <c r="A1220" s="39" t="str">
        <f>("1411090002")</f>
        <v>1411090002</v>
      </c>
      <c r="B1220" s="39" t="s">
        <v>8287</v>
      </c>
      <c r="C1220" s="39"/>
      <c r="D1220" s="39" t="s">
        <v>5623</v>
      </c>
      <c r="E1220" s="371" t="str">
        <f t="shared" si="105"/>
        <v>わたなべ　だいぞう</v>
      </c>
      <c r="F1220" s="39" t="s">
        <v>2469</v>
      </c>
      <c r="G1220" s="39" t="s">
        <v>7828</v>
      </c>
      <c r="H1220" s="39" t="str">
        <f>("2014/11/09")</f>
        <v>2014/11/09</v>
      </c>
      <c r="I1220" s="39">
        <v>5</v>
      </c>
      <c r="J1220" s="39" t="s">
        <v>1478</v>
      </c>
      <c r="K1220" s="39" t="s">
        <v>2122</v>
      </c>
      <c r="L1220" s="39" t="s">
        <v>7830</v>
      </c>
      <c r="M1220" s="39" t="s">
        <v>7831</v>
      </c>
      <c r="N1220" s="39" t="str">
        <f>("0129462")</f>
        <v>0129462</v>
      </c>
      <c r="P1220" s="39" t="s">
        <v>12694</v>
      </c>
      <c r="Q1220" s="39" t="s">
        <v>8568</v>
      </c>
      <c r="R1220" s="39" t="s">
        <v>8569</v>
      </c>
      <c r="S1220" s="39" t="s">
        <v>8570</v>
      </c>
      <c r="AA1220" s="39" t="s">
        <v>2122</v>
      </c>
      <c r="AB1220" s="39" t="s">
        <v>7830</v>
      </c>
      <c r="AC1220" s="39" t="s">
        <v>7831</v>
      </c>
      <c r="AD1220" s="39" t="str">
        <f>("0129451")</f>
        <v>0129451</v>
      </c>
      <c r="AE1220" s="39" t="s">
        <v>9022</v>
      </c>
      <c r="AK1220" s="39" t="str">
        <f>("2025/03/21")</f>
        <v>2025/03/21</v>
      </c>
      <c r="AL1220" s="39" t="str">
        <f t="shared" si="104"/>
        <v>2025/04/01</v>
      </c>
    </row>
    <row r="1221" spans="1:38" x14ac:dyDescent="0.25">
      <c r="A1221" s="39" t="str">
        <f>("1411090032")</f>
        <v>1411090032</v>
      </c>
      <c r="C1221" s="39"/>
      <c r="D1221" s="39" t="s">
        <v>5728</v>
      </c>
      <c r="E1221" s="371" t="str">
        <f t="shared" si="105"/>
        <v>ほり　りおと</v>
      </c>
      <c r="F1221" s="39" t="s">
        <v>834</v>
      </c>
      <c r="G1221" s="39" t="s">
        <v>7828</v>
      </c>
      <c r="H1221" s="39" t="str">
        <f>("2014/11/09")</f>
        <v>2014/11/09</v>
      </c>
      <c r="I1221" s="39">
        <v>5</v>
      </c>
      <c r="J1221" s="39" t="s">
        <v>1478</v>
      </c>
      <c r="K1221" s="39" t="s">
        <v>2122</v>
      </c>
      <c r="L1221" s="39" t="s">
        <v>7830</v>
      </c>
      <c r="M1221" s="39" t="s">
        <v>7831</v>
      </c>
      <c r="N1221" s="39" t="str">
        <f>("0129844")</f>
        <v>0129844</v>
      </c>
      <c r="P1221" s="39" t="s">
        <v>12695</v>
      </c>
      <c r="Q1221" s="39" t="s">
        <v>8568</v>
      </c>
      <c r="R1221" s="39" t="s">
        <v>8569</v>
      </c>
      <c r="S1221" s="39" t="s">
        <v>8570</v>
      </c>
      <c r="AK1221" s="39" t="str">
        <f t="shared" ref="AK1221:AK1226" si="106">("2025/03/17")</f>
        <v>2025/03/17</v>
      </c>
      <c r="AL1221" s="39" t="str">
        <f t="shared" si="104"/>
        <v>2025/04/01</v>
      </c>
    </row>
    <row r="1222" spans="1:38" x14ac:dyDescent="0.25">
      <c r="A1222" s="39" t="str">
        <f>("1411090060")</f>
        <v>1411090060</v>
      </c>
      <c r="C1222" s="39"/>
      <c r="D1222" s="39" t="s">
        <v>8288</v>
      </c>
      <c r="E1222" s="371" t="str">
        <f t="shared" si="105"/>
        <v>いたい　そうた</v>
      </c>
      <c r="F1222" s="39" t="s">
        <v>2602</v>
      </c>
      <c r="G1222" s="39" t="s">
        <v>7828</v>
      </c>
      <c r="H1222" s="39" t="str">
        <f>("2014/11/09")</f>
        <v>2014/11/09</v>
      </c>
      <c r="I1222" s="39">
        <v>5</v>
      </c>
      <c r="J1222" s="39" t="s">
        <v>1478</v>
      </c>
      <c r="K1222" s="39" t="s">
        <v>2122</v>
      </c>
      <c r="L1222" s="39" t="s">
        <v>7830</v>
      </c>
      <c r="M1222" s="39" t="s">
        <v>7831</v>
      </c>
      <c r="N1222" s="39" t="str">
        <f>("0430119")</f>
        <v>0430119</v>
      </c>
      <c r="P1222" s="39" t="s">
        <v>12696</v>
      </c>
      <c r="Q1222" s="39" t="s">
        <v>8568</v>
      </c>
      <c r="R1222" s="39" t="s">
        <v>8569</v>
      </c>
      <c r="S1222" s="39" t="s">
        <v>8570</v>
      </c>
      <c r="AK1222" s="39" t="str">
        <f t="shared" si="106"/>
        <v>2025/03/17</v>
      </c>
      <c r="AL1222" s="39" t="str">
        <f t="shared" si="104"/>
        <v>2025/04/01</v>
      </c>
    </row>
    <row r="1223" spans="1:38" x14ac:dyDescent="0.25">
      <c r="A1223" s="39" t="str">
        <f>("1411100130")</f>
        <v>1411100130</v>
      </c>
      <c r="C1223" s="39"/>
      <c r="D1223" s="39" t="s">
        <v>8289</v>
      </c>
      <c r="E1223" s="371" t="str">
        <f t="shared" si="105"/>
        <v>かたやま　ひなた</v>
      </c>
      <c r="F1223" s="39" t="s">
        <v>2325</v>
      </c>
      <c r="G1223" s="39" t="s">
        <v>7828</v>
      </c>
      <c r="H1223" s="39" t="str">
        <f>("2014/11/10")</f>
        <v>2014/11/10</v>
      </c>
      <c r="I1223" s="39">
        <v>5</v>
      </c>
      <c r="J1223" s="39" t="s">
        <v>1478</v>
      </c>
      <c r="K1223" s="39" t="s">
        <v>2122</v>
      </c>
      <c r="L1223" s="39" t="s">
        <v>7830</v>
      </c>
      <c r="M1223" s="39" t="s">
        <v>7831</v>
      </c>
      <c r="N1223" s="39" t="str">
        <f>("0155034")</f>
        <v>0155034</v>
      </c>
      <c r="P1223" s="39" t="s">
        <v>12697</v>
      </c>
      <c r="Q1223" s="39" t="s">
        <v>8568</v>
      </c>
      <c r="R1223" s="39" t="s">
        <v>8569</v>
      </c>
      <c r="S1223" s="39" t="s">
        <v>8570</v>
      </c>
      <c r="AK1223" s="39" t="str">
        <f t="shared" si="106"/>
        <v>2025/03/17</v>
      </c>
      <c r="AL1223" s="39" t="str">
        <f t="shared" si="104"/>
        <v>2025/04/01</v>
      </c>
    </row>
    <row r="1224" spans="1:38" x14ac:dyDescent="0.25">
      <c r="A1224" s="39" t="str">
        <f>("1411100213")</f>
        <v>1411100213</v>
      </c>
      <c r="C1224" s="39"/>
      <c r="D1224" s="39" t="s">
        <v>8290</v>
      </c>
      <c r="E1224" s="371" t="str">
        <f t="shared" si="105"/>
        <v>やまだ　しんのすけ</v>
      </c>
      <c r="F1224" s="39" t="s">
        <v>1692</v>
      </c>
      <c r="G1224" s="39" t="s">
        <v>7828</v>
      </c>
      <c r="H1224" s="39" t="str">
        <f>("2014/11/10")</f>
        <v>2014/11/10</v>
      </c>
      <c r="I1224" s="39">
        <v>5</v>
      </c>
      <c r="J1224" s="39" t="s">
        <v>1478</v>
      </c>
      <c r="K1224" s="39" t="s">
        <v>2122</v>
      </c>
      <c r="L1224" s="39" t="s">
        <v>7830</v>
      </c>
      <c r="M1224" s="39" t="s">
        <v>7831</v>
      </c>
      <c r="N1224" s="39" t="str">
        <f>("1052299")</f>
        <v>1052299</v>
      </c>
      <c r="P1224" s="39" t="s">
        <v>12698</v>
      </c>
      <c r="Q1224" s="39" t="s">
        <v>8568</v>
      </c>
      <c r="R1224" s="39" t="s">
        <v>8569</v>
      </c>
      <c r="S1224" s="39" t="s">
        <v>8570</v>
      </c>
      <c r="AK1224" s="39" t="str">
        <f t="shared" si="106"/>
        <v>2025/03/17</v>
      </c>
      <c r="AL1224" s="39" t="str">
        <f t="shared" si="104"/>
        <v>2025/04/01</v>
      </c>
    </row>
    <row r="1225" spans="1:38" x14ac:dyDescent="0.25">
      <c r="A1225" s="39" t="str">
        <f>("1411110104")</f>
        <v>1411110104</v>
      </c>
      <c r="B1225" s="39" t="s">
        <v>8291</v>
      </c>
      <c r="C1225" s="39"/>
      <c r="D1225" s="39" t="s">
        <v>8292</v>
      </c>
      <c r="E1225" s="371" t="str">
        <f t="shared" si="105"/>
        <v>かんだ　そうた</v>
      </c>
      <c r="F1225" s="39" t="s">
        <v>1912</v>
      </c>
      <c r="G1225" s="39" t="s">
        <v>7828</v>
      </c>
      <c r="H1225" s="39" t="str">
        <f>("2014/11/11")</f>
        <v>2014/11/11</v>
      </c>
      <c r="I1225" s="39">
        <v>5</v>
      </c>
      <c r="J1225" s="39" t="s">
        <v>1478</v>
      </c>
      <c r="K1225" s="39" t="s">
        <v>2122</v>
      </c>
      <c r="L1225" s="39" t="s">
        <v>7830</v>
      </c>
      <c r="M1225" s="39" t="s">
        <v>7831</v>
      </c>
      <c r="N1225" s="39" t="str">
        <f>("0130363")</f>
        <v>0130363</v>
      </c>
      <c r="P1225" s="39" t="s">
        <v>12699</v>
      </c>
      <c r="Q1225" s="39" t="s">
        <v>8568</v>
      </c>
      <c r="R1225" s="39" t="s">
        <v>8569</v>
      </c>
      <c r="S1225" s="39" t="s">
        <v>8570</v>
      </c>
      <c r="AK1225" s="39" t="str">
        <f t="shared" si="106"/>
        <v>2025/03/17</v>
      </c>
      <c r="AL1225" s="39" t="str">
        <f t="shared" si="104"/>
        <v>2025/04/01</v>
      </c>
    </row>
    <row r="1226" spans="1:38" x14ac:dyDescent="0.25">
      <c r="A1226" s="39" t="str">
        <f>("1411110204")</f>
        <v>1411110204</v>
      </c>
      <c r="C1226" s="39"/>
      <c r="D1226" s="39" t="s">
        <v>8293</v>
      </c>
      <c r="E1226" s="371" t="str">
        <f t="shared" si="105"/>
        <v>じつざき　ゆうたろう</v>
      </c>
      <c r="F1226" s="39" t="s">
        <v>2557</v>
      </c>
      <c r="G1226" s="39" t="s">
        <v>7828</v>
      </c>
      <c r="H1226" s="39" t="str">
        <f>("2014/11/11")</f>
        <v>2014/11/11</v>
      </c>
      <c r="I1226" s="39">
        <v>5</v>
      </c>
      <c r="J1226" s="39" t="s">
        <v>1478</v>
      </c>
      <c r="K1226" s="39" t="s">
        <v>2122</v>
      </c>
      <c r="L1226" s="39" t="s">
        <v>7830</v>
      </c>
      <c r="M1226" s="39" t="s">
        <v>7831</v>
      </c>
      <c r="N1226" s="39" t="str">
        <f>("0130723")</f>
        <v>0130723</v>
      </c>
      <c r="P1226" s="39" t="s">
        <v>12700</v>
      </c>
      <c r="Q1226" s="39" t="s">
        <v>8568</v>
      </c>
      <c r="R1226" s="39" t="s">
        <v>8569</v>
      </c>
      <c r="S1226" s="39" t="s">
        <v>8570</v>
      </c>
      <c r="AK1226" s="39" t="str">
        <f t="shared" si="106"/>
        <v>2025/03/17</v>
      </c>
      <c r="AL1226" s="39" t="str">
        <f t="shared" si="104"/>
        <v>2025/04/01</v>
      </c>
    </row>
    <row r="1227" spans="1:38" x14ac:dyDescent="0.25">
      <c r="A1227" s="39" t="str">
        <f>("1411110208")</f>
        <v>1411110208</v>
      </c>
      <c r="C1227" s="39"/>
      <c r="D1227" s="39" t="s">
        <v>8294</v>
      </c>
      <c r="E1227" s="371" t="str">
        <f t="shared" si="105"/>
        <v>きよた　けいいちろう</v>
      </c>
      <c r="F1227" s="39" t="s">
        <v>1207</v>
      </c>
      <c r="G1227" s="39" t="s">
        <v>7828</v>
      </c>
      <c r="H1227" s="39" t="str">
        <f>("2014/11/11")</f>
        <v>2014/11/11</v>
      </c>
      <c r="I1227" s="39">
        <v>5</v>
      </c>
      <c r="J1227" s="39" t="s">
        <v>1478</v>
      </c>
      <c r="K1227" s="39" t="s">
        <v>2122</v>
      </c>
      <c r="L1227" s="39" t="s">
        <v>7830</v>
      </c>
      <c r="M1227" s="39" t="s">
        <v>7831</v>
      </c>
      <c r="N1227" s="39" t="str">
        <f>("0381608")</f>
        <v>0381608</v>
      </c>
      <c r="P1227" s="39" t="s">
        <v>12701</v>
      </c>
      <c r="Q1227" s="39" t="s">
        <v>8568</v>
      </c>
      <c r="R1227" s="39" t="s">
        <v>8569</v>
      </c>
      <c r="S1227" s="39" t="s">
        <v>8570</v>
      </c>
      <c r="AK1227" s="39" t="str">
        <f>("2025/03/21")</f>
        <v>2025/03/21</v>
      </c>
      <c r="AL1227" s="39" t="str">
        <f t="shared" si="104"/>
        <v>2025/04/01</v>
      </c>
    </row>
    <row r="1228" spans="1:38" x14ac:dyDescent="0.25">
      <c r="A1228" s="39" t="str">
        <f>("1411120015")</f>
        <v>1411120015</v>
      </c>
      <c r="C1228" s="39"/>
      <c r="D1228" s="39" t="s">
        <v>6103</v>
      </c>
      <c r="E1228" s="371" t="str">
        <f t="shared" si="105"/>
        <v>もりた　あやか</v>
      </c>
      <c r="F1228" s="39" t="s">
        <v>5618</v>
      </c>
      <c r="G1228" s="39" t="s">
        <v>7828</v>
      </c>
      <c r="H1228" s="39" t="str">
        <f>("2014/11/12")</f>
        <v>2014/11/12</v>
      </c>
      <c r="I1228" s="39">
        <v>5</v>
      </c>
      <c r="J1228" s="39" t="s">
        <v>1480</v>
      </c>
      <c r="K1228" s="39" t="s">
        <v>2122</v>
      </c>
      <c r="L1228" s="39" t="s">
        <v>7830</v>
      </c>
      <c r="M1228" s="39" t="s">
        <v>7831</v>
      </c>
      <c r="N1228" s="39" t="str">
        <f>("0433235")</f>
        <v>0433235</v>
      </c>
      <c r="P1228" s="39" t="s">
        <v>12702</v>
      </c>
      <c r="Q1228" s="39" t="s">
        <v>8568</v>
      </c>
      <c r="R1228" s="39" t="s">
        <v>8569</v>
      </c>
      <c r="S1228" s="39" t="s">
        <v>8570</v>
      </c>
      <c r="AK1228" s="39" t="str">
        <f t="shared" ref="AK1228:AK1234" si="107">("2025/03/17")</f>
        <v>2025/03/17</v>
      </c>
      <c r="AL1228" s="39" t="str">
        <f t="shared" si="104"/>
        <v>2025/04/01</v>
      </c>
    </row>
    <row r="1229" spans="1:38" x14ac:dyDescent="0.25">
      <c r="A1229" s="39" t="str">
        <f>("1411120157")</f>
        <v>1411120157</v>
      </c>
      <c r="C1229" s="39"/>
      <c r="D1229" s="39" t="s">
        <v>5719</v>
      </c>
      <c r="E1229" s="371" t="str">
        <f t="shared" si="105"/>
        <v>しょうの　はるま</v>
      </c>
      <c r="F1229" s="39" t="s">
        <v>2491</v>
      </c>
      <c r="G1229" s="39" t="s">
        <v>7828</v>
      </c>
      <c r="H1229" s="39" t="str">
        <f>("2014/11/12")</f>
        <v>2014/11/12</v>
      </c>
      <c r="I1229" s="39">
        <v>5</v>
      </c>
      <c r="J1229" s="39" t="s">
        <v>1478</v>
      </c>
      <c r="K1229" s="39" t="s">
        <v>2122</v>
      </c>
      <c r="L1229" s="39" t="s">
        <v>7830</v>
      </c>
      <c r="M1229" s="39" t="s">
        <v>7831</v>
      </c>
      <c r="N1229" s="39" t="str">
        <f>("0129822")</f>
        <v>0129822</v>
      </c>
      <c r="P1229" s="39" t="s">
        <v>12703</v>
      </c>
      <c r="Q1229" s="39" t="s">
        <v>8568</v>
      </c>
      <c r="R1229" s="39" t="s">
        <v>8569</v>
      </c>
      <c r="S1229" s="39" t="s">
        <v>8570</v>
      </c>
      <c r="AK1229" s="39" t="str">
        <f t="shared" si="107"/>
        <v>2025/03/17</v>
      </c>
      <c r="AL1229" s="39" t="str">
        <f t="shared" si="104"/>
        <v>2025/04/01</v>
      </c>
    </row>
    <row r="1230" spans="1:38" x14ac:dyDescent="0.25">
      <c r="A1230" s="39" t="str">
        <f>("1411140109")</f>
        <v>1411140109</v>
      </c>
      <c r="B1230" s="39" t="s">
        <v>8295</v>
      </c>
      <c r="C1230" s="39"/>
      <c r="D1230" s="39" t="s">
        <v>8296</v>
      </c>
      <c r="E1230" s="371" t="str">
        <f t="shared" si="105"/>
        <v>はまこうじ　そうま</v>
      </c>
      <c r="F1230" s="39" t="s">
        <v>2188</v>
      </c>
      <c r="G1230" s="39" t="s">
        <v>7828</v>
      </c>
      <c r="H1230" s="39" t="str">
        <f>("2014/11/14")</f>
        <v>2014/11/14</v>
      </c>
      <c r="I1230" s="39">
        <v>5</v>
      </c>
      <c r="J1230" s="39" t="s">
        <v>1478</v>
      </c>
      <c r="K1230" s="39" t="s">
        <v>2122</v>
      </c>
      <c r="L1230" s="39" t="s">
        <v>7830</v>
      </c>
      <c r="M1230" s="39" t="s">
        <v>7831</v>
      </c>
      <c r="N1230" s="39" t="str">
        <f>("0129596")</f>
        <v>0129596</v>
      </c>
      <c r="P1230" s="39" t="s">
        <v>12704</v>
      </c>
      <c r="Q1230" s="39" t="s">
        <v>8568</v>
      </c>
      <c r="R1230" s="39" t="s">
        <v>8569</v>
      </c>
      <c r="S1230" s="39" t="s">
        <v>8570</v>
      </c>
      <c r="AK1230" s="39" t="str">
        <f t="shared" si="107"/>
        <v>2025/03/17</v>
      </c>
      <c r="AL1230" s="39" t="str">
        <f t="shared" si="104"/>
        <v>2025/04/01</v>
      </c>
    </row>
    <row r="1231" spans="1:38" x14ac:dyDescent="0.25">
      <c r="A1231" s="39" t="str">
        <f>("1411140145")</f>
        <v>1411140145</v>
      </c>
      <c r="C1231" s="39"/>
      <c r="D1231" s="39" t="s">
        <v>8297</v>
      </c>
      <c r="E1231" s="371" t="str">
        <f t="shared" si="105"/>
        <v>ひろた　あきと</v>
      </c>
      <c r="F1231" s="39" t="s">
        <v>2594</v>
      </c>
      <c r="G1231" s="39" t="s">
        <v>7828</v>
      </c>
      <c r="H1231" s="39" t="str">
        <f>("2014/11/14")</f>
        <v>2014/11/14</v>
      </c>
      <c r="I1231" s="39">
        <v>5</v>
      </c>
      <c r="J1231" s="39" t="s">
        <v>1478</v>
      </c>
      <c r="K1231" s="39" t="s">
        <v>2122</v>
      </c>
      <c r="L1231" s="39" t="s">
        <v>7830</v>
      </c>
      <c r="M1231" s="39" t="s">
        <v>7831</v>
      </c>
      <c r="N1231" s="39" t="str">
        <f>("0424583")</f>
        <v>0424583</v>
      </c>
      <c r="P1231" s="39" t="s">
        <v>12705</v>
      </c>
      <c r="Q1231" s="39" t="s">
        <v>8568</v>
      </c>
      <c r="R1231" s="39" t="s">
        <v>8569</v>
      </c>
      <c r="S1231" s="39" t="s">
        <v>8570</v>
      </c>
      <c r="AK1231" s="39" t="str">
        <f t="shared" si="107"/>
        <v>2025/03/17</v>
      </c>
      <c r="AL1231" s="39" t="str">
        <f t="shared" si="104"/>
        <v>2025/04/01</v>
      </c>
    </row>
    <row r="1232" spans="1:38" x14ac:dyDescent="0.25">
      <c r="A1232" s="39" t="str">
        <f>("1411140209")</f>
        <v>1411140209</v>
      </c>
      <c r="C1232" s="39"/>
      <c r="D1232" s="39" t="s">
        <v>8298</v>
      </c>
      <c r="E1232" s="371" t="str">
        <f t="shared" si="105"/>
        <v>きもと　りく</v>
      </c>
      <c r="F1232" s="39" t="s">
        <v>2544</v>
      </c>
      <c r="G1232" s="39" t="s">
        <v>7828</v>
      </c>
      <c r="H1232" s="39" t="str">
        <f>("2014/11/14")</f>
        <v>2014/11/14</v>
      </c>
      <c r="I1232" s="39">
        <v>5</v>
      </c>
      <c r="J1232" s="39" t="s">
        <v>1478</v>
      </c>
      <c r="K1232" s="39" t="s">
        <v>2122</v>
      </c>
      <c r="L1232" s="39" t="s">
        <v>7830</v>
      </c>
      <c r="M1232" s="39" t="s">
        <v>7831</v>
      </c>
      <c r="N1232" s="39" t="str">
        <f>("0130644")</f>
        <v>0130644</v>
      </c>
      <c r="P1232" s="39" t="s">
        <v>12706</v>
      </c>
      <c r="Q1232" s="39" t="s">
        <v>8568</v>
      </c>
      <c r="R1232" s="39" t="s">
        <v>8569</v>
      </c>
      <c r="S1232" s="39" t="s">
        <v>8570</v>
      </c>
      <c r="AK1232" s="39" t="str">
        <f t="shared" si="107"/>
        <v>2025/03/17</v>
      </c>
      <c r="AL1232" s="39" t="str">
        <f t="shared" si="104"/>
        <v>2025/04/01</v>
      </c>
    </row>
    <row r="1233" spans="1:38" x14ac:dyDescent="0.25">
      <c r="A1233" s="39" t="str">
        <f>("1411150041")</f>
        <v>1411150041</v>
      </c>
      <c r="C1233" s="39"/>
      <c r="D1233" s="39" t="s">
        <v>5940</v>
      </c>
      <c r="E1233" s="371" t="str">
        <f t="shared" si="105"/>
        <v>まき　てるま</v>
      </c>
      <c r="F1233" s="39" t="s">
        <v>2557</v>
      </c>
      <c r="G1233" s="39" t="s">
        <v>7828</v>
      </c>
      <c r="H1233" s="39" t="str">
        <f>("2014/11/15")</f>
        <v>2014/11/15</v>
      </c>
      <c r="I1233" s="39">
        <v>5</v>
      </c>
      <c r="J1233" s="39" t="s">
        <v>1478</v>
      </c>
      <c r="K1233" s="39" t="s">
        <v>2122</v>
      </c>
      <c r="L1233" s="39" t="s">
        <v>7830</v>
      </c>
      <c r="M1233" s="39" t="s">
        <v>7831</v>
      </c>
      <c r="N1233" s="39" t="str">
        <f>("0130723")</f>
        <v>0130723</v>
      </c>
      <c r="P1233" s="39" t="s">
        <v>12707</v>
      </c>
      <c r="Q1233" s="39" t="s">
        <v>8568</v>
      </c>
      <c r="R1233" s="39" t="s">
        <v>8569</v>
      </c>
      <c r="S1233" s="39" t="s">
        <v>8570</v>
      </c>
      <c r="AK1233" s="39" t="str">
        <f t="shared" si="107"/>
        <v>2025/03/17</v>
      </c>
      <c r="AL1233" s="39" t="str">
        <f t="shared" si="104"/>
        <v>2025/04/01</v>
      </c>
    </row>
    <row r="1234" spans="1:38" x14ac:dyDescent="0.25">
      <c r="A1234" s="39" t="str">
        <f>("1411160005")</f>
        <v>1411160005</v>
      </c>
      <c r="B1234" s="39" t="s">
        <v>8299</v>
      </c>
      <c r="C1234" s="39"/>
      <c r="D1234" s="39" t="s">
        <v>8300</v>
      </c>
      <c r="E1234" s="371" t="str">
        <f t="shared" si="105"/>
        <v>きしわだ　かいと</v>
      </c>
      <c r="F1234" s="39" t="s">
        <v>1912</v>
      </c>
      <c r="G1234" s="39" t="s">
        <v>7828</v>
      </c>
      <c r="H1234" s="39" t="str">
        <f>("2014/11/16")</f>
        <v>2014/11/16</v>
      </c>
      <c r="I1234" s="39">
        <v>5</v>
      </c>
      <c r="J1234" s="39" t="s">
        <v>1478</v>
      </c>
      <c r="K1234" s="39" t="s">
        <v>2122</v>
      </c>
      <c r="L1234" s="39" t="s">
        <v>7830</v>
      </c>
      <c r="M1234" s="39" t="s">
        <v>7831</v>
      </c>
      <c r="N1234" s="39" t="str">
        <f>("0130363")</f>
        <v>0130363</v>
      </c>
      <c r="P1234" s="39" t="s">
        <v>12708</v>
      </c>
      <c r="Q1234" s="39" t="s">
        <v>8568</v>
      </c>
      <c r="R1234" s="39" t="s">
        <v>8569</v>
      </c>
      <c r="S1234" s="39" t="s">
        <v>8570</v>
      </c>
      <c r="AK1234" s="39" t="str">
        <f t="shared" si="107"/>
        <v>2025/03/17</v>
      </c>
      <c r="AL1234" s="39" t="str">
        <f t="shared" si="104"/>
        <v>2025/04/01</v>
      </c>
    </row>
    <row r="1235" spans="1:38" x14ac:dyDescent="0.25">
      <c r="A1235" s="39" t="str">
        <f>("1411160103")</f>
        <v>1411160103</v>
      </c>
      <c r="C1235" s="39"/>
      <c r="D1235" s="39" t="s">
        <v>6094</v>
      </c>
      <c r="E1235" s="371" t="str">
        <f t="shared" si="105"/>
        <v>ゆき　じん</v>
      </c>
      <c r="F1235" s="39" t="s">
        <v>2600</v>
      </c>
      <c r="G1235" s="39" t="s">
        <v>7828</v>
      </c>
      <c r="H1235" s="39" t="str">
        <f>("2014/11/16")</f>
        <v>2014/11/16</v>
      </c>
      <c r="I1235" s="39">
        <v>5</v>
      </c>
      <c r="J1235" s="39" t="s">
        <v>1478</v>
      </c>
      <c r="K1235" s="39" t="s">
        <v>2122</v>
      </c>
      <c r="L1235" s="39" t="s">
        <v>7830</v>
      </c>
      <c r="M1235" s="39" t="s">
        <v>7831</v>
      </c>
      <c r="N1235" s="39" t="str">
        <f>("0429757")</f>
        <v>0429757</v>
      </c>
      <c r="P1235" s="39" t="s">
        <v>12709</v>
      </c>
      <c r="Q1235" s="39" t="s">
        <v>8568</v>
      </c>
      <c r="R1235" s="39" t="s">
        <v>8569</v>
      </c>
      <c r="S1235" s="39" t="s">
        <v>8570</v>
      </c>
      <c r="AK1235" s="39" t="str">
        <f>("2025/03/24")</f>
        <v>2025/03/24</v>
      </c>
      <c r="AL1235" s="39" t="str">
        <f t="shared" si="104"/>
        <v>2025/04/01</v>
      </c>
    </row>
    <row r="1236" spans="1:38" x14ac:dyDescent="0.25">
      <c r="A1236" s="39" t="str">
        <f>("1411160126")</f>
        <v>1411160126</v>
      </c>
      <c r="C1236" s="39"/>
      <c r="D1236" s="39" t="s">
        <v>8301</v>
      </c>
      <c r="E1236" s="371" t="str">
        <f t="shared" si="105"/>
        <v>しゅとう　ゆうせい</v>
      </c>
      <c r="F1236" s="39" t="s">
        <v>2544</v>
      </c>
      <c r="G1236" s="39" t="s">
        <v>7828</v>
      </c>
      <c r="H1236" s="39" t="str">
        <f>("2014/11/16")</f>
        <v>2014/11/16</v>
      </c>
      <c r="I1236" s="39">
        <v>5</v>
      </c>
      <c r="J1236" s="39" t="s">
        <v>1478</v>
      </c>
      <c r="K1236" s="39" t="s">
        <v>2122</v>
      </c>
      <c r="L1236" s="39" t="s">
        <v>7830</v>
      </c>
      <c r="M1236" s="39" t="s">
        <v>7831</v>
      </c>
      <c r="N1236" s="39" t="str">
        <f>("0130644")</f>
        <v>0130644</v>
      </c>
      <c r="P1236" s="39" t="s">
        <v>12710</v>
      </c>
      <c r="Q1236" s="39" t="s">
        <v>8568</v>
      </c>
      <c r="R1236" s="39" t="s">
        <v>8569</v>
      </c>
      <c r="S1236" s="39" t="s">
        <v>8570</v>
      </c>
      <c r="AK1236" s="39" t="str">
        <f>("2025/03/17")</f>
        <v>2025/03/17</v>
      </c>
      <c r="AL1236" s="39" t="str">
        <f t="shared" si="104"/>
        <v>2025/04/01</v>
      </c>
    </row>
    <row r="1237" spans="1:38" x14ac:dyDescent="0.25">
      <c r="A1237" s="39" t="str">
        <f>("1411180025")</f>
        <v>1411180025</v>
      </c>
      <c r="B1237" s="39" t="s">
        <v>8302</v>
      </c>
      <c r="C1237" s="39"/>
      <c r="D1237" s="39" t="s">
        <v>4875</v>
      </c>
      <c r="E1237" s="371" t="str">
        <f t="shared" si="105"/>
        <v>そめや　りゅうと</v>
      </c>
      <c r="F1237" s="39" t="s">
        <v>3870</v>
      </c>
      <c r="G1237" s="39" t="s">
        <v>7828</v>
      </c>
      <c r="H1237" s="39" t="str">
        <f>("2014/11/18")</f>
        <v>2014/11/18</v>
      </c>
      <c r="I1237" s="39">
        <v>5</v>
      </c>
      <c r="J1237" s="39" t="s">
        <v>1478</v>
      </c>
      <c r="K1237" s="39" t="s">
        <v>2122</v>
      </c>
      <c r="L1237" s="39" t="s">
        <v>7830</v>
      </c>
      <c r="M1237" s="39" t="s">
        <v>7831</v>
      </c>
      <c r="N1237" s="39" t="str">
        <f>("1094183")</f>
        <v>1094183</v>
      </c>
      <c r="P1237" s="39" t="s">
        <v>12711</v>
      </c>
      <c r="Q1237" s="39" t="s">
        <v>8568</v>
      </c>
      <c r="R1237" s="39" t="s">
        <v>8569</v>
      </c>
      <c r="S1237" s="39" t="s">
        <v>8570</v>
      </c>
      <c r="AK1237" s="39" t="str">
        <f>("2025/03/27")</f>
        <v>2025/03/27</v>
      </c>
      <c r="AL1237" s="39" t="str">
        <f t="shared" si="104"/>
        <v>2025/04/01</v>
      </c>
    </row>
    <row r="1238" spans="1:38" x14ac:dyDescent="0.25">
      <c r="A1238" s="39" t="str">
        <f>("1411180046")</f>
        <v>1411180046</v>
      </c>
      <c r="B1238" s="39" t="s">
        <v>8303</v>
      </c>
      <c r="C1238" s="39"/>
      <c r="D1238" s="39" t="s">
        <v>8304</v>
      </c>
      <c r="E1238" s="371" t="str">
        <f t="shared" si="105"/>
        <v>にのみや　こうし</v>
      </c>
      <c r="F1238" s="39" t="s">
        <v>5615</v>
      </c>
      <c r="G1238" s="39" t="s">
        <v>7828</v>
      </c>
      <c r="H1238" s="39" t="str">
        <f>("2014/11/18")</f>
        <v>2014/11/18</v>
      </c>
      <c r="I1238" s="39">
        <v>5</v>
      </c>
      <c r="J1238" s="39" t="s">
        <v>1478</v>
      </c>
      <c r="K1238" s="39" t="s">
        <v>2122</v>
      </c>
      <c r="L1238" s="39" t="s">
        <v>7830</v>
      </c>
      <c r="M1238" s="39" t="s">
        <v>7831</v>
      </c>
      <c r="N1238" s="39" t="str">
        <f>("0129642")</f>
        <v>0129642</v>
      </c>
      <c r="P1238" s="39" t="s">
        <v>12712</v>
      </c>
      <c r="Q1238" s="39" t="s">
        <v>8568</v>
      </c>
      <c r="R1238" s="39" t="s">
        <v>8569</v>
      </c>
      <c r="S1238" s="39" t="s">
        <v>8570</v>
      </c>
      <c r="AK1238" s="39" t="str">
        <f>("2025/03/24")</f>
        <v>2025/03/24</v>
      </c>
      <c r="AL1238" s="39" t="str">
        <f t="shared" si="104"/>
        <v>2025/04/01</v>
      </c>
    </row>
    <row r="1239" spans="1:38" x14ac:dyDescent="0.25">
      <c r="A1239" s="39" t="str">
        <f>("1411190215")</f>
        <v>1411190215</v>
      </c>
      <c r="C1239" s="39"/>
      <c r="D1239" s="39" t="s">
        <v>8305</v>
      </c>
      <c r="E1239" s="371" t="str">
        <f t="shared" si="105"/>
        <v>ぐんだ　みきや</v>
      </c>
      <c r="F1239" s="39" t="s">
        <v>2544</v>
      </c>
      <c r="G1239" s="39" t="s">
        <v>7828</v>
      </c>
      <c r="H1239" s="39" t="str">
        <f>("2014/11/19")</f>
        <v>2014/11/19</v>
      </c>
      <c r="I1239" s="39">
        <v>5</v>
      </c>
      <c r="J1239" s="39" t="s">
        <v>1478</v>
      </c>
      <c r="K1239" s="39" t="s">
        <v>2122</v>
      </c>
      <c r="L1239" s="39" t="s">
        <v>7830</v>
      </c>
      <c r="M1239" s="39" t="s">
        <v>7831</v>
      </c>
      <c r="N1239" s="39" t="str">
        <f>("0130644")</f>
        <v>0130644</v>
      </c>
      <c r="P1239" s="39" t="s">
        <v>12713</v>
      </c>
      <c r="Q1239" s="39" t="s">
        <v>8568</v>
      </c>
      <c r="R1239" s="39" t="s">
        <v>8569</v>
      </c>
      <c r="S1239" s="39" t="s">
        <v>8570</v>
      </c>
      <c r="AK1239" s="39" t="str">
        <f>("2025/04/26")</f>
        <v>2025/04/26</v>
      </c>
      <c r="AL1239" s="39" t="str">
        <f>("2025/04/26")</f>
        <v>2025/04/26</v>
      </c>
    </row>
    <row r="1240" spans="1:38" x14ac:dyDescent="0.25">
      <c r="A1240" s="39" t="str">
        <f>("1411200027")</f>
        <v>1411200027</v>
      </c>
      <c r="C1240" s="39"/>
      <c r="D1240" s="39" t="s">
        <v>8306</v>
      </c>
      <c r="E1240" s="371" t="str">
        <f t="shared" si="105"/>
        <v>たけお　とあ</v>
      </c>
      <c r="F1240" s="39" t="s">
        <v>5621</v>
      </c>
      <c r="G1240" s="39" t="s">
        <v>7828</v>
      </c>
      <c r="H1240" s="39" t="str">
        <f>("2014/11/20")</f>
        <v>2014/11/20</v>
      </c>
      <c r="I1240" s="39">
        <v>5</v>
      </c>
      <c r="J1240" s="39" t="s">
        <v>1478</v>
      </c>
      <c r="K1240" s="39" t="s">
        <v>2122</v>
      </c>
      <c r="L1240" s="39" t="s">
        <v>7830</v>
      </c>
      <c r="M1240" s="39" t="s">
        <v>7831</v>
      </c>
      <c r="N1240" s="39" t="str">
        <f>("1110654")</f>
        <v>1110654</v>
      </c>
      <c r="P1240" s="39" t="s">
        <v>12714</v>
      </c>
      <c r="Q1240" s="39" t="s">
        <v>8568</v>
      </c>
      <c r="R1240" s="39" t="s">
        <v>8569</v>
      </c>
      <c r="S1240" s="39" t="s">
        <v>8570</v>
      </c>
      <c r="AA1240" s="39" t="s">
        <v>2122</v>
      </c>
      <c r="AB1240" s="39" t="s">
        <v>7830</v>
      </c>
      <c r="AC1240" s="39" t="s">
        <v>7831</v>
      </c>
      <c r="AD1240" s="39" t="str">
        <f>("0472823")</f>
        <v>0472823</v>
      </c>
      <c r="AE1240" s="39" t="s">
        <v>2619</v>
      </c>
      <c r="AF1240" s="39" t="s">
        <v>2122</v>
      </c>
      <c r="AG1240" s="39" t="s">
        <v>7830</v>
      </c>
      <c r="AH1240" s="39" t="s">
        <v>7831</v>
      </c>
      <c r="AI1240" s="39" t="str">
        <f>("0130701")</f>
        <v>0130701</v>
      </c>
      <c r="AJ1240" s="39" t="s">
        <v>8818</v>
      </c>
      <c r="AK1240" s="39" t="str">
        <f>("2025/03/24")</f>
        <v>2025/03/24</v>
      </c>
      <c r="AL1240" s="39" t="str">
        <f>("2025/04/01")</f>
        <v>2025/04/01</v>
      </c>
    </row>
    <row r="1241" spans="1:38" x14ac:dyDescent="0.25">
      <c r="A1241" s="39" t="str">
        <f>("1411200141")</f>
        <v>1411200141</v>
      </c>
      <c r="C1241" s="39"/>
      <c r="D1241" s="39" t="s">
        <v>8307</v>
      </c>
      <c r="E1241" s="371" t="str">
        <f t="shared" si="105"/>
        <v>いとう　あき</v>
      </c>
      <c r="F1241" s="39" t="s">
        <v>2022</v>
      </c>
      <c r="G1241" s="39" t="s">
        <v>7828</v>
      </c>
      <c r="H1241" s="39" t="str">
        <f>("2014/11/20")</f>
        <v>2014/11/20</v>
      </c>
      <c r="I1241" s="39">
        <v>5</v>
      </c>
      <c r="J1241" s="39" t="s">
        <v>1478</v>
      </c>
      <c r="K1241" s="39" t="s">
        <v>2122</v>
      </c>
      <c r="L1241" s="39" t="s">
        <v>7830</v>
      </c>
      <c r="M1241" s="39" t="s">
        <v>7831</v>
      </c>
      <c r="N1241" s="39" t="str">
        <f>("0130329")</f>
        <v>0130329</v>
      </c>
      <c r="P1241" s="39" t="s">
        <v>12715</v>
      </c>
      <c r="Q1241" s="39" t="s">
        <v>8568</v>
      </c>
      <c r="R1241" s="39" t="s">
        <v>8569</v>
      </c>
      <c r="S1241" s="39" t="s">
        <v>8570</v>
      </c>
      <c r="AA1241" s="39" t="s">
        <v>2122</v>
      </c>
      <c r="AB1241" s="39" t="s">
        <v>7830</v>
      </c>
      <c r="AC1241" s="39" t="s">
        <v>7831</v>
      </c>
      <c r="AD1241" s="39" t="str">
        <f>("0426631")</f>
        <v>0426631</v>
      </c>
      <c r="AE1241" s="39" t="s">
        <v>829</v>
      </c>
      <c r="AK1241" s="39" t="str">
        <f>("2025/04/10")</f>
        <v>2025/04/10</v>
      </c>
      <c r="AL1241" s="39" t="str">
        <f>("2025/04/10")</f>
        <v>2025/04/10</v>
      </c>
    </row>
    <row r="1242" spans="1:38" x14ac:dyDescent="0.25">
      <c r="A1242" s="39" t="str">
        <f>("1411200168")</f>
        <v>1411200168</v>
      </c>
      <c r="C1242" s="39"/>
      <c r="D1242" s="39" t="s">
        <v>8308</v>
      </c>
      <c r="E1242" s="371" t="str">
        <f t="shared" si="105"/>
        <v>おの　こうき</v>
      </c>
      <c r="F1242" s="39" t="s">
        <v>2594</v>
      </c>
      <c r="G1242" s="39" t="s">
        <v>7828</v>
      </c>
      <c r="H1242" s="39" t="str">
        <f>("2014/11/20")</f>
        <v>2014/11/20</v>
      </c>
      <c r="I1242" s="39">
        <v>5</v>
      </c>
      <c r="J1242" s="39" t="s">
        <v>1478</v>
      </c>
      <c r="K1242" s="39" t="s">
        <v>2122</v>
      </c>
      <c r="L1242" s="39" t="s">
        <v>7830</v>
      </c>
      <c r="M1242" s="39" t="s">
        <v>7831</v>
      </c>
      <c r="N1242" s="39" t="str">
        <f>("0424583")</f>
        <v>0424583</v>
      </c>
      <c r="P1242" s="39" t="s">
        <v>12716</v>
      </c>
      <c r="Q1242" s="39" t="s">
        <v>8568</v>
      </c>
      <c r="R1242" s="39" t="s">
        <v>8569</v>
      </c>
      <c r="S1242" s="39" t="s">
        <v>8570</v>
      </c>
      <c r="AK1242" s="39" t="str">
        <f>("2025/03/17")</f>
        <v>2025/03/17</v>
      </c>
      <c r="AL1242" s="39" t="str">
        <f>("2025/04/01")</f>
        <v>2025/04/01</v>
      </c>
    </row>
    <row r="1243" spans="1:38" x14ac:dyDescent="0.25">
      <c r="A1243" s="39" t="str">
        <f>("1411210027")</f>
        <v>1411210027</v>
      </c>
      <c r="B1243" s="39" t="s">
        <v>8309</v>
      </c>
      <c r="C1243" s="39"/>
      <c r="D1243" s="39" t="s">
        <v>3883</v>
      </c>
      <c r="E1243" s="371" t="str">
        <f t="shared" si="105"/>
        <v>ゆき　たつや</v>
      </c>
      <c r="F1243" s="39" t="s">
        <v>3104</v>
      </c>
      <c r="G1243" s="39" t="s">
        <v>7828</v>
      </c>
      <c r="H1243" s="39" t="str">
        <f>("2014/11/21")</f>
        <v>2014/11/21</v>
      </c>
      <c r="I1243" s="39">
        <v>5</v>
      </c>
      <c r="J1243" s="39" t="s">
        <v>1478</v>
      </c>
      <c r="K1243" s="39" t="s">
        <v>2122</v>
      </c>
      <c r="L1243" s="39" t="s">
        <v>7830</v>
      </c>
      <c r="M1243" s="39" t="s">
        <v>7831</v>
      </c>
      <c r="N1243" s="39" t="str">
        <f>("1076189")</f>
        <v>1076189</v>
      </c>
      <c r="P1243" s="39" t="s">
        <v>12717</v>
      </c>
      <c r="Q1243" s="39" t="s">
        <v>8568</v>
      </c>
      <c r="R1243" s="39" t="s">
        <v>8569</v>
      </c>
      <c r="S1243" s="39" t="s">
        <v>8570</v>
      </c>
      <c r="AA1243" s="39" t="s">
        <v>2122</v>
      </c>
      <c r="AB1243" s="39" t="s">
        <v>7830</v>
      </c>
      <c r="AC1243" s="39" t="s">
        <v>7831</v>
      </c>
      <c r="AD1243" s="39" t="str">
        <f>("0129495")</f>
        <v>0129495</v>
      </c>
      <c r="AE1243" s="39" t="s">
        <v>4881</v>
      </c>
      <c r="AK1243" s="39" t="str">
        <f>("2025/04/04")</f>
        <v>2025/04/04</v>
      </c>
      <c r="AL1243" s="39" t="str">
        <f>("2025/04/04")</f>
        <v>2025/04/04</v>
      </c>
    </row>
    <row r="1244" spans="1:38" x14ac:dyDescent="0.25">
      <c r="A1244" s="39" t="str">
        <f>("1411210055")</f>
        <v>1411210055</v>
      </c>
      <c r="C1244" s="39"/>
      <c r="D1244" s="39" t="s">
        <v>8310</v>
      </c>
      <c r="E1244" s="371" t="str">
        <f t="shared" si="105"/>
        <v>やの　きよまさ</v>
      </c>
      <c r="F1244" s="39" t="s">
        <v>2024</v>
      </c>
      <c r="G1244" s="39" t="s">
        <v>7828</v>
      </c>
      <c r="H1244" s="39" t="str">
        <f>("2014/11/21")</f>
        <v>2014/11/21</v>
      </c>
      <c r="I1244" s="39">
        <v>5</v>
      </c>
      <c r="J1244" s="39" t="s">
        <v>1478</v>
      </c>
      <c r="K1244" s="39" t="s">
        <v>2122</v>
      </c>
      <c r="L1244" s="39" t="s">
        <v>7830</v>
      </c>
      <c r="M1244" s="39" t="s">
        <v>7831</v>
      </c>
      <c r="N1244" s="39" t="str">
        <f>("0130475")</f>
        <v>0130475</v>
      </c>
      <c r="P1244" s="39" t="s">
        <v>12718</v>
      </c>
      <c r="Q1244" s="39" t="s">
        <v>8568</v>
      </c>
      <c r="R1244" s="39" t="s">
        <v>8569</v>
      </c>
      <c r="S1244" s="39" t="s">
        <v>8570</v>
      </c>
      <c r="AK1244" s="39" t="str">
        <f>("2025/04/04")</f>
        <v>2025/04/04</v>
      </c>
      <c r="AL1244" s="39" t="str">
        <f>("2025/04/01")</f>
        <v>2025/04/01</v>
      </c>
    </row>
    <row r="1245" spans="1:38" x14ac:dyDescent="0.25">
      <c r="A1245" s="39" t="str">
        <f>("1411210149")</f>
        <v>1411210149</v>
      </c>
      <c r="B1245" s="39" t="s">
        <v>8311</v>
      </c>
      <c r="C1245" s="39"/>
      <c r="D1245" s="39" t="s">
        <v>8312</v>
      </c>
      <c r="E1245" s="371" t="str">
        <f t="shared" si="105"/>
        <v>ふかた　いつき</v>
      </c>
      <c r="F1245" s="39" t="s">
        <v>686</v>
      </c>
      <c r="G1245" s="39" t="s">
        <v>7828</v>
      </c>
      <c r="H1245" s="39" t="str">
        <f>("2014/11/21")</f>
        <v>2014/11/21</v>
      </c>
      <c r="I1245" s="39">
        <v>5</v>
      </c>
      <c r="J1245" s="39" t="s">
        <v>1478</v>
      </c>
      <c r="K1245" s="39" t="s">
        <v>2122</v>
      </c>
      <c r="L1245" s="39" t="s">
        <v>7830</v>
      </c>
      <c r="M1245" s="39" t="s">
        <v>7831</v>
      </c>
      <c r="N1245" s="39" t="str">
        <f>("0130745")</f>
        <v>0130745</v>
      </c>
      <c r="P1245" s="39" t="s">
        <v>12719</v>
      </c>
      <c r="Q1245" s="39" t="s">
        <v>8568</v>
      </c>
      <c r="R1245" s="39" t="s">
        <v>8569</v>
      </c>
      <c r="S1245" s="39" t="s">
        <v>8570</v>
      </c>
      <c r="AK1245" s="39" t="str">
        <f>("2025/03/17")</f>
        <v>2025/03/17</v>
      </c>
      <c r="AL1245" s="39" t="str">
        <f>("2025/04/01")</f>
        <v>2025/04/01</v>
      </c>
    </row>
    <row r="1246" spans="1:38" x14ac:dyDescent="0.25">
      <c r="A1246" s="39" t="str">
        <f>("1411220021")</f>
        <v>1411220021</v>
      </c>
      <c r="C1246" s="39"/>
      <c r="D1246" s="39" t="s">
        <v>5796</v>
      </c>
      <c r="E1246" s="371" t="str">
        <f t="shared" si="105"/>
        <v>とみざわ　あおい</v>
      </c>
      <c r="F1246" s="39" t="s">
        <v>856</v>
      </c>
      <c r="G1246" s="39" t="s">
        <v>7828</v>
      </c>
      <c r="H1246" s="39" t="str">
        <f>("2014/11/22")</f>
        <v>2014/11/22</v>
      </c>
      <c r="I1246" s="39">
        <v>5</v>
      </c>
      <c r="J1246" s="39" t="s">
        <v>1478</v>
      </c>
      <c r="K1246" s="39" t="s">
        <v>2122</v>
      </c>
      <c r="L1246" s="39" t="s">
        <v>7830</v>
      </c>
      <c r="M1246" s="39" t="s">
        <v>7831</v>
      </c>
      <c r="N1246" s="39" t="str">
        <f>("0130149")</f>
        <v>0130149</v>
      </c>
      <c r="P1246" s="39" t="s">
        <v>12720</v>
      </c>
      <c r="Q1246" s="39" t="s">
        <v>8568</v>
      </c>
      <c r="R1246" s="39" t="s">
        <v>8569</v>
      </c>
      <c r="S1246" s="39" t="s">
        <v>8570</v>
      </c>
      <c r="AK1246" s="39" t="str">
        <f>("2025/03/17")</f>
        <v>2025/03/17</v>
      </c>
      <c r="AL1246" s="39" t="str">
        <f>("2025/04/01")</f>
        <v>2025/04/01</v>
      </c>
    </row>
    <row r="1247" spans="1:38" x14ac:dyDescent="0.25">
      <c r="A1247" s="39" t="str">
        <f>("1411220046")</f>
        <v>1411220046</v>
      </c>
      <c r="C1247" s="39"/>
      <c r="D1247" s="39" t="s">
        <v>5862</v>
      </c>
      <c r="E1247" s="371" t="str">
        <f t="shared" si="105"/>
        <v>うえの　りゅうた</v>
      </c>
      <c r="F1247" s="39" t="s">
        <v>2530</v>
      </c>
      <c r="G1247" s="39" t="s">
        <v>7828</v>
      </c>
      <c r="H1247" s="39" t="str">
        <f>("2014/11/22")</f>
        <v>2014/11/22</v>
      </c>
      <c r="I1247" s="39">
        <v>5</v>
      </c>
      <c r="J1247" s="39" t="s">
        <v>1478</v>
      </c>
      <c r="K1247" s="39" t="s">
        <v>2122</v>
      </c>
      <c r="L1247" s="39" t="s">
        <v>7830</v>
      </c>
      <c r="M1247" s="39" t="s">
        <v>7831</v>
      </c>
      <c r="N1247" s="39" t="str">
        <f>("0338756")</f>
        <v>0338756</v>
      </c>
      <c r="P1247" s="39" t="s">
        <v>12721</v>
      </c>
      <c r="Q1247" s="39" t="s">
        <v>8568</v>
      </c>
      <c r="R1247" s="39" t="s">
        <v>8569</v>
      </c>
      <c r="S1247" s="39" t="s">
        <v>8570</v>
      </c>
      <c r="AA1247" s="39" t="s">
        <v>2122</v>
      </c>
      <c r="AB1247" s="39" t="s">
        <v>7830</v>
      </c>
      <c r="AC1247" s="39" t="s">
        <v>7831</v>
      </c>
      <c r="AD1247" s="39" t="str">
        <f>("0130475")</f>
        <v>0130475</v>
      </c>
      <c r="AE1247" s="39" t="s">
        <v>2024</v>
      </c>
      <c r="AK1247" s="39" t="str">
        <f>("2025/08/22")</f>
        <v>2025/08/22</v>
      </c>
      <c r="AL1247" s="39" t="str">
        <f>("2025/08/22")</f>
        <v>2025/08/22</v>
      </c>
    </row>
    <row r="1248" spans="1:38" x14ac:dyDescent="0.25">
      <c r="A1248" s="39" t="str">
        <f>("1411220178")</f>
        <v>1411220178</v>
      </c>
      <c r="C1248" s="39"/>
      <c r="D1248" s="39" t="s">
        <v>8313</v>
      </c>
      <c r="E1248" s="371" t="str">
        <f t="shared" si="105"/>
        <v>ごとう　なおもと</v>
      </c>
      <c r="F1248" s="39" t="s">
        <v>2574</v>
      </c>
      <c r="G1248" s="39" t="s">
        <v>7828</v>
      </c>
      <c r="H1248" s="39" t="str">
        <f>("2014/11/22")</f>
        <v>2014/11/22</v>
      </c>
      <c r="I1248" s="39">
        <v>5</v>
      </c>
      <c r="J1248" s="39" t="s">
        <v>1478</v>
      </c>
      <c r="K1248" s="39" t="s">
        <v>2122</v>
      </c>
      <c r="L1248" s="39" t="s">
        <v>7830</v>
      </c>
      <c r="M1248" s="39" t="s">
        <v>7831</v>
      </c>
      <c r="N1248" s="39" t="str">
        <f>("0237620")</f>
        <v>0237620</v>
      </c>
      <c r="P1248" s="39" t="s">
        <v>12722</v>
      </c>
      <c r="Q1248" s="39" t="s">
        <v>8568</v>
      </c>
      <c r="R1248" s="39" t="s">
        <v>8569</v>
      </c>
      <c r="S1248" s="39" t="s">
        <v>8570</v>
      </c>
      <c r="AK1248" s="39" t="str">
        <f>("2025/03/17")</f>
        <v>2025/03/17</v>
      </c>
      <c r="AL1248" s="39" t="str">
        <f t="shared" ref="AL1248:AL1269" si="108">("2025/04/01")</f>
        <v>2025/04/01</v>
      </c>
    </row>
    <row r="1249" spans="1:38" x14ac:dyDescent="0.25">
      <c r="A1249" s="39" t="str">
        <f>("1411230131")</f>
        <v>1411230131</v>
      </c>
      <c r="C1249" s="39"/>
      <c r="D1249" s="39" t="s">
        <v>5695</v>
      </c>
      <c r="E1249" s="371" t="str">
        <f t="shared" si="105"/>
        <v>いのくち　はる</v>
      </c>
      <c r="F1249" s="39" t="s">
        <v>3866</v>
      </c>
      <c r="G1249" s="39" t="s">
        <v>7828</v>
      </c>
      <c r="H1249" s="39" t="str">
        <f>("2014/11/23")</f>
        <v>2014/11/23</v>
      </c>
      <c r="I1249" s="39">
        <v>5</v>
      </c>
      <c r="J1249" s="39" t="s">
        <v>1478</v>
      </c>
      <c r="K1249" s="39" t="s">
        <v>2122</v>
      </c>
      <c r="L1249" s="39" t="s">
        <v>7830</v>
      </c>
      <c r="M1249" s="39" t="s">
        <v>7831</v>
      </c>
      <c r="N1249" s="39" t="str">
        <f>("0129675")</f>
        <v>0129675</v>
      </c>
      <c r="P1249" s="39" t="s">
        <v>12723</v>
      </c>
      <c r="Q1249" s="39" t="s">
        <v>8568</v>
      </c>
      <c r="R1249" s="39" t="s">
        <v>8569</v>
      </c>
      <c r="S1249" s="39" t="s">
        <v>8570</v>
      </c>
      <c r="AK1249" s="39" t="str">
        <f>("2025/04/01")</f>
        <v>2025/04/01</v>
      </c>
      <c r="AL1249" s="39" t="str">
        <f t="shared" si="108"/>
        <v>2025/04/01</v>
      </c>
    </row>
    <row r="1250" spans="1:38" x14ac:dyDescent="0.25">
      <c r="A1250" s="39" t="str">
        <f>("1411240116")</f>
        <v>1411240116</v>
      </c>
      <c r="B1250" s="39" t="s">
        <v>8314</v>
      </c>
      <c r="C1250" s="39"/>
      <c r="D1250" s="39" t="s">
        <v>8315</v>
      </c>
      <c r="E1250" s="371" t="str">
        <f t="shared" si="105"/>
        <v>やの　なな</v>
      </c>
      <c r="F1250" s="39" t="s">
        <v>5615</v>
      </c>
      <c r="G1250" s="39" t="s">
        <v>7828</v>
      </c>
      <c r="H1250" s="39" t="str">
        <f>("2014/11/24")</f>
        <v>2014/11/24</v>
      </c>
      <c r="I1250" s="39">
        <v>5</v>
      </c>
      <c r="J1250" s="39" t="s">
        <v>1480</v>
      </c>
      <c r="K1250" s="39" t="s">
        <v>2122</v>
      </c>
      <c r="L1250" s="39" t="s">
        <v>7830</v>
      </c>
      <c r="M1250" s="39" t="s">
        <v>7831</v>
      </c>
      <c r="N1250" s="39" t="str">
        <f>("0129642")</f>
        <v>0129642</v>
      </c>
      <c r="P1250" s="39" t="s">
        <v>12724</v>
      </c>
      <c r="Q1250" s="39" t="s">
        <v>8568</v>
      </c>
      <c r="R1250" s="39" t="s">
        <v>8569</v>
      </c>
      <c r="S1250" s="39" t="s">
        <v>8570</v>
      </c>
      <c r="AK1250" s="39" t="str">
        <f>("2025/03/24")</f>
        <v>2025/03/24</v>
      </c>
      <c r="AL1250" s="39" t="str">
        <f t="shared" si="108"/>
        <v>2025/04/01</v>
      </c>
    </row>
    <row r="1251" spans="1:38" x14ac:dyDescent="0.25">
      <c r="A1251" s="39" t="str">
        <f>("1411250025")</f>
        <v>1411250025</v>
      </c>
      <c r="C1251" s="39"/>
      <c r="D1251" s="39" t="s">
        <v>8316</v>
      </c>
      <c r="E1251" s="371" t="str">
        <f t="shared" si="105"/>
        <v>おがえり　しゅうご</v>
      </c>
      <c r="F1251" s="39" t="s">
        <v>2477</v>
      </c>
      <c r="G1251" s="39" t="s">
        <v>7828</v>
      </c>
      <c r="H1251" s="39" t="str">
        <f>("2014/11/25")</f>
        <v>2014/11/25</v>
      </c>
      <c r="I1251" s="39">
        <v>5</v>
      </c>
      <c r="J1251" s="39" t="s">
        <v>1478</v>
      </c>
      <c r="K1251" s="39" t="s">
        <v>2122</v>
      </c>
      <c r="L1251" s="39" t="s">
        <v>7830</v>
      </c>
      <c r="M1251" s="39" t="s">
        <v>7831</v>
      </c>
      <c r="N1251" s="39" t="str">
        <f>("0129541")</f>
        <v>0129541</v>
      </c>
      <c r="P1251" s="39" t="s">
        <v>12725</v>
      </c>
      <c r="Q1251" s="39" t="s">
        <v>8568</v>
      </c>
      <c r="R1251" s="39" t="s">
        <v>8569</v>
      </c>
      <c r="S1251" s="39" t="s">
        <v>8570</v>
      </c>
      <c r="AK1251" s="39" t="str">
        <f>("2025/03/27")</f>
        <v>2025/03/27</v>
      </c>
      <c r="AL1251" s="39" t="str">
        <f t="shared" si="108"/>
        <v>2025/04/01</v>
      </c>
    </row>
    <row r="1252" spans="1:38" x14ac:dyDescent="0.25">
      <c r="A1252" s="39" t="str">
        <f>("1411260006")</f>
        <v>1411260006</v>
      </c>
      <c r="B1252" s="39" t="s">
        <v>8317</v>
      </c>
      <c r="C1252" s="39"/>
      <c r="D1252" s="39" t="s">
        <v>8318</v>
      </c>
      <c r="E1252" s="371" t="str">
        <f t="shared" si="105"/>
        <v>やまだ　りょうじ</v>
      </c>
      <c r="F1252" s="39" t="s">
        <v>2299</v>
      </c>
      <c r="G1252" s="39" t="s">
        <v>7828</v>
      </c>
      <c r="H1252" s="39" t="str">
        <f>("2014/11/26")</f>
        <v>2014/11/26</v>
      </c>
      <c r="I1252" s="39">
        <v>5</v>
      </c>
      <c r="J1252" s="39" t="s">
        <v>1478</v>
      </c>
      <c r="K1252" s="39" t="s">
        <v>2122</v>
      </c>
      <c r="L1252" s="39" t="s">
        <v>7830</v>
      </c>
      <c r="M1252" s="39" t="s">
        <v>7831</v>
      </c>
      <c r="N1252" s="39" t="str">
        <f>("1066647")</f>
        <v>1066647</v>
      </c>
      <c r="P1252" s="39" t="s">
        <v>12726</v>
      </c>
      <c r="Q1252" s="39" t="s">
        <v>8568</v>
      </c>
      <c r="R1252" s="39" t="s">
        <v>8569</v>
      </c>
      <c r="S1252" s="39" t="s">
        <v>8570</v>
      </c>
      <c r="AK1252" s="39" t="str">
        <f>("2025/03/21")</f>
        <v>2025/03/21</v>
      </c>
      <c r="AL1252" s="39" t="str">
        <f t="shared" si="108"/>
        <v>2025/04/01</v>
      </c>
    </row>
    <row r="1253" spans="1:38" x14ac:dyDescent="0.25">
      <c r="A1253" s="39" t="str">
        <f>("1411260015")</f>
        <v>1411260015</v>
      </c>
      <c r="C1253" s="39"/>
      <c r="D1253" s="39" t="s">
        <v>4156</v>
      </c>
      <c r="E1253" s="371" t="str">
        <f t="shared" si="105"/>
        <v>おかべ　ゆうり</v>
      </c>
      <c r="F1253" s="39" t="s">
        <v>1082</v>
      </c>
      <c r="G1253" s="39" t="s">
        <v>7828</v>
      </c>
      <c r="H1253" s="39" t="str">
        <f>("2014/11/26")</f>
        <v>2014/11/26</v>
      </c>
      <c r="I1253" s="39">
        <v>5</v>
      </c>
      <c r="J1253" s="39" t="s">
        <v>1478</v>
      </c>
      <c r="K1253" s="39" t="s">
        <v>2122</v>
      </c>
      <c r="L1253" s="39" t="s">
        <v>7830</v>
      </c>
      <c r="M1253" s="39" t="s">
        <v>7831</v>
      </c>
      <c r="N1253" s="39" t="str">
        <f>("0450009")</f>
        <v>0450009</v>
      </c>
      <c r="P1253" s="39" t="s">
        <v>12727</v>
      </c>
      <c r="Q1253" s="39" t="s">
        <v>8568</v>
      </c>
      <c r="R1253" s="39" t="s">
        <v>8569</v>
      </c>
      <c r="S1253" s="39" t="s">
        <v>8570</v>
      </c>
      <c r="AK1253" s="39" t="str">
        <f>("2025/03/17")</f>
        <v>2025/03/17</v>
      </c>
      <c r="AL1253" s="39" t="str">
        <f t="shared" si="108"/>
        <v>2025/04/01</v>
      </c>
    </row>
    <row r="1254" spans="1:38" x14ac:dyDescent="0.25">
      <c r="A1254" s="39" t="str">
        <f>("1411260032")</f>
        <v>1411260032</v>
      </c>
      <c r="B1254" s="39" t="s">
        <v>8319</v>
      </c>
      <c r="C1254" s="39"/>
      <c r="D1254" s="39" t="s">
        <v>5821</v>
      </c>
      <c r="E1254" s="371" t="str">
        <f t="shared" si="105"/>
        <v>むらやま　あんな</v>
      </c>
      <c r="F1254" s="39" t="s">
        <v>1912</v>
      </c>
      <c r="G1254" s="39" t="s">
        <v>7828</v>
      </c>
      <c r="H1254" s="39" t="str">
        <f>("2014/11/26")</f>
        <v>2014/11/26</v>
      </c>
      <c r="I1254" s="39">
        <v>5</v>
      </c>
      <c r="J1254" s="39" t="s">
        <v>1480</v>
      </c>
      <c r="K1254" s="39" t="s">
        <v>2122</v>
      </c>
      <c r="L1254" s="39" t="s">
        <v>7830</v>
      </c>
      <c r="M1254" s="39" t="s">
        <v>7831</v>
      </c>
      <c r="N1254" s="39" t="str">
        <f>("0130363")</f>
        <v>0130363</v>
      </c>
      <c r="P1254" s="39" t="s">
        <v>12728</v>
      </c>
      <c r="Q1254" s="39" t="s">
        <v>8568</v>
      </c>
      <c r="R1254" s="39" t="s">
        <v>8569</v>
      </c>
      <c r="S1254" s="39" t="s">
        <v>8570</v>
      </c>
      <c r="AK1254" s="39" t="str">
        <f>("2025/03/17")</f>
        <v>2025/03/17</v>
      </c>
      <c r="AL1254" s="39" t="str">
        <f t="shared" si="108"/>
        <v>2025/04/01</v>
      </c>
    </row>
    <row r="1255" spans="1:38" x14ac:dyDescent="0.25">
      <c r="A1255" s="39" t="str">
        <f>("1411270184")</f>
        <v>1411270184</v>
      </c>
      <c r="B1255" s="39" t="s">
        <v>8320</v>
      </c>
      <c r="C1255" s="39"/>
      <c r="D1255" s="39" t="s">
        <v>5902</v>
      </c>
      <c r="E1255" s="371" t="str">
        <f t="shared" si="105"/>
        <v>いとう　あいと</v>
      </c>
      <c r="F1255" s="39" t="s">
        <v>1330</v>
      </c>
      <c r="G1255" s="39" t="s">
        <v>7828</v>
      </c>
      <c r="H1255" s="39" t="str">
        <f>("2014/11/27")</f>
        <v>2014/11/27</v>
      </c>
      <c r="I1255" s="39">
        <v>5</v>
      </c>
      <c r="J1255" s="39" t="s">
        <v>1478</v>
      </c>
      <c r="K1255" s="39" t="s">
        <v>2122</v>
      </c>
      <c r="L1255" s="39" t="s">
        <v>7830</v>
      </c>
      <c r="M1255" s="39" t="s">
        <v>7831</v>
      </c>
      <c r="N1255" s="39" t="str">
        <f>("0130598")</f>
        <v>0130598</v>
      </c>
      <c r="P1255" s="39" t="s">
        <v>12729</v>
      </c>
      <c r="Q1255" s="39" t="s">
        <v>8568</v>
      </c>
      <c r="R1255" s="39" t="s">
        <v>8569</v>
      </c>
      <c r="S1255" s="39" t="s">
        <v>8570</v>
      </c>
      <c r="AK1255" s="39" t="str">
        <f>("2025/03/17")</f>
        <v>2025/03/17</v>
      </c>
      <c r="AL1255" s="39" t="str">
        <f t="shared" si="108"/>
        <v>2025/04/01</v>
      </c>
    </row>
    <row r="1256" spans="1:38" x14ac:dyDescent="0.25">
      <c r="A1256" s="39" t="str">
        <f>("1411280111")</f>
        <v>1411280111</v>
      </c>
      <c r="C1256" s="39"/>
      <c r="D1256" s="39" t="s">
        <v>8321</v>
      </c>
      <c r="E1256" s="371" t="str">
        <f t="shared" si="105"/>
        <v>まるやま　あやと</v>
      </c>
      <c r="F1256" s="39" t="s">
        <v>2137</v>
      </c>
      <c r="G1256" s="39" t="s">
        <v>7828</v>
      </c>
      <c r="H1256" s="39" t="str">
        <f>("2014/11/28")</f>
        <v>2014/11/28</v>
      </c>
      <c r="I1256" s="39">
        <v>5</v>
      </c>
      <c r="J1256" s="39" t="s">
        <v>1478</v>
      </c>
      <c r="K1256" s="39" t="s">
        <v>2122</v>
      </c>
      <c r="L1256" s="39" t="s">
        <v>7830</v>
      </c>
      <c r="M1256" s="39" t="s">
        <v>7831</v>
      </c>
      <c r="N1256" s="39" t="str">
        <f>("0130510")</f>
        <v>0130510</v>
      </c>
      <c r="P1256" s="39" t="s">
        <v>12730</v>
      </c>
      <c r="Q1256" s="39" t="s">
        <v>8568</v>
      </c>
      <c r="R1256" s="39" t="s">
        <v>8569</v>
      </c>
      <c r="S1256" s="39" t="s">
        <v>8570</v>
      </c>
      <c r="AK1256" s="39" t="str">
        <f>("2025/03/21")</f>
        <v>2025/03/21</v>
      </c>
      <c r="AL1256" s="39" t="str">
        <f t="shared" si="108"/>
        <v>2025/04/01</v>
      </c>
    </row>
    <row r="1257" spans="1:38" x14ac:dyDescent="0.25">
      <c r="A1257" s="39" t="str">
        <f>("1411280120")</f>
        <v>1411280120</v>
      </c>
      <c r="C1257" s="39"/>
      <c r="D1257" s="39" t="s">
        <v>8322</v>
      </c>
      <c r="E1257" s="371" t="str">
        <f t="shared" si="105"/>
        <v>いのうえ　こう</v>
      </c>
      <c r="F1257" s="39" t="s">
        <v>1968</v>
      </c>
      <c r="G1257" s="39" t="s">
        <v>7828</v>
      </c>
      <c r="H1257" s="39" t="str">
        <f>("2014/11/28")</f>
        <v>2014/11/28</v>
      </c>
      <c r="I1257" s="39">
        <v>5</v>
      </c>
      <c r="J1257" s="39" t="s">
        <v>1478</v>
      </c>
      <c r="K1257" s="39" t="s">
        <v>2122</v>
      </c>
      <c r="L1257" s="39" t="s">
        <v>7830</v>
      </c>
      <c r="M1257" s="39" t="s">
        <v>7831</v>
      </c>
      <c r="N1257" s="39" t="str">
        <f>("0129507")</f>
        <v>0129507</v>
      </c>
      <c r="P1257" s="39" t="s">
        <v>12731</v>
      </c>
      <c r="Q1257" s="39" t="s">
        <v>8568</v>
      </c>
      <c r="R1257" s="39" t="s">
        <v>8569</v>
      </c>
      <c r="S1257" s="39" t="s">
        <v>8570</v>
      </c>
      <c r="AK1257" s="39" t="str">
        <f>("2025/03/17")</f>
        <v>2025/03/17</v>
      </c>
      <c r="AL1257" s="39" t="str">
        <f t="shared" si="108"/>
        <v>2025/04/01</v>
      </c>
    </row>
    <row r="1258" spans="1:38" x14ac:dyDescent="0.25">
      <c r="A1258" s="39" t="str">
        <f>("1411280141")</f>
        <v>1411280141</v>
      </c>
      <c r="C1258" s="39"/>
      <c r="D1258" s="39" t="s">
        <v>8323</v>
      </c>
      <c r="E1258" s="371" t="str">
        <f t="shared" si="105"/>
        <v>たかくら　あきと</v>
      </c>
      <c r="F1258" s="39" t="s">
        <v>2587</v>
      </c>
      <c r="G1258" s="39" t="s">
        <v>7828</v>
      </c>
      <c r="H1258" s="39" t="str">
        <f>("2014/11/28")</f>
        <v>2014/11/28</v>
      </c>
      <c r="I1258" s="39">
        <v>5</v>
      </c>
      <c r="J1258" s="39" t="s">
        <v>1478</v>
      </c>
      <c r="K1258" s="39" t="s">
        <v>2122</v>
      </c>
      <c r="L1258" s="39" t="s">
        <v>7830</v>
      </c>
      <c r="M1258" s="39" t="s">
        <v>7831</v>
      </c>
      <c r="N1258" s="39" t="str">
        <f>("0387334")</f>
        <v>0387334</v>
      </c>
      <c r="P1258" s="39" t="s">
        <v>12732</v>
      </c>
      <c r="Q1258" s="39" t="s">
        <v>8568</v>
      </c>
      <c r="R1258" s="39" t="s">
        <v>8569</v>
      </c>
      <c r="S1258" s="39" t="s">
        <v>8570</v>
      </c>
      <c r="AK1258" s="39" t="str">
        <f>("2025/03/27")</f>
        <v>2025/03/27</v>
      </c>
      <c r="AL1258" s="39" t="str">
        <f t="shared" si="108"/>
        <v>2025/04/01</v>
      </c>
    </row>
    <row r="1259" spans="1:38" x14ac:dyDescent="0.25">
      <c r="A1259" s="39" t="str">
        <f>("1411290017")</f>
        <v>1411290017</v>
      </c>
      <c r="B1259" s="39" t="s">
        <v>8324</v>
      </c>
      <c r="C1259" s="39"/>
      <c r="D1259" s="39" t="s">
        <v>4284</v>
      </c>
      <c r="E1259" s="371" t="str">
        <f t="shared" si="105"/>
        <v>いなもち　たいし</v>
      </c>
      <c r="F1259" s="39" t="s">
        <v>2485</v>
      </c>
      <c r="G1259" s="39" t="s">
        <v>7828</v>
      </c>
      <c r="H1259" s="39" t="str">
        <f>("2014/11/29")</f>
        <v>2014/11/29</v>
      </c>
      <c r="I1259" s="39">
        <v>5</v>
      </c>
      <c r="J1259" s="39" t="s">
        <v>1478</v>
      </c>
      <c r="K1259" s="39" t="s">
        <v>2122</v>
      </c>
      <c r="L1259" s="39" t="s">
        <v>7830</v>
      </c>
      <c r="M1259" s="39" t="s">
        <v>7831</v>
      </c>
      <c r="N1259" s="39" t="str">
        <f>("0129754")</f>
        <v>0129754</v>
      </c>
      <c r="P1259" s="39" t="s">
        <v>12733</v>
      </c>
      <c r="Q1259" s="39" t="s">
        <v>8568</v>
      </c>
      <c r="R1259" s="39" t="s">
        <v>8569</v>
      </c>
      <c r="S1259" s="39" t="s">
        <v>8570</v>
      </c>
      <c r="AK1259" s="39" t="str">
        <f>("2025/03/24")</f>
        <v>2025/03/24</v>
      </c>
      <c r="AL1259" s="39" t="str">
        <f t="shared" si="108"/>
        <v>2025/04/01</v>
      </c>
    </row>
    <row r="1260" spans="1:38" x14ac:dyDescent="0.25">
      <c r="A1260" s="39" t="str">
        <f>("1411300081")</f>
        <v>1411300081</v>
      </c>
      <c r="C1260" s="39"/>
      <c r="D1260" s="39" t="s">
        <v>8325</v>
      </c>
      <c r="E1260" s="371" t="str">
        <f t="shared" si="105"/>
        <v>くどう　ことか</v>
      </c>
      <c r="F1260" s="39" t="s">
        <v>1917</v>
      </c>
      <c r="G1260" s="39" t="s">
        <v>7828</v>
      </c>
      <c r="H1260" s="39" t="str">
        <f>("2014/11/30")</f>
        <v>2014/11/30</v>
      </c>
      <c r="I1260" s="39">
        <v>5</v>
      </c>
      <c r="J1260" s="39" t="s">
        <v>1480</v>
      </c>
      <c r="K1260" s="39" t="s">
        <v>2122</v>
      </c>
      <c r="L1260" s="39" t="s">
        <v>7830</v>
      </c>
      <c r="M1260" s="39" t="s">
        <v>7831</v>
      </c>
      <c r="N1260" s="39" t="str">
        <f>("1032161")</f>
        <v>1032161</v>
      </c>
      <c r="P1260" s="39" t="s">
        <v>12734</v>
      </c>
      <c r="Q1260" s="39" t="s">
        <v>8568</v>
      </c>
      <c r="R1260" s="39" t="s">
        <v>8569</v>
      </c>
      <c r="S1260" s="39" t="s">
        <v>8570</v>
      </c>
      <c r="AK1260" s="39" t="str">
        <f>("2025/03/21")</f>
        <v>2025/03/21</v>
      </c>
      <c r="AL1260" s="39" t="str">
        <f t="shared" si="108"/>
        <v>2025/04/01</v>
      </c>
    </row>
    <row r="1261" spans="1:38" x14ac:dyDescent="0.25">
      <c r="A1261" s="39" t="str">
        <f>("1411300082")</f>
        <v>1411300082</v>
      </c>
      <c r="C1261" s="39"/>
      <c r="D1261" s="39" t="s">
        <v>5679</v>
      </c>
      <c r="E1261" s="371" t="str">
        <f t="shared" si="105"/>
        <v>あべ　せいあ</v>
      </c>
      <c r="F1261" s="39" t="s">
        <v>2479</v>
      </c>
      <c r="G1261" s="39" t="s">
        <v>7828</v>
      </c>
      <c r="H1261" s="39" t="str">
        <f>("2014/11/30")</f>
        <v>2014/11/30</v>
      </c>
      <c r="I1261" s="39">
        <v>5</v>
      </c>
      <c r="J1261" s="39" t="s">
        <v>1478</v>
      </c>
      <c r="K1261" s="39" t="s">
        <v>2122</v>
      </c>
      <c r="L1261" s="39" t="s">
        <v>7830</v>
      </c>
      <c r="M1261" s="39" t="s">
        <v>7831</v>
      </c>
      <c r="N1261" s="39" t="str">
        <f>("0129608")</f>
        <v>0129608</v>
      </c>
      <c r="P1261" s="39" t="s">
        <v>12735</v>
      </c>
      <c r="Q1261" s="39" t="s">
        <v>8568</v>
      </c>
      <c r="R1261" s="39" t="s">
        <v>8569</v>
      </c>
      <c r="S1261" s="39" t="s">
        <v>8570</v>
      </c>
      <c r="AK1261" s="39" t="str">
        <f>("2025/03/17")</f>
        <v>2025/03/17</v>
      </c>
      <c r="AL1261" s="39" t="str">
        <f t="shared" si="108"/>
        <v>2025/04/01</v>
      </c>
    </row>
    <row r="1262" spans="1:38" x14ac:dyDescent="0.25">
      <c r="A1262" s="39" t="str">
        <f>("1411300091")</f>
        <v>1411300091</v>
      </c>
      <c r="B1262" s="39" t="s">
        <v>8326</v>
      </c>
      <c r="C1262" s="39"/>
      <c r="D1262" s="39" t="s">
        <v>8327</v>
      </c>
      <c r="E1262" s="371" t="str">
        <f t="shared" si="105"/>
        <v>いとう　かいせい</v>
      </c>
      <c r="F1262" s="39" t="s">
        <v>2325</v>
      </c>
      <c r="G1262" s="39" t="s">
        <v>7828</v>
      </c>
      <c r="H1262" s="39" t="str">
        <f>("2014/11/30")</f>
        <v>2014/11/30</v>
      </c>
      <c r="I1262" s="39">
        <v>5</v>
      </c>
      <c r="J1262" s="39" t="s">
        <v>1478</v>
      </c>
      <c r="K1262" s="39" t="s">
        <v>2122</v>
      </c>
      <c r="L1262" s="39" t="s">
        <v>7830</v>
      </c>
      <c r="M1262" s="39" t="s">
        <v>7831</v>
      </c>
      <c r="N1262" s="39" t="str">
        <f>("0155034")</f>
        <v>0155034</v>
      </c>
      <c r="P1262" s="39" t="s">
        <v>12736</v>
      </c>
      <c r="Q1262" s="39" t="s">
        <v>8568</v>
      </c>
      <c r="R1262" s="39" t="s">
        <v>8569</v>
      </c>
      <c r="S1262" s="39" t="s">
        <v>8570</v>
      </c>
      <c r="AK1262" s="39" t="str">
        <f>("2025/03/17")</f>
        <v>2025/03/17</v>
      </c>
      <c r="AL1262" s="39" t="str">
        <f t="shared" si="108"/>
        <v>2025/04/01</v>
      </c>
    </row>
    <row r="1263" spans="1:38" x14ac:dyDescent="0.25">
      <c r="A1263" s="39" t="str">
        <f>("1412010135")</f>
        <v>1412010135</v>
      </c>
      <c r="C1263" s="39"/>
      <c r="D1263" s="39" t="s">
        <v>8328</v>
      </c>
      <c r="E1263" s="371" t="str">
        <f t="shared" si="105"/>
        <v>てしま　さとよし</v>
      </c>
      <c r="F1263" s="39" t="s">
        <v>2587</v>
      </c>
      <c r="G1263" s="39" t="s">
        <v>7828</v>
      </c>
      <c r="H1263" s="39" t="str">
        <f>("2014/12/01")</f>
        <v>2014/12/01</v>
      </c>
      <c r="I1263" s="39">
        <v>5</v>
      </c>
      <c r="J1263" s="39" t="s">
        <v>1478</v>
      </c>
      <c r="K1263" s="39" t="s">
        <v>2122</v>
      </c>
      <c r="L1263" s="39" t="s">
        <v>7830</v>
      </c>
      <c r="M1263" s="39" t="s">
        <v>7831</v>
      </c>
      <c r="N1263" s="39" t="str">
        <f>("0387334")</f>
        <v>0387334</v>
      </c>
      <c r="P1263" s="39" t="s">
        <v>12737</v>
      </c>
      <c r="Q1263" s="39" t="s">
        <v>8568</v>
      </c>
      <c r="R1263" s="39" t="s">
        <v>8569</v>
      </c>
      <c r="S1263" s="39" t="s">
        <v>8570</v>
      </c>
      <c r="AK1263" s="39" t="str">
        <f>("2025/03/27")</f>
        <v>2025/03/27</v>
      </c>
      <c r="AL1263" s="39" t="str">
        <f t="shared" si="108"/>
        <v>2025/04/01</v>
      </c>
    </row>
    <row r="1264" spans="1:38" x14ac:dyDescent="0.25">
      <c r="A1264" s="39" t="str">
        <f>("1412020017")</f>
        <v>1412020017</v>
      </c>
      <c r="B1264" s="39" t="s">
        <v>8329</v>
      </c>
      <c r="C1264" s="39"/>
      <c r="D1264" s="39" t="s">
        <v>5685</v>
      </c>
      <c r="E1264" s="371" t="str">
        <f t="shared" si="105"/>
        <v>あべ　こうし</v>
      </c>
      <c r="F1264" s="39" t="s">
        <v>5615</v>
      </c>
      <c r="G1264" s="39" t="s">
        <v>7828</v>
      </c>
      <c r="H1264" s="39" t="str">
        <f t="shared" ref="H1264:H1270" si="109">("2014/12/02")</f>
        <v>2014/12/02</v>
      </c>
      <c r="I1264" s="39">
        <v>5</v>
      </c>
      <c r="J1264" s="39" t="s">
        <v>1478</v>
      </c>
      <c r="K1264" s="39" t="s">
        <v>2122</v>
      </c>
      <c r="L1264" s="39" t="s">
        <v>7830</v>
      </c>
      <c r="M1264" s="39" t="s">
        <v>7831</v>
      </c>
      <c r="N1264" s="39" t="str">
        <f>("0129642")</f>
        <v>0129642</v>
      </c>
      <c r="P1264" s="39" t="s">
        <v>12738</v>
      </c>
      <c r="Q1264" s="39" t="s">
        <v>8568</v>
      </c>
      <c r="R1264" s="39" t="s">
        <v>8569</v>
      </c>
      <c r="S1264" s="39" t="s">
        <v>8570</v>
      </c>
      <c r="AK1264" s="39" t="str">
        <f>("2025/03/24")</f>
        <v>2025/03/24</v>
      </c>
      <c r="AL1264" s="39" t="str">
        <f t="shared" si="108"/>
        <v>2025/04/01</v>
      </c>
    </row>
    <row r="1265" spans="1:39" x14ac:dyDescent="0.25">
      <c r="A1265" s="39" t="str">
        <f>("1412020019")</f>
        <v>1412020019</v>
      </c>
      <c r="C1265" s="39"/>
      <c r="D1265" s="39" t="s">
        <v>6191</v>
      </c>
      <c r="E1265" s="371" t="str">
        <f t="shared" si="105"/>
        <v>えとう　はる</v>
      </c>
      <c r="F1265" s="39" t="s">
        <v>1014</v>
      </c>
      <c r="G1265" s="39" t="s">
        <v>7828</v>
      </c>
      <c r="H1265" s="39" t="str">
        <f t="shared" si="109"/>
        <v>2014/12/02</v>
      </c>
      <c r="I1265" s="39">
        <v>5</v>
      </c>
      <c r="J1265" s="39" t="s">
        <v>1478</v>
      </c>
      <c r="K1265" s="39" t="s">
        <v>2122</v>
      </c>
      <c r="L1265" s="39" t="s">
        <v>7830</v>
      </c>
      <c r="M1265" s="39" t="s">
        <v>7831</v>
      </c>
      <c r="N1265" s="39" t="str">
        <f>("0513313")</f>
        <v>0513313</v>
      </c>
      <c r="P1265" s="39" t="s">
        <v>12739</v>
      </c>
      <c r="Q1265" s="39" t="s">
        <v>8568</v>
      </c>
      <c r="R1265" s="39" t="s">
        <v>8569</v>
      </c>
      <c r="S1265" s="39" t="s">
        <v>8570</v>
      </c>
      <c r="AK1265" s="39" t="str">
        <f>("2025/03/17")</f>
        <v>2025/03/17</v>
      </c>
      <c r="AL1265" s="39" t="str">
        <f t="shared" si="108"/>
        <v>2025/04/01</v>
      </c>
    </row>
    <row r="1266" spans="1:39" x14ac:dyDescent="0.25">
      <c r="A1266" s="39" t="str">
        <f>("1412020027")</f>
        <v>1412020027</v>
      </c>
      <c r="C1266" s="39"/>
      <c r="D1266" s="39" t="s">
        <v>8330</v>
      </c>
      <c r="E1266" s="371" t="str">
        <f t="shared" si="105"/>
        <v>おかだ　こうた</v>
      </c>
      <c r="F1266" s="39" t="s">
        <v>2573</v>
      </c>
      <c r="G1266" s="39" t="s">
        <v>7828</v>
      </c>
      <c r="H1266" s="39" t="str">
        <f t="shared" si="109"/>
        <v>2014/12/02</v>
      </c>
      <c r="I1266" s="39">
        <v>5</v>
      </c>
      <c r="J1266" s="39" t="s">
        <v>1478</v>
      </c>
      <c r="K1266" s="39" t="s">
        <v>2122</v>
      </c>
      <c r="L1266" s="39" t="s">
        <v>7830</v>
      </c>
      <c r="M1266" s="39" t="s">
        <v>7831</v>
      </c>
      <c r="N1266" s="39" t="str">
        <f>("0230982")</f>
        <v>0230982</v>
      </c>
      <c r="P1266" s="39" t="s">
        <v>12740</v>
      </c>
      <c r="Q1266" s="39" t="s">
        <v>8568</v>
      </c>
      <c r="R1266" s="39" t="s">
        <v>8569</v>
      </c>
      <c r="S1266" s="39" t="s">
        <v>8570</v>
      </c>
      <c r="AK1266" s="39" t="str">
        <f>("2025/03/17")</f>
        <v>2025/03/17</v>
      </c>
      <c r="AL1266" s="39" t="str">
        <f t="shared" si="108"/>
        <v>2025/04/01</v>
      </c>
      <c r="AM1266" s="39" t="str">
        <f>("2025/12/08")</f>
        <v>2025/12/08</v>
      </c>
    </row>
    <row r="1267" spans="1:39" x14ac:dyDescent="0.25">
      <c r="A1267" s="39" t="str">
        <f>("1412020177")</f>
        <v>1412020177</v>
      </c>
      <c r="C1267" s="39"/>
      <c r="D1267" s="39" t="s">
        <v>8331</v>
      </c>
      <c r="E1267" s="371" t="str">
        <f t="shared" si="105"/>
        <v>おてき　たける</v>
      </c>
      <c r="F1267" s="39" t="s">
        <v>947</v>
      </c>
      <c r="G1267" s="39" t="s">
        <v>7828</v>
      </c>
      <c r="H1267" s="39" t="str">
        <f t="shared" si="109"/>
        <v>2014/12/02</v>
      </c>
      <c r="I1267" s="39">
        <v>5</v>
      </c>
      <c r="J1267" s="39" t="s">
        <v>1478</v>
      </c>
      <c r="K1267" s="39" t="s">
        <v>2122</v>
      </c>
      <c r="L1267" s="39" t="s">
        <v>7830</v>
      </c>
      <c r="M1267" s="39" t="s">
        <v>7831</v>
      </c>
      <c r="N1267" s="39" t="str">
        <f>("0130183")</f>
        <v>0130183</v>
      </c>
      <c r="P1267" s="39" t="s">
        <v>12741</v>
      </c>
      <c r="Q1267" s="39" t="s">
        <v>8568</v>
      </c>
      <c r="R1267" s="39" t="s">
        <v>8569</v>
      </c>
      <c r="S1267" s="39" t="s">
        <v>8570</v>
      </c>
      <c r="AK1267" s="39" t="str">
        <f>("2025/03/27")</f>
        <v>2025/03/27</v>
      </c>
      <c r="AL1267" s="39" t="str">
        <f t="shared" si="108"/>
        <v>2025/04/01</v>
      </c>
    </row>
    <row r="1268" spans="1:39" x14ac:dyDescent="0.25">
      <c r="A1268" s="39" t="str">
        <f>("1412020218")</f>
        <v>1412020218</v>
      </c>
      <c r="C1268" s="39"/>
      <c r="D1268" s="39" t="s">
        <v>8332</v>
      </c>
      <c r="E1268" s="371" t="str">
        <f t="shared" si="105"/>
        <v>とみもと　はるき</v>
      </c>
      <c r="F1268" s="39" t="s">
        <v>2557</v>
      </c>
      <c r="G1268" s="39" t="s">
        <v>7828</v>
      </c>
      <c r="H1268" s="39" t="str">
        <f t="shared" si="109"/>
        <v>2014/12/02</v>
      </c>
      <c r="I1268" s="39">
        <v>5</v>
      </c>
      <c r="J1268" s="39" t="s">
        <v>1478</v>
      </c>
      <c r="K1268" s="39" t="s">
        <v>2122</v>
      </c>
      <c r="L1268" s="39" t="s">
        <v>7830</v>
      </c>
      <c r="M1268" s="39" t="s">
        <v>7831</v>
      </c>
      <c r="N1268" s="39" t="str">
        <f>("0130723")</f>
        <v>0130723</v>
      </c>
      <c r="P1268" s="39" t="s">
        <v>12742</v>
      </c>
      <c r="Q1268" s="39" t="s">
        <v>8568</v>
      </c>
      <c r="R1268" s="39" t="s">
        <v>8569</v>
      </c>
      <c r="S1268" s="39" t="s">
        <v>8570</v>
      </c>
      <c r="AK1268" s="39" t="str">
        <f>("2025/03/17")</f>
        <v>2025/03/17</v>
      </c>
      <c r="AL1268" s="39" t="str">
        <f t="shared" si="108"/>
        <v>2025/04/01</v>
      </c>
    </row>
    <row r="1269" spans="1:39" x14ac:dyDescent="0.25">
      <c r="A1269" s="39" t="str">
        <f>("1412020244")</f>
        <v>1412020244</v>
      </c>
      <c r="C1269" s="39"/>
      <c r="D1269" s="39" t="s">
        <v>8333</v>
      </c>
      <c r="E1269" s="371" t="str">
        <f t="shared" si="105"/>
        <v>まじま　おうが</v>
      </c>
      <c r="F1269" s="39" t="s">
        <v>947</v>
      </c>
      <c r="G1269" s="39" t="s">
        <v>7828</v>
      </c>
      <c r="H1269" s="39" t="str">
        <f t="shared" si="109"/>
        <v>2014/12/02</v>
      </c>
      <c r="I1269" s="39">
        <v>5</v>
      </c>
      <c r="J1269" s="39" t="s">
        <v>1478</v>
      </c>
      <c r="K1269" s="39" t="s">
        <v>2122</v>
      </c>
      <c r="L1269" s="39" t="s">
        <v>7830</v>
      </c>
      <c r="M1269" s="39" t="s">
        <v>7831</v>
      </c>
      <c r="N1269" s="39" t="str">
        <f>("0130183")</f>
        <v>0130183</v>
      </c>
      <c r="P1269" s="39" t="s">
        <v>12743</v>
      </c>
      <c r="Q1269" s="39" t="s">
        <v>8568</v>
      </c>
      <c r="R1269" s="39" t="s">
        <v>8569</v>
      </c>
      <c r="S1269" s="39" t="s">
        <v>8570</v>
      </c>
      <c r="AK1269" s="39" t="str">
        <f>("2025/03/27")</f>
        <v>2025/03/27</v>
      </c>
      <c r="AL1269" s="39" t="str">
        <f t="shared" si="108"/>
        <v>2025/04/01</v>
      </c>
    </row>
    <row r="1270" spans="1:39" x14ac:dyDescent="0.25">
      <c r="A1270" s="39" t="str">
        <f>("1412020249")</f>
        <v>1412020249</v>
      </c>
      <c r="C1270" s="39"/>
      <c r="D1270" s="39" t="s">
        <v>8334</v>
      </c>
      <c r="E1270" s="371" t="str">
        <f t="shared" si="105"/>
        <v>やまさき　きょうしろう</v>
      </c>
      <c r="F1270" s="39" t="s">
        <v>2587</v>
      </c>
      <c r="G1270" s="39" t="s">
        <v>7828</v>
      </c>
      <c r="H1270" s="39" t="str">
        <f t="shared" si="109"/>
        <v>2014/12/02</v>
      </c>
      <c r="I1270" s="39">
        <v>5</v>
      </c>
      <c r="J1270" s="39" t="s">
        <v>1478</v>
      </c>
      <c r="K1270" s="39" t="s">
        <v>2122</v>
      </c>
      <c r="L1270" s="39" t="s">
        <v>7830</v>
      </c>
      <c r="M1270" s="39" t="s">
        <v>7831</v>
      </c>
      <c r="N1270" s="39" t="str">
        <f>("0387334")</f>
        <v>0387334</v>
      </c>
      <c r="P1270" s="39" t="s">
        <v>12744</v>
      </c>
      <c r="Q1270" s="39" t="s">
        <v>8568</v>
      </c>
      <c r="R1270" s="39" t="s">
        <v>8569</v>
      </c>
      <c r="S1270" s="39" t="s">
        <v>8570</v>
      </c>
      <c r="AK1270" s="39" t="str">
        <f>("2025/04/10")</f>
        <v>2025/04/10</v>
      </c>
      <c r="AL1270" s="39" t="str">
        <f>("2025/04/10")</f>
        <v>2025/04/10</v>
      </c>
    </row>
    <row r="1271" spans="1:39" x14ac:dyDescent="0.25">
      <c r="A1271" s="39" t="str">
        <f>("1412040009")</f>
        <v>1412040009</v>
      </c>
      <c r="C1271" s="39"/>
      <c r="D1271" s="39" t="s">
        <v>6171</v>
      </c>
      <c r="E1271" s="371" t="str">
        <f t="shared" si="105"/>
        <v>いしみ　しおん</v>
      </c>
      <c r="F1271" s="39" t="s">
        <v>2156</v>
      </c>
      <c r="G1271" s="39" t="s">
        <v>7828</v>
      </c>
      <c r="H1271" s="39" t="str">
        <f>("2014/12/04")</f>
        <v>2014/12/04</v>
      </c>
      <c r="I1271" s="39">
        <v>5</v>
      </c>
      <c r="J1271" s="39" t="s">
        <v>1478</v>
      </c>
      <c r="K1271" s="39" t="s">
        <v>2122</v>
      </c>
      <c r="L1271" s="39" t="s">
        <v>7830</v>
      </c>
      <c r="M1271" s="39" t="s">
        <v>7831</v>
      </c>
      <c r="N1271" s="39" t="str">
        <f>("0493040")</f>
        <v>0493040</v>
      </c>
      <c r="P1271" s="39" t="s">
        <v>12745</v>
      </c>
      <c r="Q1271" s="39" t="s">
        <v>8568</v>
      </c>
      <c r="R1271" s="39" t="s">
        <v>8569</v>
      </c>
      <c r="S1271" s="39" t="s">
        <v>8570</v>
      </c>
      <c r="AK1271" s="39" t="str">
        <f>("2025/03/17")</f>
        <v>2025/03/17</v>
      </c>
      <c r="AL1271" s="39" t="str">
        <f t="shared" ref="AL1271:AL1276" si="110">("2025/04/01")</f>
        <v>2025/04/01</v>
      </c>
    </row>
    <row r="1272" spans="1:39" x14ac:dyDescent="0.25">
      <c r="A1272" s="39" t="str">
        <f>("1412050001")</f>
        <v>1412050001</v>
      </c>
      <c r="C1272" s="39"/>
      <c r="D1272" s="39" t="s">
        <v>8335</v>
      </c>
      <c r="E1272" s="371" t="str">
        <f t="shared" si="105"/>
        <v>かわの　あおと</v>
      </c>
      <c r="F1272" s="39" t="s">
        <v>2022</v>
      </c>
      <c r="G1272" s="39" t="s">
        <v>7828</v>
      </c>
      <c r="H1272" s="39" t="str">
        <f>("2014/12/05")</f>
        <v>2014/12/05</v>
      </c>
      <c r="I1272" s="39">
        <v>5</v>
      </c>
      <c r="J1272" s="39" t="s">
        <v>1478</v>
      </c>
      <c r="K1272" s="39" t="s">
        <v>2122</v>
      </c>
      <c r="L1272" s="39" t="s">
        <v>7830</v>
      </c>
      <c r="M1272" s="39" t="s">
        <v>7831</v>
      </c>
      <c r="N1272" s="39" t="str">
        <f>("0130329")</f>
        <v>0130329</v>
      </c>
      <c r="P1272" s="39" t="s">
        <v>12746</v>
      </c>
      <c r="Q1272" s="39" t="s">
        <v>8568</v>
      </c>
      <c r="R1272" s="39" t="s">
        <v>8569</v>
      </c>
      <c r="S1272" s="39" t="s">
        <v>8570</v>
      </c>
      <c r="AA1272" s="39" t="s">
        <v>2122</v>
      </c>
      <c r="AB1272" s="39" t="s">
        <v>7830</v>
      </c>
      <c r="AC1272" s="39" t="s">
        <v>7831</v>
      </c>
      <c r="AD1272" s="39" t="str">
        <f>("0129642")</f>
        <v>0129642</v>
      </c>
      <c r="AE1272" s="39" t="s">
        <v>5615</v>
      </c>
      <c r="AK1272" s="39" t="str">
        <f>("2025/03/17")</f>
        <v>2025/03/17</v>
      </c>
      <c r="AL1272" s="39" t="str">
        <f t="shared" si="110"/>
        <v>2025/04/01</v>
      </c>
    </row>
    <row r="1273" spans="1:39" x14ac:dyDescent="0.25">
      <c r="A1273" s="39" t="str">
        <f>("1412050098")</f>
        <v>1412050098</v>
      </c>
      <c r="C1273" s="39"/>
      <c r="D1273" s="39" t="s">
        <v>8336</v>
      </c>
      <c r="E1273" s="371" t="str">
        <f t="shared" si="105"/>
        <v>わたなべ　りょうじ</v>
      </c>
      <c r="F1273" s="39" t="s">
        <v>7864</v>
      </c>
      <c r="G1273" s="39" t="s">
        <v>7828</v>
      </c>
      <c r="H1273" s="39" t="str">
        <f>("2014/12/05")</f>
        <v>2014/12/05</v>
      </c>
      <c r="I1273" s="39">
        <v>5</v>
      </c>
      <c r="J1273" s="39" t="s">
        <v>1478</v>
      </c>
      <c r="K1273" s="39" t="s">
        <v>2122</v>
      </c>
      <c r="L1273" s="39" t="s">
        <v>7830</v>
      </c>
      <c r="M1273" s="39" t="s">
        <v>7831</v>
      </c>
      <c r="N1273" s="39" t="str">
        <f>("1039801")</f>
        <v>1039801</v>
      </c>
      <c r="P1273" s="39" t="s">
        <v>12747</v>
      </c>
      <c r="Q1273" s="39" t="s">
        <v>8568</v>
      </c>
      <c r="R1273" s="39" t="s">
        <v>8569</v>
      </c>
      <c r="S1273" s="39" t="s">
        <v>8570</v>
      </c>
      <c r="AK1273" s="39" t="str">
        <f>("2025/03/24")</f>
        <v>2025/03/24</v>
      </c>
      <c r="AL1273" s="39" t="str">
        <f t="shared" si="110"/>
        <v>2025/04/01</v>
      </c>
    </row>
    <row r="1274" spans="1:39" x14ac:dyDescent="0.25">
      <c r="A1274" s="39" t="str">
        <f>("1412050123")</f>
        <v>1412050123</v>
      </c>
      <c r="C1274" s="39"/>
      <c r="D1274" s="39" t="s">
        <v>8337</v>
      </c>
      <c r="E1274" s="371" t="str">
        <f t="shared" si="105"/>
        <v>あべ　こうすけ</v>
      </c>
      <c r="F1274" s="39" t="s">
        <v>2587</v>
      </c>
      <c r="G1274" s="39" t="s">
        <v>7828</v>
      </c>
      <c r="H1274" s="39" t="str">
        <f>("2014/12/05")</f>
        <v>2014/12/05</v>
      </c>
      <c r="I1274" s="39">
        <v>5</v>
      </c>
      <c r="J1274" s="39" t="s">
        <v>1478</v>
      </c>
      <c r="K1274" s="39" t="s">
        <v>2122</v>
      </c>
      <c r="L1274" s="39" t="s">
        <v>7830</v>
      </c>
      <c r="M1274" s="39" t="s">
        <v>7831</v>
      </c>
      <c r="N1274" s="39" t="str">
        <f>("0387334")</f>
        <v>0387334</v>
      </c>
      <c r="P1274" s="39" t="s">
        <v>12549</v>
      </c>
      <c r="Q1274" s="39" t="s">
        <v>8568</v>
      </c>
      <c r="R1274" s="39" t="s">
        <v>8569</v>
      </c>
      <c r="S1274" s="39" t="s">
        <v>8570</v>
      </c>
      <c r="AK1274" s="39" t="str">
        <f>("2025/03/27")</f>
        <v>2025/03/27</v>
      </c>
      <c r="AL1274" s="39" t="str">
        <f t="shared" si="110"/>
        <v>2025/04/01</v>
      </c>
    </row>
    <row r="1275" spans="1:39" x14ac:dyDescent="0.25">
      <c r="A1275" s="39" t="str">
        <f>("1412050207")</f>
        <v>1412050207</v>
      </c>
      <c r="C1275" s="39"/>
      <c r="D1275" s="39" t="s">
        <v>8338</v>
      </c>
      <c r="E1275" s="371" t="str">
        <f t="shared" si="105"/>
        <v>ふじもと　ゆうと</v>
      </c>
      <c r="F1275" s="39" t="s">
        <v>2479</v>
      </c>
      <c r="G1275" s="39" t="s">
        <v>7828</v>
      </c>
      <c r="H1275" s="39" t="str">
        <f>("2014/12/05")</f>
        <v>2014/12/05</v>
      </c>
      <c r="I1275" s="39">
        <v>5</v>
      </c>
      <c r="J1275" s="39" t="s">
        <v>1478</v>
      </c>
      <c r="K1275" s="39" t="s">
        <v>2122</v>
      </c>
      <c r="L1275" s="39" t="s">
        <v>7830</v>
      </c>
      <c r="M1275" s="39" t="s">
        <v>7831</v>
      </c>
      <c r="N1275" s="39" t="str">
        <f>("0129608")</f>
        <v>0129608</v>
      </c>
      <c r="P1275" s="39" t="s">
        <v>12748</v>
      </c>
      <c r="Q1275" s="39" t="s">
        <v>8568</v>
      </c>
      <c r="R1275" s="39" t="s">
        <v>8569</v>
      </c>
      <c r="S1275" s="39" t="s">
        <v>8570</v>
      </c>
      <c r="AK1275" s="39" t="str">
        <f>("2025/03/17")</f>
        <v>2025/03/17</v>
      </c>
      <c r="AL1275" s="39" t="str">
        <f t="shared" si="110"/>
        <v>2025/04/01</v>
      </c>
    </row>
    <row r="1276" spans="1:39" x14ac:dyDescent="0.25">
      <c r="A1276" s="39" t="str">
        <f>("1412060157")</f>
        <v>1412060157</v>
      </c>
      <c r="C1276" s="39"/>
      <c r="D1276" s="39" t="s">
        <v>8339</v>
      </c>
      <c r="E1276" s="371" t="str">
        <f t="shared" si="105"/>
        <v>おおやま　りょうじ</v>
      </c>
      <c r="F1276" s="39" t="s">
        <v>1692</v>
      </c>
      <c r="G1276" s="39" t="s">
        <v>7828</v>
      </c>
      <c r="H1276" s="39" t="str">
        <f>("2014/12/06")</f>
        <v>2014/12/06</v>
      </c>
      <c r="I1276" s="39">
        <v>5</v>
      </c>
      <c r="J1276" s="39" t="s">
        <v>1478</v>
      </c>
      <c r="K1276" s="39" t="s">
        <v>2122</v>
      </c>
      <c r="L1276" s="39" t="s">
        <v>7830</v>
      </c>
      <c r="M1276" s="39" t="s">
        <v>7831</v>
      </c>
      <c r="N1276" s="39" t="str">
        <f>("1052299")</f>
        <v>1052299</v>
      </c>
      <c r="P1276" s="39" t="s">
        <v>12749</v>
      </c>
      <c r="Q1276" s="39" t="s">
        <v>8568</v>
      </c>
      <c r="R1276" s="39" t="s">
        <v>8569</v>
      </c>
      <c r="S1276" s="39" t="s">
        <v>8570</v>
      </c>
      <c r="AK1276" s="39" t="str">
        <f>("2025/03/17")</f>
        <v>2025/03/17</v>
      </c>
      <c r="AL1276" s="39" t="str">
        <f t="shared" si="110"/>
        <v>2025/04/01</v>
      </c>
    </row>
    <row r="1277" spans="1:39" x14ac:dyDescent="0.25">
      <c r="A1277" s="39" t="str">
        <f>("1412070021")</f>
        <v>1412070021</v>
      </c>
      <c r="C1277" s="39"/>
      <c r="D1277" s="39" t="s">
        <v>8340</v>
      </c>
      <c r="E1277" s="371" t="str">
        <f t="shared" si="105"/>
        <v>さとう　ゆうひ</v>
      </c>
      <c r="F1277" s="39" t="s">
        <v>1917</v>
      </c>
      <c r="G1277" s="39" t="s">
        <v>7828</v>
      </c>
      <c r="H1277" s="39" t="str">
        <f>("2014/12/07")</f>
        <v>2014/12/07</v>
      </c>
      <c r="I1277" s="39">
        <v>5</v>
      </c>
      <c r="J1277" s="39" t="s">
        <v>1478</v>
      </c>
      <c r="K1277" s="39" t="s">
        <v>2122</v>
      </c>
      <c r="L1277" s="39" t="s">
        <v>7830</v>
      </c>
      <c r="M1277" s="39" t="s">
        <v>7831</v>
      </c>
      <c r="N1277" s="39" t="str">
        <f>("1032161")</f>
        <v>1032161</v>
      </c>
      <c r="P1277" s="39" t="s">
        <v>12750</v>
      </c>
      <c r="Q1277" s="39" t="s">
        <v>8568</v>
      </c>
      <c r="R1277" s="39" t="s">
        <v>8569</v>
      </c>
      <c r="S1277" s="39" t="s">
        <v>8570</v>
      </c>
      <c r="AA1277" s="39" t="s">
        <v>2122</v>
      </c>
      <c r="AB1277" s="39" t="s">
        <v>7830</v>
      </c>
      <c r="AC1277" s="39" t="s">
        <v>7831</v>
      </c>
      <c r="AD1277" s="39" t="str">
        <f>("0472823")</f>
        <v>0472823</v>
      </c>
      <c r="AE1277" s="39" t="s">
        <v>2619</v>
      </c>
      <c r="AF1277" s="39" t="s">
        <v>2122</v>
      </c>
      <c r="AG1277" s="39" t="s">
        <v>7830</v>
      </c>
      <c r="AH1277" s="39" t="s">
        <v>7831</v>
      </c>
      <c r="AI1277" s="39" t="str">
        <f>("0130363")</f>
        <v>0130363</v>
      </c>
      <c r="AJ1277" s="39" t="s">
        <v>1912</v>
      </c>
      <c r="AK1277" s="39" t="str">
        <f>("2025/09/03")</f>
        <v>2025/09/03</v>
      </c>
      <c r="AL1277" s="39" t="str">
        <f>("2025/09/03")</f>
        <v>2025/09/03</v>
      </c>
    </row>
    <row r="1278" spans="1:39" x14ac:dyDescent="0.25">
      <c r="A1278" s="39" t="str">
        <f>("1412070046")</f>
        <v>1412070046</v>
      </c>
      <c r="C1278" s="39"/>
      <c r="D1278" s="39" t="s">
        <v>8341</v>
      </c>
      <c r="E1278" s="371" t="str">
        <f t="shared" si="105"/>
        <v>きくち　ゆうと</v>
      </c>
      <c r="F1278" s="39" t="s">
        <v>7910</v>
      </c>
      <c r="G1278" s="39" t="s">
        <v>7828</v>
      </c>
      <c r="H1278" s="39" t="str">
        <f>("2014/12/07")</f>
        <v>2014/12/07</v>
      </c>
      <c r="I1278" s="39">
        <v>5</v>
      </c>
      <c r="J1278" s="39" t="s">
        <v>1478</v>
      </c>
      <c r="K1278" s="39" t="s">
        <v>2122</v>
      </c>
      <c r="L1278" s="39" t="s">
        <v>7830</v>
      </c>
      <c r="M1278" s="39" t="s">
        <v>7831</v>
      </c>
      <c r="N1278" s="39" t="str">
        <f>("1111064")</f>
        <v>1111064</v>
      </c>
      <c r="P1278" s="39" t="s">
        <v>12751</v>
      </c>
      <c r="Q1278" s="39" t="s">
        <v>8568</v>
      </c>
      <c r="R1278" s="39" t="s">
        <v>8569</v>
      </c>
      <c r="S1278" s="39" t="s">
        <v>8570</v>
      </c>
      <c r="AA1278" s="39" t="s">
        <v>2122</v>
      </c>
      <c r="AB1278" s="39" t="s">
        <v>7830</v>
      </c>
      <c r="AC1278" s="39" t="s">
        <v>7831</v>
      </c>
      <c r="AD1278" s="39" t="str">
        <f>("0303040")</f>
        <v>0303040</v>
      </c>
      <c r="AE1278" s="39" t="s">
        <v>2575</v>
      </c>
      <c r="AK1278" s="39" t="str">
        <f t="shared" ref="AK1278:AK1284" si="111">("2025/03/17")</f>
        <v>2025/03/17</v>
      </c>
      <c r="AL1278" s="39" t="str">
        <f t="shared" ref="AL1278:AL1284" si="112">("2025/04/01")</f>
        <v>2025/04/01</v>
      </c>
    </row>
    <row r="1279" spans="1:39" x14ac:dyDescent="0.25">
      <c r="A1279" s="39" t="str">
        <f>("1412080072")</f>
        <v>1412080072</v>
      </c>
      <c r="C1279" s="39"/>
      <c r="D1279" s="39" t="s">
        <v>6102</v>
      </c>
      <c r="E1279" s="371" t="str">
        <f t="shared" si="105"/>
        <v>はざま　ひなた</v>
      </c>
      <c r="F1279" s="39" t="s">
        <v>5618</v>
      </c>
      <c r="G1279" s="39" t="s">
        <v>7828</v>
      </c>
      <c r="H1279" s="39" t="str">
        <f>("2014/12/08")</f>
        <v>2014/12/08</v>
      </c>
      <c r="I1279" s="39">
        <v>5</v>
      </c>
      <c r="J1279" s="39" t="s">
        <v>1478</v>
      </c>
      <c r="K1279" s="39" t="s">
        <v>2122</v>
      </c>
      <c r="L1279" s="39" t="s">
        <v>7830</v>
      </c>
      <c r="M1279" s="39" t="s">
        <v>7831</v>
      </c>
      <c r="N1279" s="39" t="str">
        <f>("0433235")</f>
        <v>0433235</v>
      </c>
      <c r="P1279" s="39" t="s">
        <v>12752</v>
      </c>
      <c r="Q1279" s="39" t="s">
        <v>8568</v>
      </c>
      <c r="R1279" s="39" t="s">
        <v>8569</v>
      </c>
      <c r="S1279" s="39" t="s">
        <v>8570</v>
      </c>
      <c r="AK1279" s="39" t="str">
        <f t="shared" si="111"/>
        <v>2025/03/17</v>
      </c>
      <c r="AL1279" s="39" t="str">
        <f t="shared" si="112"/>
        <v>2025/04/01</v>
      </c>
    </row>
    <row r="1280" spans="1:39" x14ac:dyDescent="0.25">
      <c r="A1280" s="39" t="str">
        <f>("1412090131")</f>
        <v>1412090131</v>
      </c>
      <c r="B1280" s="39" t="s">
        <v>8342</v>
      </c>
      <c r="C1280" s="39"/>
      <c r="D1280" s="39" t="s">
        <v>5674</v>
      </c>
      <c r="E1280" s="371" t="str">
        <f t="shared" si="105"/>
        <v>つだ　とうり</v>
      </c>
      <c r="F1280" s="39" t="s">
        <v>2188</v>
      </c>
      <c r="G1280" s="39" t="s">
        <v>7828</v>
      </c>
      <c r="H1280" s="39" t="str">
        <f t="shared" ref="H1280:H1285" si="113">("2014/12/09")</f>
        <v>2014/12/09</v>
      </c>
      <c r="I1280" s="39">
        <v>5</v>
      </c>
      <c r="J1280" s="39" t="s">
        <v>1478</v>
      </c>
      <c r="K1280" s="39" t="s">
        <v>2122</v>
      </c>
      <c r="L1280" s="39" t="s">
        <v>7830</v>
      </c>
      <c r="M1280" s="39" t="s">
        <v>7831</v>
      </c>
      <c r="N1280" s="39" t="str">
        <f>("0129596")</f>
        <v>0129596</v>
      </c>
      <c r="P1280" s="39" t="s">
        <v>12753</v>
      </c>
      <c r="Q1280" s="39" t="s">
        <v>8568</v>
      </c>
      <c r="R1280" s="39" t="s">
        <v>8569</v>
      </c>
      <c r="S1280" s="39" t="s">
        <v>8570</v>
      </c>
      <c r="AK1280" s="39" t="str">
        <f t="shared" si="111"/>
        <v>2025/03/17</v>
      </c>
      <c r="AL1280" s="39" t="str">
        <f t="shared" si="112"/>
        <v>2025/04/01</v>
      </c>
    </row>
    <row r="1281" spans="1:38" x14ac:dyDescent="0.25">
      <c r="A1281" s="39" t="str">
        <f>("1412090132")</f>
        <v>1412090132</v>
      </c>
      <c r="C1281" s="39"/>
      <c r="D1281" s="39" t="s">
        <v>5846</v>
      </c>
      <c r="E1281" s="371" t="str">
        <f t="shared" si="105"/>
        <v>えとう　そうすけ</v>
      </c>
      <c r="F1281" s="39" t="s">
        <v>2531</v>
      </c>
      <c r="G1281" s="39" t="s">
        <v>7828</v>
      </c>
      <c r="H1281" s="39" t="str">
        <f t="shared" si="113"/>
        <v>2014/12/09</v>
      </c>
      <c r="I1281" s="39">
        <v>5</v>
      </c>
      <c r="J1281" s="39" t="s">
        <v>1478</v>
      </c>
      <c r="K1281" s="39" t="s">
        <v>2122</v>
      </c>
      <c r="L1281" s="39" t="s">
        <v>7830</v>
      </c>
      <c r="M1281" s="39" t="s">
        <v>7831</v>
      </c>
      <c r="N1281" s="39" t="str">
        <f>("0130419")</f>
        <v>0130419</v>
      </c>
      <c r="P1281" s="39" t="s">
        <v>12754</v>
      </c>
      <c r="Q1281" s="39" t="s">
        <v>8568</v>
      </c>
      <c r="R1281" s="39" t="s">
        <v>8569</v>
      </c>
      <c r="S1281" s="39" t="s">
        <v>8570</v>
      </c>
      <c r="AK1281" s="39" t="str">
        <f t="shared" si="111"/>
        <v>2025/03/17</v>
      </c>
      <c r="AL1281" s="39" t="str">
        <f t="shared" si="112"/>
        <v>2025/04/01</v>
      </c>
    </row>
    <row r="1282" spans="1:38" x14ac:dyDescent="0.25">
      <c r="A1282" s="39" t="str">
        <f>("1412090135")</f>
        <v>1412090135</v>
      </c>
      <c r="B1282" s="39" t="s">
        <v>8343</v>
      </c>
      <c r="C1282" s="39"/>
      <c r="D1282" s="39" t="s">
        <v>8344</v>
      </c>
      <c r="E1282" s="371" t="str">
        <f t="shared" si="105"/>
        <v>なかむら　けいしん</v>
      </c>
      <c r="F1282" s="39" t="s">
        <v>1968</v>
      </c>
      <c r="G1282" s="39" t="s">
        <v>7828</v>
      </c>
      <c r="H1282" s="39" t="str">
        <f t="shared" si="113"/>
        <v>2014/12/09</v>
      </c>
      <c r="I1282" s="39">
        <v>5</v>
      </c>
      <c r="J1282" s="39" t="s">
        <v>1478</v>
      </c>
      <c r="K1282" s="39" t="s">
        <v>2122</v>
      </c>
      <c r="L1282" s="39" t="s">
        <v>7830</v>
      </c>
      <c r="M1282" s="39" t="s">
        <v>7831</v>
      </c>
      <c r="N1282" s="39" t="str">
        <f>("0129507")</f>
        <v>0129507</v>
      </c>
      <c r="P1282" s="39" t="s">
        <v>12755</v>
      </c>
      <c r="Q1282" s="39" t="s">
        <v>8568</v>
      </c>
      <c r="R1282" s="39" t="s">
        <v>8569</v>
      </c>
      <c r="S1282" s="39" t="s">
        <v>8570</v>
      </c>
      <c r="AK1282" s="39" t="str">
        <f t="shared" si="111"/>
        <v>2025/03/17</v>
      </c>
      <c r="AL1282" s="39" t="str">
        <f t="shared" si="112"/>
        <v>2025/04/01</v>
      </c>
    </row>
    <row r="1283" spans="1:38" x14ac:dyDescent="0.25">
      <c r="A1283" s="39" t="str">
        <f>("1412090139")</f>
        <v>1412090139</v>
      </c>
      <c r="B1283" s="39" t="s">
        <v>8345</v>
      </c>
      <c r="C1283" s="39"/>
      <c r="D1283" s="39" t="s">
        <v>6008</v>
      </c>
      <c r="E1283" s="371" t="str">
        <f t="shared" ref="E1283:E1346" si="114">PHONETIC(P1283)</f>
        <v>おがさわら　いおり</v>
      </c>
      <c r="F1283" s="39" t="s">
        <v>1865</v>
      </c>
      <c r="G1283" s="39" t="s">
        <v>7828</v>
      </c>
      <c r="H1283" s="39" t="str">
        <f t="shared" si="113"/>
        <v>2014/12/09</v>
      </c>
      <c r="I1283" s="39">
        <v>5</v>
      </c>
      <c r="J1283" s="39" t="s">
        <v>1478</v>
      </c>
      <c r="K1283" s="39" t="s">
        <v>2122</v>
      </c>
      <c r="L1283" s="39" t="s">
        <v>7830</v>
      </c>
      <c r="M1283" s="39" t="s">
        <v>7831</v>
      </c>
      <c r="N1283" s="39" t="str">
        <f>("0310565")</f>
        <v>0310565</v>
      </c>
      <c r="P1283" s="39" t="s">
        <v>12756</v>
      </c>
      <c r="Q1283" s="39" t="s">
        <v>8568</v>
      </c>
      <c r="R1283" s="39" t="s">
        <v>8569</v>
      </c>
      <c r="S1283" s="39" t="s">
        <v>8570</v>
      </c>
      <c r="AK1283" s="39" t="str">
        <f t="shared" si="111"/>
        <v>2025/03/17</v>
      </c>
      <c r="AL1283" s="39" t="str">
        <f t="shared" si="112"/>
        <v>2025/04/01</v>
      </c>
    </row>
    <row r="1284" spans="1:38" x14ac:dyDescent="0.25">
      <c r="A1284" s="39" t="str">
        <f>("1412090212")</f>
        <v>1412090212</v>
      </c>
      <c r="C1284" s="39"/>
      <c r="D1284" s="39" t="s">
        <v>5665</v>
      </c>
      <c r="E1284" s="371" t="str">
        <f t="shared" si="114"/>
        <v>かじわら　しおん</v>
      </c>
      <c r="F1284" s="39" t="s">
        <v>2274</v>
      </c>
      <c r="G1284" s="39" t="s">
        <v>7828</v>
      </c>
      <c r="H1284" s="39" t="str">
        <f t="shared" si="113"/>
        <v>2014/12/09</v>
      </c>
      <c r="I1284" s="39">
        <v>5</v>
      </c>
      <c r="J1284" s="39" t="s">
        <v>1478</v>
      </c>
      <c r="K1284" s="39" t="s">
        <v>2122</v>
      </c>
      <c r="L1284" s="39" t="s">
        <v>7830</v>
      </c>
      <c r="M1284" s="39" t="s">
        <v>7831</v>
      </c>
      <c r="N1284" s="39" t="str">
        <f>("0129563")</f>
        <v>0129563</v>
      </c>
      <c r="P1284" s="39" t="s">
        <v>12757</v>
      </c>
      <c r="Q1284" s="39" t="s">
        <v>8568</v>
      </c>
      <c r="R1284" s="39" t="s">
        <v>8569</v>
      </c>
      <c r="S1284" s="39" t="s">
        <v>8570</v>
      </c>
      <c r="AK1284" s="39" t="str">
        <f t="shared" si="111"/>
        <v>2025/03/17</v>
      </c>
      <c r="AL1284" s="39" t="str">
        <f t="shared" si="112"/>
        <v>2025/04/01</v>
      </c>
    </row>
    <row r="1285" spans="1:38" x14ac:dyDescent="0.25">
      <c r="A1285" s="39" t="str">
        <f>("1412090249")</f>
        <v>1412090249</v>
      </c>
      <c r="C1285" s="39"/>
      <c r="D1285" s="39" t="s">
        <v>6140</v>
      </c>
      <c r="E1285" s="371" t="str">
        <f t="shared" si="114"/>
        <v>たがわ　りと</v>
      </c>
      <c r="F1285" s="39" t="s">
        <v>7864</v>
      </c>
      <c r="G1285" s="39" t="s">
        <v>7828</v>
      </c>
      <c r="H1285" s="39" t="str">
        <f t="shared" si="113"/>
        <v>2014/12/09</v>
      </c>
      <c r="I1285" s="39">
        <v>5</v>
      </c>
      <c r="J1285" s="39" t="s">
        <v>1478</v>
      </c>
      <c r="K1285" s="39" t="s">
        <v>2122</v>
      </c>
      <c r="L1285" s="39" t="s">
        <v>7830</v>
      </c>
      <c r="M1285" s="39" t="s">
        <v>7831</v>
      </c>
      <c r="N1285" s="39" t="str">
        <f>("1039801")</f>
        <v>1039801</v>
      </c>
      <c r="P1285" s="39" t="s">
        <v>12758</v>
      </c>
      <c r="Q1285" s="39" t="s">
        <v>8568</v>
      </c>
      <c r="R1285" s="39" t="s">
        <v>8569</v>
      </c>
      <c r="S1285" s="39" t="s">
        <v>8570</v>
      </c>
      <c r="AA1285" s="39" t="s">
        <v>2122</v>
      </c>
      <c r="AB1285" s="39" t="s">
        <v>7830</v>
      </c>
      <c r="AC1285" s="39" t="s">
        <v>7831</v>
      </c>
      <c r="AD1285" s="39" t="str">
        <f>("0456892")</f>
        <v>0456892</v>
      </c>
      <c r="AE1285" s="39" t="s">
        <v>2615</v>
      </c>
      <c r="AF1285" s="39" t="s">
        <v>2122</v>
      </c>
      <c r="AG1285" s="39" t="s">
        <v>7830</v>
      </c>
      <c r="AH1285" s="39" t="s">
        <v>7831</v>
      </c>
      <c r="AI1285" s="39" t="str">
        <f>("0237631")</f>
        <v>0237631</v>
      </c>
      <c r="AJ1285" s="39" t="s">
        <v>2821</v>
      </c>
      <c r="AK1285" s="39" t="str">
        <f>("2025/04/04")</f>
        <v>2025/04/04</v>
      </c>
      <c r="AL1285" s="39" t="str">
        <f>("2025/04/04")</f>
        <v>2025/04/04</v>
      </c>
    </row>
    <row r="1286" spans="1:38" x14ac:dyDescent="0.25">
      <c r="A1286" s="39" t="str">
        <f>("1412110186")</f>
        <v>1412110186</v>
      </c>
      <c r="C1286" s="39"/>
      <c r="D1286" s="39" t="s">
        <v>5801</v>
      </c>
      <c r="E1286" s="371" t="str">
        <f t="shared" si="114"/>
        <v>いのまた　けいた</v>
      </c>
      <c r="F1286" s="39" t="s">
        <v>2342</v>
      </c>
      <c r="G1286" s="39" t="s">
        <v>7828</v>
      </c>
      <c r="H1286" s="39" t="str">
        <f>("2014/12/11")</f>
        <v>2014/12/11</v>
      </c>
      <c r="I1286" s="39">
        <v>5</v>
      </c>
      <c r="J1286" s="39" t="s">
        <v>1478</v>
      </c>
      <c r="K1286" s="39" t="s">
        <v>2122</v>
      </c>
      <c r="L1286" s="39" t="s">
        <v>7830</v>
      </c>
      <c r="M1286" s="39" t="s">
        <v>7831</v>
      </c>
      <c r="N1286" s="39" t="str">
        <f>("0130307")</f>
        <v>0130307</v>
      </c>
      <c r="P1286" s="39" t="s">
        <v>12759</v>
      </c>
      <c r="Q1286" s="39" t="s">
        <v>8568</v>
      </c>
      <c r="R1286" s="39" t="s">
        <v>8569</v>
      </c>
      <c r="S1286" s="39" t="s">
        <v>8570</v>
      </c>
      <c r="AK1286" s="39" t="str">
        <f>("2025/03/17")</f>
        <v>2025/03/17</v>
      </c>
      <c r="AL1286" s="39" t="str">
        <f>("2025/04/01")</f>
        <v>2025/04/01</v>
      </c>
    </row>
    <row r="1287" spans="1:38" x14ac:dyDescent="0.25">
      <c r="A1287" s="39" t="str">
        <f>("1412110237")</f>
        <v>1412110237</v>
      </c>
      <c r="C1287" s="39"/>
      <c r="D1287" s="39" t="s">
        <v>8346</v>
      </c>
      <c r="E1287" s="371" t="str">
        <f t="shared" si="114"/>
        <v>いやま　あや</v>
      </c>
      <c r="F1287" s="39" t="s">
        <v>2469</v>
      </c>
      <c r="G1287" s="39" t="s">
        <v>7828</v>
      </c>
      <c r="H1287" s="39" t="str">
        <f>("2014/12/11")</f>
        <v>2014/12/11</v>
      </c>
      <c r="I1287" s="39">
        <v>5</v>
      </c>
      <c r="J1287" s="39" t="s">
        <v>1480</v>
      </c>
      <c r="K1287" s="39" t="s">
        <v>2122</v>
      </c>
      <c r="L1287" s="39" t="s">
        <v>7830</v>
      </c>
      <c r="M1287" s="39" t="s">
        <v>7831</v>
      </c>
      <c r="N1287" s="39" t="str">
        <f>("0129462")</f>
        <v>0129462</v>
      </c>
      <c r="P1287" s="39" t="s">
        <v>12760</v>
      </c>
      <c r="Q1287" s="39" t="s">
        <v>8568</v>
      </c>
      <c r="R1287" s="39" t="s">
        <v>8569</v>
      </c>
      <c r="S1287" s="39" t="s">
        <v>8570</v>
      </c>
      <c r="AK1287" s="39" t="str">
        <f>("2025/11/21")</f>
        <v>2025/11/21</v>
      </c>
      <c r="AL1287" s="39" t="str">
        <f>("2025/11/21")</f>
        <v>2025/11/21</v>
      </c>
    </row>
    <row r="1288" spans="1:38" x14ac:dyDescent="0.25">
      <c r="A1288" s="39" t="str">
        <f>("1412120186")</f>
        <v>1412120186</v>
      </c>
      <c r="C1288" s="39"/>
      <c r="D1288" s="39" t="s">
        <v>8347</v>
      </c>
      <c r="E1288" s="371" t="str">
        <f t="shared" si="114"/>
        <v>ふなしま　けんしん</v>
      </c>
      <c r="F1288" s="39" t="s">
        <v>2602</v>
      </c>
      <c r="G1288" s="39" t="s">
        <v>7828</v>
      </c>
      <c r="H1288" s="39" t="str">
        <f>("2014/12/12")</f>
        <v>2014/12/12</v>
      </c>
      <c r="I1288" s="39">
        <v>5</v>
      </c>
      <c r="J1288" s="39" t="s">
        <v>1478</v>
      </c>
      <c r="K1288" s="39" t="s">
        <v>2122</v>
      </c>
      <c r="L1288" s="39" t="s">
        <v>7830</v>
      </c>
      <c r="M1288" s="39" t="s">
        <v>7831</v>
      </c>
      <c r="N1288" s="39" t="str">
        <f>("0430119")</f>
        <v>0430119</v>
      </c>
      <c r="P1288" s="39" t="s">
        <v>12761</v>
      </c>
      <c r="Q1288" s="39" t="s">
        <v>8568</v>
      </c>
      <c r="R1288" s="39" t="s">
        <v>8569</v>
      </c>
      <c r="S1288" s="39" t="s">
        <v>8570</v>
      </c>
      <c r="AK1288" s="39" t="str">
        <f>("2025/03/17")</f>
        <v>2025/03/17</v>
      </c>
      <c r="AL1288" s="39" t="str">
        <f t="shared" ref="AL1288:AL1310" si="115">("2025/04/01")</f>
        <v>2025/04/01</v>
      </c>
    </row>
    <row r="1289" spans="1:38" x14ac:dyDescent="0.25">
      <c r="A1289" s="39" t="str">
        <f>("1412120187")</f>
        <v>1412120187</v>
      </c>
      <c r="C1289" s="39"/>
      <c r="D1289" s="39" t="s">
        <v>8348</v>
      </c>
      <c r="E1289" s="371" t="str">
        <f t="shared" si="114"/>
        <v>きむら　るい</v>
      </c>
      <c r="F1289" s="39" t="s">
        <v>1446</v>
      </c>
      <c r="G1289" s="39" t="s">
        <v>7828</v>
      </c>
      <c r="H1289" s="39" t="str">
        <f>("2014/12/12")</f>
        <v>2014/12/12</v>
      </c>
      <c r="I1289" s="39">
        <v>5</v>
      </c>
      <c r="J1289" s="39" t="s">
        <v>1478</v>
      </c>
      <c r="K1289" s="39" t="s">
        <v>2122</v>
      </c>
      <c r="L1289" s="39" t="s">
        <v>7830</v>
      </c>
      <c r="M1289" s="39" t="s">
        <v>7831</v>
      </c>
      <c r="N1289" s="39" t="str">
        <f>("0478807")</f>
        <v>0478807</v>
      </c>
      <c r="P1289" s="39" t="s">
        <v>12762</v>
      </c>
      <c r="Q1289" s="39" t="s">
        <v>8568</v>
      </c>
      <c r="R1289" s="39" t="s">
        <v>8569</v>
      </c>
      <c r="S1289" s="39" t="s">
        <v>8570</v>
      </c>
      <c r="AK1289" s="39" t="str">
        <f>("2025/03/21")</f>
        <v>2025/03/21</v>
      </c>
      <c r="AL1289" s="39" t="str">
        <f t="shared" si="115"/>
        <v>2025/04/01</v>
      </c>
    </row>
    <row r="1290" spans="1:38" x14ac:dyDescent="0.25">
      <c r="A1290" s="39" t="str">
        <f>("1412130010")</f>
        <v>1412130010</v>
      </c>
      <c r="C1290" s="39"/>
      <c r="D1290" s="39" t="s">
        <v>5971</v>
      </c>
      <c r="E1290" s="371" t="str">
        <f t="shared" si="114"/>
        <v>いわさか　じゅんぺい</v>
      </c>
      <c r="F1290" s="39" t="s">
        <v>2573</v>
      </c>
      <c r="G1290" s="39" t="s">
        <v>7828</v>
      </c>
      <c r="H1290" s="39" t="str">
        <f>("2014/12/13")</f>
        <v>2014/12/13</v>
      </c>
      <c r="I1290" s="39">
        <v>5</v>
      </c>
      <c r="J1290" s="39" t="s">
        <v>1478</v>
      </c>
      <c r="K1290" s="39" t="s">
        <v>2122</v>
      </c>
      <c r="L1290" s="39" t="s">
        <v>7830</v>
      </c>
      <c r="M1290" s="39" t="s">
        <v>7831</v>
      </c>
      <c r="N1290" s="39" t="str">
        <f>("0230982")</f>
        <v>0230982</v>
      </c>
      <c r="P1290" s="39" t="s">
        <v>12763</v>
      </c>
      <c r="Q1290" s="39" t="s">
        <v>8568</v>
      </c>
      <c r="R1290" s="39" t="s">
        <v>8569</v>
      </c>
      <c r="S1290" s="39" t="s">
        <v>8570</v>
      </c>
      <c r="AK1290" s="39" t="str">
        <f t="shared" ref="AK1290:AK1296" si="116">("2025/03/17")</f>
        <v>2025/03/17</v>
      </c>
      <c r="AL1290" s="39" t="str">
        <f t="shared" si="115"/>
        <v>2025/04/01</v>
      </c>
    </row>
    <row r="1291" spans="1:38" x14ac:dyDescent="0.25">
      <c r="A1291" s="39" t="str">
        <f>("1412130085")</f>
        <v>1412130085</v>
      </c>
      <c r="B1291" s="39" t="s">
        <v>8349</v>
      </c>
      <c r="C1291" s="39"/>
      <c r="D1291" s="39" t="s">
        <v>8350</v>
      </c>
      <c r="E1291" s="371" t="str">
        <f t="shared" si="114"/>
        <v>いまなが　しんか</v>
      </c>
      <c r="F1291" s="39" t="s">
        <v>2274</v>
      </c>
      <c r="G1291" s="39" t="s">
        <v>7828</v>
      </c>
      <c r="H1291" s="39" t="str">
        <f>("2014/12/13")</f>
        <v>2014/12/13</v>
      </c>
      <c r="I1291" s="39">
        <v>5</v>
      </c>
      <c r="J1291" s="39" t="s">
        <v>1480</v>
      </c>
      <c r="K1291" s="39" t="s">
        <v>2122</v>
      </c>
      <c r="L1291" s="39" t="s">
        <v>7830</v>
      </c>
      <c r="M1291" s="39" t="s">
        <v>7831</v>
      </c>
      <c r="N1291" s="39" t="str">
        <f>("0129563")</f>
        <v>0129563</v>
      </c>
      <c r="P1291" s="39" t="s">
        <v>12764</v>
      </c>
      <c r="Q1291" s="39" t="s">
        <v>8568</v>
      </c>
      <c r="R1291" s="39" t="s">
        <v>8569</v>
      </c>
      <c r="S1291" s="39" t="s">
        <v>8570</v>
      </c>
      <c r="AK1291" s="39" t="str">
        <f t="shared" si="116"/>
        <v>2025/03/17</v>
      </c>
      <c r="AL1291" s="39" t="str">
        <f t="shared" si="115"/>
        <v>2025/04/01</v>
      </c>
    </row>
    <row r="1292" spans="1:38" x14ac:dyDescent="0.25">
      <c r="A1292" s="39" t="str">
        <f>("1412130102")</f>
        <v>1412130102</v>
      </c>
      <c r="B1292" s="39" t="s">
        <v>8351</v>
      </c>
      <c r="C1292" s="39"/>
      <c r="D1292" s="39" t="s">
        <v>5898</v>
      </c>
      <c r="E1292" s="371" t="str">
        <f t="shared" si="114"/>
        <v>おだ　せな</v>
      </c>
      <c r="F1292" s="39" t="s">
        <v>1344</v>
      </c>
      <c r="G1292" s="39" t="s">
        <v>7828</v>
      </c>
      <c r="H1292" s="39" t="str">
        <f>("2014/12/13")</f>
        <v>2014/12/13</v>
      </c>
      <c r="I1292" s="39">
        <v>5</v>
      </c>
      <c r="J1292" s="39" t="s">
        <v>1480</v>
      </c>
      <c r="K1292" s="39" t="s">
        <v>2122</v>
      </c>
      <c r="L1292" s="39" t="s">
        <v>7830</v>
      </c>
      <c r="M1292" s="39" t="s">
        <v>7831</v>
      </c>
      <c r="N1292" s="39" t="str">
        <f>("0130587")</f>
        <v>0130587</v>
      </c>
      <c r="P1292" s="39" t="s">
        <v>12765</v>
      </c>
      <c r="Q1292" s="39" t="s">
        <v>8568</v>
      </c>
      <c r="R1292" s="39" t="s">
        <v>8569</v>
      </c>
      <c r="S1292" s="39" t="s">
        <v>8570</v>
      </c>
      <c r="AK1292" s="39" t="str">
        <f t="shared" si="116"/>
        <v>2025/03/17</v>
      </c>
      <c r="AL1292" s="39" t="str">
        <f t="shared" si="115"/>
        <v>2025/04/01</v>
      </c>
    </row>
    <row r="1293" spans="1:38" x14ac:dyDescent="0.25">
      <c r="A1293" s="39" t="str">
        <f>("1412130121")</f>
        <v>1412130121</v>
      </c>
      <c r="C1293" s="39"/>
      <c r="D1293" s="39" t="s">
        <v>8352</v>
      </c>
      <c r="E1293" s="371" t="str">
        <f t="shared" si="114"/>
        <v>かめだ　はると</v>
      </c>
      <c r="F1293" s="39" t="s">
        <v>2647</v>
      </c>
      <c r="G1293" s="39" t="s">
        <v>7828</v>
      </c>
      <c r="H1293" s="39" t="str">
        <f>("2014/12/13")</f>
        <v>2014/12/13</v>
      </c>
      <c r="I1293" s="39">
        <v>5</v>
      </c>
      <c r="J1293" s="39" t="s">
        <v>1478</v>
      </c>
      <c r="K1293" s="39" t="s">
        <v>2122</v>
      </c>
      <c r="L1293" s="39" t="s">
        <v>7830</v>
      </c>
      <c r="M1293" s="39" t="s">
        <v>7831</v>
      </c>
      <c r="N1293" s="39" t="str">
        <f>("1036817")</f>
        <v>1036817</v>
      </c>
      <c r="P1293" s="39" t="s">
        <v>12766</v>
      </c>
      <c r="Q1293" s="39" t="s">
        <v>8568</v>
      </c>
      <c r="R1293" s="39" t="s">
        <v>8569</v>
      </c>
      <c r="S1293" s="39" t="s">
        <v>8570</v>
      </c>
      <c r="AK1293" s="39" t="str">
        <f t="shared" si="116"/>
        <v>2025/03/17</v>
      </c>
      <c r="AL1293" s="39" t="str">
        <f t="shared" si="115"/>
        <v>2025/04/01</v>
      </c>
    </row>
    <row r="1294" spans="1:38" x14ac:dyDescent="0.25">
      <c r="A1294" s="39" t="str">
        <f>("1412140029")</f>
        <v>1412140029</v>
      </c>
      <c r="C1294" s="39"/>
      <c r="D1294" s="39" t="s">
        <v>8353</v>
      </c>
      <c r="E1294" s="371" t="str">
        <f t="shared" si="114"/>
        <v>いしざき　もか</v>
      </c>
      <c r="F1294" s="39" t="s">
        <v>188</v>
      </c>
      <c r="G1294" s="39" t="s">
        <v>7828</v>
      </c>
      <c r="H1294" s="39" t="str">
        <f>("2014/12/14")</f>
        <v>2014/12/14</v>
      </c>
      <c r="I1294" s="39">
        <v>5</v>
      </c>
      <c r="J1294" s="39" t="s">
        <v>1480</v>
      </c>
      <c r="K1294" s="39" t="s">
        <v>2122</v>
      </c>
      <c r="L1294" s="39" t="s">
        <v>7830</v>
      </c>
      <c r="M1294" s="39" t="s">
        <v>7831</v>
      </c>
      <c r="N1294" s="39" t="str">
        <f>("0130734")</f>
        <v>0130734</v>
      </c>
      <c r="P1294" s="39" t="s">
        <v>12767</v>
      </c>
      <c r="Q1294" s="39" t="s">
        <v>8568</v>
      </c>
      <c r="R1294" s="39" t="s">
        <v>8569</v>
      </c>
      <c r="S1294" s="39" t="s">
        <v>8570</v>
      </c>
      <c r="AK1294" s="39" t="str">
        <f t="shared" si="116"/>
        <v>2025/03/17</v>
      </c>
      <c r="AL1294" s="39" t="str">
        <f t="shared" si="115"/>
        <v>2025/04/01</v>
      </c>
    </row>
    <row r="1295" spans="1:38" x14ac:dyDescent="0.25">
      <c r="A1295" s="39" t="str">
        <f>("1412140080")</f>
        <v>1412140080</v>
      </c>
      <c r="B1295" s="39" t="s">
        <v>8354</v>
      </c>
      <c r="C1295" s="39"/>
      <c r="D1295" s="39" t="s">
        <v>8355</v>
      </c>
      <c r="E1295" s="371" t="str">
        <f t="shared" si="114"/>
        <v>たむら　けんご</v>
      </c>
      <c r="F1295" s="39" t="s">
        <v>2188</v>
      </c>
      <c r="G1295" s="39" t="s">
        <v>7828</v>
      </c>
      <c r="H1295" s="39" t="str">
        <f>("2014/12/14")</f>
        <v>2014/12/14</v>
      </c>
      <c r="I1295" s="39">
        <v>5</v>
      </c>
      <c r="J1295" s="39" t="s">
        <v>1478</v>
      </c>
      <c r="K1295" s="39" t="s">
        <v>2122</v>
      </c>
      <c r="L1295" s="39" t="s">
        <v>7830</v>
      </c>
      <c r="M1295" s="39" t="s">
        <v>7831</v>
      </c>
      <c r="N1295" s="39" t="str">
        <f>("0129596")</f>
        <v>0129596</v>
      </c>
      <c r="P1295" s="39" t="s">
        <v>12768</v>
      </c>
      <c r="Q1295" s="39" t="s">
        <v>8568</v>
      </c>
      <c r="R1295" s="39" t="s">
        <v>8569</v>
      </c>
      <c r="S1295" s="39" t="s">
        <v>8570</v>
      </c>
      <c r="AK1295" s="39" t="str">
        <f t="shared" si="116"/>
        <v>2025/03/17</v>
      </c>
      <c r="AL1295" s="39" t="str">
        <f t="shared" si="115"/>
        <v>2025/04/01</v>
      </c>
    </row>
    <row r="1296" spans="1:38" x14ac:dyDescent="0.25">
      <c r="A1296" s="39" t="str">
        <f>("1412150105")</f>
        <v>1412150105</v>
      </c>
      <c r="C1296" s="39"/>
      <c r="D1296" s="39" t="s">
        <v>8356</v>
      </c>
      <c r="E1296" s="371" t="str">
        <f t="shared" si="114"/>
        <v>わたなべ　ひらり</v>
      </c>
      <c r="F1296" s="39" t="s">
        <v>2619</v>
      </c>
      <c r="G1296" s="39" t="s">
        <v>7828</v>
      </c>
      <c r="H1296" s="39" t="str">
        <f>("2014/12/15")</f>
        <v>2014/12/15</v>
      </c>
      <c r="I1296" s="39">
        <v>5</v>
      </c>
      <c r="J1296" s="39" t="s">
        <v>1480</v>
      </c>
      <c r="K1296" s="39" t="s">
        <v>2122</v>
      </c>
      <c r="L1296" s="39" t="s">
        <v>7830</v>
      </c>
      <c r="M1296" s="39" t="s">
        <v>7831</v>
      </c>
      <c r="N1296" s="39" t="str">
        <f>("0472823")</f>
        <v>0472823</v>
      </c>
      <c r="P1296" s="39" t="s">
        <v>12769</v>
      </c>
      <c r="Q1296" s="39" t="s">
        <v>8568</v>
      </c>
      <c r="R1296" s="39" t="s">
        <v>8569</v>
      </c>
      <c r="S1296" s="39" t="s">
        <v>8570</v>
      </c>
      <c r="AK1296" s="39" t="str">
        <f t="shared" si="116"/>
        <v>2025/03/17</v>
      </c>
      <c r="AL1296" s="39" t="str">
        <f t="shared" si="115"/>
        <v>2025/04/01</v>
      </c>
    </row>
    <row r="1297" spans="1:38" x14ac:dyDescent="0.25">
      <c r="A1297" s="39" t="str">
        <f>("1412150158")</f>
        <v>1412150158</v>
      </c>
      <c r="C1297" s="39"/>
      <c r="D1297" s="39" t="s">
        <v>5998</v>
      </c>
      <c r="E1297" s="371" t="str">
        <f t="shared" si="114"/>
        <v>ながの　ゆいと</v>
      </c>
      <c r="F1297" s="39" t="s">
        <v>2349</v>
      </c>
      <c r="G1297" s="39" t="s">
        <v>7828</v>
      </c>
      <c r="H1297" s="39" t="str">
        <f>("2014/12/15")</f>
        <v>2014/12/15</v>
      </c>
      <c r="I1297" s="39">
        <v>5</v>
      </c>
      <c r="J1297" s="39" t="s">
        <v>1478</v>
      </c>
      <c r="K1297" s="39" t="s">
        <v>2122</v>
      </c>
      <c r="L1297" s="39" t="s">
        <v>7830</v>
      </c>
      <c r="M1297" s="39" t="s">
        <v>7831</v>
      </c>
      <c r="N1297" s="39" t="str">
        <f>("0292081")</f>
        <v>0292081</v>
      </c>
      <c r="P1297" s="39" t="s">
        <v>12770</v>
      </c>
      <c r="Q1297" s="39" t="s">
        <v>8568</v>
      </c>
      <c r="R1297" s="39" t="s">
        <v>8569</v>
      </c>
      <c r="S1297" s="39" t="s">
        <v>8570</v>
      </c>
      <c r="AK1297" s="39" t="str">
        <f>("2025/03/24")</f>
        <v>2025/03/24</v>
      </c>
      <c r="AL1297" s="39" t="str">
        <f t="shared" si="115"/>
        <v>2025/04/01</v>
      </c>
    </row>
    <row r="1298" spans="1:38" x14ac:dyDescent="0.25">
      <c r="A1298" s="39" t="str">
        <f>("1412150159")</f>
        <v>1412150159</v>
      </c>
      <c r="B1298" s="39" t="s">
        <v>8357</v>
      </c>
      <c r="C1298" s="39"/>
      <c r="D1298" s="39" t="s">
        <v>6204</v>
      </c>
      <c r="E1298" s="371" t="str">
        <f t="shared" si="114"/>
        <v>いとう　しゅんた</v>
      </c>
      <c r="F1298" s="39" t="s">
        <v>2647</v>
      </c>
      <c r="G1298" s="39" t="s">
        <v>7828</v>
      </c>
      <c r="H1298" s="39" t="str">
        <f>("2014/12/15")</f>
        <v>2014/12/15</v>
      </c>
      <c r="I1298" s="39">
        <v>5</v>
      </c>
      <c r="J1298" s="39" t="s">
        <v>1478</v>
      </c>
      <c r="K1298" s="39" t="s">
        <v>2122</v>
      </c>
      <c r="L1298" s="39" t="s">
        <v>7830</v>
      </c>
      <c r="M1298" s="39" t="s">
        <v>7831</v>
      </c>
      <c r="N1298" s="39" t="str">
        <f>("1036817")</f>
        <v>1036817</v>
      </c>
      <c r="P1298" s="39" t="s">
        <v>12771</v>
      </c>
      <c r="Q1298" s="39" t="s">
        <v>8568</v>
      </c>
      <c r="R1298" s="39" t="s">
        <v>8569</v>
      </c>
      <c r="S1298" s="39" t="s">
        <v>8570</v>
      </c>
      <c r="AK1298" s="39" t="str">
        <f t="shared" ref="AK1298:AK1304" si="117">("2025/03/17")</f>
        <v>2025/03/17</v>
      </c>
      <c r="AL1298" s="39" t="str">
        <f t="shared" si="115"/>
        <v>2025/04/01</v>
      </c>
    </row>
    <row r="1299" spans="1:38" x14ac:dyDescent="0.25">
      <c r="A1299" s="39" t="str">
        <f>("1412160022")</f>
        <v>1412160022</v>
      </c>
      <c r="C1299" s="39"/>
      <c r="D1299" s="39" t="s">
        <v>6074</v>
      </c>
      <c r="E1299" s="371" t="str">
        <f t="shared" si="114"/>
        <v>ばば　かいと</v>
      </c>
      <c r="F1299" s="39" t="s">
        <v>1977</v>
      </c>
      <c r="G1299" s="39" t="s">
        <v>7828</v>
      </c>
      <c r="H1299" s="39" t="str">
        <f>("2014/12/16")</f>
        <v>2014/12/16</v>
      </c>
      <c r="I1299" s="39">
        <v>5</v>
      </c>
      <c r="J1299" s="39" t="s">
        <v>1478</v>
      </c>
      <c r="K1299" s="39" t="s">
        <v>2122</v>
      </c>
      <c r="L1299" s="39" t="s">
        <v>7830</v>
      </c>
      <c r="M1299" s="39" t="s">
        <v>7831</v>
      </c>
      <c r="N1299" s="39" t="str">
        <f>("0395254")</f>
        <v>0395254</v>
      </c>
      <c r="P1299" s="39" t="s">
        <v>12772</v>
      </c>
      <c r="Q1299" s="39" t="s">
        <v>8568</v>
      </c>
      <c r="R1299" s="39" t="s">
        <v>8569</v>
      </c>
      <c r="S1299" s="39" t="s">
        <v>8570</v>
      </c>
      <c r="AK1299" s="39" t="str">
        <f t="shared" si="117"/>
        <v>2025/03/17</v>
      </c>
      <c r="AL1299" s="39" t="str">
        <f t="shared" si="115"/>
        <v>2025/04/01</v>
      </c>
    </row>
    <row r="1300" spans="1:38" x14ac:dyDescent="0.25">
      <c r="A1300" s="39" t="str">
        <f>("1412160123")</f>
        <v>1412160123</v>
      </c>
      <c r="C1300" s="39"/>
      <c r="D1300" s="39" t="s">
        <v>8358</v>
      </c>
      <c r="E1300" s="371" t="str">
        <f t="shared" si="114"/>
        <v>おの　たいが</v>
      </c>
      <c r="F1300" s="39" t="s">
        <v>2479</v>
      </c>
      <c r="G1300" s="39" t="s">
        <v>7828</v>
      </c>
      <c r="H1300" s="39" t="str">
        <f>("2014/12/16")</f>
        <v>2014/12/16</v>
      </c>
      <c r="I1300" s="39">
        <v>5</v>
      </c>
      <c r="J1300" s="39" t="s">
        <v>1478</v>
      </c>
      <c r="K1300" s="39" t="s">
        <v>2122</v>
      </c>
      <c r="L1300" s="39" t="s">
        <v>7830</v>
      </c>
      <c r="M1300" s="39" t="s">
        <v>7831</v>
      </c>
      <c r="N1300" s="39" t="str">
        <f>("0129608")</f>
        <v>0129608</v>
      </c>
      <c r="P1300" s="39" t="s">
        <v>12773</v>
      </c>
      <c r="Q1300" s="39" t="s">
        <v>8568</v>
      </c>
      <c r="R1300" s="39" t="s">
        <v>8569</v>
      </c>
      <c r="S1300" s="39" t="s">
        <v>8570</v>
      </c>
      <c r="AK1300" s="39" t="str">
        <f t="shared" si="117"/>
        <v>2025/03/17</v>
      </c>
      <c r="AL1300" s="39" t="str">
        <f t="shared" si="115"/>
        <v>2025/04/01</v>
      </c>
    </row>
    <row r="1301" spans="1:38" x14ac:dyDescent="0.25">
      <c r="A1301" s="39" t="str">
        <f>("1412160154")</f>
        <v>1412160154</v>
      </c>
      <c r="B1301" s="39" t="s">
        <v>8359</v>
      </c>
      <c r="C1301" s="39"/>
      <c r="D1301" s="39" t="s">
        <v>8360</v>
      </c>
      <c r="E1301" s="371" t="str">
        <f t="shared" si="114"/>
        <v>しょうの　ひろと</v>
      </c>
      <c r="F1301" s="39" t="s">
        <v>1344</v>
      </c>
      <c r="G1301" s="39" t="s">
        <v>7828</v>
      </c>
      <c r="H1301" s="39" t="str">
        <f>("2014/12/16")</f>
        <v>2014/12/16</v>
      </c>
      <c r="I1301" s="39">
        <v>5</v>
      </c>
      <c r="J1301" s="39" t="s">
        <v>1478</v>
      </c>
      <c r="K1301" s="39" t="s">
        <v>2122</v>
      </c>
      <c r="L1301" s="39" t="s">
        <v>7830</v>
      </c>
      <c r="M1301" s="39" t="s">
        <v>7831</v>
      </c>
      <c r="N1301" s="39" t="str">
        <f>("0130587")</f>
        <v>0130587</v>
      </c>
      <c r="P1301" s="39" t="s">
        <v>12774</v>
      </c>
      <c r="Q1301" s="39" t="s">
        <v>8568</v>
      </c>
      <c r="R1301" s="39" t="s">
        <v>8569</v>
      </c>
      <c r="S1301" s="39" t="s">
        <v>8570</v>
      </c>
      <c r="AK1301" s="39" t="str">
        <f t="shared" si="117"/>
        <v>2025/03/17</v>
      </c>
      <c r="AL1301" s="39" t="str">
        <f t="shared" si="115"/>
        <v>2025/04/01</v>
      </c>
    </row>
    <row r="1302" spans="1:38" x14ac:dyDescent="0.25">
      <c r="A1302" s="39" t="str">
        <f>("1412160207")</f>
        <v>1412160207</v>
      </c>
      <c r="C1302" s="39"/>
      <c r="D1302" s="39" t="s">
        <v>5746</v>
      </c>
      <c r="E1302" s="371" t="str">
        <f t="shared" si="114"/>
        <v>むらい　そうし</v>
      </c>
      <c r="F1302" s="39" t="s">
        <v>2918</v>
      </c>
      <c r="G1302" s="39" t="s">
        <v>7828</v>
      </c>
      <c r="H1302" s="39" t="str">
        <f>("2014/12/16")</f>
        <v>2014/12/16</v>
      </c>
      <c r="I1302" s="39">
        <v>5</v>
      </c>
      <c r="J1302" s="39" t="s">
        <v>1478</v>
      </c>
      <c r="K1302" s="39" t="s">
        <v>2122</v>
      </c>
      <c r="L1302" s="39" t="s">
        <v>7830</v>
      </c>
      <c r="M1302" s="39" t="s">
        <v>7831</v>
      </c>
      <c r="N1302" s="39" t="str">
        <f>("0129912")</f>
        <v>0129912</v>
      </c>
      <c r="P1302" s="39" t="s">
        <v>12775</v>
      </c>
      <c r="Q1302" s="39" t="s">
        <v>8568</v>
      </c>
      <c r="R1302" s="39" t="s">
        <v>8569</v>
      </c>
      <c r="S1302" s="39" t="s">
        <v>8570</v>
      </c>
      <c r="AK1302" s="39" t="str">
        <f t="shared" si="117"/>
        <v>2025/03/17</v>
      </c>
      <c r="AL1302" s="39" t="str">
        <f t="shared" si="115"/>
        <v>2025/04/01</v>
      </c>
    </row>
    <row r="1303" spans="1:38" x14ac:dyDescent="0.25">
      <c r="A1303" s="39" t="str">
        <f>("1412170011")</f>
        <v>1412170011</v>
      </c>
      <c r="C1303" s="39"/>
      <c r="D1303" s="39" t="s">
        <v>8361</v>
      </c>
      <c r="E1303" s="371" t="str">
        <f t="shared" si="114"/>
        <v>こざこ　けんごう</v>
      </c>
      <c r="F1303" s="39" t="s">
        <v>2573</v>
      </c>
      <c r="G1303" s="39" t="s">
        <v>7828</v>
      </c>
      <c r="H1303" s="39" t="str">
        <f>("2014/12/17")</f>
        <v>2014/12/17</v>
      </c>
      <c r="I1303" s="39">
        <v>5</v>
      </c>
      <c r="J1303" s="39" t="s">
        <v>1478</v>
      </c>
      <c r="K1303" s="39" t="s">
        <v>2122</v>
      </c>
      <c r="L1303" s="39" t="s">
        <v>7830</v>
      </c>
      <c r="M1303" s="39" t="s">
        <v>7831</v>
      </c>
      <c r="N1303" s="39" t="str">
        <f>("0230982")</f>
        <v>0230982</v>
      </c>
      <c r="P1303" s="39" t="s">
        <v>12776</v>
      </c>
      <c r="Q1303" s="39" t="s">
        <v>8568</v>
      </c>
      <c r="R1303" s="39" t="s">
        <v>8569</v>
      </c>
      <c r="S1303" s="39" t="s">
        <v>8570</v>
      </c>
      <c r="AK1303" s="39" t="str">
        <f t="shared" si="117"/>
        <v>2025/03/17</v>
      </c>
      <c r="AL1303" s="39" t="str">
        <f t="shared" si="115"/>
        <v>2025/04/01</v>
      </c>
    </row>
    <row r="1304" spans="1:38" x14ac:dyDescent="0.25">
      <c r="A1304" s="39" t="str">
        <f>("1412170024")</f>
        <v>1412170024</v>
      </c>
      <c r="C1304" s="39"/>
      <c r="D1304" s="39" t="s">
        <v>5799</v>
      </c>
      <c r="E1304" s="371" t="str">
        <f t="shared" si="114"/>
        <v>みやもと　たくみ</v>
      </c>
      <c r="F1304" s="39" t="s">
        <v>856</v>
      </c>
      <c r="G1304" s="39" t="s">
        <v>7828</v>
      </c>
      <c r="H1304" s="39" t="str">
        <f>("2014/12/17")</f>
        <v>2014/12/17</v>
      </c>
      <c r="I1304" s="39">
        <v>5</v>
      </c>
      <c r="J1304" s="39" t="s">
        <v>1478</v>
      </c>
      <c r="K1304" s="39" t="s">
        <v>2122</v>
      </c>
      <c r="L1304" s="39" t="s">
        <v>7830</v>
      </c>
      <c r="M1304" s="39" t="s">
        <v>7831</v>
      </c>
      <c r="N1304" s="39" t="str">
        <f>("0130149")</f>
        <v>0130149</v>
      </c>
      <c r="P1304" s="39" t="s">
        <v>12777</v>
      </c>
      <c r="Q1304" s="39" t="s">
        <v>8568</v>
      </c>
      <c r="R1304" s="39" t="s">
        <v>8569</v>
      </c>
      <c r="S1304" s="39" t="s">
        <v>8570</v>
      </c>
      <c r="AK1304" s="39" t="str">
        <f t="shared" si="117"/>
        <v>2025/03/17</v>
      </c>
      <c r="AL1304" s="39" t="str">
        <f t="shared" si="115"/>
        <v>2025/04/01</v>
      </c>
    </row>
    <row r="1305" spans="1:38" x14ac:dyDescent="0.25">
      <c r="A1305" s="39" t="str">
        <f>("1412180146")</f>
        <v>1412180146</v>
      </c>
      <c r="C1305" s="39"/>
      <c r="D1305" s="39" t="s">
        <v>6091</v>
      </c>
      <c r="E1305" s="371" t="str">
        <f t="shared" si="114"/>
        <v>ふじわら　そうま</v>
      </c>
      <c r="F1305" s="39" t="s">
        <v>2600</v>
      </c>
      <c r="G1305" s="39" t="s">
        <v>7828</v>
      </c>
      <c r="H1305" s="39" t="str">
        <f>("2014/12/18")</f>
        <v>2014/12/18</v>
      </c>
      <c r="I1305" s="39">
        <v>5</v>
      </c>
      <c r="J1305" s="39" t="s">
        <v>1478</v>
      </c>
      <c r="K1305" s="39" t="s">
        <v>2122</v>
      </c>
      <c r="L1305" s="39" t="s">
        <v>7830</v>
      </c>
      <c r="M1305" s="39" t="s">
        <v>7831</v>
      </c>
      <c r="N1305" s="39" t="str">
        <f>("0429757")</f>
        <v>0429757</v>
      </c>
      <c r="P1305" s="39" t="s">
        <v>12556</v>
      </c>
      <c r="Q1305" s="39" t="s">
        <v>8568</v>
      </c>
      <c r="R1305" s="39" t="s">
        <v>8569</v>
      </c>
      <c r="S1305" s="39" t="s">
        <v>8570</v>
      </c>
      <c r="AK1305" s="39" t="str">
        <f>("2025/03/24")</f>
        <v>2025/03/24</v>
      </c>
      <c r="AL1305" s="39" t="str">
        <f t="shared" si="115"/>
        <v>2025/04/01</v>
      </c>
    </row>
    <row r="1306" spans="1:38" x14ac:dyDescent="0.25">
      <c r="A1306" s="39" t="str">
        <f>("1412180147")</f>
        <v>1412180147</v>
      </c>
      <c r="C1306" s="39"/>
      <c r="D1306" s="39" t="s">
        <v>8362</v>
      </c>
      <c r="E1306" s="371" t="str">
        <f t="shared" si="114"/>
        <v>ぬまぐち　なお</v>
      </c>
      <c r="F1306" s="39" t="s">
        <v>947</v>
      </c>
      <c r="G1306" s="39" t="s">
        <v>7828</v>
      </c>
      <c r="H1306" s="39" t="str">
        <f>("2014/12/18")</f>
        <v>2014/12/18</v>
      </c>
      <c r="I1306" s="39">
        <v>5</v>
      </c>
      <c r="J1306" s="39" t="s">
        <v>1478</v>
      </c>
      <c r="K1306" s="39" t="s">
        <v>2122</v>
      </c>
      <c r="L1306" s="39" t="s">
        <v>7830</v>
      </c>
      <c r="M1306" s="39" t="s">
        <v>7831</v>
      </c>
      <c r="N1306" s="39" t="str">
        <f>("0130183")</f>
        <v>0130183</v>
      </c>
      <c r="P1306" s="39" t="s">
        <v>12778</v>
      </c>
      <c r="Q1306" s="39" t="s">
        <v>8568</v>
      </c>
      <c r="R1306" s="39" t="s">
        <v>8569</v>
      </c>
      <c r="S1306" s="39" t="s">
        <v>8570</v>
      </c>
      <c r="AK1306" s="39" t="str">
        <f>("2025/03/27")</f>
        <v>2025/03/27</v>
      </c>
      <c r="AL1306" s="39" t="str">
        <f t="shared" si="115"/>
        <v>2025/04/01</v>
      </c>
    </row>
    <row r="1307" spans="1:38" x14ac:dyDescent="0.25">
      <c r="A1307" s="39" t="str">
        <f>("1412180157")</f>
        <v>1412180157</v>
      </c>
      <c r="C1307" s="39"/>
      <c r="D1307" s="39" t="s">
        <v>8363</v>
      </c>
      <c r="E1307" s="371" t="str">
        <f t="shared" si="114"/>
        <v>こばやし　こうすけ</v>
      </c>
      <c r="F1307" s="39" t="s">
        <v>1239</v>
      </c>
      <c r="G1307" s="39" t="s">
        <v>7828</v>
      </c>
      <c r="H1307" s="39" t="str">
        <f>("2014/12/18")</f>
        <v>2014/12/18</v>
      </c>
      <c r="I1307" s="39">
        <v>5</v>
      </c>
      <c r="J1307" s="39" t="s">
        <v>1478</v>
      </c>
      <c r="K1307" s="39" t="s">
        <v>2122</v>
      </c>
      <c r="L1307" s="39" t="s">
        <v>7830</v>
      </c>
      <c r="M1307" s="39" t="s">
        <v>7831</v>
      </c>
      <c r="N1307" s="39" t="str">
        <f>("0129585")</f>
        <v>0129585</v>
      </c>
      <c r="P1307" s="39" t="s">
        <v>12779</v>
      </c>
      <c r="Q1307" s="39" t="s">
        <v>8568</v>
      </c>
      <c r="R1307" s="39" t="s">
        <v>8569</v>
      </c>
      <c r="S1307" s="39" t="s">
        <v>8570</v>
      </c>
      <c r="AK1307" s="39" t="str">
        <f>("2025/03/17")</f>
        <v>2025/03/17</v>
      </c>
      <c r="AL1307" s="39" t="str">
        <f t="shared" si="115"/>
        <v>2025/04/01</v>
      </c>
    </row>
    <row r="1308" spans="1:38" x14ac:dyDescent="0.25">
      <c r="A1308" s="39" t="str">
        <f>("1412190161")</f>
        <v>1412190161</v>
      </c>
      <c r="C1308" s="39"/>
      <c r="D1308" s="39" t="s">
        <v>5720</v>
      </c>
      <c r="E1308" s="371" t="str">
        <f t="shared" si="114"/>
        <v>にのみや　けい</v>
      </c>
      <c r="F1308" s="39" t="s">
        <v>2491</v>
      </c>
      <c r="G1308" s="39" t="s">
        <v>7828</v>
      </c>
      <c r="H1308" s="39" t="str">
        <f>("2014/12/19")</f>
        <v>2014/12/19</v>
      </c>
      <c r="I1308" s="39">
        <v>5</v>
      </c>
      <c r="J1308" s="39" t="s">
        <v>1478</v>
      </c>
      <c r="K1308" s="39" t="s">
        <v>2122</v>
      </c>
      <c r="L1308" s="39" t="s">
        <v>7830</v>
      </c>
      <c r="M1308" s="39" t="s">
        <v>7831</v>
      </c>
      <c r="N1308" s="39" t="str">
        <f>("0129822")</f>
        <v>0129822</v>
      </c>
      <c r="P1308" s="39" t="s">
        <v>12780</v>
      </c>
      <c r="Q1308" s="39" t="s">
        <v>8568</v>
      </c>
      <c r="R1308" s="39" t="s">
        <v>8569</v>
      </c>
      <c r="S1308" s="39" t="s">
        <v>8570</v>
      </c>
      <c r="AK1308" s="39" t="str">
        <f>("2025/03/17")</f>
        <v>2025/03/17</v>
      </c>
      <c r="AL1308" s="39" t="str">
        <f t="shared" si="115"/>
        <v>2025/04/01</v>
      </c>
    </row>
    <row r="1309" spans="1:38" x14ac:dyDescent="0.25">
      <c r="A1309" s="39" t="str">
        <f>("1412190180")</f>
        <v>1412190180</v>
      </c>
      <c r="C1309" s="39"/>
      <c r="D1309" s="39" t="s">
        <v>5804</v>
      </c>
      <c r="E1309" s="371" t="str">
        <f t="shared" si="114"/>
        <v>うえむら　あおい</v>
      </c>
      <c r="F1309" s="39" t="s">
        <v>2342</v>
      </c>
      <c r="G1309" s="39" t="s">
        <v>7828</v>
      </c>
      <c r="H1309" s="39" t="str">
        <f>("2014/12/19")</f>
        <v>2014/12/19</v>
      </c>
      <c r="I1309" s="39">
        <v>5</v>
      </c>
      <c r="J1309" s="39" t="s">
        <v>1478</v>
      </c>
      <c r="K1309" s="39" t="s">
        <v>2122</v>
      </c>
      <c r="L1309" s="39" t="s">
        <v>7830</v>
      </c>
      <c r="M1309" s="39" t="s">
        <v>7831</v>
      </c>
      <c r="N1309" s="39" t="str">
        <f>("0130307")</f>
        <v>0130307</v>
      </c>
      <c r="P1309" s="39" t="s">
        <v>12781</v>
      </c>
      <c r="Q1309" s="39" t="s">
        <v>8568</v>
      </c>
      <c r="R1309" s="39" t="s">
        <v>8569</v>
      </c>
      <c r="S1309" s="39" t="s">
        <v>8570</v>
      </c>
      <c r="AK1309" s="39" t="str">
        <f>("2025/03/17")</f>
        <v>2025/03/17</v>
      </c>
      <c r="AL1309" s="39" t="str">
        <f t="shared" si="115"/>
        <v>2025/04/01</v>
      </c>
    </row>
    <row r="1310" spans="1:38" x14ac:dyDescent="0.25">
      <c r="A1310" s="39" t="str">
        <f>("1412190190")</f>
        <v>1412190190</v>
      </c>
      <c r="C1310" s="39"/>
      <c r="D1310" s="39" t="s">
        <v>8364</v>
      </c>
      <c r="E1310" s="371" t="str">
        <f t="shared" si="114"/>
        <v>よしかい　いろ</v>
      </c>
      <c r="F1310" s="39" t="s">
        <v>684</v>
      </c>
      <c r="G1310" s="39" t="s">
        <v>7828</v>
      </c>
      <c r="H1310" s="39" t="str">
        <f>("2014/12/19")</f>
        <v>2014/12/19</v>
      </c>
      <c r="I1310" s="39">
        <v>5</v>
      </c>
      <c r="J1310" s="39" t="s">
        <v>1480</v>
      </c>
      <c r="K1310" s="39" t="s">
        <v>2122</v>
      </c>
      <c r="L1310" s="39" t="s">
        <v>7830</v>
      </c>
      <c r="M1310" s="39" t="s">
        <v>7831</v>
      </c>
      <c r="N1310" s="39" t="str">
        <f>("0129518")</f>
        <v>0129518</v>
      </c>
      <c r="P1310" s="39" t="s">
        <v>12782</v>
      </c>
      <c r="Q1310" s="39" t="s">
        <v>8568</v>
      </c>
      <c r="R1310" s="39" t="s">
        <v>8569</v>
      </c>
      <c r="S1310" s="39" t="s">
        <v>8570</v>
      </c>
      <c r="AK1310" s="39" t="str">
        <f>("2025/03/17")</f>
        <v>2025/03/17</v>
      </c>
      <c r="AL1310" s="39" t="str">
        <f t="shared" si="115"/>
        <v>2025/04/01</v>
      </c>
    </row>
    <row r="1311" spans="1:38" x14ac:dyDescent="0.25">
      <c r="A1311" s="39" t="str">
        <f>("1412200163")</f>
        <v>1412200163</v>
      </c>
      <c r="C1311" s="39"/>
      <c r="D1311" s="39" t="s">
        <v>6139</v>
      </c>
      <c r="E1311" s="371" t="str">
        <f t="shared" si="114"/>
        <v>こだま　ひろと</v>
      </c>
      <c r="F1311" s="39" t="s">
        <v>7864</v>
      </c>
      <c r="G1311" s="39" t="s">
        <v>7828</v>
      </c>
      <c r="H1311" s="39" t="str">
        <f>("2014/12/20")</f>
        <v>2014/12/20</v>
      </c>
      <c r="I1311" s="39">
        <v>5</v>
      </c>
      <c r="J1311" s="39" t="s">
        <v>1478</v>
      </c>
      <c r="K1311" s="39" t="s">
        <v>2122</v>
      </c>
      <c r="L1311" s="39" t="s">
        <v>7830</v>
      </c>
      <c r="M1311" s="39" t="s">
        <v>7831</v>
      </c>
      <c r="N1311" s="39" t="str">
        <f>("1039801")</f>
        <v>1039801</v>
      </c>
      <c r="P1311" s="39" t="s">
        <v>12783</v>
      </c>
      <c r="Q1311" s="39" t="s">
        <v>8568</v>
      </c>
      <c r="R1311" s="39" t="s">
        <v>8569</v>
      </c>
      <c r="S1311" s="39" t="s">
        <v>8570</v>
      </c>
      <c r="AA1311" s="39" t="s">
        <v>2122</v>
      </c>
      <c r="AB1311" s="39" t="s">
        <v>7830</v>
      </c>
      <c r="AC1311" s="39" t="s">
        <v>7831</v>
      </c>
      <c r="AD1311" s="39" t="str">
        <f>("0456892")</f>
        <v>0456892</v>
      </c>
      <c r="AE1311" s="39" t="s">
        <v>2615</v>
      </c>
      <c r="AK1311" s="39" t="str">
        <f>("2025/04/04")</f>
        <v>2025/04/04</v>
      </c>
      <c r="AL1311" s="39" t="str">
        <f>("2025/04/04")</f>
        <v>2025/04/04</v>
      </c>
    </row>
    <row r="1312" spans="1:38" x14ac:dyDescent="0.25">
      <c r="A1312" s="39" t="str">
        <f>("1412210113")</f>
        <v>1412210113</v>
      </c>
      <c r="C1312" s="39"/>
      <c r="D1312" s="39" t="s">
        <v>8365</v>
      </c>
      <c r="E1312" s="371" t="str">
        <f t="shared" si="114"/>
        <v>たにぐち　とうま</v>
      </c>
      <c r="F1312" s="39" t="s">
        <v>7864</v>
      </c>
      <c r="G1312" s="39" t="s">
        <v>7828</v>
      </c>
      <c r="H1312" s="39" t="str">
        <f>("2014/12/21")</f>
        <v>2014/12/21</v>
      </c>
      <c r="I1312" s="39">
        <v>5</v>
      </c>
      <c r="J1312" s="39" t="s">
        <v>1478</v>
      </c>
      <c r="K1312" s="39" t="s">
        <v>2122</v>
      </c>
      <c r="L1312" s="39" t="s">
        <v>7830</v>
      </c>
      <c r="M1312" s="39" t="s">
        <v>7831</v>
      </c>
      <c r="N1312" s="39" t="str">
        <f>("1039801")</f>
        <v>1039801</v>
      </c>
      <c r="P1312" s="39" t="s">
        <v>12784</v>
      </c>
      <c r="Q1312" s="39" t="s">
        <v>8568</v>
      </c>
      <c r="R1312" s="39" t="s">
        <v>8569</v>
      </c>
      <c r="S1312" s="39" t="s">
        <v>8570</v>
      </c>
      <c r="AK1312" s="39" t="str">
        <f>("2025/03/24")</f>
        <v>2025/03/24</v>
      </c>
      <c r="AL1312" s="39" t="str">
        <f t="shared" ref="AL1312:AL1345" si="118">("2025/04/01")</f>
        <v>2025/04/01</v>
      </c>
    </row>
    <row r="1313" spans="1:38" x14ac:dyDescent="0.25">
      <c r="A1313" s="39" t="str">
        <f>("1412220046")</f>
        <v>1412220046</v>
      </c>
      <c r="B1313" s="39" t="s">
        <v>8366</v>
      </c>
      <c r="C1313" s="39"/>
      <c r="D1313" s="39" t="s">
        <v>5792</v>
      </c>
      <c r="E1313" s="371" t="str">
        <f t="shared" si="114"/>
        <v>きら　はるき</v>
      </c>
      <c r="F1313" s="39" t="s">
        <v>2516</v>
      </c>
      <c r="G1313" s="39" t="s">
        <v>7828</v>
      </c>
      <c r="H1313" s="39" t="str">
        <f>("2014/12/22")</f>
        <v>2014/12/22</v>
      </c>
      <c r="I1313" s="39">
        <v>5</v>
      </c>
      <c r="J1313" s="39" t="s">
        <v>1478</v>
      </c>
      <c r="K1313" s="39" t="s">
        <v>2122</v>
      </c>
      <c r="L1313" s="39" t="s">
        <v>7830</v>
      </c>
      <c r="M1313" s="39" t="s">
        <v>7831</v>
      </c>
      <c r="N1313" s="39" t="str">
        <f>("0130116")</f>
        <v>0130116</v>
      </c>
      <c r="P1313" s="39" t="s">
        <v>12785</v>
      </c>
      <c r="Q1313" s="39" t="s">
        <v>8568</v>
      </c>
      <c r="R1313" s="39" t="s">
        <v>8569</v>
      </c>
      <c r="S1313" s="39" t="s">
        <v>8570</v>
      </c>
      <c r="AK1313" s="39" t="str">
        <f>("2025/03/25")</f>
        <v>2025/03/25</v>
      </c>
      <c r="AL1313" s="39" t="str">
        <f t="shared" si="118"/>
        <v>2025/04/01</v>
      </c>
    </row>
    <row r="1314" spans="1:38" x14ac:dyDescent="0.25">
      <c r="A1314" s="39" t="str">
        <f>("1412220192")</f>
        <v>1412220192</v>
      </c>
      <c r="C1314" s="39"/>
      <c r="D1314" s="39" t="s">
        <v>8367</v>
      </c>
      <c r="E1314" s="371" t="str">
        <f t="shared" si="114"/>
        <v>ふくだ　れな</v>
      </c>
      <c r="F1314" s="39" t="s">
        <v>2648</v>
      </c>
      <c r="G1314" s="39" t="s">
        <v>7828</v>
      </c>
      <c r="H1314" s="39" t="str">
        <f>("2014/12/22")</f>
        <v>2014/12/22</v>
      </c>
      <c r="I1314" s="39">
        <v>5</v>
      </c>
      <c r="J1314" s="39" t="s">
        <v>1480</v>
      </c>
      <c r="K1314" s="39" t="s">
        <v>2122</v>
      </c>
      <c r="L1314" s="39" t="s">
        <v>7830</v>
      </c>
      <c r="M1314" s="39" t="s">
        <v>7831</v>
      </c>
      <c r="N1314" s="39" t="str">
        <f>("1050097")</f>
        <v>1050097</v>
      </c>
      <c r="P1314" s="39" t="s">
        <v>12786</v>
      </c>
      <c r="Q1314" s="39" t="s">
        <v>8568</v>
      </c>
      <c r="R1314" s="39" t="s">
        <v>8569</v>
      </c>
      <c r="S1314" s="39" t="s">
        <v>8570</v>
      </c>
      <c r="AK1314" s="39" t="str">
        <f>("2025/03/25")</f>
        <v>2025/03/25</v>
      </c>
      <c r="AL1314" s="39" t="str">
        <f t="shared" si="118"/>
        <v>2025/04/01</v>
      </c>
    </row>
    <row r="1315" spans="1:38" x14ac:dyDescent="0.25">
      <c r="A1315" s="39" t="str">
        <f>("1412220195")</f>
        <v>1412220195</v>
      </c>
      <c r="C1315" s="39"/>
      <c r="D1315" s="39" t="s">
        <v>8368</v>
      </c>
      <c r="E1315" s="371" t="str">
        <f t="shared" si="114"/>
        <v>よしひろ　ゆうし</v>
      </c>
      <c r="F1315" s="39" t="s">
        <v>827</v>
      </c>
      <c r="G1315" s="39" t="s">
        <v>7828</v>
      </c>
      <c r="H1315" s="39" t="str">
        <f>("2014/12/22")</f>
        <v>2014/12/22</v>
      </c>
      <c r="I1315" s="39">
        <v>5</v>
      </c>
      <c r="J1315" s="39" t="s">
        <v>1478</v>
      </c>
      <c r="K1315" s="39" t="s">
        <v>2122</v>
      </c>
      <c r="L1315" s="39" t="s">
        <v>7830</v>
      </c>
      <c r="M1315" s="39" t="s">
        <v>7831</v>
      </c>
      <c r="N1315" s="39" t="str">
        <f>("0504908")</f>
        <v>0504908</v>
      </c>
      <c r="P1315" s="39" t="s">
        <v>12787</v>
      </c>
      <c r="Q1315" s="39" t="s">
        <v>8568</v>
      </c>
      <c r="R1315" s="39" t="s">
        <v>8569</v>
      </c>
      <c r="S1315" s="39" t="s">
        <v>8570</v>
      </c>
      <c r="AK1315" s="39" t="str">
        <f>("2025/03/21")</f>
        <v>2025/03/21</v>
      </c>
      <c r="AL1315" s="39" t="str">
        <f t="shared" si="118"/>
        <v>2025/04/01</v>
      </c>
    </row>
    <row r="1316" spans="1:38" x14ac:dyDescent="0.25">
      <c r="A1316" s="39" t="str">
        <f>("1412240071")</f>
        <v>1412240071</v>
      </c>
      <c r="C1316" s="39"/>
      <c r="D1316" s="39" t="s">
        <v>8369</v>
      </c>
      <c r="E1316" s="371" t="str">
        <f t="shared" si="114"/>
        <v>みやの　よしと</v>
      </c>
      <c r="F1316" s="39" t="s">
        <v>7843</v>
      </c>
      <c r="G1316" s="39" t="s">
        <v>7828</v>
      </c>
      <c r="H1316" s="39" t="str">
        <f>("2014/12/24")</f>
        <v>2014/12/24</v>
      </c>
      <c r="I1316" s="39">
        <v>5</v>
      </c>
      <c r="J1316" s="39" t="s">
        <v>1478</v>
      </c>
      <c r="K1316" s="39" t="s">
        <v>2122</v>
      </c>
      <c r="L1316" s="39" t="s">
        <v>7830</v>
      </c>
      <c r="M1316" s="39" t="s">
        <v>7831</v>
      </c>
      <c r="N1316" s="39" t="str">
        <f>("1117332")</f>
        <v>1117332</v>
      </c>
      <c r="P1316" s="39" t="s">
        <v>12788</v>
      </c>
      <c r="Q1316" s="39" t="s">
        <v>8568</v>
      </c>
      <c r="R1316" s="39" t="s">
        <v>8569</v>
      </c>
      <c r="S1316" s="39" t="s">
        <v>8570</v>
      </c>
      <c r="AA1316" s="39" t="s">
        <v>2122</v>
      </c>
      <c r="AB1316" s="39" t="s">
        <v>7830</v>
      </c>
      <c r="AC1316" s="39" t="s">
        <v>7831</v>
      </c>
      <c r="AD1316" s="39" t="str">
        <f>("0130712")</f>
        <v>0130712</v>
      </c>
      <c r="AE1316" s="39" t="s">
        <v>2556</v>
      </c>
      <c r="AK1316" s="39" t="str">
        <f>("2025/03/17")</f>
        <v>2025/03/17</v>
      </c>
      <c r="AL1316" s="39" t="str">
        <f t="shared" si="118"/>
        <v>2025/04/01</v>
      </c>
    </row>
    <row r="1317" spans="1:38" x14ac:dyDescent="0.25">
      <c r="A1317" s="39" t="str">
        <f>("1412250037")</f>
        <v>1412250037</v>
      </c>
      <c r="B1317" s="39" t="s">
        <v>8370</v>
      </c>
      <c r="C1317" s="39"/>
      <c r="D1317" s="39" t="s">
        <v>4286</v>
      </c>
      <c r="E1317" s="371" t="str">
        <f t="shared" si="114"/>
        <v>あそう　だいき</v>
      </c>
      <c r="F1317" s="39" t="s">
        <v>2485</v>
      </c>
      <c r="G1317" s="39" t="s">
        <v>7828</v>
      </c>
      <c r="H1317" s="39" t="str">
        <f>("2014/12/25")</f>
        <v>2014/12/25</v>
      </c>
      <c r="I1317" s="39">
        <v>5</v>
      </c>
      <c r="J1317" s="39" t="s">
        <v>1478</v>
      </c>
      <c r="K1317" s="39" t="s">
        <v>2122</v>
      </c>
      <c r="L1317" s="39" t="s">
        <v>7830</v>
      </c>
      <c r="M1317" s="39" t="s">
        <v>7831</v>
      </c>
      <c r="N1317" s="39" t="str">
        <f>("0129754")</f>
        <v>0129754</v>
      </c>
      <c r="P1317" s="39" t="s">
        <v>12789</v>
      </c>
      <c r="Q1317" s="39" t="s">
        <v>8568</v>
      </c>
      <c r="R1317" s="39" t="s">
        <v>8569</v>
      </c>
      <c r="S1317" s="39" t="s">
        <v>8570</v>
      </c>
      <c r="AK1317" s="39" t="str">
        <f>("2025/03/24")</f>
        <v>2025/03/24</v>
      </c>
      <c r="AL1317" s="39" t="str">
        <f t="shared" si="118"/>
        <v>2025/04/01</v>
      </c>
    </row>
    <row r="1318" spans="1:38" x14ac:dyDescent="0.25">
      <c r="A1318" s="39" t="str">
        <f>("1412250137")</f>
        <v>1412250137</v>
      </c>
      <c r="C1318" s="39"/>
      <c r="D1318" s="39" t="s">
        <v>8371</v>
      </c>
      <c r="E1318" s="371" t="str">
        <f t="shared" si="114"/>
        <v>いしだ　りょうと</v>
      </c>
      <c r="F1318" s="39" t="s">
        <v>2479</v>
      </c>
      <c r="G1318" s="39" t="s">
        <v>7828</v>
      </c>
      <c r="H1318" s="39" t="str">
        <f>("2014/12/25")</f>
        <v>2014/12/25</v>
      </c>
      <c r="I1318" s="39">
        <v>5</v>
      </c>
      <c r="J1318" s="39" t="s">
        <v>1478</v>
      </c>
      <c r="K1318" s="39" t="s">
        <v>2122</v>
      </c>
      <c r="L1318" s="39" t="s">
        <v>7830</v>
      </c>
      <c r="M1318" s="39" t="s">
        <v>7831</v>
      </c>
      <c r="N1318" s="39" t="str">
        <f>("0129608")</f>
        <v>0129608</v>
      </c>
      <c r="P1318" s="39" t="s">
        <v>12790</v>
      </c>
      <c r="Q1318" s="39" t="s">
        <v>8568</v>
      </c>
      <c r="R1318" s="39" t="s">
        <v>8569</v>
      </c>
      <c r="S1318" s="39" t="s">
        <v>8570</v>
      </c>
      <c r="AK1318" s="39" t="str">
        <f>("2025/03/17")</f>
        <v>2025/03/17</v>
      </c>
      <c r="AL1318" s="39" t="str">
        <f t="shared" si="118"/>
        <v>2025/04/01</v>
      </c>
    </row>
    <row r="1319" spans="1:38" x14ac:dyDescent="0.25">
      <c r="A1319" s="39" t="str">
        <f>("1412250164")</f>
        <v>1412250164</v>
      </c>
      <c r="C1319" s="39"/>
      <c r="D1319" s="39" t="s">
        <v>8372</v>
      </c>
      <c r="E1319" s="371" t="str">
        <f t="shared" si="114"/>
        <v>きのした　はるき</v>
      </c>
      <c r="F1319" s="39" t="s">
        <v>2243</v>
      </c>
      <c r="G1319" s="39" t="s">
        <v>7828</v>
      </c>
      <c r="H1319" s="39" t="str">
        <f>("2014/12/25")</f>
        <v>2014/12/25</v>
      </c>
      <c r="I1319" s="39">
        <v>5</v>
      </c>
      <c r="J1319" s="39" t="s">
        <v>1478</v>
      </c>
      <c r="K1319" s="39" t="s">
        <v>2122</v>
      </c>
      <c r="L1319" s="39" t="s">
        <v>7830</v>
      </c>
      <c r="M1319" s="39" t="s">
        <v>7831</v>
      </c>
      <c r="N1319" s="39" t="str">
        <f>("0130565")</f>
        <v>0130565</v>
      </c>
      <c r="P1319" s="39" t="s">
        <v>12791</v>
      </c>
      <c r="Q1319" s="39" t="s">
        <v>8568</v>
      </c>
      <c r="R1319" s="39" t="s">
        <v>8569</v>
      </c>
      <c r="S1319" s="39" t="s">
        <v>8570</v>
      </c>
      <c r="AK1319" s="39" t="str">
        <f>("2025/03/17")</f>
        <v>2025/03/17</v>
      </c>
      <c r="AL1319" s="39" t="str">
        <f t="shared" si="118"/>
        <v>2025/04/01</v>
      </c>
    </row>
    <row r="1320" spans="1:38" x14ac:dyDescent="0.25">
      <c r="A1320" s="39" t="str">
        <f>("1412250230")</f>
        <v>1412250230</v>
      </c>
      <c r="C1320" s="39"/>
      <c r="D1320" s="39" t="s">
        <v>8373</v>
      </c>
      <c r="E1320" s="371" t="str">
        <f t="shared" si="114"/>
        <v>まつもと　くひろ</v>
      </c>
      <c r="F1320" s="39" t="s">
        <v>827</v>
      </c>
      <c r="G1320" s="39" t="s">
        <v>7828</v>
      </c>
      <c r="H1320" s="39" t="str">
        <f>("2014/12/25")</f>
        <v>2014/12/25</v>
      </c>
      <c r="I1320" s="39">
        <v>5</v>
      </c>
      <c r="J1320" s="39" t="s">
        <v>1478</v>
      </c>
      <c r="K1320" s="39" t="s">
        <v>2122</v>
      </c>
      <c r="L1320" s="39" t="s">
        <v>7830</v>
      </c>
      <c r="M1320" s="39" t="s">
        <v>7831</v>
      </c>
      <c r="N1320" s="39" t="str">
        <f>("0504908")</f>
        <v>0504908</v>
      </c>
      <c r="P1320" s="39" t="s">
        <v>12792</v>
      </c>
      <c r="Q1320" s="39" t="s">
        <v>8568</v>
      </c>
      <c r="R1320" s="39" t="s">
        <v>8569</v>
      </c>
      <c r="S1320" s="39" t="s">
        <v>8570</v>
      </c>
      <c r="AK1320" s="39" t="str">
        <f>("2025/03/21")</f>
        <v>2025/03/21</v>
      </c>
      <c r="AL1320" s="39" t="str">
        <f t="shared" si="118"/>
        <v>2025/04/01</v>
      </c>
    </row>
    <row r="1321" spans="1:38" x14ac:dyDescent="0.25">
      <c r="A1321" s="39" t="str">
        <f>("1412260007")</f>
        <v>1412260007</v>
      </c>
      <c r="C1321" s="39"/>
      <c r="D1321" s="39" t="s">
        <v>8374</v>
      </c>
      <c r="E1321" s="371" t="str">
        <f t="shared" si="114"/>
        <v>おおつか　はるき</v>
      </c>
      <c r="F1321" s="39" t="s">
        <v>2137</v>
      </c>
      <c r="G1321" s="39" t="s">
        <v>7828</v>
      </c>
      <c r="H1321" s="39" t="str">
        <f>("2014/12/26")</f>
        <v>2014/12/26</v>
      </c>
      <c r="I1321" s="39">
        <v>5</v>
      </c>
      <c r="J1321" s="39" t="s">
        <v>1478</v>
      </c>
      <c r="K1321" s="39" t="s">
        <v>2122</v>
      </c>
      <c r="L1321" s="39" t="s">
        <v>7830</v>
      </c>
      <c r="M1321" s="39" t="s">
        <v>7831</v>
      </c>
      <c r="N1321" s="39" t="str">
        <f>("0130510")</f>
        <v>0130510</v>
      </c>
      <c r="P1321" s="39" t="s">
        <v>12180</v>
      </c>
      <c r="Q1321" s="39" t="s">
        <v>8568</v>
      </c>
      <c r="R1321" s="39" t="s">
        <v>8569</v>
      </c>
      <c r="S1321" s="39" t="s">
        <v>8570</v>
      </c>
      <c r="AK1321" s="39" t="str">
        <f>("2025/03/21")</f>
        <v>2025/03/21</v>
      </c>
      <c r="AL1321" s="39" t="str">
        <f t="shared" si="118"/>
        <v>2025/04/01</v>
      </c>
    </row>
    <row r="1322" spans="1:38" x14ac:dyDescent="0.25">
      <c r="A1322" s="39" t="str">
        <f>("1412270019")</f>
        <v>1412270019</v>
      </c>
      <c r="C1322" s="39"/>
      <c r="D1322" s="39" t="s">
        <v>5970</v>
      </c>
      <c r="E1322" s="371" t="str">
        <f t="shared" si="114"/>
        <v>かやしま　そら</v>
      </c>
      <c r="F1322" s="39" t="s">
        <v>2573</v>
      </c>
      <c r="G1322" s="39" t="s">
        <v>7828</v>
      </c>
      <c r="H1322" s="39" t="str">
        <f>("2014/12/27")</f>
        <v>2014/12/27</v>
      </c>
      <c r="I1322" s="39">
        <v>5</v>
      </c>
      <c r="J1322" s="39" t="s">
        <v>1478</v>
      </c>
      <c r="K1322" s="39" t="s">
        <v>2122</v>
      </c>
      <c r="L1322" s="39" t="s">
        <v>7830</v>
      </c>
      <c r="M1322" s="39" t="s">
        <v>7831</v>
      </c>
      <c r="N1322" s="39" t="str">
        <f>("0230982")</f>
        <v>0230982</v>
      </c>
      <c r="P1322" s="39" t="s">
        <v>12793</v>
      </c>
      <c r="Q1322" s="39" t="s">
        <v>8568</v>
      </c>
      <c r="R1322" s="39" t="s">
        <v>8569</v>
      </c>
      <c r="S1322" s="39" t="s">
        <v>8570</v>
      </c>
      <c r="AK1322" s="39" t="str">
        <f>("2025/03/17")</f>
        <v>2025/03/17</v>
      </c>
      <c r="AL1322" s="39" t="str">
        <f t="shared" si="118"/>
        <v>2025/04/01</v>
      </c>
    </row>
    <row r="1323" spans="1:38" x14ac:dyDescent="0.25">
      <c r="A1323" s="39" t="str">
        <f>("1412280025")</f>
        <v>1412280025</v>
      </c>
      <c r="B1323" s="39" t="s">
        <v>8375</v>
      </c>
      <c r="C1323" s="39"/>
      <c r="D1323" s="39" t="s">
        <v>8376</v>
      </c>
      <c r="E1323" s="371" t="str">
        <f t="shared" si="114"/>
        <v>ごとう　ゆうせい</v>
      </c>
      <c r="F1323" s="39" t="s">
        <v>2325</v>
      </c>
      <c r="G1323" s="39" t="s">
        <v>7828</v>
      </c>
      <c r="H1323" s="39" t="str">
        <f>("2014/12/28")</f>
        <v>2014/12/28</v>
      </c>
      <c r="I1323" s="39">
        <v>5</v>
      </c>
      <c r="J1323" s="39" t="s">
        <v>1478</v>
      </c>
      <c r="K1323" s="39" t="s">
        <v>2122</v>
      </c>
      <c r="L1323" s="39" t="s">
        <v>7830</v>
      </c>
      <c r="M1323" s="39" t="s">
        <v>7831</v>
      </c>
      <c r="N1323" s="39" t="str">
        <f>("0155034")</f>
        <v>0155034</v>
      </c>
      <c r="P1323" s="39" t="s">
        <v>12794</v>
      </c>
      <c r="Q1323" s="39" t="s">
        <v>8568</v>
      </c>
      <c r="R1323" s="39" t="s">
        <v>8569</v>
      </c>
      <c r="S1323" s="39" t="s">
        <v>8570</v>
      </c>
      <c r="AK1323" s="39" t="str">
        <f>("2025/03/17")</f>
        <v>2025/03/17</v>
      </c>
      <c r="AL1323" s="39" t="str">
        <f t="shared" si="118"/>
        <v>2025/04/01</v>
      </c>
    </row>
    <row r="1324" spans="1:38" x14ac:dyDescent="0.25">
      <c r="A1324" s="39" t="str">
        <f>("1412280055")</f>
        <v>1412280055</v>
      </c>
      <c r="B1324" s="39" t="s">
        <v>8377</v>
      </c>
      <c r="C1324" s="39"/>
      <c r="D1324" s="39" t="s">
        <v>8378</v>
      </c>
      <c r="E1324" s="371" t="str">
        <f t="shared" si="114"/>
        <v>たむら　うい</v>
      </c>
      <c r="F1324" s="39" t="s">
        <v>2530</v>
      </c>
      <c r="G1324" s="39" t="s">
        <v>7828</v>
      </c>
      <c r="H1324" s="39" t="str">
        <f>("2014/12/28")</f>
        <v>2014/12/28</v>
      </c>
      <c r="I1324" s="39">
        <v>5</v>
      </c>
      <c r="J1324" s="39" t="s">
        <v>1480</v>
      </c>
      <c r="K1324" s="39" t="s">
        <v>2122</v>
      </c>
      <c r="L1324" s="39" t="s">
        <v>7830</v>
      </c>
      <c r="M1324" s="39" t="s">
        <v>7831</v>
      </c>
      <c r="N1324" s="39" t="str">
        <f>("0338756")</f>
        <v>0338756</v>
      </c>
      <c r="P1324" s="39" t="s">
        <v>12795</v>
      </c>
      <c r="Q1324" s="39" t="s">
        <v>8568</v>
      </c>
      <c r="R1324" s="39" t="s">
        <v>8569</v>
      </c>
      <c r="S1324" s="39" t="s">
        <v>8570</v>
      </c>
      <c r="AK1324" s="39" t="str">
        <f>("2025/04/01")</f>
        <v>2025/04/01</v>
      </c>
      <c r="AL1324" s="39" t="str">
        <f t="shared" si="118"/>
        <v>2025/04/01</v>
      </c>
    </row>
    <row r="1325" spans="1:38" x14ac:dyDescent="0.25">
      <c r="A1325" s="39" t="str">
        <f>("1412290009")</f>
        <v>1412290009</v>
      </c>
      <c r="B1325" s="39" t="s">
        <v>8379</v>
      </c>
      <c r="C1325" s="39"/>
      <c r="D1325" s="39" t="s">
        <v>5979</v>
      </c>
      <c r="E1325" s="371" t="str">
        <f t="shared" si="114"/>
        <v>しまだ　まさき</v>
      </c>
      <c r="F1325" s="39" t="s">
        <v>2574</v>
      </c>
      <c r="G1325" s="39" t="s">
        <v>7828</v>
      </c>
      <c r="H1325" s="39" t="str">
        <f>("2014/12/29")</f>
        <v>2014/12/29</v>
      </c>
      <c r="I1325" s="39">
        <v>5</v>
      </c>
      <c r="J1325" s="39" t="s">
        <v>1478</v>
      </c>
      <c r="K1325" s="39" t="s">
        <v>2122</v>
      </c>
      <c r="L1325" s="39" t="s">
        <v>7830</v>
      </c>
      <c r="M1325" s="39" t="s">
        <v>7831</v>
      </c>
      <c r="N1325" s="39" t="str">
        <f>("0237620")</f>
        <v>0237620</v>
      </c>
      <c r="P1325" s="39" t="s">
        <v>12796</v>
      </c>
      <c r="Q1325" s="39" t="s">
        <v>8568</v>
      </c>
      <c r="R1325" s="39" t="s">
        <v>8569</v>
      </c>
      <c r="S1325" s="39" t="s">
        <v>8570</v>
      </c>
      <c r="AK1325" s="39" t="str">
        <f>("2025/03/17")</f>
        <v>2025/03/17</v>
      </c>
      <c r="AL1325" s="39" t="str">
        <f t="shared" si="118"/>
        <v>2025/04/01</v>
      </c>
    </row>
    <row r="1326" spans="1:38" x14ac:dyDescent="0.25">
      <c r="A1326" s="39" t="str">
        <f>("1412290158")</f>
        <v>1412290158</v>
      </c>
      <c r="C1326" s="39"/>
      <c r="D1326" s="39" t="s">
        <v>8380</v>
      </c>
      <c r="E1326" s="371" t="str">
        <f t="shared" si="114"/>
        <v>おおにし　さとし</v>
      </c>
      <c r="F1326" s="39" t="s">
        <v>1158</v>
      </c>
      <c r="G1326" s="39" t="s">
        <v>7828</v>
      </c>
      <c r="H1326" s="39" t="str">
        <f>("2014/12/29")</f>
        <v>2014/12/29</v>
      </c>
      <c r="I1326" s="39">
        <v>5</v>
      </c>
      <c r="J1326" s="39" t="s">
        <v>1478</v>
      </c>
      <c r="K1326" s="39" t="s">
        <v>2122</v>
      </c>
      <c r="L1326" s="39" t="s">
        <v>7830</v>
      </c>
      <c r="M1326" s="39" t="s">
        <v>7831</v>
      </c>
      <c r="N1326" s="39" t="str">
        <f>("0130318")</f>
        <v>0130318</v>
      </c>
      <c r="P1326" s="39" t="s">
        <v>12797</v>
      </c>
      <c r="Q1326" s="39" t="s">
        <v>8568</v>
      </c>
      <c r="R1326" s="39" t="s">
        <v>8569</v>
      </c>
      <c r="S1326" s="39" t="s">
        <v>8570</v>
      </c>
      <c r="AK1326" s="39" t="str">
        <f>("2025/03/17")</f>
        <v>2025/03/17</v>
      </c>
      <c r="AL1326" s="39" t="str">
        <f t="shared" si="118"/>
        <v>2025/04/01</v>
      </c>
    </row>
    <row r="1327" spans="1:38" x14ac:dyDescent="0.25">
      <c r="A1327" s="39" t="str">
        <f>("1412310007")</f>
        <v>1412310007</v>
      </c>
      <c r="B1327" s="39" t="s">
        <v>8381</v>
      </c>
      <c r="C1327" s="39"/>
      <c r="D1327" s="39" t="s">
        <v>8382</v>
      </c>
      <c r="E1327" s="371" t="str">
        <f t="shared" si="114"/>
        <v>かとう　よう</v>
      </c>
      <c r="F1327" s="39" t="s">
        <v>8135</v>
      </c>
      <c r="G1327" s="39" t="s">
        <v>7828</v>
      </c>
      <c r="H1327" s="39" t="str">
        <f>("2014/12/31")</f>
        <v>2014/12/31</v>
      </c>
      <c r="I1327" s="39">
        <v>5</v>
      </c>
      <c r="J1327" s="39" t="s">
        <v>1478</v>
      </c>
      <c r="K1327" s="39" t="s">
        <v>2122</v>
      </c>
      <c r="L1327" s="39" t="s">
        <v>7830</v>
      </c>
      <c r="M1327" s="39" t="s">
        <v>7831</v>
      </c>
      <c r="N1327" s="39" t="str">
        <f>("0475567")</f>
        <v>0475567</v>
      </c>
      <c r="P1327" s="39" t="s">
        <v>12798</v>
      </c>
      <c r="Q1327" s="39" t="s">
        <v>8568</v>
      </c>
      <c r="R1327" s="39" t="s">
        <v>8569</v>
      </c>
      <c r="S1327" s="39" t="s">
        <v>8570</v>
      </c>
      <c r="AK1327" s="39" t="str">
        <f>("2025/03/24")</f>
        <v>2025/03/24</v>
      </c>
      <c r="AL1327" s="39" t="str">
        <f t="shared" si="118"/>
        <v>2025/04/01</v>
      </c>
    </row>
    <row r="1328" spans="1:38" x14ac:dyDescent="0.25">
      <c r="A1328" s="39" t="str">
        <f>("1501010013")</f>
        <v>1501010013</v>
      </c>
      <c r="C1328" s="39"/>
      <c r="D1328" s="39" t="s">
        <v>8383</v>
      </c>
      <c r="E1328" s="371" t="str">
        <f t="shared" si="114"/>
        <v>つるた　たけと</v>
      </c>
      <c r="F1328" s="39" t="s">
        <v>2477</v>
      </c>
      <c r="G1328" s="39" t="s">
        <v>7828</v>
      </c>
      <c r="H1328" s="39" t="str">
        <f>("2015/01/01")</f>
        <v>2015/01/01</v>
      </c>
      <c r="I1328" s="39">
        <v>5</v>
      </c>
      <c r="J1328" s="39" t="s">
        <v>1478</v>
      </c>
      <c r="K1328" s="39" t="s">
        <v>2122</v>
      </c>
      <c r="L1328" s="39" t="s">
        <v>7830</v>
      </c>
      <c r="M1328" s="39" t="s">
        <v>7831</v>
      </c>
      <c r="N1328" s="39" t="str">
        <f>("0129541")</f>
        <v>0129541</v>
      </c>
      <c r="P1328" s="39" t="s">
        <v>12799</v>
      </c>
      <c r="Q1328" s="39" t="s">
        <v>8568</v>
      </c>
      <c r="R1328" s="39" t="s">
        <v>8569</v>
      </c>
      <c r="S1328" s="39" t="s">
        <v>8570</v>
      </c>
      <c r="AK1328" s="39" t="str">
        <f>("2025/03/27")</f>
        <v>2025/03/27</v>
      </c>
      <c r="AL1328" s="39" t="str">
        <f t="shared" si="118"/>
        <v>2025/04/01</v>
      </c>
    </row>
    <row r="1329" spans="1:39" x14ac:dyDescent="0.25">
      <c r="A1329" s="39" t="str">
        <f>("1501010036")</f>
        <v>1501010036</v>
      </c>
      <c r="B1329" s="39" t="s">
        <v>8384</v>
      </c>
      <c r="C1329" s="39"/>
      <c r="D1329" s="39" t="s">
        <v>8385</v>
      </c>
      <c r="E1329" s="371" t="str">
        <f t="shared" si="114"/>
        <v>わだ　あきと</v>
      </c>
      <c r="F1329" s="39" t="s">
        <v>2619</v>
      </c>
      <c r="G1329" s="39" t="s">
        <v>7828</v>
      </c>
      <c r="H1329" s="39" t="str">
        <f>("2015/01/01")</f>
        <v>2015/01/01</v>
      </c>
      <c r="I1329" s="39">
        <v>5</v>
      </c>
      <c r="J1329" s="39" t="s">
        <v>1478</v>
      </c>
      <c r="K1329" s="39" t="s">
        <v>2122</v>
      </c>
      <c r="L1329" s="39" t="s">
        <v>7830</v>
      </c>
      <c r="M1329" s="39" t="s">
        <v>7831</v>
      </c>
      <c r="N1329" s="39" t="str">
        <f>("0472823")</f>
        <v>0472823</v>
      </c>
      <c r="P1329" s="39" t="s">
        <v>12800</v>
      </c>
      <c r="Q1329" s="39" t="s">
        <v>8568</v>
      </c>
      <c r="R1329" s="39" t="s">
        <v>8569</v>
      </c>
      <c r="S1329" s="39" t="s">
        <v>8570</v>
      </c>
      <c r="AA1329" s="39" t="s">
        <v>2122</v>
      </c>
      <c r="AB1329" s="39" t="s">
        <v>7830</v>
      </c>
      <c r="AC1329" s="39" t="s">
        <v>7831</v>
      </c>
      <c r="AD1329" s="39" t="str">
        <f>("0130633")</f>
        <v>0130633</v>
      </c>
      <c r="AE1329" s="39" t="s">
        <v>639</v>
      </c>
      <c r="AK1329" s="39" t="str">
        <f>("2025/04/01")</f>
        <v>2025/04/01</v>
      </c>
      <c r="AL1329" s="39" t="str">
        <f t="shared" si="118"/>
        <v>2025/04/01</v>
      </c>
    </row>
    <row r="1330" spans="1:39" x14ac:dyDescent="0.25">
      <c r="A1330" s="39" t="str">
        <f>("1501030075")</f>
        <v>1501030075</v>
      </c>
      <c r="C1330" s="39"/>
      <c r="D1330" s="39" t="s">
        <v>5680</v>
      </c>
      <c r="E1330" s="371" t="str">
        <f t="shared" si="114"/>
        <v>いまい　あさひ</v>
      </c>
      <c r="F1330" s="39" t="s">
        <v>2479</v>
      </c>
      <c r="G1330" s="39" t="s">
        <v>7828</v>
      </c>
      <c r="H1330" s="39" t="str">
        <f>("2015/01/03")</f>
        <v>2015/01/03</v>
      </c>
      <c r="I1330" s="39">
        <v>5</v>
      </c>
      <c r="J1330" s="39" t="s">
        <v>1478</v>
      </c>
      <c r="K1330" s="39" t="s">
        <v>2122</v>
      </c>
      <c r="L1330" s="39" t="s">
        <v>7830</v>
      </c>
      <c r="M1330" s="39" t="s">
        <v>7831</v>
      </c>
      <c r="N1330" s="39" t="str">
        <f>("0129608")</f>
        <v>0129608</v>
      </c>
      <c r="P1330" s="39" t="s">
        <v>12801</v>
      </c>
      <c r="Q1330" s="39" t="s">
        <v>8568</v>
      </c>
      <c r="R1330" s="39" t="s">
        <v>8569</v>
      </c>
      <c r="S1330" s="39" t="s">
        <v>8570</v>
      </c>
      <c r="AK1330" s="39" t="str">
        <f>("2025/03/17")</f>
        <v>2025/03/17</v>
      </c>
      <c r="AL1330" s="39" t="str">
        <f t="shared" si="118"/>
        <v>2025/04/01</v>
      </c>
    </row>
    <row r="1331" spans="1:39" x14ac:dyDescent="0.25">
      <c r="A1331" s="39" t="str">
        <f>("1501040135")</f>
        <v>1501040135</v>
      </c>
      <c r="C1331" s="39"/>
      <c r="D1331" s="39" t="s">
        <v>8386</v>
      </c>
      <c r="E1331" s="371" t="str">
        <f t="shared" si="114"/>
        <v>なかの　ももき</v>
      </c>
      <c r="F1331" s="39" t="s">
        <v>2600</v>
      </c>
      <c r="G1331" s="39" t="s">
        <v>7828</v>
      </c>
      <c r="H1331" s="39" t="str">
        <f>("2015/01/04")</f>
        <v>2015/01/04</v>
      </c>
      <c r="I1331" s="39">
        <v>5</v>
      </c>
      <c r="J1331" s="39" t="s">
        <v>1478</v>
      </c>
      <c r="K1331" s="39" t="s">
        <v>2122</v>
      </c>
      <c r="L1331" s="39" t="s">
        <v>7830</v>
      </c>
      <c r="M1331" s="39" t="s">
        <v>7831</v>
      </c>
      <c r="N1331" s="39" t="str">
        <f>("0429757")</f>
        <v>0429757</v>
      </c>
      <c r="P1331" s="39" t="s">
        <v>12802</v>
      </c>
      <c r="Q1331" s="39" t="s">
        <v>8568</v>
      </c>
      <c r="R1331" s="39" t="s">
        <v>8569</v>
      </c>
      <c r="S1331" s="39" t="s">
        <v>8570</v>
      </c>
      <c r="AK1331" s="39" t="str">
        <f>("2025/03/24")</f>
        <v>2025/03/24</v>
      </c>
      <c r="AL1331" s="39" t="str">
        <f t="shared" si="118"/>
        <v>2025/04/01</v>
      </c>
    </row>
    <row r="1332" spans="1:39" x14ac:dyDescent="0.25">
      <c r="A1332" s="39" t="str">
        <f>("1501040150")</f>
        <v>1501040150</v>
      </c>
      <c r="C1332" s="39"/>
      <c r="D1332" s="39" t="s">
        <v>8387</v>
      </c>
      <c r="E1332" s="371" t="str">
        <f t="shared" si="114"/>
        <v>まるやま　りく</v>
      </c>
      <c r="F1332" s="39" t="s">
        <v>2138</v>
      </c>
      <c r="G1332" s="39" t="s">
        <v>7828</v>
      </c>
      <c r="H1332" s="39" t="str">
        <f>("2015/01/04")</f>
        <v>2015/01/04</v>
      </c>
      <c r="I1332" s="39">
        <v>5</v>
      </c>
      <c r="J1332" s="39" t="s">
        <v>1478</v>
      </c>
      <c r="K1332" s="39" t="s">
        <v>2122</v>
      </c>
      <c r="L1332" s="39" t="s">
        <v>7830</v>
      </c>
      <c r="M1332" s="39" t="s">
        <v>7831</v>
      </c>
      <c r="N1332" s="39" t="str">
        <f>("0130082")</f>
        <v>0130082</v>
      </c>
      <c r="P1332" s="39" t="s">
        <v>12803</v>
      </c>
      <c r="Q1332" s="39" t="s">
        <v>8568</v>
      </c>
      <c r="R1332" s="39" t="s">
        <v>8569</v>
      </c>
      <c r="S1332" s="39" t="s">
        <v>8570</v>
      </c>
      <c r="AK1332" s="39" t="str">
        <f>("2025/03/17")</f>
        <v>2025/03/17</v>
      </c>
      <c r="AL1332" s="39" t="str">
        <f t="shared" si="118"/>
        <v>2025/04/01</v>
      </c>
    </row>
    <row r="1333" spans="1:39" x14ac:dyDescent="0.25">
      <c r="A1333" s="39" t="str">
        <f>("1501060015")</f>
        <v>1501060015</v>
      </c>
      <c r="C1333" s="39"/>
      <c r="D1333" s="39" t="s">
        <v>8388</v>
      </c>
      <c r="E1333" s="371" t="str">
        <f t="shared" si="114"/>
        <v>いまた　たくみ</v>
      </c>
      <c r="F1333" s="39" t="s">
        <v>2573</v>
      </c>
      <c r="G1333" s="39" t="s">
        <v>7828</v>
      </c>
      <c r="H1333" s="39" t="str">
        <f>("2015/01/06")</f>
        <v>2015/01/06</v>
      </c>
      <c r="I1333" s="39">
        <v>5</v>
      </c>
      <c r="J1333" s="39" t="s">
        <v>1478</v>
      </c>
      <c r="K1333" s="39" t="s">
        <v>2122</v>
      </c>
      <c r="L1333" s="39" t="s">
        <v>7830</v>
      </c>
      <c r="M1333" s="39" t="s">
        <v>7831</v>
      </c>
      <c r="N1333" s="39" t="str">
        <f>("0230982")</f>
        <v>0230982</v>
      </c>
      <c r="P1333" s="39" t="s">
        <v>12804</v>
      </c>
      <c r="Q1333" s="39" t="s">
        <v>8568</v>
      </c>
      <c r="R1333" s="39" t="s">
        <v>8569</v>
      </c>
      <c r="S1333" s="39" t="s">
        <v>8570</v>
      </c>
      <c r="AK1333" s="39" t="str">
        <f>("2025/03/17")</f>
        <v>2025/03/17</v>
      </c>
      <c r="AL1333" s="39" t="str">
        <f t="shared" si="118"/>
        <v>2025/04/01</v>
      </c>
    </row>
    <row r="1334" spans="1:39" x14ac:dyDescent="0.25">
      <c r="A1334" s="39" t="str">
        <f>("1501060122")</f>
        <v>1501060122</v>
      </c>
      <c r="C1334" s="39"/>
      <c r="D1334" s="39" t="s">
        <v>8389</v>
      </c>
      <c r="E1334" s="371" t="str">
        <f t="shared" si="114"/>
        <v>あかし　りょう</v>
      </c>
      <c r="F1334" s="39" t="s">
        <v>2530</v>
      </c>
      <c r="G1334" s="39" t="s">
        <v>7828</v>
      </c>
      <c r="H1334" s="39" t="str">
        <f>("2015/01/06")</f>
        <v>2015/01/06</v>
      </c>
      <c r="I1334" s="39">
        <v>5</v>
      </c>
      <c r="J1334" s="39" t="s">
        <v>1478</v>
      </c>
      <c r="K1334" s="39" t="s">
        <v>2122</v>
      </c>
      <c r="L1334" s="39" t="s">
        <v>7830</v>
      </c>
      <c r="M1334" s="39" t="s">
        <v>7831</v>
      </c>
      <c r="N1334" s="39" t="str">
        <f>("0338756")</f>
        <v>0338756</v>
      </c>
      <c r="P1334" s="39" t="s">
        <v>12805</v>
      </c>
      <c r="Q1334" s="39" t="s">
        <v>8568</v>
      </c>
      <c r="R1334" s="39" t="s">
        <v>8569</v>
      </c>
      <c r="S1334" s="39" t="s">
        <v>8570</v>
      </c>
      <c r="AK1334" s="39" t="str">
        <f>("2025/04/01")</f>
        <v>2025/04/01</v>
      </c>
      <c r="AL1334" s="39" t="str">
        <f t="shared" si="118"/>
        <v>2025/04/01</v>
      </c>
    </row>
    <row r="1335" spans="1:39" x14ac:dyDescent="0.25">
      <c r="A1335" s="39" t="str">
        <f>("1501060130")</f>
        <v>1501060130</v>
      </c>
      <c r="C1335" s="39"/>
      <c r="D1335" s="39" t="s">
        <v>8390</v>
      </c>
      <c r="E1335" s="371" t="str">
        <f t="shared" si="114"/>
        <v>たかくら　かい</v>
      </c>
      <c r="F1335" s="39" t="s">
        <v>1917</v>
      </c>
      <c r="G1335" s="39" t="s">
        <v>7828</v>
      </c>
      <c r="H1335" s="39" t="str">
        <f>("2015/01/06")</f>
        <v>2015/01/06</v>
      </c>
      <c r="I1335" s="39">
        <v>5</v>
      </c>
      <c r="J1335" s="39" t="s">
        <v>1478</v>
      </c>
      <c r="K1335" s="39" t="s">
        <v>2122</v>
      </c>
      <c r="L1335" s="39" t="s">
        <v>7830</v>
      </c>
      <c r="M1335" s="39" t="s">
        <v>7831</v>
      </c>
      <c r="N1335" s="39" t="str">
        <f>("1032161")</f>
        <v>1032161</v>
      </c>
      <c r="P1335" s="39" t="s">
        <v>12806</v>
      </c>
      <c r="Q1335" s="39" t="s">
        <v>8568</v>
      </c>
      <c r="R1335" s="39" t="s">
        <v>8569</v>
      </c>
      <c r="S1335" s="39" t="s">
        <v>8570</v>
      </c>
      <c r="AK1335" s="39" t="str">
        <f>("2025/03/21")</f>
        <v>2025/03/21</v>
      </c>
      <c r="AL1335" s="39" t="str">
        <f t="shared" si="118"/>
        <v>2025/04/01</v>
      </c>
    </row>
    <row r="1336" spans="1:39" x14ac:dyDescent="0.25">
      <c r="A1336" s="39" t="str">
        <f>("1501060257")</f>
        <v>1501060257</v>
      </c>
      <c r="C1336" s="39"/>
      <c r="D1336" s="39" t="s">
        <v>8391</v>
      </c>
      <c r="E1336" s="371" t="str">
        <f t="shared" si="114"/>
        <v>しぶた　がく</v>
      </c>
      <c r="F1336" s="39" t="s">
        <v>3867</v>
      </c>
      <c r="G1336" s="39" t="s">
        <v>7828</v>
      </c>
      <c r="H1336" s="39" t="str">
        <f>("2015/01/06")</f>
        <v>2015/01/06</v>
      </c>
      <c r="I1336" s="39">
        <v>5</v>
      </c>
      <c r="J1336" s="39" t="s">
        <v>1478</v>
      </c>
      <c r="K1336" s="39" t="s">
        <v>2122</v>
      </c>
      <c r="L1336" s="39" t="s">
        <v>7830</v>
      </c>
      <c r="M1336" s="39" t="s">
        <v>7831</v>
      </c>
      <c r="N1336" s="39" t="str">
        <f>("0129990")</f>
        <v>0129990</v>
      </c>
      <c r="P1336" s="39" t="s">
        <v>12807</v>
      </c>
      <c r="Q1336" s="39" t="s">
        <v>8568</v>
      </c>
      <c r="R1336" s="39" t="s">
        <v>8569</v>
      </c>
      <c r="S1336" s="39" t="s">
        <v>8570</v>
      </c>
      <c r="AK1336" s="39" t="str">
        <f>("2025/04/01")</f>
        <v>2025/04/01</v>
      </c>
      <c r="AL1336" s="39" t="str">
        <f t="shared" si="118"/>
        <v>2025/04/01</v>
      </c>
      <c r="AM1336" s="39" t="str">
        <f>("2025/04/08")</f>
        <v>2025/04/08</v>
      </c>
    </row>
    <row r="1337" spans="1:39" x14ac:dyDescent="0.25">
      <c r="A1337" s="39" t="str">
        <f>("1501080157")</f>
        <v>1501080157</v>
      </c>
      <c r="C1337" s="39"/>
      <c r="D1337" s="39" t="s">
        <v>8392</v>
      </c>
      <c r="E1337" s="371" t="str">
        <f t="shared" si="114"/>
        <v>みぞぐち　とうま</v>
      </c>
      <c r="F1337" s="39" t="s">
        <v>2648</v>
      </c>
      <c r="G1337" s="39" t="s">
        <v>7828</v>
      </c>
      <c r="H1337" s="39" t="str">
        <f>("2015/01/08")</f>
        <v>2015/01/08</v>
      </c>
      <c r="I1337" s="39">
        <v>5</v>
      </c>
      <c r="J1337" s="39" t="s">
        <v>1478</v>
      </c>
      <c r="K1337" s="39" t="s">
        <v>2122</v>
      </c>
      <c r="L1337" s="39" t="s">
        <v>7830</v>
      </c>
      <c r="M1337" s="39" t="s">
        <v>7831</v>
      </c>
      <c r="N1337" s="39" t="str">
        <f>("1050097")</f>
        <v>1050097</v>
      </c>
      <c r="P1337" s="39" t="s">
        <v>12808</v>
      </c>
      <c r="Q1337" s="39" t="s">
        <v>8568</v>
      </c>
      <c r="R1337" s="39" t="s">
        <v>8569</v>
      </c>
      <c r="S1337" s="39" t="s">
        <v>8570</v>
      </c>
      <c r="AK1337" s="39" t="str">
        <f>("2025/03/25")</f>
        <v>2025/03/25</v>
      </c>
      <c r="AL1337" s="39" t="str">
        <f t="shared" si="118"/>
        <v>2025/04/01</v>
      </c>
    </row>
    <row r="1338" spans="1:39" x14ac:dyDescent="0.25">
      <c r="A1338" s="39" t="str">
        <f>("1501090122")</f>
        <v>1501090122</v>
      </c>
      <c r="B1338" s="39" t="s">
        <v>8393</v>
      </c>
      <c r="C1338" s="39"/>
      <c r="D1338" s="39" t="s">
        <v>8394</v>
      </c>
      <c r="E1338" s="371" t="str">
        <f t="shared" si="114"/>
        <v>なかもと　ともき</v>
      </c>
      <c r="F1338" s="39" t="s">
        <v>2188</v>
      </c>
      <c r="G1338" s="39" t="s">
        <v>7828</v>
      </c>
      <c r="H1338" s="39" t="str">
        <f>("2015/01/09")</f>
        <v>2015/01/09</v>
      </c>
      <c r="I1338" s="39">
        <v>5</v>
      </c>
      <c r="J1338" s="39" t="s">
        <v>1478</v>
      </c>
      <c r="K1338" s="39" t="s">
        <v>2122</v>
      </c>
      <c r="L1338" s="39" t="s">
        <v>7830</v>
      </c>
      <c r="M1338" s="39" t="s">
        <v>7831</v>
      </c>
      <c r="N1338" s="39" t="str">
        <f>("0129596")</f>
        <v>0129596</v>
      </c>
      <c r="P1338" s="39" t="s">
        <v>12809</v>
      </c>
      <c r="Q1338" s="39" t="s">
        <v>8568</v>
      </c>
      <c r="R1338" s="39" t="s">
        <v>8569</v>
      </c>
      <c r="S1338" s="39" t="s">
        <v>8570</v>
      </c>
      <c r="AK1338" s="39" t="str">
        <f>("2025/03/17")</f>
        <v>2025/03/17</v>
      </c>
      <c r="AL1338" s="39" t="str">
        <f t="shared" si="118"/>
        <v>2025/04/01</v>
      </c>
    </row>
    <row r="1339" spans="1:39" x14ac:dyDescent="0.25">
      <c r="A1339" s="39" t="str">
        <f>("1501100086")</f>
        <v>1501100086</v>
      </c>
      <c r="C1339" s="39"/>
      <c r="D1339" s="39" t="s">
        <v>8395</v>
      </c>
      <c r="E1339" s="371" t="str">
        <f t="shared" si="114"/>
        <v>あさぶき　りく</v>
      </c>
      <c r="F1339" s="39" t="s">
        <v>520</v>
      </c>
      <c r="G1339" s="39" t="s">
        <v>7828</v>
      </c>
      <c r="H1339" s="39" t="str">
        <f>("2015/01/10")</f>
        <v>2015/01/10</v>
      </c>
      <c r="I1339" s="39">
        <v>5</v>
      </c>
      <c r="J1339" s="39" t="s">
        <v>1478</v>
      </c>
      <c r="K1339" s="39" t="s">
        <v>2122</v>
      </c>
      <c r="L1339" s="39" t="s">
        <v>7830</v>
      </c>
      <c r="M1339" s="39" t="s">
        <v>7831</v>
      </c>
      <c r="N1339" s="39" t="str">
        <f>("0129765")</f>
        <v>0129765</v>
      </c>
      <c r="P1339" s="39" t="s">
        <v>12810</v>
      </c>
      <c r="Q1339" s="39" t="s">
        <v>8568</v>
      </c>
      <c r="R1339" s="39" t="s">
        <v>8569</v>
      </c>
      <c r="S1339" s="39" t="s">
        <v>8570</v>
      </c>
      <c r="AK1339" s="39" t="str">
        <f>("2025/03/17")</f>
        <v>2025/03/17</v>
      </c>
      <c r="AL1339" s="39" t="str">
        <f t="shared" si="118"/>
        <v>2025/04/01</v>
      </c>
    </row>
    <row r="1340" spans="1:39" x14ac:dyDescent="0.25">
      <c r="A1340" s="39" t="str">
        <f>("1501110078")</f>
        <v>1501110078</v>
      </c>
      <c r="B1340" s="39" t="s">
        <v>8396</v>
      </c>
      <c r="C1340" s="39"/>
      <c r="D1340" s="39" t="s">
        <v>8397</v>
      </c>
      <c r="E1340" s="371" t="str">
        <f t="shared" si="114"/>
        <v>さとう　ゆあん</v>
      </c>
      <c r="F1340" s="39" t="s">
        <v>2024</v>
      </c>
      <c r="G1340" s="39" t="s">
        <v>7876</v>
      </c>
      <c r="H1340" s="39" t="str">
        <f>("2015/01/11")</f>
        <v>2015/01/11</v>
      </c>
      <c r="I1340" s="39">
        <v>5</v>
      </c>
      <c r="J1340" s="39" t="s">
        <v>1478</v>
      </c>
      <c r="K1340" s="39" t="s">
        <v>2122</v>
      </c>
      <c r="L1340" s="39" t="s">
        <v>7830</v>
      </c>
      <c r="M1340" s="39" t="s">
        <v>7831</v>
      </c>
      <c r="N1340" s="39" t="str">
        <f>("0130475")</f>
        <v>0130475</v>
      </c>
      <c r="P1340" s="39" t="s">
        <v>12811</v>
      </c>
      <c r="Q1340" s="39" t="s">
        <v>8568</v>
      </c>
      <c r="R1340" s="39" t="s">
        <v>8569</v>
      </c>
      <c r="S1340" s="39" t="s">
        <v>8570</v>
      </c>
      <c r="AK1340" s="39" t="str">
        <f>("2025/04/04")</f>
        <v>2025/04/04</v>
      </c>
      <c r="AL1340" s="39" t="str">
        <f t="shared" si="118"/>
        <v>2025/04/01</v>
      </c>
      <c r="AM1340" s="39" t="str">
        <f>("2025/08/01")</f>
        <v>2025/08/01</v>
      </c>
    </row>
    <row r="1341" spans="1:39" x14ac:dyDescent="0.25">
      <c r="A1341" s="39" t="str">
        <f>("1501120062")</f>
        <v>1501120062</v>
      </c>
      <c r="B1341" s="39" t="s">
        <v>8398</v>
      </c>
      <c r="C1341" s="39"/>
      <c r="D1341" s="39" t="s">
        <v>5839</v>
      </c>
      <c r="E1341" s="371" t="str">
        <f t="shared" si="114"/>
        <v>あべ　おうすけ</v>
      </c>
      <c r="F1341" s="39" t="s">
        <v>2531</v>
      </c>
      <c r="G1341" s="39" t="s">
        <v>7828</v>
      </c>
      <c r="H1341" s="39" t="str">
        <f>("2015/01/12")</f>
        <v>2015/01/12</v>
      </c>
      <c r="I1341" s="39">
        <v>5</v>
      </c>
      <c r="J1341" s="39" t="s">
        <v>1478</v>
      </c>
      <c r="K1341" s="39" t="s">
        <v>2122</v>
      </c>
      <c r="L1341" s="39" t="s">
        <v>7830</v>
      </c>
      <c r="M1341" s="39" t="s">
        <v>7831</v>
      </c>
      <c r="N1341" s="39" t="str">
        <f>("0130419")</f>
        <v>0130419</v>
      </c>
      <c r="P1341" s="39" t="s">
        <v>12812</v>
      </c>
      <c r="Q1341" s="39" t="s">
        <v>8568</v>
      </c>
      <c r="R1341" s="39" t="s">
        <v>8569</v>
      </c>
      <c r="S1341" s="39" t="s">
        <v>8570</v>
      </c>
      <c r="AK1341" s="39" t="str">
        <f>("2025/03/17")</f>
        <v>2025/03/17</v>
      </c>
      <c r="AL1341" s="39" t="str">
        <f t="shared" si="118"/>
        <v>2025/04/01</v>
      </c>
    </row>
    <row r="1342" spans="1:39" x14ac:dyDescent="0.25">
      <c r="A1342" s="39" t="str">
        <f>("1501120087")</f>
        <v>1501120087</v>
      </c>
      <c r="C1342" s="39"/>
      <c r="D1342" s="39" t="s">
        <v>8399</v>
      </c>
      <c r="E1342" s="371" t="str">
        <f t="shared" si="114"/>
        <v>かとう　あお</v>
      </c>
      <c r="F1342" s="39" t="s">
        <v>2557</v>
      </c>
      <c r="G1342" s="39" t="s">
        <v>7828</v>
      </c>
      <c r="H1342" s="39" t="str">
        <f>("2015/01/12")</f>
        <v>2015/01/12</v>
      </c>
      <c r="I1342" s="39">
        <v>5</v>
      </c>
      <c r="J1342" s="39" t="s">
        <v>1478</v>
      </c>
      <c r="K1342" s="39" t="s">
        <v>2122</v>
      </c>
      <c r="L1342" s="39" t="s">
        <v>7830</v>
      </c>
      <c r="M1342" s="39" t="s">
        <v>7831</v>
      </c>
      <c r="N1342" s="39" t="str">
        <f>("0130723")</f>
        <v>0130723</v>
      </c>
      <c r="P1342" s="39" t="s">
        <v>12813</v>
      </c>
      <c r="Q1342" s="39" t="s">
        <v>8568</v>
      </c>
      <c r="R1342" s="39" t="s">
        <v>8569</v>
      </c>
      <c r="S1342" s="39" t="s">
        <v>8570</v>
      </c>
      <c r="AA1342" s="39" t="s">
        <v>2122</v>
      </c>
      <c r="AB1342" s="39" t="s">
        <v>7830</v>
      </c>
      <c r="AC1342" s="39" t="s">
        <v>7831</v>
      </c>
      <c r="AD1342" s="39" t="str">
        <f>("0426631")</f>
        <v>0426631</v>
      </c>
      <c r="AE1342" s="39" t="s">
        <v>829</v>
      </c>
      <c r="AK1342" s="39" t="str">
        <f>("2025/03/24")</f>
        <v>2025/03/24</v>
      </c>
      <c r="AL1342" s="39" t="str">
        <f t="shared" si="118"/>
        <v>2025/04/01</v>
      </c>
    </row>
    <row r="1343" spans="1:39" x14ac:dyDescent="0.25">
      <c r="A1343" s="39" t="str">
        <f>("1501130037")</f>
        <v>1501130037</v>
      </c>
      <c r="B1343" s="39" t="s">
        <v>8400</v>
      </c>
      <c r="C1343" s="39"/>
      <c r="D1343" s="39" t="s">
        <v>4378</v>
      </c>
      <c r="E1343" s="371" t="str">
        <f t="shared" si="114"/>
        <v>うえだ　まなと</v>
      </c>
      <c r="F1343" s="39" t="s">
        <v>156</v>
      </c>
      <c r="G1343" s="39" t="s">
        <v>7828</v>
      </c>
      <c r="H1343" s="39" t="str">
        <f>("2015/01/13")</f>
        <v>2015/01/13</v>
      </c>
      <c r="I1343" s="39">
        <v>5</v>
      </c>
      <c r="J1343" s="39" t="s">
        <v>1478</v>
      </c>
      <c r="K1343" s="39" t="s">
        <v>2122</v>
      </c>
      <c r="L1343" s="39" t="s">
        <v>7830</v>
      </c>
      <c r="M1343" s="39" t="s">
        <v>7831</v>
      </c>
      <c r="N1343" s="39" t="str">
        <f>("0130037")</f>
        <v>0130037</v>
      </c>
      <c r="P1343" s="39" t="s">
        <v>12814</v>
      </c>
      <c r="Q1343" s="39" t="s">
        <v>8568</v>
      </c>
      <c r="R1343" s="39" t="s">
        <v>8569</v>
      </c>
      <c r="S1343" s="39" t="s">
        <v>8570</v>
      </c>
      <c r="AK1343" s="39" t="str">
        <f>("2025/03/17")</f>
        <v>2025/03/17</v>
      </c>
      <c r="AL1343" s="39" t="str">
        <f t="shared" si="118"/>
        <v>2025/04/01</v>
      </c>
    </row>
    <row r="1344" spans="1:39" x14ac:dyDescent="0.25">
      <c r="A1344" s="39" t="str">
        <f>("1501130052")</f>
        <v>1501130052</v>
      </c>
      <c r="C1344" s="39"/>
      <c r="D1344" s="39" t="s">
        <v>8401</v>
      </c>
      <c r="E1344" s="371" t="str">
        <f t="shared" si="114"/>
        <v>さとう　えいと</v>
      </c>
      <c r="F1344" s="39" t="s">
        <v>7864</v>
      </c>
      <c r="G1344" s="39" t="s">
        <v>7876</v>
      </c>
      <c r="H1344" s="39" t="str">
        <f>("2015/01/13")</f>
        <v>2015/01/13</v>
      </c>
      <c r="I1344" s="39">
        <v>5</v>
      </c>
      <c r="J1344" s="39" t="s">
        <v>1478</v>
      </c>
      <c r="K1344" s="39" t="s">
        <v>2122</v>
      </c>
      <c r="L1344" s="39" t="s">
        <v>7830</v>
      </c>
      <c r="M1344" s="39" t="s">
        <v>7831</v>
      </c>
      <c r="N1344" s="39" t="str">
        <f>("1039801")</f>
        <v>1039801</v>
      </c>
      <c r="P1344" s="39" t="s">
        <v>12815</v>
      </c>
      <c r="Q1344" s="39" t="s">
        <v>8568</v>
      </c>
      <c r="R1344" s="39" t="s">
        <v>8569</v>
      </c>
      <c r="S1344" s="39" t="s">
        <v>8570</v>
      </c>
      <c r="AA1344" s="39" t="s">
        <v>2122</v>
      </c>
      <c r="AB1344" s="39" t="s">
        <v>7830</v>
      </c>
      <c r="AC1344" s="39" t="s">
        <v>7831</v>
      </c>
      <c r="AD1344" s="39" t="str">
        <f>("0130475")</f>
        <v>0130475</v>
      </c>
      <c r="AE1344" s="39" t="s">
        <v>2024</v>
      </c>
      <c r="AK1344" s="39" t="str">
        <f>("2025/03/24")</f>
        <v>2025/03/24</v>
      </c>
      <c r="AL1344" s="39" t="str">
        <f t="shared" si="118"/>
        <v>2025/04/01</v>
      </c>
      <c r="AM1344" s="39" t="str">
        <f>("2025/04/10")</f>
        <v>2025/04/10</v>
      </c>
    </row>
    <row r="1345" spans="1:38" x14ac:dyDescent="0.25">
      <c r="A1345" s="39" t="str">
        <f>("1501130126")</f>
        <v>1501130126</v>
      </c>
      <c r="C1345" s="39"/>
      <c r="D1345" s="39" t="s">
        <v>8402</v>
      </c>
      <c r="E1345" s="371" t="str">
        <f t="shared" si="114"/>
        <v>かい　おうせい</v>
      </c>
      <c r="F1345" s="39" t="s">
        <v>1082</v>
      </c>
      <c r="G1345" s="39" t="s">
        <v>7828</v>
      </c>
      <c r="H1345" s="39" t="str">
        <f>("2015/01/13")</f>
        <v>2015/01/13</v>
      </c>
      <c r="I1345" s="39">
        <v>5</v>
      </c>
      <c r="J1345" s="39" t="s">
        <v>1478</v>
      </c>
      <c r="K1345" s="39" t="s">
        <v>2122</v>
      </c>
      <c r="L1345" s="39" t="s">
        <v>7830</v>
      </c>
      <c r="M1345" s="39" t="s">
        <v>7831</v>
      </c>
      <c r="N1345" s="39" t="str">
        <f>("0450009")</f>
        <v>0450009</v>
      </c>
      <c r="P1345" s="39" t="s">
        <v>12816</v>
      </c>
      <c r="Q1345" s="39" t="s">
        <v>8568</v>
      </c>
      <c r="R1345" s="39" t="s">
        <v>8569</v>
      </c>
      <c r="S1345" s="39" t="s">
        <v>8570</v>
      </c>
      <c r="AK1345" s="39" t="str">
        <f>("2025/03/17")</f>
        <v>2025/03/17</v>
      </c>
      <c r="AL1345" s="39" t="str">
        <f t="shared" si="118"/>
        <v>2025/04/01</v>
      </c>
    </row>
    <row r="1346" spans="1:38" x14ac:dyDescent="0.25">
      <c r="A1346" s="39" t="str">
        <f>("1501130162")</f>
        <v>1501130162</v>
      </c>
      <c r="C1346" s="39"/>
      <c r="D1346" s="39" t="s">
        <v>6089</v>
      </c>
      <c r="E1346" s="371" t="str">
        <f t="shared" si="114"/>
        <v>くらかけ　しゅうた</v>
      </c>
      <c r="F1346" s="39" t="s">
        <v>1207</v>
      </c>
      <c r="G1346" s="39" t="s">
        <v>7828</v>
      </c>
      <c r="H1346" s="39" t="str">
        <f>("2015/01/13")</f>
        <v>2015/01/13</v>
      </c>
      <c r="I1346" s="39">
        <v>5</v>
      </c>
      <c r="J1346" s="39" t="s">
        <v>1478</v>
      </c>
      <c r="K1346" s="39" t="s">
        <v>2122</v>
      </c>
      <c r="L1346" s="39" t="s">
        <v>7830</v>
      </c>
      <c r="M1346" s="39" t="s">
        <v>7831</v>
      </c>
      <c r="N1346" s="39" t="str">
        <f>("0381608")</f>
        <v>0381608</v>
      </c>
      <c r="P1346" s="39" t="s">
        <v>12817</v>
      </c>
      <c r="Q1346" s="39" t="s">
        <v>8568</v>
      </c>
      <c r="R1346" s="39" t="s">
        <v>8569</v>
      </c>
      <c r="S1346" s="39" t="s">
        <v>8570</v>
      </c>
      <c r="AA1346" s="39" t="s">
        <v>2122</v>
      </c>
      <c r="AB1346" s="39" t="s">
        <v>7830</v>
      </c>
      <c r="AC1346" s="39" t="s">
        <v>7831</v>
      </c>
      <c r="AD1346" s="39" t="str">
        <f>("0429757")</f>
        <v>0429757</v>
      </c>
      <c r="AE1346" s="39" t="s">
        <v>2600</v>
      </c>
      <c r="AK1346" s="39" t="str">
        <f>("2025/04/23")</f>
        <v>2025/04/23</v>
      </c>
      <c r="AL1346" s="39" t="str">
        <f>("2025/04/23")</f>
        <v>2025/04/23</v>
      </c>
    </row>
    <row r="1347" spans="1:38" x14ac:dyDescent="0.25">
      <c r="A1347" s="39" t="str">
        <f>("1501140095")</f>
        <v>1501140095</v>
      </c>
      <c r="B1347" s="39" t="s">
        <v>8403</v>
      </c>
      <c r="C1347" s="39"/>
      <c r="D1347" s="39" t="s">
        <v>8404</v>
      </c>
      <c r="E1347" s="371" t="str">
        <f t="shared" ref="E1347:E1410" si="119">PHONETIC(P1347)</f>
        <v>おがわ　りおと</v>
      </c>
      <c r="F1347" s="39" t="s">
        <v>1692</v>
      </c>
      <c r="G1347" s="39" t="s">
        <v>7828</v>
      </c>
      <c r="H1347" s="39" t="str">
        <f t="shared" ref="H1347:H1353" si="120">("2015/01/14")</f>
        <v>2015/01/14</v>
      </c>
      <c r="I1347" s="39">
        <v>5</v>
      </c>
      <c r="J1347" s="39" t="s">
        <v>1478</v>
      </c>
      <c r="K1347" s="39" t="s">
        <v>2122</v>
      </c>
      <c r="L1347" s="39" t="s">
        <v>7830</v>
      </c>
      <c r="M1347" s="39" t="s">
        <v>7831</v>
      </c>
      <c r="N1347" s="39" t="str">
        <f>("1052299")</f>
        <v>1052299</v>
      </c>
      <c r="P1347" s="39" t="s">
        <v>12818</v>
      </c>
      <c r="Q1347" s="39" t="s">
        <v>8568</v>
      </c>
      <c r="R1347" s="39" t="s">
        <v>8569</v>
      </c>
      <c r="S1347" s="39" t="s">
        <v>8570</v>
      </c>
      <c r="AA1347" s="39" t="s">
        <v>2122</v>
      </c>
      <c r="AB1347" s="39" t="s">
        <v>7830</v>
      </c>
      <c r="AC1347" s="39" t="s">
        <v>7831</v>
      </c>
      <c r="AD1347" s="39" t="str">
        <f>("0129765")</f>
        <v>0129765</v>
      </c>
      <c r="AE1347" s="39" t="s">
        <v>520</v>
      </c>
      <c r="AK1347" s="39" t="str">
        <f>("2025/06/24")</f>
        <v>2025/06/24</v>
      </c>
      <c r="AL1347" s="39" t="str">
        <f>("2025/06/24")</f>
        <v>2025/06/24</v>
      </c>
    </row>
    <row r="1348" spans="1:38" x14ac:dyDescent="0.25">
      <c r="A1348" s="39" t="str">
        <f>("1501140115")</f>
        <v>1501140115</v>
      </c>
      <c r="B1348" s="39" t="s">
        <v>8405</v>
      </c>
      <c r="C1348" s="39"/>
      <c r="D1348" s="39" t="s">
        <v>8406</v>
      </c>
      <c r="E1348" s="371" t="str">
        <f t="shared" si="119"/>
        <v>まつき　こうせい</v>
      </c>
      <c r="F1348" s="39" t="s">
        <v>639</v>
      </c>
      <c r="G1348" s="39" t="s">
        <v>7828</v>
      </c>
      <c r="H1348" s="39" t="str">
        <f t="shared" si="120"/>
        <v>2015/01/14</v>
      </c>
      <c r="I1348" s="39">
        <v>5</v>
      </c>
      <c r="J1348" s="39" t="s">
        <v>1478</v>
      </c>
      <c r="K1348" s="39" t="s">
        <v>2122</v>
      </c>
      <c r="L1348" s="39" t="s">
        <v>7830</v>
      </c>
      <c r="M1348" s="39" t="s">
        <v>7831</v>
      </c>
      <c r="N1348" s="39" t="str">
        <f>("0130633")</f>
        <v>0130633</v>
      </c>
      <c r="P1348" s="39" t="s">
        <v>12819</v>
      </c>
      <c r="Q1348" s="39" t="s">
        <v>8568</v>
      </c>
      <c r="R1348" s="39" t="s">
        <v>8569</v>
      </c>
      <c r="S1348" s="39" t="s">
        <v>8570</v>
      </c>
      <c r="AK1348" s="39" t="str">
        <f>("2025/03/17")</f>
        <v>2025/03/17</v>
      </c>
      <c r="AL1348" s="39" t="str">
        <f t="shared" ref="AL1348:AL1370" si="121">("2025/04/01")</f>
        <v>2025/04/01</v>
      </c>
    </row>
    <row r="1349" spans="1:38" x14ac:dyDescent="0.25">
      <c r="A1349" s="39" t="str">
        <f>("1501140204")</f>
        <v>1501140204</v>
      </c>
      <c r="C1349" s="39"/>
      <c r="D1349" s="39" t="s">
        <v>8407</v>
      </c>
      <c r="E1349" s="371" t="str">
        <f t="shared" si="119"/>
        <v>かわの　けんや</v>
      </c>
      <c r="F1349" s="39" t="s">
        <v>1082</v>
      </c>
      <c r="G1349" s="39" t="s">
        <v>7828</v>
      </c>
      <c r="H1349" s="39" t="str">
        <f t="shared" si="120"/>
        <v>2015/01/14</v>
      </c>
      <c r="I1349" s="39">
        <v>5</v>
      </c>
      <c r="J1349" s="39" t="s">
        <v>1478</v>
      </c>
      <c r="K1349" s="39" t="s">
        <v>2122</v>
      </c>
      <c r="L1349" s="39" t="s">
        <v>7830</v>
      </c>
      <c r="M1349" s="39" t="s">
        <v>7831</v>
      </c>
      <c r="N1349" s="39" t="str">
        <f>("0450009")</f>
        <v>0450009</v>
      </c>
      <c r="P1349" s="39" t="s">
        <v>12820</v>
      </c>
      <c r="Q1349" s="39" t="s">
        <v>8568</v>
      </c>
      <c r="R1349" s="39" t="s">
        <v>8569</v>
      </c>
      <c r="S1349" s="39" t="s">
        <v>8570</v>
      </c>
      <c r="AK1349" s="39" t="str">
        <f>("2025/03/17")</f>
        <v>2025/03/17</v>
      </c>
      <c r="AL1349" s="39" t="str">
        <f t="shared" si="121"/>
        <v>2025/04/01</v>
      </c>
    </row>
    <row r="1350" spans="1:38" x14ac:dyDescent="0.25">
      <c r="A1350" s="39" t="str">
        <f>("1501140232")</f>
        <v>1501140232</v>
      </c>
      <c r="C1350" s="39"/>
      <c r="D1350" s="39" t="s">
        <v>8408</v>
      </c>
      <c r="E1350" s="371" t="str">
        <f t="shared" si="119"/>
        <v>こばやし　はると</v>
      </c>
      <c r="F1350" s="39" t="s">
        <v>2342</v>
      </c>
      <c r="G1350" s="39" t="s">
        <v>7828</v>
      </c>
      <c r="H1350" s="39" t="str">
        <f t="shared" si="120"/>
        <v>2015/01/14</v>
      </c>
      <c r="I1350" s="39">
        <v>5</v>
      </c>
      <c r="J1350" s="39" t="s">
        <v>1478</v>
      </c>
      <c r="K1350" s="39" t="s">
        <v>2122</v>
      </c>
      <c r="L1350" s="39" t="s">
        <v>7830</v>
      </c>
      <c r="M1350" s="39" t="s">
        <v>7831</v>
      </c>
      <c r="N1350" s="39" t="str">
        <f>("0130307")</f>
        <v>0130307</v>
      </c>
      <c r="P1350" s="39" t="s">
        <v>12821</v>
      </c>
      <c r="Q1350" s="39" t="s">
        <v>8568</v>
      </c>
      <c r="R1350" s="39" t="s">
        <v>8569</v>
      </c>
      <c r="S1350" s="39" t="s">
        <v>8570</v>
      </c>
      <c r="AK1350" s="39" t="str">
        <f>("2025/03/17")</f>
        <v>2025/03/17</v>
      </c>
      <c r="AL1350" s="39" t="str">
        <f t="shared" si="121"/>
        <v>2025/04/01</v>
      </c>
    </row>
    <row r="1351" spans="1:38" x14ac:dyDescent="0.25">
      <c r="A1351" s="39" t="str">
        <f>("1501140236")</f>
        <v>1501140236</v>
      </c>
      <c r="C1351" s="39"/>
      <c r="D1351" s="39" t="s">
        <v>8409</v>
      </c>
      <c r="E1351" s="371" t="str">
        <f t="shared" si="119"/>
        <v>やまむら　たいが</v>
      </c>
      <c r="F1351" s="39" t="s">
        <v>8135</v>
      </c>
      <c r="G1351" s="39" t="s">
        <v>7828</v>
      </c>
      <c r="H1351" s="39" t="str">
        <f t="shared" si="120"/>
        <v>2015/01/14</v>
      </c>
      <c r="I1351" s="39">
        <v>5</v>
      </c>
      <c r="J1351" s="39" t="s">
        <v>1478</v>
      </c>
      <c r="K1351" s="39" t="s">
        <v>2122</v>
      </c>
      <c r="L1351" s="39" t="s">
        <v>7830</v>
      </c>
      <c r="M1351" s="39" t="s">
        <v>7831</v>
      </c>
      <c r="N1351" s="39" t="str">
        <f>("0475567")</f>
        <v>0475567</v>
      </c>
      <c r="P1351" s="39" t="s">
        <v>12822</v>
      </c>
      <c r="Q1351" s="39" t="s">
        <v>8568</v>
      </c>
      <c r="R1351" s="39" t="s">
        <v>8569</v>
      </c>
      <c r="S1351" s="39" t="s">
        <v>8570</v>
      </c>
      <c r="AK1351" s="39" t="str">
        <f>("2025/03/24")</f>
        <v>2025/03/24</v>
      </c>
      <c r="AL1351" s="39" t="str">
        <f t="shared" si="121"/>
        <v>2025/04/01</v>
      </c>
    </row>
    <row r="1352" spans="1:38" x14ac:dyDescent="0.25">
      <c r="A1352" s="39" t="str">
        <f>("1501140237")</f>
        <v>1501140237</v>
      </c>
      <c r="C1352" s="39"/>
      <c r="D1352" s="39" t="s">
        <v>8410</v>
      </c>
      <c r="E1352" s="371" t="str">
        <f t="shared" si="119"/>
        <v>つねなり　はる</v>
      </c>
      <c r="F1352" s="39" t="s">
        <v>1692</v>
      </c>
      <c r="G1352" s="39" t="s">
        <v>7828</v>
      </c>
      <c r="H1352" s="39" t="str">
        <f t="shared" si="120"/>
        <v>2015/01/14</v>
      </c>
      <c r="I1352" s="39">
        <v>5</v>
      </c>
      <c r="J1352" s="39" t="s">
        <v>1478</v>
      </c>
      <c r="K1352" s="39" t="s">
        <v>2122</v>
      </c>
      <c r="L1352" s="39" t="s">
        <v>7830</v>
      </c>
      <c r="M1352" s="39" t="s">
        <v>7831</v>
      </c>
      <c r="N1352" s="39" t="str">
        <f>("1052299")</f>
        <v>1052299</v>
      </c>
      <c r="P1352" s="39" t="s">
        <v>12823</v>
      </c>
      <c r="Q1352" s="39" t="s">
        <v>8568</v>
      </c>
      <c r="R1352" s="39" t="s">
        <v>8569</v>
      </c>
      <c r="S1352" s="39" t="s">
        <v>8570</v>
      </c>
      <c r="AK1352" s="39" t="str">
        <f>("2025/03/17")</f>
        <v>2025/03/17</v>
      </c>
      <c r="AL1352" s="39" t="str">
        <f t="shared" si="121"/>
        <v>2025/04/01</v>
      </c>
    </row>
    <row r="1353" spans="1:38" x14ac:dyDescent="0.25">
      <c r="A1353" s="39" t="str">
        <f>("1501140238")</f>
        <v>1501140238</v>
      </c>
      <c r="C1353" s="39"/>
      <c r="D1353" s="39" t="s">
        <v>8411</v>
      </c>
      <c r="E1353" s="371" t="str">
        <f t="shared" si="119"/>
        <v>ますはら　ひなた</v>
      </c>
      <c r="F1353" s="39" t="s">
        <v>1692</v>
      </c>
      <c r="G1353" s="39" t="s">
        <v>7828</v>
      </c>
      <c r="H1353" s="39" t="str">
        <f t="shared" si="120"/>
        <v>2015/01/14</v>
      </c>
      <c r="I1353" s="39">
        <v>5</v>
      </c>
      <c r="J1353" s="39" t="s">
        <v>1478</v>
      </c>
      <c r="K1353" s="39" t="s">
        <v>2122</v>
      </c>
      <c r="L1353" s="39" t="s">
        <v>7830</v>
      </c>
      <c r="M1353" s="39" t="s">
        <v>7831</v>
      </c>
      <c r="N1353" s="39" t="str">
        <f>("1052299")</f>
        <v>1052299</v>
      </c>
      <c r="P1353" s="39" t="s">
        <v>12824</v>
      </c>
      <c r="Q1353" s="39" t="s">
        <v>8568</v>
      </c>
      <c r="R1353" s="39" t="s">
        <v>8569</v>
      </c>
      <c r="S1353" s="39" t="s">
        <v>8570</v>
      </c>
      <c r="AK1353" s="39" t="str">
        <f>("2025/03/17")</f>
        <v>2025/03/17</v>
      </c>
      <c r="AL1353" s="39" t="str">
        <f t="shared" si="121"/>
        <v>2025/04/01</v>
      </c>
    </row>
    <row r="1354" spans="1:38" x14ac:dyDescent="0.25">
      <c r="A1354" s="39" t="str">
        <f>("1501150058")</f>
        <v>1501150058</v>
      </c>
      <c r="B1354" s="39" t="s">
        <v>8412</v>
      </c>
      <c r="C1354" s="39"/>
      <c r="D1354" s="39" t="s">
        <v>8413</v>
      </c>
      <c r="E1354" s="371" t="str">
        <f t="shared" si="119"/>
        <v>いわた　まさき</v>
      </c>
      <c r="F1354" s="39" t="s">
        <v>1190</v>
      </c>
      <c r="G1354" s="39" t="s">
        <v>7828</v>
      </c>
      <c r="H1354" s="39" t="str">
        <f t="shared" ref="H1354:H1359" si="122">("2015/01/15")</f>
        <v>2015/01/15</v>
      </c>
      <c r="I1354" s="39">
        <v>5</v>
      </c>
      <c r="J1354" s="39" t="s">
        <v>1478</v>
      </c>
      <c r="K1354" s="39" t="s">
        <v>2122</v>
      </c>
      <c r="L1354" s="39" t="s">
        <v>7830</v>
      </c>
      <c r="M1354" s="39" t="s">
        <v>7831</v>
      </c>
      <c r="N1354" s="39" t="str">
        <f>("0130554")</f>
        <v>0130554</v>
      </c>
      <c r="P1354" s="39" t="s">
        <v>12825</v>
      </c>
      <c r="Q1354" s="39" t="s">
        <v>8568</v>
      </c>
      <c r="R1354" s="39" t="s">
        <v>8569</v>
      </c>
      <c r="S1354" s="39" t="s">
        <v>8570</v>
      </c>
      <c r="AK1354" s="39" t="str">
        <f>("2025/03/17")</f>
        <v>2025/03/17</v>
      </c>
      <c r="AL1354" s="39" t="str">
        <f t="shared" si="121"/>
        <v>2025/04/01</v>
      </c>
    </row>
    <row r="1355" spans="1:38" x14ac:dyDescent="0.25">
      <c r="A1355" s="39" t="str">
        <f>("1501150133")</f>
        <v>1501150133</v>
      </c>
      <c r="C1355" s="39"/>
      <c r="D1355" s="39" t="s">
        <v>8414</v>
      </c>
      <c r="E1355" s="371" t="str">
        <f t="shared" si="119"/>
        <v>さくらぎ　ろく</v>
      </c>
      <c r="F1355" s="39" t="s">
        <v>1968</v>
      </c>
      <c r="G1355" s="39" t="s">
        <v>7828</v>
      </c>
      <c r="H1355" s="39" t="str">
        <f t="shared" si="122"/>
        <v>2015/01/15</v>
      </c>
      <c r="I1355" s="39">
        <v>5</v>
      </c>
      <c r="J1355" s="39" t="s">
        <v>1478</v>
      </c>
      <c r="K1355" s="39" t="s">
        <v>2122</v>
      </c>
      <c r="L1355" s="39" t="s">
        <v>7830</v>
      </c>
      <c r="M1355" s="39" t="s">
        <v>7831</v>
      </c>
      <c r="N1355" s="39" t="str">
        <f>("0129507")</f>
        <v>0129507</v>
      </c>
      <c r="P1355" s="39" t="s">
        <v>12826</v>
      </c>
      <c r="Q1355" s="39" t="s">
        <v>8568</v>
      </c>
      <c r="R1355" s="39" t="s">
        <v>8569</v>
      </c>
      <c r="S1355" s="39" t="s">
        <v>8570</v>
      </c>
      <c r="AK1355" s="39" t="str">
        <f>("2025/03/17")</f>
        <v>2025/03/17</v>
      </c>
      <c r="AL1355" s="39" t="str">
        <f t="shared" si="121"/>
        <v>2025/04/01</v>
      </c>
    </row>
    <row r="1356" spans="1:38" x14ac:dyDescent="0.25">
      <c r="A1356" s="39" t="str">
        <f>("1501150134")</f>
        <v>1501150134</v>
      </c>
      <c r="C1356" s="39"/>
      <c r="D1356" s="39" t="s">
        <v>8415</v>
      </c>
      <c r="E1356" s="371" t="str">
        <f t="shared" si="119"/>
        <v>たなか　あかり</v>
      </c>
      <c r="F1356" s="39" t="s">
        <v>1968</v>
      </c>
      <c r="G1356" s="39" t="s">
        <v>7828</v>
      </c>
      <c r="H1356" s="39" t="str">
        <f t="shared" si="122"/>
        <v>2015/01/15</v>
      </c>
      <c r="I1356" s="39">
        <v>5</v>
      </c>
      <c r="J1356" s="39" t="s">
        <v>1478</v>
      </c>
      <c r="K1356" s="39" t="s">
        <v>2122</v>
      </c>
      <c r="L1356" s="39" t="s">
        <v>7830</v>
      </c>
      <c r="M1356" s="39" t="s">
        <v>7831</v>
      </c>
      <c r="N1356" s="39" t="str">
        <f>("0129507")</f>
        <v>0129507</v>
      </c>
      <c r="P1356" s="39" t="s">
        <v>12827</v>
      </c>
      <c r="Q1356" s="39" t="s">
        <v>8568</v>
      </c>
      <c r="R1356" s="39" t="s">
        <v>8569</v>
      </c>
      <c r="S1356" s="39" t="s">
        <v>8570</v>
      </c>
      <c r="AK1356" s="39" t="str">
        <f>("2025/03/17")</f>
        <v>2025/03/17</v>
      </c>
      <c r="AL1356" s="39" t="str">
        <f t="shared" si="121"/>
        <v>2025/04/01</v>
      </c>
    </row>
    <row r="1357" spans="1:38" x14ac:dyDescent="0.25">
      <c r="A1357" s="39" t="str">
        <f>("1501150155")</f>
        <v>1501150155</v>
      </c>
      <c r="C1357" s="39"/>
      <c r="D1357" s="39" t="s">
        <v>8416</v>
      </c>
      <c r="E1357" s="371" t="str">
        <f t="shared" si="119"/>
        <v>みたらい　ゆう</v>
      </c>
      <c r="F1357" s="39" t="s">
        <v>2587</v>
      </c>
      <c r="G1357" s="39" t="s">
        <v>7828</v>
      </c>
      <c r="H1357" s="39" t="str">
        <f t="shared" si="122"/>
        <v>2015/01/15</v>
      </c>
      <c r="I1357" s="39">
        <v>5</v>
      </c>
      <c r="J1357" s="39" t="s">
        <v>1478</v>
      </c>
      <c r="K1357" s="39" t="s">
        <v>2122</v>
      </c>
      <c r="L1357" s="39" t="s">
        <v>7830</v>
      </c>
      <c r="M1357" s="39" t="s">
        <v>7831</v>
      </c>
      <c r="N1357" s="39" t="str">
        <f>("0387334")</f>
        <v>0387334</v>
      </c>
      <c r="P1357" s="39" t="s">
        <v>12828</v>
      </c>
      <c r="Q1357" s="39" t="s">
        <v>8568</v>
      </c>
      <c r="R1357" s="39" t="s">
        <v>8569</v>
      </c>
      <c r="S1357" s="39" t="s">
        <v>8570</v>
      </c>
      <c r="AK1357" s="39" t="str">
        <f>("2025/03/27")</f>
        <v>2025/03/27</v>
      </c>
      <c r="AL1357" s="39" t="str">
        <f t="shared" si="121"/>
        <v>2025/04/01</v>
      </c>
    </row>
    <row r="1358" spans="1:38" x14ac:dyDescent="0.25">
      <c r="A1358" s="39" t="str">
        <f>("1501150180")</f>
        <v>1501150180</v>
      </c>
      <c r="C1358" s="39"/>
      <c r="D1358" s="39" t="s">
        <v>6291</v>
      </c>
      <c r="E1358" s="371" t="str">
        <f t="shared" si="119"/>
        <v>はまぐち　はるま</v>
      </c>
      <c r="F1358" s="39" t="s">
        <v>5621</v>
      </c>
      <c r="G1358" s="39" t="s">
        <v>7828</v>
      </c>
      <c r="H1358" s="39" t="str">
        <f t="shared" si="122"/>
        <v>2015/01/15</v>
      </c>
      <c r="I1358" s="39">
        <v>5</v>
      </c>
      <c r="J1358" s="39" t="s">
        <v>1478</v>
      </c>
      <c r="K1358" s="39" t="s">
        <v>2122</v>
      </c>
      <c r="L1358" s="39" t="s">
        <v>7830</v>
      </c>
      <c r="M1358" s="39" t="s">
        <v>7831</v>
      </c>
      <c r="N1358" s="39" t="str">
        <f>("1110654")</f>
        <v>1110654</v>
      </c>
      <c r="P1358" s="39" t="s">
        <v>12829</v>
      </c>
      <c r="Q1358" s="39" t="s">
        <v>8568</v>
      </c>
      <c r="R1358" s="39" t="s">
        <v>8569</v>
      </c>
      <c r="S1358" s="39" t="s">
        <v>8570</v>
      </c>
      <c r="AA1358" s="39" t="s">
        <v>2122</v>
      </c>
      <c r="AB1358" s="39" t="s">
        <v>7830</v>
      </c>
      <c r="AC1358" s="39" t="s">
        <v>7831</v>
      </c>
      <c r="AD1358" s="39" t="str">
        <f>("0456892")</f>
        <v>0456892</v>
      </c>
      <c r="AE1358" s="39" t="s">
        <v>2615</v>
      </c>
      <c r="AK1358" s="39" t="str">
        <f>("2025/03/03")</f>
        <v>2025/03/03</v>
      </c>
      <c r="AL1358" s="39" t="str">
        <f t="shared" si="121"/>
        <v>2025/04/01</v>
      </c>
    </row>
    <row r="1359" spans="1:38" x14ac:dyDescent="0.25">
      <c r="A1359" s="39" t="str">
        <f>("1501150205")</f>
        <v>1501150205</v>
      </c>
      <c r="C1359" s="39"/>
      <c r="D1359" s="39" t="s">
        <v>5752</v>
      </c>
      <c r="E1359" s="371" t="str">
        <f t="shared" si="119"/>
        <v>かわぐち　そうま</v>
      </c>
      <c r="F1359" s="39" t="s">
        <v>2023</v>
      </c>
      <c r="G1359" s="39" t="s">
        <v>7828</v>
      </c>
      <c r="H1359" s="39" t="str">
        <f t="shared" si="122"/>
        <v>2015/01/15</v>
      </c>
      <c r="I1359" s="39">
        <v>5</v>
      </c>
      <c r="J1359" s="39" t="s">
        <v>1478</v>
      </c>
      <c r="K1359" s="39" t="s">
        <v>2122</v>
      </c>
      <c r="L1359" s="39" t="s">
        <v>7830</v>
      </c>
      <c r="M1359" s="39" t="s">
        <v>7831</v>
      </c>
      <c r="N1359" s="39" t="str">
        <f>("0129967")</f>
        <v>0129967</v>
      </c>
      <c r="P1359" s="39" t="s">
        <v>12830</v>
      </c>
      <c r="Q1359" s="39" t="s">
        <v>8568</v>
      </c>
      <c r="R1359" s="39" t="s">
        <v>8569</v>
      </c>
      <c r="S1359" s="39" t="s">
        <v>8570</v>
      </c>
      <c r="AK1359" s="39" t="str">
        <f>("2025/03/17")</f>
        <v>2025/03/17</v>
      </c>
      <c r="AL1359" s="39" t="str">
        <f t="shared" si="121"/>
        <v>2025/04/01</v>
      </c>
    </row>
    <row r="1360" spans="1:38" x14ac:dyDescent="0.25">
      <c r="A1360" s="39" t="str">
        <f>("1501190027")</f>
        <v>1501190027</v>
      </c>
      <c r="B1360" s="39" t="s">
        <v>8417</v>
      </c>
      <c r="C1360" s="39"/>
      <c r="D1360" s="39" t="s">
        <v>5627</v>
      </c>
      <c r="E1360" s="371" t="str">
        <f t="shared" si="119"/>
        <v>うの　たいせい</v>
      </c>
      <c r="F1360" s="39" t="s">
        <v>2469</v>
      </c>
      <c r="G1360" s="39" t="s">
        <v>7828</v>
      </c>
      <c r="H1360" s="39" t="str">
        <f>("2015/01/19")</f>
        <v>2015/01/19</v>
      </c>
      <c r="I1360" s="39">
        <v>5</v>
      </c>
      <c r="J1360" s="39" t="s">
        <v>1478</v>
      </c>
      <c r="K1360" s="39" t="s">
        <v>2122</v>
      </c>
      <c r="L1360" s="39" t="s">
        <v>7830</v>
      </c>
      <c r="M1360" s="39" t="s">
        <v>7831</v>
      </c>
      <c r="N1360" s="39" t="str">
        <f>("0129462")</f>
        <v>0129462</v>
      </c>
      <c r="P1360" s="39" t="s">
        <v>12831</v>
      </c>
      <c r="Q1360" s="39" t="s">
        <v>8568</v>
      </c>
      <c r="R1360" s="39" t="s">
        <v>8569</v>
      </c>
      <c r="S1360" s="39" t="s">
        <v>8570</v>
      </c>
      <c r="AK1360" s="39" t="str">
        <f>("2025/03/21")</f>
        <v>2025/03/21</v>
      </c>
      <c r="AL1360" s="39" t="str">
        <f t="shared" si="121"/>
        <v>2025/04/01</v>
      </c>
    </row>
    <row r="1361" spans="1:39" x14ac:dyDescent="0.25">
      <c r="A1361" s="39" t="str">
        <f>("1501200058")</f>
        <v>1501200058</v>
      </c>
      <c r="B1361" s="39" t="s">
        <v>8418</v>
      </c>
      <c r="C1361" s="39"/>
      <c r="D1361" s="39" t="s">
        <v>8419</v>
      </c>
      <c r="E1361" s="371" t="str">
        <f t="shared" si="119"/>
        <v>むらまつ　えいた</v>
      </c>
      <c r="F1361" s="39" t="s">
        <v>1330</v>
      </c>
      <c r="G1361" s="39" t="s">
        <v>7828</v>
      </c>
      <c r="H1361" s="39" t="str">
        <f>("2015/01/20")</f>
        <v>2015/01/20</v>
      </c>
      <c r="I1361" s="39">
        <v>5</v>
      </c>
      <c r="J1361" s="39" t="s">
        <v>1478</v>
      </c>
      <c r="K1361" s="39" t="s">
        <v>2122</v>
      </c>
      <c r="L1361" s="39" t="s">
        <v>7830</v>
      </c>
      <c r="M1361" s="39" t="s">
        <v>7831</v>
      </c>
      <c r="N1361" s="39" t="str">
        <f>("0130598")</f>
        <v>0130598</v>
      </c>
      <c r="P1361" s="39" t="s">
        <v>12832</v>
      </c>
      <c r="Q1361" s="39" t="s">
        <v>8568</v>
      </c>
      <c r="R1361" s="39" t="s">
        <v>8569</v>
      </c>
      <c r="S1361" s="39" t="s">
        <v>8570</v>
      </c>
      <c r="AK1361" s="39" t="str">
        <f>("2025/03/17")</f>
        <v>2025/03/17</v>
      </c>
      <c r="AL1361" s="39" t="str">
        <f t="shared" si="121"/>
        <v>2025/04/01</v>
      </c>
    </row>
    <row r="1362" spans="1:39" x14ac:dyDescent="0.25">
      <c r="A1362" s="39" t="str">
        <f>("1501200174")</f>
        <v>1501200174</v>
      </c>
      <c r="C1362" s="39"/>
      <c r="D1362" s="39" t="s">
        <v>6137</v>
      </c>
      <c r="E1362" s="371" t="str">
        <f t="shared" si="119"/>
        <v>かめい　りょうま</v>
      </c>
      <c r="F1362" s="39" t="s">
        <v>1082</v>
      </c>
      <c r="G1362" s="39" t="s">
        <v>7828</v>
      </c>
      <c r="H1362" s="39" t="str">
        <f>("2015/01/20")</f>
        <v>2015/01/20</v>
      </c>
      <c r="I1362" s="39">
        <v>5</v>
      </c>
      <c r="J1362" s="39" t="s">
        <v>1478</v>
      </c>
      <c r="K1362" s="39" t="s">
        <v>2122</v>
      </c>
      <c r="L1362" s="39" t="s">
        <v>7830</v>
      </c>
      <c r="M1362" s="39" t="s">
        <v>7831</v>
      </c>
      <c r="N1362" s="39" t="str">
        <f>("0450009")</f>
        <v>0450009</v>
      </c>
      <c r="P1362" s="39" t="s">
        <v>12833</v>
      </c>
      <c r="Q1362" s="39" t="s">
        <v>8568</v>
      </c>
      <c r="R1362" s="39" t="s">
        <v>8569</v>
      </c>
      <c r="S1362" s="39" t="s">
        <v>8570</v>
      </c>
      <c r="AK1362" s="39" t="str">
        <f>("2025/03/17")</f>
        <v>2025/03/17</v>
      </c>
      <c r="AL1362" s="39" t="str">
        <f t="shared" si="121"/>
        <v>2025/04/01</v>
      </c>
    </row>
    <row r="1363" spans="1:39" x14ac:dyDescent="0.25">
      <c r="A1363" s="39" t="str">
        <f>("1501210019")</f>
        <v>1501210019</v>
      </c>
      <c r="B1363" s="39" t="s">
        <v>8420</v>
      </c>
      <c r="C1363" s="39"/>
      <c r="D1363" s="39" t="s">
        <v>6174</v>
      </c>
      <c r="E1363" s="371" t="str">
        <f t="shared" si="119"/>
        <v>いとなが　けんと</v>
      </c>
      <c r="F1363" s="39" t="s">
        <v>2156</v>
      </c>
      <c r="G1363" s="39" t="s">
        <v>7828</v>
      </c>
      <c r="H1363" s="39" t="str">
        <f>("2015/01/21")</f>
        <v>2015/01/21</v>
      </c>
      <c r="I1363" s="39">
        <v>5</v>
      </c>
      <c r="J1363" s="39" t="s">
        <v>1478</v>
      </c>
      <c r="K1363" s="39" t="s">
        <v>2122</v>
      </c>
      <c r="L1363" s="39" t="s">
        <v>7830</v>
      </c>
      <c r="M1363" s="39" t="s">
        <v>7831</v>
      </c>
      <c r="N1363" s="39" t="str">
        <f>("0493040")</f>
        <v>0493040</v>
      </c>
      <c r="P1363" s="39" t="s">
        <v>12834</v>
      </c>
      <c r="Q1363" s="39" t="s">
        <v>8568</v>
      </c>
      <c r="R1363" s="39" t="s">
        <v>8569</v>
      </c>
      <c r="S1363" s="39" t="s">
        <v>8570</v>
      </c>
      <c r="AK1363" s="39" t="str">
        <f>("2025/03/17")</f>
        <v>2025/03/17</v>
      </c>
      <c r="AL1363" s="39" t="str">
        <f t="shared" si="121"/>
        <v>2025/04/01</v>
      </c>
    </row>
    <row r="1364" spans="1:39" x14ac:dyDescent="0.25">
      <c r="A1364" s="39" t="str">
        <f>("1501210055")</f>
        <v>1501210055</v>
      </c>
      <c r="B1364" s="39" t="s">
        <v>8421</v>
      </c>
      <c r="C1364" s="39"/>
      <c r="D1364" s="39" t="s">
        <v>5687</v>
      </c>
      <c r="E1364" s="371" t="str">
        <f t="shared" si="119"/>
        <v>ふじもと　りゅうのすけ</v>
      </c>
      <c r="F1364" s="39" t="s">
        <v>5615</v>
      </c>
      <c r="G1364" s="39" t="s">
        <v>7828</v>
      </c>
      <c r="H1364" s="39" t="str">
        <f>("2015/01/21")</f>
        <v>2015/01/21</v>
      </c>
      <c r="I1364" s="39">
        <v>5</v>
      </c>
      <c r="J1364" s="39" t="s">
        <v>1478</v>
      </c>
      <c r="K1364" s="39" t="s">
        <v>2122</v>
      </c>
      <c r="L1364" s="39" t="s">
        <v>7830</v>
      </c>
      <c r="M1364" s="39" t="s">
        <v>7831</v>
      </c>
      <c r="N1364" s="39" t="str">
        <f>("0129642")</f>
        <v>0129642</v>
      </c>
      <c r="P1364" s="39" t="s">
        <v>12835</v>
      </c>
      <c r="Q1364" s="39" t="s">
        <v>8568</v>
      </c>
      <c r="R1364" s="39" t="s">
        <v>8569</v>
      </c>
      <c r="S1364" s="39" t="s">
        <v>8570</v>
      </c>
      <c r="AK1364" s="39" t="str">
        <f>("2025/03/24")</f>
        <v>2025/03/24</v>
      </c>
      <c r="AL1364" s="39" t="str">
        <f t="shared" si="121"/>
        <v>2025/04/01</v>
      </c>
    </row>
    <row r="1365" spans="1:39" x14ac:dyDescent="0.25">
      <c r="A1365" s="39" t="str">
        <f>("1501220066")</f>
        <v>1501220066</v>
      </c>
      <c r="C1365" s="39"/>
      <c r="D1365" s="39" t="s">
        <v>8422</v>
      </c>
      <c r="E1365" s="371" t="str">
        <f t="shared" si="119"/>
        <v>かい　ななと</v>
      </c>
      <c r="F1365" s="39" t="s">
        <v>2619</v>
      </c>
      <c r="G1365" s="39" t="s">
        <v>7828</v>
      </c>
      <c r="H1365" s="39" t="str">
        <f>("2015/01/22")</f>
        <v>2015/01/22</v>
      </c>
      <c r="I1365" s="39">
        <v>5</v>
      </c>
      <c r="J1365" s="39" t="s">
        <v>1478</v>
      </c>
      <c r="K1365" s="39" t="s">
        <v>2122</v>
      </c>
      <c r="L1365" s="39" t="s">
        <v>7830</v>
      </c>
      <c r="M1365" s="39" t="s">
        <v>7831</v>
      </c>
      <c r="N1365" s="39" t="str">
        <f>("0472823")</f>
        <v>0472823</v>
      </c>
      <c r="P1365" s="39" t="s">
        <v>12836</v>
      </c>
      <c r="Q1365" s="39" t="s">
        <v>8568</v>
      </c>
      <c r="R1365" s="39" t="s">
        <v>8569</v>
      </c>
      <c r="S1365" s="39" t="s">
        <v>8570</v>
      </c>
      <c r="AK1365" s="39" t="str">
        <f>("2025/03/17")</f>
        <v>2025/03/17</v>
      </c>
      <c r="AL1365" s="39" t="str">
        <f t="shared" si="121"/>
        <v>2025/04/01</v>
      </c>
    </row>
    <row r="1366" spans="1:39" x14ac:dyDescent="0.25">
      <c r="A1366" s="39" t="str">
        <f>("1501230124")</f>
        <v>1501230124</v>
      </c>
      <c r="B1366" s="39" t="s">
        <v>8423</v>
      </c>
      <c r="C1366" s="39"/>
      <c r="D1366" s="39" t="s">
        <v>8424</v>
      </c>
      <c r="E1366" s="371" t="str">
        <f t="shared" si="119"/>
        <v>おはら　きっぺい</v>
      </c>
      <c r="F1366" s="39" t="s">
        <v>1344</v>
      </c>
      <c r="G1366" s="39" t="s">
        <v>7828</v>
      </c>
      <c r="H1366" s="39" t="str">
        <f>("2015/01/23")</f>
        <v>2015/01/23</v>
      </c>
      <c r="I1366" s="39">
        <v>5</v>
      </c>
      <c r="J1366" s="39" t="s">
        <v>1478</v>
      </c>
      <c r="K1366" s="39" t="s">
        <v>2122</v>
      </c>
      <c r="L1366" s="39" t="s">
        <v>7830</v>
      </c>
      <c r="M1366" s="39" t="s">
        <v>7831</v>
      </c>
      <c r="N1366" s="39" t="str">
        <f>("0130587")</f>
        <v>0130587</v>
      </c>
      <c r="P1366" s="39" t="s">
        <v>12837</v>
      </c>
      <c r="Q1366" s="39" t="s">
        <v>8568</v>
      </c>
      <c r="R1366" s="39" t="s">
        <v>8569</v>
      </c>
      <c r="S1366" s="39" t="s">
        <v>8570</v>
      </c>
      <c r="AK1366" s="39" t="str">
        <f>("2025/03/17")</f>
        <v>2025/03/17</v>
      </c>
      <c r="AL1366" s="39" t="str">
        <f t="shared" si="121"/>
        <v>2025/04/01</v>
      </c>
    </row>
    <row r="1367" spans="1:39" x14ac:dyDescent="0.25">
      <c r="A1367" s="39" t="str">
        <f>("1501230187")</f>
        <v>1501230187</v>
      </c>
      <c r="C1367" s="39"/>
      <c r="D1367" s="39" t="s">
        <v>8425</v>
      </c>
      <c r="E1367" s="371" t="str">
        <f t="shared" si="119"/>
        <v>ふくざわ　かえで</v>
      </c>
      <c r="F1367" s="39" t="s">
        <v>684</v>
      </c>
      <c r="G1367" s="39" t="s">
        <v>7828</v>
      </c>
      <c r="H1367" s="39" t="str">
        <f>("2015/01/23")</f>
        <v>2015/01/23</v>
      </c>
      <c r="I1367" s="39">
        <v>5</v>
      </c>
      <c r="J1367" s="39" t="s">
        <v>1478</v>
      </c>
      <c r="K1367" s="39" t="s">
        <v>2122</v>
      </c>
      <c r="L1367" s="39" t="s">
        <v>7830</v>
      </c>
      <c r="M1367" s="39" t="s">
        <v>7831</v>
      </c>
      <c r="N1367" s="39" t="str">
        <f>("0129518")</f>
        <v>0129518</v>
      </c>
      <c r="P1367" s="39" t="s">
        <v>12838</v>
      </c>
      <c r="Q1367" s="39" t="s">
        <v>8568</v>
      </c>
      <c r="R1367" s="39" t="s">
        <v>8569</v>
      </c>
      <c r="S1367" s="39" t="s">
        <v>8570</v>
      </c>
      <c r="AK1367" s="39" t="str">
        <f>("2025/03/17")</f>
        <v>2025/03/17</v>
      </c>
      <c r="AL1367" s="39" t="str">
        <f t="shared" si="121"/>
        <v>2025/04/01</v>
      </c>
    </row>
    <row r="1368" spans="1:39" x14ac:dyDescent="0.25">
      <c r="A1368" s="39" t="str">
        <f>("1501240137")</f>
        <v>1501240137</v>
      </c>
      <c r="C1368" s="39"/>
      <c r="D1368" s="39" t="s">
        <v>5718</v>
      </c>
      <c r="E1368" s="371" t="str">
        <f t="shared" si="119"/>
        <v>まえだ　じゅん</v>
      </c>
      <c r="F1368" s="39" t="s">
        <v>2619</v>
      </c>
      <c r="G1368" s="39" t="s">
        <v>7828</v>
      </c>
      <c r="H1368" s="39" t="str">
        <f>("2015/01/24")</f>
        <v>2015/01/24</v>
      </c>
      <c r="I1368" s="39">
        <v>5</v>
      </c>
      <c r="J1368" s="39" t="s">
        <v>1478</v>
      </c>
      <c r="K1368" s="39" t="s">
        <v>2122</v>
      </c>
      <c r="L1368" s="39" t="s">
        <v>7830</v>
      </c>
      <c r="M1368" s="39" t="s">
        <v>7831</v>
      </c>
      <c r="N1368" s="39" t="str">
        <f>("0472823")</f>
        <v>0472823</v>
      </c>
      <c r="P1368" s="39" t="s">
        <v>12839</v>
      </c>
      <c r="Q1368" s="39" t="s">
        <v>8568</v>
      </c>
      <c r="R1368" s="39" t="s">
        <v>8569</v>
      </c>
      <c r="S1368" s="39" t="s">
        <v>8570</v>
      </c>
      <c r="AA1368" s="39" t="s">
        <v>2122</v>
      </c>
      <c r="AB1368" s="39" t="s">
        <v>7830</v>
      </c>
      <c r="AC1368" s="39" t="s">
        <v>7831</v>
      </c>
      <c r="AD1368" s="39" t="str">
        <f>("0129822")</f>
        <v>0129822</v>
      </c>
      <c r="AE1368" s="39" t="s">
        <v>2491</v>
      </c>
      <c r="AK1368" s="39" t="str">
        <f>("2025/04/01")</f>
        <v>2025/04/01</v>
      </c>
      <c r="AL1368" s="39" t="str">
        <f t="shared" si="121"/>
        <v>2025/04/01</v>
      </c>
    </row>
    <row r="1369" spans="1:39" x14ac:dyDescent="0.25">
      <c r="A1369" s="39" t="str">
        <f>("1501250005")</f>
        <v>1501250005</v>
      </c>
      <c r="C1369" s="39"/>
      <c r="D1369" s="39" t="s">
        <v>8426</v>
      </c>
      <c r="E1369" s="371" t="str">
        <f t="shared" si="119"/>
        <v>きよまつ　いづる</v>
      </c>
      <c r="F1369" s="39" t="s">
        <v>1977</v>
      </c>
      <c r="G1369" s="39" t="s">
        <v>7828</v>
      </c>
      <c r="H1369" s="39" t="str">
        <f>("2015/01/25")</f>
        <v>2015/01/25</v>
      </c>
      <c r="I1369" s="39">
        <v>5</v>
      </c>
      <c r="J1369" s="39" t="s">
        <v>1478</v>
      </c>
      <c r="K1369" s="39" t="s">
        <v>2122</v>
      </c>
      <c r="L1369" s="39" t="s">
        <v>7830</v>
      </c>
      <c r="M1369" s="39" t="s">
        <v>7831</v>
      </c>
      <c r="N1369" s="39" t="str">
        <f>("0395254")</f>
        <v>0395254</v>
      </c>
      <c r="P1369" s="39" t="s">
        <v>12840</v>
      </c>
      <c r="Q1369" s="39" t="s">
        <v>8568</v>
      </c>
      <c r="R1369" s="39" t="s">
        <v>8569</v>
      </c>
      <c r="S1369" s="39" t="s">
        <v>8570</v>
      </c>
      <c r="AK1369" s="39" t="str">
        <f>("2025/03/17")</f>
        <v>2025/03/17</v>
      </c>
      <c r="AL1369" s="39" t="str">
        <f t="shared" si="121"/>
        <v>2025/04/01</v>
      </c>
    </row>
    <row r="1370" spans="1:39" x14ac:dyDescent="0.25">
      <c r="A1370" s="39" t="str">
        <f>("1501250109")</f>
        <v>1501250109</v>
      </c>
      <c r="B1370" s="39" t="s">
        <v>8427</v>
      </c>
      <c r="C1370" s="39"/>
      <c r="D1370" s="39" t="s">
        <v>6203</v>
      </c>
      <c r="E1370" s="371" t="str">
        <f t="shared" si="119"/>
        <v>しらいし　いつき</v>
      </c>
      <c r="F1370" s="39" t="s">
        <v>2647</v>
      </c>
      <c r="G1370" s="39" t="s">
        <v>7828</v>
      </c>
      <c r="H1370" s="39" t="str">
        <f>("2015/01/25")</f>
        <v>2015/01/25</v>
      </c>
      <c r="I1370" s="39">
        <v>5</v>
      </c>
      <c r="J1370" s="39" t="s">
        <v>1478</v>
      </c>
      <c r="K1370" s="39" t="s">
        <v>2122</v>
      </c>
      <c r="L1370" s="39" t="s">
        <v>7830</v>
      </c>
      <c r="M1370" s="39" t="s">
        <v>7831</v>
      </c>
      <c r="N1370" s="39" t="str">
        <f>("1036817")</f>
        <v>1036817</v>
      </c>
      <c r="P1370" s="39" t="s">
        <v>12841</v>
      </c>
      <c r="Q1370" s="39" t="s">
        <v>8568</v>
      </c>
      <c r="R1370" s="39" t="s">
        <v>8569</v>
      </c>
      <c r="S1370" s="39" t="s">
        <v>8570</v>
      </c>
      <c r="AK1370" s="39" t="str">
        <f>("2025/03/17")</f>
        <v>2025/03/17</v>
      </c>
      <c r="AL1370" s="39" t="str">
        <f t="shared" si="121"/>
        <v>2025/04/01</v>
      </c>
    </row>
    <row r="1371" spans="1:39" x14ac:dyDescent="0.25">
      <c r="A1371" s="39" t="str">
        <f>("1501260245")</f>
        <v>1501260245</v>
      </c>
      <c r="C1371" s="39"/>
      <c r="D1371" s="39" t="s">
        <v>8428</v>
      </c>
      <c r="E1371" s="371" t="str">
        <f t="shared" si="119"/>
        <v>かわの　せな</v>
      </c>
      <c r="F1371" s="39" t="s">
        <v>2033</v>
      </c>
      <c r="G1371" s="39" t="s">
        <v>7828</v>
      </c>
      <c r="H1371" s="39" t="str">
        <f>("2015/01/26")</f>
        <v>2015/01/26</v>
      </c>
      <c r="I1371" s="39">
        <v>5</v>
      </c>
      <c r="J1371" s="39" t="s">
        <v>1478</v>
      </c>
      <c r="K1371" s="39" t="s">
        <v>2122</v>
      </c>
      <c r="L1371" s="39" t="s">
        <v>7830</v>
      </c>
      <c r="M1371" s="39" t="s">
        <v>7831</v>
      </c>
      <c r="N1371" s="39" t="str">
        <f>("0130442")</f>
        <v>0130442</v>
      </c>
      <c r="P1371" s="39" t="s">
        <v>12842</v>
      </c>
      <c r="Q1371" s="39" t="s">
        <v>8568</v>
      </c>
      <c r="R1371" s="39" t="s">
        <v>8569</v>
      </c>
      <c r="S1371" s="39" t="s">
        <v>8570</v>
      </c>
      <c r="AK1371" s="39" t="str">
        <f>("2025/08/19")</f>
        <v>2025/08/19</v>
      </c>
      <c r="AL1371" s="39" t="str">
        <f>("2025/08/19")</f>
        <v>2025/08/19</v>
      </c>
      <c r="AM1371" s="39" t="str">
        <f>("2025/12/12")</f>
        <v>2025/12/12</v>
      </c>
    </row>
    <row r="1372" spans="1:39" x14ac:dyDescent="0.25">
      <c r="A1372" s="39" t="str">
        <f>("1501270049")</f>
        <v>1501270049</v>
      </c>
      <c r="C1372" s="39"/>
      <c r="D1372" s="39" t="s">
        <v>5980</v>
      </c>
      <c r="E1372" s="371" t="str">
        <f t="shared" si="119"/>
        <v>ひょうどう　れお</v>
      </c>
      <c r="F1372" s="39" t="s">
        <v>2574</v>
      </c>
      <c r="G1372" s="39" t="s">
        <v>7828</v>
      </c>
      <c r="H1372" s="39" t="str">
        <f>("2015/01/27")</f>
        <v>2015/01/27</v>
      </c>
      <c r="I1372" s="39">
        <v>5</v>
      </c>
      <c r="J1372" s="39" t="s">
        <v>1478</v>
      </c>
      <c r="K1372" s="39" t="s">
        <v>2122</v>
      </c>
      <c r="L1372" s="39" t="s">
        <v>7830</v>
      </c>
      <c r="M1372" s="39" t="s">
        <v>7831</v>
      </c>
      <c r="N1372" s="39" t="str">
        <f>("0237620")</f>
        <v>0237620</v>
      </c>
      <c r="P1372" s="39" t="s">
        <v>12843</v>
      </c>
      <c r="Q1372" s="39" t="s">
        <v>8568</v>
      </c>
      <c r="R1372" s="39" t="s">
        <v>8569</v>
      </c>
      <c r="S1372" s="39" t="s">
        <v>8570</v>
      </c>
      <c r="AK1372" s="39" t="str">
        <f>("2025/03/17")</f>
        <v>2025/03/17</v>
      </c>
      <c r="AL1372" s="39" t="str">
        <f>("2025/04/01")</f>
        <v>2025/04/01</v>
      </c>
    </row>
    <row r="1373" spans="1:39" x14ac:dyDescent="0.25">
      <c r="A1373" s="39" t="str">
        <f>("1501270095")</f>
        <v>1501270095</v>
      </c>
      <c r="C1373" s="39"/>
      <c r="D1373" s="39" t="s">
        <v>8429</v>
      </c>
      <c r="E1373" s="371" t="str">
        <f t="shared" si="119"/>
        <v>すがた　りょうへい</v>
      </c>
      <c r="F1373" s="39" t="s">
        <v>5621</v>
      </c>
      <c r="G1373" s="39" t="s">
        <v>7828</v>
      </c>
      <c r="H1373" s="39" t="str">
        <f>("2015/01/27")</f>
        <v>2015/01/27</v>
      </c>
      <c r="I1373" s="39">
        <v>5</v>
      </c>
      <c r="J1373" s="39" t="s">
        <v>1478</v>
      </c>
      <c r="K1373" s="39" t="s">
        <v>2122</v>
      </c>
      <c r="L1373" s="39" t="s">
        <v>7830</v>
      </c>
      <c r="M1373" s="39" t="s">
        <v>7831</v>
      </c>
      <c r="N1373" s="39" t="str">
        <f>("1110654")</f>
        <v>1110654</v>
      </c>
      <c r="P1373" s="39" t="s">
        <v>12844</v>
      </c>
      <c r="Q1373" s="39" t="s">
        <v>8568</v>
      </c>
      <c r="R1373" s="39" t="s">
        <v>8569</v>
      </c>
      <c r="S1373" s="39" t="s">
        <v>8570</v>
      </c>
      <c r="AA1373" s="39" t="s">
        <v>2122</v>
      </c>
      <c r="AB1373" s="39" t="s">
        <v>7830</v>
      </c>
      <c r="AC1373" s="39" t="s">
        <v>7831</v>
      </c>
      <c r="AD1373" s="39" t="str">
        <f>("0472823")</f>
        <v>0472823</v>
      </c>
      <c r="AE1373" s="39" t="s">
        <v>2619</v>
      </c>
      <c r="AK1373" s="39" t="str">
        <f>("2025/03/24")</f>
        <v>2025/03/24</v>
      </c>
      <c r="AL1373" s="39" t="str">
        <f>("2025/04/01")</f>
        <v>2025/04/01</v>
      </c>
    </row>
    <row r="1374" spans="1:39" x14ac:dyDescent="0.25">
      <c r="A1374" s="39" t="str">
        <f>("1501270106")</f>
        <v>1501270106</v>
      </c>
      <c r="B1374" s="39" t="s">
        <v>8430</v>
      </c>
      <c r="C1374" s="39"/>
      <c r="D1374" s="39" t="s">
        <v>8431</v>
      </c>
      <c r="E1374" s="371" t="str">
        <f t="shared" si="119"/>
        <v>たはら　さく</v>
      </c>
      <c r="F1374" s="39" t="s">
        <v>2188</v>
      </c>
      <c r="G1374" s="39" t="s">
        <v>7828</v>
      </c>
      <c r="H1374" s="39" t="str">
        <f>("2015/01/27")</f>
        <v>2015/01/27</v>
      </c>
      <c r="I1374" s="39">
        <v>5</v>
      </c>
      <c r="J1374" s="39" t="s">
        <v>1478</v>
      </c>
      <c r="K1374" s="39" t="s">
        <v>2122</v>
      </c>
      <c r="L1374" s="39" t="s">
        <v>7830</v>
      </c>
      <c r="M1374" s="39" t="s">
        <v>7831</v>
      </c>
      <c r="N1374" s="39" t="str">
        <f>("0129596")</f>
        <v>0129596</v>
      </c>
      <c r="P1374" s="39" t="s">
        <v>12845</v>
      </c>
      <c r="Q1374" s="39" t="s">
        <v>8568</v>
      </c>
      <c r="R1374" s="39" t="s">
        <v>8569</v>
      </c>
      <c r="S1374" s="39" t="s">
        <v>8570</v>
      </c>
      <c r="AK1374" s="39" t="str">
        <f>("2025/03/17")</f>
        <v>2025/03/17</v>
      </c>
      <c r="AL1374" s="39" t="str">
        <f>("2025/04/01")</f>
        <v>2025/04/01</v>
      </c>
    </row>
    <row r="1375" spans="1:39" x14ac:dyDescent="0.25">
      <c r="A1375" s="39" t="str">
        <f>("1501270142")</f>
        <v>1501270142</v>
      </c>
      <c r="C1375" s="39"/>
      <c r="D1375" s="39" t="s">
        <v>8432</v>
      </c>
      <c r="E1375" s="371" t="str">
        <f t="shared" si="119"/>
        <v>こだま　るい</v>
      </c>
      <c r="F1375" s="39" t="s">
        <v>2350</v>
      </c>
      <c r="G1375" s="39" t="s">
        <v>7828</v>
      </c>
      <c r="H1375" s="39" t="str">
        <f>("2015/01/27")</f>
        <v>2015/01/27</v>
      </c>
      <c r="I1375" s="39">
        <v>5</v>
      </c>
      <c r="J1375" s="39" t="s">
        <v>1478</v>
      </c>
      <c r="K1375" s="39" t="s">
        <v>2122</v>
      </c>
      <c r="L1375" s="39" t="s">
        <v>7830</v>
      </c>
      <c r="M1375" s="39" t="s">
        <v>7831</v>
      </c>
      <c r="N1375" s="39" t="str">
        <f>("0360032")</f>
        <v>0360032</v>
      </c>
      <c r="P1375" s="39" t="s">
        <v>12846</v>
      </c>
      <c r="Q1375" s="39" t="s">
        <v>8568</v>
      </c>
      <c r="R1375" s="39" t="s">
        <v>8569</v>
      </c>
      <c r="S1375" s="39" t="s">
        <v>8570</v>
      </c>
      <c r="AK1375" s="39" t="str">
        <f>("2025/03/17")</f>
        <v>2025/03/17</v>
      </c>
      <c r="AL1375" s="39" t="str">
        <f>("2025/04/01")</f>
        <v>2025/04/01</v>
      </c>
    </row>
    <row r="1376" spans="1:39" x14ac:dyDescent="0.25">
      <c r="A1376" s="39" t="str">
        <f>("1501270224")</f>
        <v>1501270224</v>
      </c>
      <c r="C1376" s="39"/>
      <c r="D1376" s="39" t="s">
        <v>8433</v>
      </c>
      <c r="E1376" s="371" t="str">
        <f t="shared" si="119"/>
        <v>おの　みなと</v>
      </c>
      <c r="F1376" s="39" t="s">
        <v>2531</v>
      </c>
      <c r="G1376" s="39" t="s">
        <v>7828</v>
      </c>
      <c r="H1376" s="39" t="str">
        <f>("2015/01/27")</f>
        <v>2015/01/27</v>
      </c>
      <c r="I1376" s="39">
        <v>5</v>
      </c>
      <c r="J1376" s="39" t="s">
        <v>1478</v>
      </c>
      <c r="K1376" s="39" t="s">
        <v>2122</v>
      </c>
      <c r="L1376" s="39" t="s">
        <v>7830</v>
      </c>
      <c r="M1376" s="39" t="s">
        <v>7831</v>
      </c>
      <c r="N1376" s="39" t="str">
        <f>("0130419")</f>
        <v>0130419</v>
      </c>
      <c r="P1376" s="39" t="s">
        <v>12125</v>
      </c>
      <c r="Q1376" s="39" t="s">
        <v>8568</v>
      </c>
      <c r="R1376" s="39" t="s">
        <v>8569</v>
      </c>
      <c r="S1376" s="39" t="s">
        <v>8570</v>
      </c>
      <c r="AK1376" s="39" t="str">
        <f>("2025/07/30")</f>
        <v>2025/07/30</v>
      </c>
      <c r="AL1376" s="39" t="str">
        <f>("2025/07/30")</f>
        <v>2025/07/30</v>
      </c>
    </row>
    <row r="1377" spans="1:38" x14ac:dyDescent="0.25">
      <c r="A1377" s="39" t="str">
        <f>("1501280005")</f>
        <v>1501280005</v>
      </c>
      <c r="C1377" s="39"/>
      <c r="D1377" s="39" t="s">
        <v>5972</v>
      </c>
      <c r="E1377" s="371" t="str">
        <f t="shared" si="119"/>
        <v>むらかみ　はくと</v>
      </c>
      <c r="F1377" s="39" t="s">
        <v>2573</v>
      </c>
      <c r="G1377" s="39" t="s">
        <v>7828</v>
      </c>
      <c r="H1377" s="39" t="str">
        <f>("2015/01/28")</f>
        <v>2015/01/28</v>
      </c>
      <c r="I1377" s="39">
        <v>5</v>
      </c>
      <c r="J1377" s="39" t="s">
        <v>1478</v>
      </c>
      <c r="K1377" s="39" t="s">
        <v>2122</v>
      </c>
      <c r="L1377" s="39" t="s">
        <v>7830</v>
      </c>
      <c r="M1377" s="39" t="s">
        <v>7831</v>
      </c>
      <c r="N1377" s="39" t="str">
        <f>("0230982")</f>
        <v>0230982</v>
      </c>
      <c r="P1377" s="39" t="s">
        <v>12847</v>
      </c>
      <c r="Q1377" s="39" t="s">
        <v>8568</v>
      </c>
      <c r="R1377" s="39" t="s">
        <v>8569</v>
      </c>
      <c r="S1377" s="39" t="s">
        <v>8570</v>
      </c>
      <c r="AK1377" s="39" t="str">
        <f>("2025/03/17")</f>
        <v>2025/03/17</v>
      </c>
      <c r="AL1377" s="39" t="str">
        <f t="shared" ref="AL1377:AL1393" si="123">("2025/04/01")</f>
        <v>2025/04/01</v>
      </c>
    </row>
    <row r="1378" spans="1:38" x14ac:dyDescent="0.25">
      <c r="A1378" s="39" t="str">
        <f>("1501280131")</f>
        <v>1501280131</v>
      </c>
      <c r="C1378" s="39"/>
      <c r="D1378" s="39" t="s">
        <v>6078</v>
      </c>
      <c r="E1378" s="371" t="str">
        <f t="shared" si="119"/>
        <v>やまさき　しょう</v>
      </c>
      <c r="F1378" s="39" t="s">
        <v>5621</v>
      </c>
      <c r="G1378" s="39" t="s">
        <v>7828</v>
      </c>
      <c r="H1378" s="39" t="str">
        <f>("2015/01/28")</f>
        <v>2015/01/28</v>
      </c>
      <c r="I1378" s="39">
        <v>5</v>
      </c>
      <c r="J1378" s="39" t="s">
        <v>1478</v>
      </c>
      <c r="K1378" s="39" t="s">
        <v>2122</v>
      </c>
      <c r="L1378" s="39" t="s">
        <v>7830</v>
      </c>
      <c r="M1378" s="39" t="s">
        <v>7831</v>
      </c>
      <c r="N1378" s="39" t="str">
        <f>("1110654")</f>
        <v>1110654</v>
      </c>
      <c r="P1378" s="39" t="s">
        <v>12848</v>
      </c>
      <c r="Q1378" s="39" t="s">
        <v>8568</v>
      </c>
      <c r="R1378" s="39" t="s">
        <v>8569</v>
      </c>
      <c r="S1378" s="39" t="s">
        <v>8570</v>
      </c>
      <c r="AA1378" s="39" t="s">
        <v>2122</v>
      </c>
      <c r="AB1378" s="39" t="s">
        <v>7830</v>
      </c>
      <c r="AC1378" s="39" t="s">
        <v>7831</v>
      </c>
      <c r="AD1378" s="39" t="str">
        <f>("0424583")</f>
        <v>0424583</v>
      </c>
      <c r="AE1378" s="39" t="s">
        <v>2594</v>
      </c>
      <c r="AK1378" s="39" t="str">
        <f>("2025/03/17")</f>
        <v>2025/03/17</v>
      </c>
      <c r="AL1378" s="39" t="str">
        <f t="shared" si="123"/>
        <v>2025/04/01</v>
      </c>
    </row>
    <row r="1379" spans="1:38" x14ac:dyDescent="0.25">
      <c r="A1379" s="39" t="str">
        <f>("1501280181")</f>
        <v>1501280181</v>
      </c>
      <c r="C1379" s="39"/>
      <c r="D1379" s="39" t="s">
        <v>8434</v>
      </c>
      <c r="E1379" s="371" t="str">
        <f t="shared" si="119"/>
        <v>ひらい　のぶき</v>
      </c>
      <c r="F1379" s="39" t="s">
        <v>413</v>
      </c>
      <c r="G1379" s="39" t="s">
        <v>7828</v>
      </c>
      <c r="H1379" s="39" t="str">
        <f>("2015/01/28")</f>
        <v>2015/01/28</v>
      </c>
      <c r="I1379" s="39">
        <v>5</v>
      </c>
      <c r="J1379" s="39" t="s">
        <v>1478</v>
      </c>
      <c r="K1379" s="39" t="s">
        <v>2122</v>
      </c>
      <c r="L1379" s="39" t="s">
        <v>7830</v>
      </c>
      <c r="M1379" s="39" t="s">
        <v>7831</v>
      </c>
      <c r="N1379" s="39" t="str">
        <f>("0436902")</f>
        <v>0436902</v>
      </c>
      <c r="P1379" s="39" t="s">
        <v>12849</v>
      </c>
      <c r="Q1379" s="39" t="s">
        <v>8568</v>
      </c>
      <c r="R1379" s="39" t="s">
        <v>8569</v>
      </c>
      <c r="S1379" s="39" t="s">
        <v>8570</v>
      </c>
      <c r="AK1379" s="39" t="str">
        <f>("2025/03/24")</f>
        <v>2025/03/24</v>
      </c>
      <c r="AL1379" s="39" t="str">
        <f t="shared" si="123"/>
        <v>2025/04/01</v>
      </c>
    </row>
    <row r="1380" spans="1:38" x14ac:dyDescent="0.25">
      <c r="A1380" s="39" t="str">
        <f>("1501290019")</f>
        <v>1501290019</v>
      </c>
      <c r="C1380" s="39"/>
      <c r="D1380" s="39" t="s">
        <v>8435</v>
      </c>
      <c r="E1380" s="371" t="str">
        <f t="shared" si="119"/>
        <v>まき　ゆきなが</v>
      </c>
      <c r="F1380" s="39" t="s">
        <v>2544</v>
      </c>
      <c r="G1380" s="39" t="s">
        <v>7828</v>
      </c>
      <c r="H1380" s="39" t="str">
        <f>("2015/01/29")</f>
        <v>2015/01/29</v>
      </c>
      <c r="I1380" s="39">
        <v>5</v>
      </c>
      <c r="J1380" s="39" t="s">
        <v>1478</v>
      </c>
      <c r="K1380" s="39" t="s">
        <v>2122</v>
      </c>
      <c r="L1380" s="39" t="s">
        <v>7830</v>
      </c>
      <c r="M1380" s="39" t="s">
        <v>7831</v>
      </c>
      <c r="N1380" s="39" t="str">
        <f>("0130644")</f>
        <v>0130644</v>
      </c>
      <c r="P1380" s="39" t="s">
        <v>12850</v>
      </c>
      <c r="Q1380" s="39" t="s">
        <v>8568</v>
      </c>
      <c r="R1380" s="39" t="s">
        <v>8569</v>
      </c>
      <c r="S1380" s="39" t="s">
        <v>8570</v>
      </c>
      <c r="AK1380" s="39" t="str">
        <f>("2025/03/17")</f>
        <v>2025/03/17</v>
      </c>
      <c r="AL1380" s="39" t="str">
        <f t="shared" si="123"/>
        <v>2025/04/01</v>
      </c>
    </row>
    <row r="1381" spans="1:38" x14ac:dyDescent="0.25">
      <c r="A1381" s="39" t="str">
        <f>("1501300017")</f>
        <v>1501300017</v>
      </c>
      <c r="B1381" s="39" t="s">
        <v>8436</v>
      </c>
      <c r="C1381" s="39"/>
      <c r="D1381" s="39" t="s">
        <v>4563</v>
      </c>
      <c r="E1381" s="371" t="str">
        <f t="shared" si="119"/>
        <v>くきまる　たくみ</v>
      </c>
      <c r="F1381" s="39" t="s">
        <v>1344</v>
      </c>
      <c r="G1381" s="39" t="s">
        <v>7828</v>
      </c>
      <c r="H1381" s="39" t="str">
        <f>("2015/01/30")</f>
        <v>2015/01/30</v>
      </c>
      <c r="I1381" s="39">
        <v>5</v>
      </c>
      <c r="J1381" s="39" t="s">
        <v>1478</v>
      </c>
      <c r="K1381" s="39" t="s">
        <v>2122</v>
      </c>
      <c r="L1381" s="39" t="s">
        <v>7830</v>
      </c>
      <c r="M1381" s="39" t="s">
        <v>7831</v>
      </c>
      <c r="N1381" s="39" t="str">
        <f>("0130587")</f>
        <v>0130587</v>
      </c>
      <c r="P1381" s="39" t="s">
        <v>12851</v>
      </c>
      <c r="Q1381" s="39" t="s">
        <v>8568</v>
      </c>
      <c r="R1381" s="39" t="s">
        <v>8569</v>
      </c>
      <c r="S1381" s="39" t="s">
        <v>8570</v>
      </c>
      <c r="AK1381" s="39" t="str">
        <f>("2025/03/17")</f>
        <v>2025/03/17</v>
      </c>
      <c r="AL1381" s="39" t="str">
        <f t="shared" si="123"/>
        <v>2025/04/01</v>
      </c>
    </row>
    <row r="1382" spans="1:38" x14ac:dyDescent="0.25">
      <c r="A1382" s="39" t="str">
        <f>("1501300106")</f>
        <v>1501300106</v>
      </c>
      <c r="C1382" s="39"/>
      <c r="D1382" s="39" t="s">
        <v>5668</v>
      </c>
      <c r="E1382" s="371" t="str">
        <f t="shared" si="119"/>
        <v>わたなべ　かなと</v>
      </c>
      <c r="F1382" s="39" t="s">
        <v>1239</v>
      </c>
      <c r="G1382" s="39" t="s">
        <v>7828</v>
      </c>
      <c r="H1382" s="39" t="str">
        <f>("2015/01/30")</f>
        <v>2015/01/30</v>
      </c>
      <c r="I1382" s="39">
        <v>5</v>
      </c>
      <c r="J1382" s="39" t="s">
        <v>1478</v>
      </c>
      <c r="K1382" s="39" t="s">
        <v>2122</v>
      </c>
      <c r="L1382" s="39" t="s">
        <v>7830</v>
      </c>
      <c r="M1382" s="39" t="s">
        <v>7831</v>
      </c>
      <c r="N1382" s="39" t="str">
        <f>("0129585")</f>
        <v>0129585</v>
      </c>
      <c r="P1382" s="39" t="s">
        <v>12852</v>
      </c>
      <c r="Q1382" s="39" t="s">
        <v>8568</v>
      </c>
      <c r="R1382" s="39" t="s">
        <v>8569</v>
      </c>
      <c r="S1382" s="39" t="s">
        <v>8570</v>
      </c>
      <c r="AK1382" s="39" t="str">
        <f>("2025/03/17")</f>
        <v>2025/03/17</v>
      </c>
      <c r="AL1382" s="39" t="str">
        <f t="shared" si="123"/>
        <v>2025/04/01</v>
      </c>
    </row>
    <row r="1383" spans="1:38" x14ac:dyDescent="0.25">
      <c r="A1383" s="39" t="str">
        <f>("1501300196")</f>
        <v>1501300196</v>
      </c>
      <c r="C1383" s="39"/>
      <c r="D1383" s="39" t="s">
        <v>8437</v>
      </c>
      <c r="E1383" s="371" t="str">
        <f t="shared" si="119"/>
        <v>かわの　のあ</v>
      </c>
      <c r="F1383" s="39" t="s">
        <v>1692</v>
      </c>
      <c r="G1383" s="39" t="s">
        <v>7828</v>
      </c>
      <c r="H1383" s="39" t="str">
        <f>("2015/01/30")</f>
        <v>2015/01/30</v>
      </c>
      <c r="I1383" s="39">
        <v>5</v>
      </c>
      <c r="J1383" s="39" t="s">
        <v>1480</v>
      </c>
      <c r="K1383" s="39" t="s">
        <v>2122</v>
      </c>
      <c r="L1383" s="39" t="s">
        <v>7830</v>
      </c>
      <c r="M1383" s="39" t="s">
        <v>7831</v>
      </c>
      <c r="N1383" s="39" t="str">
        <f>("1052299")</f>
        <v>1052299</v>
      </c>
      <c r="P1383" s="39" t="s">
        <v>12853</v>
      </c>
      <c r="Q1383" s="39" t="s">
        <v>8568</v>
      </c>
      <c r="R1383" s="39" t="s">
        <v>8569</v>
      </c>
      <c r="S1383" s="39" t="s">
        <v>8570</v>
      </c>
      <c r="AK1383" s="39" t="str">
        <f>("2025/03/17")</f>
        <v>2025/03/17</v>
      </c>
      <c r="AL1383" s="39" t="str">
        <f t="shared" si="123"/>
        <v>2025/04/01</v>
      </c>
    </row>
    <row r="1384" spans="1:38" x14ac:dyDescent="0.25">
      <c r="A1384" s="39" t="str">
        <f>("1501310022")</f>
        <v>1501310022</v>
      </c>
      <c r="C1384" s="39"/>
      <c r="D1384" s="39" t="s">
        <v>8438</v>
      </c>
      <c r="E1384" s="371" t="str">
        <f t="shared" si="119"/>
        <v>さこ　ももた</v>
      </c>
      <c r="F1384" s="39" t="s">
        <v>2477</v>
      </c>
      <c r="G1384" s="39" t="s">
        <v>7828</v>
      </c>
      <c r="H1384" s="39" t="str">
        <f>("2015/01/31")</f>
        <v>2015/01/31</v>
      </c>
      <c r="I1384" s="39">
        <v>5</v>
      </c>
      <c r="J1384" s="39" t="s">
        <v>1478</v>
      </c>
      <c r="K1384" s="39" t="s">
        <v>2122</v>
      </c>
      <c r="L1384" s="39" t="s">
        <v>7830</v>
      </c>
      <c r="M1384" s="39" t="s">
        <v>7831</v>
      </c>
      <c r="N1384" s="39" t="str">
        <f>("0129541")</f>
        <v>0129541</v>
      </c>
      <c r="P1384" s="39" t="s">
        <v>12854</v>
      </c>
      <c r="Q1384" s="39" t="s">
        <v>8568</v>
      </c>
      <c r="R1384" s="39" t="s">
        <v>8569</v>
      </c>
      <c r="S1384" s="39" t="s">
        <v>8570</v>
      </c>
      <c r="AK1384" s="39" t="str">
        <f>("2025/03/27")</f>
        <v>2025/03/27</v>
      </c>
      <c r="AL1384" s="39" t="str">
        <f t="shared" si="123"/>
        <v>2025/04/01</v>
      </c>
    </row>
    <row r="1385" spans="1:38" x14ac:dyDescent="0.25">
      <c r="A1385" s="39" t="str">
        <f>("1501310029")</f>
        <v>1501310029</v>
      </c>
      <c r="C1385" s="39"/>
      <c r="D1385" s="39" t="s">
        <v>8439</v>
      </c>
      <c r="E1385" s="371" t="str">
        <f t="shared" si="119"/>
        <v>やだ　がく</v>
      </c>
      <c r="F1385" s="39" t="s">
        <v>2139</v>
      </c>
      <c r="G1385" s="39" t="s">
        <v>7828</v>
      </c>
      <c r="H1385" s="39" t="str">
        <f>("2015/01/31")</f>
        <v>2015/01/31</v>
      </c>
      <c r="I1385" s="39">
        <v>5</v>
      </c>
      <c r="J1385" s="39" t="s">
        <v>1478</v>
      </c>
      <c r="K1385" s="39" t="s">
        <v>2122</v>
      </c>
      <c r="L1385" s="39" t="s">
        <v>7830</v>
      </c>
      <c r="M1385" s="39" t="s">
        <v>7831</v>
      </c>
      <c r="N1385" s="39" t="str">
        <f>("0129798")</f>
        <v>0129798</v>
      </c>
      <c r="P1385" s="39" t="s">
        <v>12855</v>
      </c>
      <c r="Q1385" s="39" t="s">
        <v>8568</v>
      </c>
      <c r="R1385" s="39" t="s">
        <v>8569</v>
      </c>
      <c r="S1385" s="39" t="s">
        <v>8570</v>
      </c>
      <c r="AK1385" s="39" t="str">
        <f>("2025/03/27")</f>
        <v>2025/03/27</v>
      </c>
      <c r="AL1385" s="39" t="str">
        <f t="shared" si="123"/>
        <v>2025/04/01</v>
      </c>
    </row>
    <row r="1386" spans="1:38" x14ac:dyDescent="0.25">
      <c r="A1386" s="39" t="str">
        <f>("1501310117")</f>
        <v>1501310117</v>
      </c>
      <c r="C1386" s="39"/>
      <c r="D1386" s="39" t="s">
        <v>5738</v>
      </c>
      <c r="E1386" s="371" t="str">
        <f t="shared" si="119"/>
        <v>しもはた　あさひ</v>
      </c>
      <c r="F1386" s="39" t="s">
        <v>1481</v>
      </c>
      <c r="G1386" s="39" t="s">
        <v>7828</v>
      </c>
      <c r="H1386" s="39" t="str">
        <f>("2015/01/31")</f>
        <v>2015/01/31</v>
      </c>
      <c r="I1386" s="39">
        <v>5</v>
      </c>
      <c r="J1386" s="39" t="s">
        <v>1478</v>
      </c>
      <c r="K1386" s="39" t="s">
        <v>2122</v>
      </c>
      <c r="L1386" s="39" t="s">
        <v>7830</v>
      </c>
      <c r="M1386" s="39" t="s">
        <v>7831</v>
      </c>
      <c r="N1386" s="39" t="str">
        <f>("0129866")</f>
        <v>0129866</v>
      </c>
      <c r="P1386" s="39" t="s">
        <v>12856</v>
      </c>
      <c r="Q1386" s="39" t="s">
        <v>8568</v>
      </c>
      <c r="R1386" s="39" t="s">
        <v>8569</v>
      </c>
      <c r="S1386" s="39" t="s">
        <v>8570</v>
      </c>
      <c r="AK1386" s="39" t="str">
        <f>("2025/03/19")</f>
        <v>2025/03/19</v>
      </c>
      <c r="AL1386" s="39" t="str">
        <f t="shared" si="123"/>
        <v>2025/04/01</v>
      </c>
    </row>
    <row r="1387" spans="1:38" x14ac:dyDescent="0.25">
      <c r="A1387" s="39" t="str">
        <f>("1501310138")</f>
        <v>1501310138</v>
      </c>
      <c r="C1387" s="39"/>
      <c r="D1387" s="39" t="s">
        <v>8440</v>
      </c>
      <c r="E1387" s="371" t="str">
        <f t="shared" si="119"/>
        <v>かわの　そうた</v>
      </c>
      <c r="F1387" s="39" t="s">
        <v>2587</v>
      </c>
      <c r="G1387" s="39" t="s">
        <v>7828</v>
      </c>
      <c r="H1387" s="39" t="str">
        <f>("2015/01/31")</f>
        <v>2015/01/31</v>
      </c>
      <c r="I1387" s="39">
        <v>5</v>
      </c>
      <c r="J1387" s="39" t="s">
        <v>1478</v>
      </c>
      <c r="K1387" s="39" t="s">
        <v>2122</v>
      </c>
      <c r="L1387" s="39" t="s">
        <v>7830</v>
      </c>
      <c r="M1387" s="39" t="s">
        <v>7831</v>
      </c>
      <c r="N1387" s="39" t="str">
        <f>("0387334")</f>
        <v>0387334</v>
      </c>
      <c r="P1387" s="39" t="s">
        <v>12857</v>
      </c>
      <c r="Q1387" s="39" t="s">
        <v>8568</v>
      </c>
      <c r="R1387" s="39" t="s">
        <v>8569</v>
      </c>
      <c r="S1387" s="39" t="s">
        <v>8570</v>
      </c>
      <c r="AK1387" s="39" t="str">
        <f>("2025/03/27")</f>
        <v>2025/03/27</v>
      </c>
      <c r="AL1387" s="39" t="str">
        <f t="shared" si="123"/>
        <v>2025/04/01</v>
      </c>
    </row>
    <row r="1388" spans="1:38" x14ac:dyDescent="0.25">
      <c r="A1388" s="39" t="str">
        <f>("1502010078")</f>
        <v>1502010078</v>
      </c>
      <c r="B1388" s="39" t="s">
        <v>8441</v>
      </c>
      <c r="C1388" s="39"/>
      <c r="D1388" s="39" t="s">
        <v>4565</v>
      </c>
      <c r="E1388" s="371" t="str">
        <f t="shared" si="119"/>
        <v>まつお　ゆいと</v>
      </c>
      <c r="F1388" s="39" t="s">
        <v>1344</v>
      </c>
      <c r="G1388" s="39" t="s">
        <v>7828</v>
      </c>
      <c r="H1388" s="39" t="str">
        <f>("2015/02/01")</f>
        <v>2015/02/01</v>
      </c>
      <c r="I1388" s="39">
        <v>5</v>
      </c>
      <c r="J1388" s="39" t="s">
        <v>1478</v>
      </c>
      <c r="K1388" s="39" t="s">
        <v>2122</v>
      </c>
      <c r="L1388" s="39" t="s">
        <v>7830</v>
      </c>
      <c r="M1388" s="39" t="s">
        <v>7831</v>
      </c>
      <c r="N1388" s="39" t="str">
        <f>("0130587")</f>
        <v>0130587</v>
      </c>
      <c r="P1388" s="39" t="s">
        <v>12858</v>
      </c>
      <c r="Q1388" s="39" t="s">
        <v>8568</v>
      </c>
      <c r="R1388" s="39" t="s">
        <v>8569</v>
      </c>
      <c r="S1388" s="39" t="s">
        <v>8570</v>
      </c>
      <c r="AK1388" s="39" t="str">
        <f>("2025/03/17")</f>
        <v>2025/03/17</v>
      </c>
      <c r="AL1388" s="39" t="str">
        <f t="shared" si="123"/>
        <v>2025/04/01</v>
      </c>
    </row>
    <row r="1389" spans="1:38" x14ac:dyDescent="0.25">
      <c r="A1389" s="39" t="str">
        <f>("1502010121")</f>
        <v>1502010121</v>
      </c>
      <c r="C1389" s="39"/>
      <c r="D1389" s="39" t="s">
        <v>8442</v>
      </c>
      <c r="E1389" s="371" t="str">
        <f t="shared" si="119"/>
        <v>ふじいし　しゅんすけ</v>
      </c>
      <c r="F1389" s="39" t="s">
        <v>2651</v>
      </c>
      <c r="G1389" s="39" t="s">
        <v>7828</v>
      </c>
      <c r="H1389" s="39" t="str">
        <f>("2015/02/01")</f>
        <v>2015/02/01</v>
      </c>
      <c r="I1389" s="39">
        <v>5</v>
      </c>
      <c r="J1389" s="39" t="s">
        <v>1478</v>
      </c>
      <c r="K1389" s="39" t="s">
        <v>2122</v>
      </c>
      <c r="L1389" s="39" t="s">
        <v>7830</v>
      </c>
      <c r="M1389" s="39" t="s">
        <v>7831</v>
      </c>
      <c r="N1389" s="39" t="str">
        <f>("1067415")</f>
        <v>1067415</v>
      </c>
      <c r="P1389" s="39" t="s">
        <v>12859</v>
      </c>
      <c r="Q1389" s="39" t="s">
        <v>8568</v>
      </c>
      <c r="R1389" s="39" t="s">
        <v>8569</v>
      </c>
      <c r="S1389" s="39" t="s">
        <v>8570</v>
      </c>
      <c r="AK1389" s="39" t="str">
        <f>("2025/03/21")</f>
        <v>2025/03/21</v>
      </c>
      <c r="AL1389" s="39" t="str">
        <f t="shared" si="123"/>
        <v>2025/04/01</v>
      </c>
    </row>
    <row r="1390" spans="1:38" x14ac:dyDescent="0.25">
      <c r="A1390" s="39" t="str">
        <f>("1502020028")</f>
        <v>1502020028</v>
      </c>
      <c r="C1390" s="39"/>
      <c r="D1390" s="39" t="s">
        <v>8443</v>
      </c>
      <c r="E1390" s="371" t="str">
        <f t="shared" si="119"/>
        <v>そのだ　あいり</v>
      </c>
      <c r="F1390" s="39" t="s">
        <v>2299</v>
      </c>
      <c r="G1390" s="39" t="s">
        <v>7828</v>
      </c>
      <c r="H1390" s="39" t="str">
        <f>("2015/02/02")</f>
        <v>2015/02/02</v>
      </c>
      <c r="I1390" s="39">
        <v>5</v>
      </c>
      <c r="J1390" s="39" t="s">
        <v>1480</v>
      </c>
      <c r="K1390" s="39" t="s">
        <v>2122</v>
      </c>
      <c r="L1390" s="39" t="s">
        <v>7830</v>
      </c>
      <c r="M1390" s="39" t="s">
        <v>7831</v>
      </c>
      <c r="N1390" s="39" t="str">
        <f>("1066647")</f>
        <v>1066647</v>
      </c>
      <c r="P1390" s="39" t="s">
        <v>12860</v>
      </c>
      <c r="Q1390" s="39" t="s">
        <v>8568</v>
      </c>
      <c r="R1390" s="39" t="s">
        <v>8569</v>
      </c>
      <c r="S1390" s="39" t="s">
        <v>8570</v>
      </c>
      <c r="AK1390" s="39" t="str">
        <f>("2025/03/21")</f>
        <v>2025/03/21</v>
      </c>
      <c r="AL1390" s="39" t="str">
        <f t="shared" si="123"/>
        <v>2025/04/01</v>
      </c>
    </row>
    <row r="1391" spans="1:38" x14ac:dyDescent="0.25">
      <c r="A1391" s="39" t="str">
        <f>("1502030018")</f>
        <v>1502030018</v>
      </c>
      <c r="B1391" s="39" t="s">
        <v>8444</v>
      </c>
      <c r="C1391" s="39"/>
      <c r="D1391" s="39" t="s">
        <v>5800</v>
      </c>
      <c r="E1391" s="371" t="str">
        <f t="shared" si="119"/>
        <v>いわまる　ようたろう</v>
      </c>
      <c r="F1391" s="39" t="s">
        <v>856</v>
      </c>
      <c r="G1391" s="39" t="s">
        <v>7828</v>
      </c>
      <c r="H1391" s="39" t="str">
        <f>("2015/02/03")</f>
        <v>2015/02/03</v>
      </c>
      <c r="I1391" s="39">
        <v>5</v>
      </c>
      <c r="J1391" s="39" t="s">
        <v>1478</v>
      </c>
      <c r="K1391" s="39" t="s">
        <v>2122</v>
      </c>
      <c r="L1391" s="39" t="s">
        <v>7830</v>
      </c>
      <c r="M1391" s="39" t="s">
        <v>7831</v>
      </c>
      <c r="N1391" s="39" t="str">
        <f>("0130149")</f>
        <v>0130149</v>
      </c>
      <c r="P1391" s="39" t="s">
        <v>12861</v>
      </c>
      <c r="Q1391" s="39" t="s">
        <v>8568</v>
      </c>
      <c r="R1391" s="39" t="s">
        <v>8569</v>
      </c>
      <c r="S1391" s="39" t="s">
        <v>8570</v>
      </c>
      <c r="AK1391" s="39" t="str">
        <f>("2025/03/17")</f>
        <v>2025/03/17</v>
      </c>
      <c r="AL1391" s="39" t="str">
        <f t="shared" si="123"/>
        <v>2025/04/01</v>
      </c>
    </row>
    <row r="1392" spans="1:38" x14ac:dyDescent="0.25">
      <c r="A1392" s="39" t="str">
        <f>("1502030114")</f>
        <v>1502030114</v>
      </c>
      <c r="C1392" s="39"/>
      <c r="D1392" s="39" t="s">
        <v>8445</v>
      </c>
      <c r="E1392" s="371" t="str">
        <f t="shared" si="119"/>
        <v>さがら　るきと</v>
      </c>
      <c r="F1392" s="39" t="s">
        <v>1968</v>
      </c>
      <c r="G1392" s="39" t="s">
        <v>7828</v>
      </c>
      <c r="H1392" s="39" t="str">
        <f>("2015/02/03")</f>
        <v>2015/02/03</v>
      </c>
      <c r="I1392" s="39">
        <v>5</v>
      </c>
      <c r="J1392" s="39" t="s">
        <v>1478</v>
      </c>
      <c r="K1392" s="39" t="s">
        <v>2122</v>
      </c>
      <c r="L1392" s="39" t="s">
        <v>7830</v>
      </c>
      <c r="M1392" s="39" t="s">
        <v>7831</v>
      </c>
      <c r="N1392" s="39" t="str">
        <f>("0129507")</f>
        <v>0129507</v>
      </c>
      <c r="P1392" s="39" t="s">
        <v>12862</v>
      </c>
      <c r="Q1392" s="39" t="s">
        <v>8568</v>
      </c>
      <c r="R1392" s="39" t="s">
        <v>8569</v>
      </c>
      <c r="S1392" s="39" t="s">
        <v>8570</v>
      </c>
      <c r="AK1392" s="39" t="str">
        <f>("2025/03/17")</f>
        <v>2025/03/17</v>
      </c>
      <c r="AL1392" s="39" t="str">
        <f t="shared" si="123"/>
        <v>2025/04/01</v>
      </c>
    </row>
    <row r="1393" spans="1:39" x14ac:dyDescent="0.25">
      <c r="A1393" s="39" t="str">
        <f>("1502030180")</f>
        <v>1502030180</v>
      </c>
      <c r="C1393" s="39"/>
      <c r="D1393" s="39" t="s">
        <v>8446</v>
      </c>
      <c r="E1393" s="371" t="str">
        <f t="shared" si="119"/>
        <v>しゅとう　あさひ</v>
      </c>
      <c r="F1393" s="39" t="s">
        <v>2648</v>
      </c>
      <c r="G1393" s="39" t="s">
        <v>7828</v>
      </c>
      <c r="H1393" s="39" t="str">
        <f>("2015/02/03")</f>
        <v>2015/02/03</v>
      </c>
      <c r="I1393" s="39">
        <v>5</v>
      </c>
      <c r="J1393" s="39" t="s">
        <v>1478</v>
      </c>
      <c r="K1393" s="39" t="s">
        <v>2122</v>
      </c>
      <c r="L1393" s="39" t="s">
        <v>7830</v>
      </c>
      <c r="M1393" s="39" t="s">
        <v>7831</v>
      </c>
      <c r="N1393" s="39" t="str">
        <f>("1050097")</f>
        <v>1050097</v>
      </c>
      <c r="P1393" s="39" t="s">
        <v>12863</v>
      </c>
      <c r="Q1393" s="39" t="s">
        <v>8568</v>
      </c>
      <c r="R1393" s="39" t="s">
        <v>8569</v>
      </c>
      <c r="S1393" s="39" t="s">
        <v>8570</v>
      </c>
      <c r="AK1393" s="39" t="str">
        <f>("2025/03/25")</f>
        <v>2025/03/25</v>
      </c>
      <c r="AL1393" s="39" t="str">
        <f t="shared" si="123"/>
        <v>2025/04/01</v>
      </c>
    </row>
    <row r="1394" spans="1:39" x14ac:dyDescent="0.25">
      <c r="A1394" s="39" t="str">
        <f>("1502030210")</f>
        <v>1502030210</v>
      </c>
      <c r="C1394" s="39"/>
      <c r="D1394" s="39" t="s">
        <v>8447</v>
      </c>
      <c r="E1394" s="371" t="str">
        <f t="shared" si="119"/>
        <v>ふじた　えいと</v>
      </c>
      <c r="F1394" s="39" t="s">
        <v>2587</v>
      </c>
      <c r="G1394" s="39" t="s">
        <v>7828</v>
      </c>
      <c r="H1394" s="39" t="str">
        <f>("2015/02/03")</f>
        <v>2015/02/03</v>
      </c>
      <c r="I1394" s="39">
        <v>5</v>
      </c>
      <c r="J1394" s="39" t="s">
        <v>1478</v>
      </c>
      <c r="K1394" s="39" t="s">
        <v>2122</v>
      </c>
      <c r="L1394" s="39" t="s">
        <v>7830</v>
      </c>
      <c r="M1394" s="39" t="s">
        <v>7831</v>
      </c>
      <c r="N1394" s="39" t="str">
        <f>("0387334")</f>
        <v>0387334</v>
      </c>
      <c r="P1394" s="39" t="s">
        <v>12864</v>
      </c>
      <c r="Q1394" s="39" t="s">
        <v>8568</v>
      </c>
      <c r="R1394" s="39" t="s">
        <v>8569</v>
      </c>
      <c r="S1394" s="39" t="s">
        <v>8570</v>
      </c>
      <c r="AK1394" s="39" t="str">
        <f>("2025/04/10")</f>
        <v>2025/04/10</v>
      </c>
      <c r="AL1394" s="39" t="str">
        <f>("2025/04/10")</f>
        <v>2025/04/10</v>
      </c>
    </row>
    <row r="1395" spans="1:39" x14ac:dyDescent="0.25">
      <c r="A1395" s="39" t="str">
        <f>("1502040081")</f>
        <v>1502040081</v>
      </c>
      <c r="C1395" s="39"/>
      <c r="D1395" s="39" t="s">
        <v>5775</v>
      </c>
      <c r="E1395" s="371" t="str">
        <f t="shared" si="119"/>
        <v>とみたか　そうすけ</v>
      </c>
      <c r="F1395" s="39" t="s">
        <v>2138</v>
      </c>
      <c r="G1395" s="39" t="s">
        <v>7828</v>
      </c>
      <c r="H1395" s="39" t="str">
        <f>("2015/02/04")</f>
        <v>2015/02/04</v>
      </c>
      <c r="I1395" s="39">
        <v>5</v>
      </c>
      <c r="J1395" s="39" t="s">
        <v>1478</v>
      </c>
      <c r="K1395" s="39" t="s">
        <v>2122</v>
      </c>
      <c r="L1395" s="39" t="s">
        <v>7830</v>
      </c>
      <c r="M1395" s="39" t="s">
        <v>7831</v>
      </c>
      <c r="N1395" s="39" t="str">
        <f>("0130082")</f>
        <v>0130082</v>
      </c>
      <c r="P1395" s="39" t="s">
        <v>12865</v>
      </c>
      <c r="Q1395" s="39" t="s">
        <v>8568</v>
      </c>
      <c r="R1395" s="39" t="s">
        <v>8569</v>
      </c>
      <c r="S1395" s="39" t="s">
        <v>8570</v>
      </c>
      <c r="AK1395" s="39" t="str">
        <f>("2025/03/17")</f>
        <v>2025/03/17</v>
      </c>
      <c r="AL1395" s="39" t="str">
        <f>("2025/04/01")</f>
        <v>2025/04/01</v>
      </c>
    </row>
    <row r="1396" spans="1:39" x14ac:dyDescent="0.25">
      <c r="A1396" s="39" t="str">
        <f>("1502050007")</f>
        <v>1502050007</v>
      </c>
      <c r="C1396" s="39"/>
      <c r="D1396" s="39" t="s">
        <v>8448</v>
      </c>
      <c r="E1396" s="371" t="str">
        <f t="shared" si="119"/>
        <v>ほんだ　たすく</v>
      </c>
      <c r="F1396" s="39" t="s">
        <v>2573</v>
      </c>
      <c r="G1396" s="39" t="s">
        <v>7828</v>
      </c>
      <c r="H1396" s="39" t="str">
        <f>("2015/02/05")</f>
        <v>2015/02/05</v>
      </c>
      <c r="I1396" s="39">
        <v>5</v>
      </c>
      <c r="J1396" s="39" t="s">
        <v>1478</v>
      </c>
      <c r="K1396" s="39" t="s">
        <v>2122</v>
      </c>
      <c r="L1396" s="39" t="s">
        <v>7830</v>
      </c>
      <c r="M1396" s="39" t="s">
        <v>7831</v>
      </c>
      <c r="N1396" s="39" t="str">
        <f>("0230982")</f>
        <v>0230982</v>
      </c>
      <c r="P1396" s="39" t="s">
        <v>12866</v>
      </c>
      <c r="Q1396" s="39" t="s">
        <v>8568</v>
      </c>
      <c r="R1396" s="39" t="s">
        <v>8569</v>
      </c>
      <c r="S1396" s="39" t="s">
        <v>8570</v>
      </c>
      <c r="AK1396" s="39" t="str">
        <f>("2025/03/17")</f>
        <v>2025/03/17</v>
      </c>
      <c r="AL1396" s="39" t="str">
        <f>("2025/04/01")</f>
        <v>2025/04/01</v>
      </c>
    </row>
    <row r="1397" spans="1:39" x14ac:dyDescent="0.25">
      <c r="A1397" s="39" t="str">
        <f>("1502050024")</f>
        <v>1502050024</v>
      </c>
      <c r="C1397" s="39"/>
      <c r="D1397" s="39" t="s">
        <v>8449</v>
      </c>
      <c r="E1397" s="371" t="str">
        <f t="shared" si="119"/>
        <v>わだ　しづき</v>
      </c>
      <c r="F1397" s="39" t="s">
        <v>5617</v>
      </c>
      <c r="G1397" s="39" t="s">
        <v>7876</v>
      </c>
      <c r="H1397" s="39" t="str">
        <f>("2015/02/05")</f>
        <v>2015/02/05</v>
      </c>
      <c r="I1397" s="39">
        <v>5</v>
      </c>
      <c r="J1397" s="39" t="s">
        <v>1480</v>
      </c>
      <c r="K1397" s="39" t="s">
        <v>2122</v>
      </c>
      <c r="L1397" s="39" t="s">
        <v>7830</v>
      </c>
      <c r="M1397" s="39" t="s">
        <v>7831</v>
      </c>
      <c r="N1397" s="39" t="str">
        <f>("0130756")</f>
        <v>0130756</v>
      </c>
      <c r="P1397" s="39" t="s">
        <v>12867</v>
      </c>
      <c r="Q1397" s="39" t="s">
        <v>8568</v>
      </c>
      <c r="R1397" s="39" t="s">
        <v>8569</v>
      </c>
      <c r="S1397" s="39" t="s">
        <v>8570</v>
      </c>
      <c r="AK1397" s="39" t="str">
        <f>("2025/03/17")</f>
        <v>2025/03/17</v>
      </c>
      <c r="AL1397" s="39" t="str">
        <f>("2025/04/01")</f>
        <v>2025/04/01</v>
      </c>
      <c r="AM1397" s="39" t="str">
        <f>("2025/09/24")</f>
        <v>2025/09/24</v>
      </c>
    </row>
    <row r="1398" spans="1:39" x14ac:dyDescent="0.25">
      <c r="A1398" s="39" t="str">
        <f>("1502050152")</f>
        <v>1502050152</v>
      </c>
      <c r="C1398" s="39"/>
      <c r="D1398" s="39" t="s">
        <v>8450</v>
      </c>
      <c r="E1398" s="371" t="str">
        <f t="shared" si="119"/>
        <v>かつらぎ　はると</v>
      </c>
      <c r="F1398" s="39" t="s">
        <v>947</v>
      </c>
      <c r="G1398" s="39" t="s">
        <v>7828</v>
      </c>
      <c r="H1398" s="39" t="str">
        <f>("2015/02/05")</f>
        <v>2015/02/05</v>
      </c>
      <c r="I1398" s="39">
        <v>5</v>
      </c>
      <c r="J1398" s="39" t="s">
        <v>1478</v>
      </c>
      <c r="K1398" s="39" t="s">
        <v>2122</v>
      </c>
      <c r="L1398" s="39" t="s">
        <v>7830</v>
      </c>
      <c r="M1398" s="39" t="s">
        <v>7831</v>
      </c>
      <c r="N1398" s="39" t="str">
        <f>("0130183")</f>
        <v>0130183</v>
      </c>
      <c r="P1398" s="39" t="s">
        <v>12868</v>
      </c>
      <c r="Q1398" s="39" t="s">
        <v>8568</v>
      </c>
      <c r="R1398" s="39" t="s">
        <v>8569</v>
      </c>
      <c r="S1398" s="39" t="s">
        <v>8570</v>
      </c>
      <c r="AK1398" s="39" t="str">
        <f>("2025/03/27")</f>
        <v>2025/03/27</v>
      </c>
      <c r="AL1398" s="39" t="str">
        <f>("2025/04/01")</f>
        <v>2025/04/01</v>
      </c>
    </row>
    <row r="1399" spans="1:39" x14ac:dyDescent="0.25">
      <c r="A1399" s="39" t="str">
        <f>("1502060219")</f>
        <v>1502060219</v>
      </c>
      <c r="C1399" s="39"/>
      <c r="D1399" s="39" t="s">
        <v>8451</v>
      </c>
      <c r="E1399" s="371" t="str">
        <f t="shared" si="119"/>
        <v>まつき　りおる</v>
      </c>
      <c r="F1399" s="39" t="s">
        <v>2619</v>
      </c>
      <c r="G1399" s="39" t="s">
        <v>7828</v>
      </c>
      <c r="H1399" s="39" t="str">
        <f>("2015/02/06")</f>
        <v>2015/02/06</v>
      </c>
      <c r="I1399" s="39">
        <v>5</v>
      </c>
      <c r="J1399" s="39" t="s">
        <v>1480</v>
      </c>
      <c r="K1399" s="39" t="s">
        <v>2122</v>
      </c>
      <c r="L1399" s="39" t="s">
        <v>7830</v>
      </c>
      <c r="M1399" s="39" t="s">
        <v>7831</v>
      </c>
      <c r="N1399" s="39" t="str">
        <f>("0472823")</f>
        <v>0472823</v>
      </c>
      <c r="P1399" s="39" t="s">
        <v>12869</v>
      </c>
      <c r="Q1399" s="39" t="s">
        <v>8568</v>
      </c>
      <c r="R1399" s="39" t="s">
        <v>8569</v>
      </c>
      <c r="S1399" s="39" t="s">
        <v>8570</v>
      </c>
      <c r="AK1399" s="39" t="str">
        <f>("2025/04/01")</f>
        <v>2025/04/01</v>
      </c>
      <c r="AL1399" s="39" t="str">
        <f>("2025/04/01")</f>
        <v>2025/04/01</v>
      </c>
    </row>
    <row r="1400" spans="1:39" x14ac:dyDescent="0.25">
      <c r="A1400" s="39" t="str">
        <f>("1502070024")</f>
        <v>1502070024</v>
      </c>
      <c r="B1400" s="39" t="s">
        <v>8452</v>
      </c>
      <c r="C1400" s="39"/>
      <c r="D1400" s="39" t="s">
        <v>4630</v>
      </c>
      <c r="E1400" s="371" t="str">
        <f t="shared" si="119"/>
        <v>ゆき　そら</v>
      </c>
      <c r="F1400" s="39" t="s">
        <v>7864</v>
      </c>
      <c r="G1400" s="39" t="s">
        <v>7828</v>
      </c>
      <c r="H1400" s="39" t="str">
        <f>("2015/02/07")</f>
        <v>2015/02/07</v>
      </c>
      <c r="I1400" s="39">
        <v>5</v>
      </c>
      <c r="J1400" s="39" t="s">
        <v>1478</v>
      </c>
      <c r="K1400" s="39" t="s">
        <v>2122</v>
      </c>
      <c r="L1400" s="39" t="s">
        <v>7830</v>
      </c>
      <c r="M1400" s="39" t="s">
        <v>7831</v>
      </c>
      <c r="N1400" s="39" t="str">
        <f>("1039801")</f>
        <v>1039801</v>
      </c>
      <c r="P1400" s="39" t="s">
        <v>12870</v>
      </c>
      <c r="Q1400" s="39" t="s">
        <v>8568</v>
      </c>
      <c r="R1400" s="39" t="s">
        <v>8569</v>
      </c>
      <c r="S1400" s="39" t="s">
        <v>8570</v>
      </c>
      <c r="AA1400" s="39" t="s">
        <v>2122</v>
      </c>
      <c r="AB1400" s="39" t="s">
        <v>7830</v>
      </c>
      <c r="AC1400" s="39" t="s">
        <v>7831</v>
      </c>
      <c r="AD1400" s="39" t="str">
        <f>("0130745")</f>
        <v>0130745</v>
      </c>
      <c r="AE1400" s="39" t="s">
        <v>686</v>
      </c>
      <c r="AK1400" s="39" t="str">
        <f>("2025/06/10")</f>
        <v>2025/06/10</v>
      </c>
      <c r="AL1400" s="39" t="str">
        <f>("2025/06/10")</f>
        <v>2025/06/10</v>
      </c>
    </row>
    <row r="1401" spans="1:39" x14ac:dyDescent="0.25">
      <c r="A1401" s="39" t="str">
        <f>("1502090082")</f>
        <v>1502090082</v>
      </c>
      <c r="C1401" s="39"/>
      <c r="D1401" s="39" t="s">
        <v>5995</v>
      </c>
      <c r="E1401" s="371" t="str">
        <f t="shared" si="119"/>
        <v>のだ　みやび</v>
      </c>
      <c r="F1401" s="39" t="s">
        <v>2349</v>
      </c>
      <c r="G1401" s="39" t="s">
        <v>7828</v>
      </c>
      <c r="H1401" s="39" t="str">
        <f>("2015/02/09")</f>
        <v>2015/02/09</v>
      </c>
      <c r="I1401" s="39">
        <v>5</v>
      </c>
      <c r="J1401" s="39" t="s">
        <v>1478</v>
      </c>
      <c r="K1401" s="39" t="s">
        <v>2122</v>
      </c>
      <c r="L1401" s="39" t="s">
        <v>7830</v>
      </c>
      <c r="M1401" s="39" t="s">
        <v>7831</v>
      </c>
      <c r="N1401" s="39" t="str">
        <f>("0292081")</f>
        <v>0292081</v>
      </c>
      <c r="P1401" s="39" t="s">
        <v>12871</v>
      </c>
      <c r="Q1401" s="39" t="s">
        <v>8568</v>
      </c>
      <c r="R1401" s="39" t="s">
        <v>8569</v>
      </c>
      <c r="S1401" s="39" t="s">
        <v>8570</v>
      </c>
      <c r="AK1401" s="39" t="str">
        <f>("2025/03/24")</f>
        <v>2025/03/24</v>
      </c>
      <c r="AL1401" s="39" t="str">
        <f t="shared" ref="AL1401:AL1419" si="124">("2025/04/01")</f>
        <v>2025/04/01</v>
      </c>
    </row>
    <row r="1402" spans="1:39" x14ac:dyDescent="0.25">
      <c r="A1402" s="39" t="str">
        <f>("1502110059")</f>
        <v>1502110059</v>
      </c>
      <c r="C1402" s="39"/>
      <c r="D1402" s="39" t="s">
        <v>6272</v>
      </c>
      <c r="E1402" s="371" t="str">
        <f t="shared" si="119"/>
        <v>はしもと　こうたろう</v>
      </c>
      <c r="F1402" s="39" t="s">
        <v>5620</v>
      </c>
      <c r="G1402" s="39" t="s">
        <v>7828</v>
      </c>
      <c r="H1402" s="39" t="str">
        <f>("2015/02/11")</f>
        <v>2015/02/11</v>
      </c>
      <c r="I1402" s="39">
        <v>5</v>
      </c>
      <c r="J1402" s="39" t="s">
        <v>1478</v>
      </c>
      <c r="K1402" s="39" t="s">
        <v>2122</v>
      </c>
      <c r="L1402" s="39" t="s">
        <v>7830</v>
      </c>
      <c r="M1402" s="39" t="s">
        <v>7831</v>
      </c>
      <c r="N1402" s="39" t="str">
        <f>("1101553")</f>
        <v>1101553</v>
      </c>
      <c r="P1402" s="39" t="s">
        <v>12872</v>
      </c>
      <c r="Q1402" s="39" t="s">
        <v>8568</v>
      </c>
      <c r="R1402" s="39" t="s">
        <v>8569</v>
      </c>
      <c r="S1402" s="39" t="s">
        <v>8570</v>
      </c>
      <c r="AK1402" s="39" t="str">
        <f>("2025/03/19")</f>
        <v>2025/03/19</v>
      </c>
      <c r="AL1402" s="39" t="str">
        <f t="shared" si="124"/>
        <v>2025/04/01</v>
      </c>
    </row>
    <row r="1403" spans="1:39" x14ac:dyDescent="0.25">
      <c r="A1403" s="39" t="str">
        <f>("1502110075")</f>
        <v>1502110075</v>
      </c>
      <c r="C1403" s="39"/>
      <c r="D1403" s="39" t="s">
        <v>4328</v>
      </c>
      <c r="E1403" s="371" t="str">
        <f t="shared" si="119"/>
        <v>くわの　てっせい</v>
      </c>
      <c r="F1403" s="39" t="s">
        <v>2496</v>
      </c>
      <c r="G1403" s="39" t="s">
        <v>7828</v>
      </c>
      <c r="H1403" s="39" t="str">
        <f>("2015/02/11")</f>
        <v>2015/02/11</v>
      </c>
      <c r="I1403" s="39">
        <v>5</v>
      </c>
      <c r="J1403" s="39" t="s">
        <v>1478</v>
      </c>
      <c r="K1403" s="39" t="s">
        <v>2122</v>
      </c>
      <c r="L1403" s="39" t="s">
        <v>7830</v>
      </c>
      <c r="M1403" s="39" t="s">
        <v>7831</v>
      </c>
      <c r="N1403" s="39" t="str">
        <f>("0129855")</f>
        <v>0129855</v>
      </c>
      <c r="P1403" s="39" t="s">
        <v>12873</v>
      </c>
      <c r="Q1403" s="39" t="s">
        <v>8568</v>
      </c>
      <c r="R1403" s="39" t="s">
        <v>8569</v>
      </c>
      <c r="S1403" s="39" t="s">
        <v>8570</v>
      </c>
      <c r="AK1403" s="39" t="str">
        <f>("2025/03/24")</f>
        <v>2025/03/24</v>
      </c>
      <c r="AL1403" s="39" t="str">
        <f t="shared" si="124"/>
        <v>2025/04/01</v>
      </c>
    </row>
    <row r="1404" spans="1:39" x14ac:dyDescent="0.25">
      <c r="A1404" s="39" t="str">
        <f>("1502120031")</f>
        <v>1502120031</v>
      </c>
      <c r="C1404" s="39"/>
      <c r="D1404" s="39" t="s">
        <v>5828</v>
      </c>
      <c r="E1404" s="371" t="str">
        <f t="shared" si="119"/>
        <v>いわ　ひかり</v>
      </c>
      <c r="F1404" s="39" t="s">
        <v>5616</v>
      </c>
      <c r="G1404" s="39" t="s">
        <v>7828</v>
      </c>
      <c r="H1404" s="39" t="str">
        <f>("2015/02/12")</f>
        <v>2015/02/12</v>
      </c>
      <c r="I1404" s="39">
        <v>5</v>
      </c>
      <c r="J1404" s="39" t="s">
        <v>1480</v>
      </c>
      <c r="K1404" s="39" t="s">
        <v>2122</v>
      </c>
      <c r="L1404" s="39" t="s">
        <v>7830</v>
      </c>
      <c r="M1404" s="39" t="s">
        <v>7831</v>
      </c>
      <c r="N1404" s="39" t="str">
        <f>("0130385")</f>
        <v>0130385</v>
      </c>
      <c r="P1404" s="39" t="s">
        <v>12874</v>
      </c>
      <c r="Q1404" s="39" t="s">
        <v>8568</v>
      </c>
      <c r="R1404" s="39" t="s">
        <v>8569</v>
      </c>
      <c r="S1404" s="39" t="s">
        <v>8570</v>
      </c>
      <c r="AK1404" s="39" t="str">
        <f>("2025/03/17")</f>
        <v>2025/03/17</v>
      </c>
      <c r="AL1404" s="39" t="str">
        <f t="shared" si="124"/>
        <v>2025/04/01</v>
      </c>
    </row>
    <row r="1405" spans="1:39" x14ac:dyDescent="0.25">
      <c r="A1405" s="39" t="str">
        <f>("1502120066")</f>
        <v>1502120066</v>
      </c>
      <c r="C1405" s="39"/>
      <c r="D1405" s="39" t="s">
        <v>8453</v>
      </c>
      <c r="E1405" s="371" t="str">
        <f t="shared" si="119"/>
        <v>さとう　かいり</v>
      </c>
      <c r="F1405" s="39" t="s">
        <v>827</v>
      </c>
      <c r="G1405" s="39" t="s">
        <v>7828</v>
      </c>
      <c r="H1405" s="39" t="str">
        <f>("2015/02/12")</f>
        <v>2015/02/12</v>
      </c>
      <c r="I1405" s="39">
        <v>5</v>
      </c>
      <c r="J1405" s="39" t="s">
        <v>1478</v>
      </c>
      <c r="K1405" s="39" t="s">
        <v>2122</v>
      </c>
      <c r="L1405" s="39" t="s">
        <v>7830</v>
      </c>
      <c r="M1405" s="39" t="s">
        <v>7831</v>
      </c>
      <c r="N1405" s="39" t="str">
        <f>("0504908")</f>
        <v>0504908</v>
      </c>
      <c r="P1405" s="39" t="s">
        <v>12875</v>
      </c>
      <c r="Q1405" s="39" t="s">
        <v>8568</v>
      </c>
      <c r="R1405" s="39" t="s">
        <v>8569</v>
      </c>
      <c r="S1405" s="39" t="s">
        <v>8570</v>
      </c>
      <c r="AK1405" s="39" t="str">
        <f>("2025/03/21")</f>
        <v>2025/03/21</v>
      </c>
      <c r="AL1405" s="39" t="str">
        <f t="shared" si="124"/>
        <v>2025/04/01</v>
      </c>
    </row>
    <row r="1406" spans="1:39" x14ac:dyDescent="0.25">
      <c r="A1406" s="39" t="str">
        <f>("1502120133")</f>
        <v>1502120133</v>
      </c>
      <c r="C1406" s="39"/>
      <c r="D1406" s="39" t="s">
        <v>8454</v>
      </c>
      <c r="E1406" s="371" t="str">
        <f t="shared" si="119"/>
        <v>かわむら　ゆうり</v>
      </c>
      <c r="F1406" s="39" t="s">
        <v>5615</v>
      </c>
      <c r="G1406" s="39" t="s">
        <v>7828</v>
      </c>
      <c r="H1406" s="39" t="str">
        <f>("2015/02/12")</f>
        <v>2015/02/12</v>
      </c>
      <c r="I1406" s="39">
        <v>5</v>
      </c>
      <c r="J1406" s="39" t="s">
        <v>1478</v>
      </c>
      <c r="K1406" s="39" t="s">
        <v>2122</v>
      </c>
      <c r="L1406" s="39" t="s">
        <v>7830</v>
      </c>
      <c r="M1406" s="39" t="s">
        <v>7831</v>
      </c>
      <c r="N1406" s="39" t="str">
        <f>("0129642")</f>
        <v>0129642</v>
      </c>
      <c r="P1406" s="39" t="s">
        <v>12876</v>
      </c>
      <c r="Q1406" s="39" t="s">
        <v>8568</v>
      </c>
      <c r="R1406" s="39" t="s">
        <v>8569</v>
      </c>
      <c r="S1406" s="39" t="s">
        <v>8570</v>
      </c>
      <c r="AK1406" s="39" t="str">
        <f>("2025/03/24")</f>
        <v>2025/03/24</v>
      </c>
      <c r="AL1406" s="39" t="str">
        <f t="shared" si="124"/>
        <v>2025/04/01</v>
      </c>
    </row>
    <row r="1407" spans="1:39" x14ac:dyDescent="0.25">
      <c r="A1407" s="39" t="str">
        <f>("1502130016")</f>
        <v>1502130016</v>
      </c>
      <c r="C1407" s="39"/>
      <c r="D1407" s="39" t="s">
        <v>5996</v>
      </c>
      <c r="E1407" s="371" t="str">
        <f t="shared" si="119"/>
        <v>ひらおか　みつる</v>
      </c>
      <c r="F1407" s="39" t="s">
        <v>2349</v>
      </c>
      <c r="G1407" s="39" t="s">
        <v>7828</v>
      </c>
      <c r="H1407" s="39" t="str">
        <f>("2015/02/13")</f>
        <v>2015/02/13</v>
      </c>
      <c r="I1407" s="39">
        <v>5</v>
      </c>
      <c r="J1407" s="39" t="s">
        <v>1478</v>
      </c>
      <c r="K1407" s="39" t="s">
        <v>2122</v>
      </c>
      <c r="L1407" s="39" t="s">
        <v>7830</v>
      </c>
      <c r="M1407" s="39" t="s">
        <v>7831</v>
      </c>
      <c r="N1407" s="39" t="str">
        <f>("0292081")</f>
        <v>0292081</v>
      </c>
      <c r="P1407" s="39" t="s">
        <v>12877</v>
      </c>
      <c r="Q1407" s="39" t="s">
        <v>8568</v>
      </c>
      <c r="R1407" s="39" t="s">
        <v>8569</v>
      </c>
      <c r="S1407" s="39" t="s">
        <v>8570</v>
      </c>
      <c r="AK1407" s="39" t="str">
        <f>("2025/03/24")</f>
        <v>2025/03/24</v>
      </c>
      <c r="AL1407" s="39" t="str">
        <f t="shared" si="124"/>
        <v>2025/04/01</v>
      </c>
    </row>
    <row r="1408" spans="1:39" x14ac:dyDescent="0.25">
      <c r="A1408" s="39" t="str">
        <f>("1502130057")</f>
        <v>1502130057</v>
      </c>
      <c r="B1408" s="39" t="s">
        <v>8455</v>
      </c>
      <c r="C1408" s="39"/>
      <c r="D1408" s="39" t="s">
        <v>5764</v>
      </c>
      <c r="E1408" s="371" t="str">
        <f t="shared" si="119"/>
        <v>かどた　ちひろ</v>
      </c>
      <c r="F1408" s="39" t="s">
        <v>3867</v>
      </c>
      <c r="G1408" s="39" t="s">
        <v>7828</v>
      </c>
      <c r="H1408" s="39" t="str">
        <f>("2015/02/13")</f>
        <v>2015/02/13</v>
      </c>
      <c r="I1408" s="39">
        <v>5</v>
      </c>
      <c r="J1408" s="39" t="s">
        <v>1478</v>
      </c>
      <c r="K1408" s="39" t="s">
        <v>2122</v>
      </c>
      <c r="L1408" s="39" t="s">
        <v>7830</v>
      </c>
      <c r="M1408" s="39" t="s">
        <v>7831</v>
      </c>
      <c r="N1408" s="39" t="str">
        <f>("0129990")</f>
        <v>0129990</v>
      </c>
      <c r="P1408" s="39" t="s">
        <v>12878</v>
      </c>
      <c r="Q1408" s="39" t="s">
        <v>8568</v>
      </c>
      <c r="R1408" s="39" t="s">
        <v>8569</v>
      </c>
      <c r="S1408" s="39" t="s">
        <v>8570</v>
      </c>
      <c r="AK1408" s="39" t="str">
        <f>("2025/04/01")</f>
        <v>2025/04/01</v>
      </c>
      <c r="AL1408" s="39" t="str">
        <f t="shared" si="124"/>
        <v>2025/04/01</v>
      </c>
    </row>
    <row r="1409" spans="1:39" x14ac:dyDescent="0.25">
      <c r="A1409" s="39" t="str">
        <f>("1502140109")</f>
        <v>1502140109</v>
      </c>
      <c r="C1409" s="39"/>
      <c r="D1409" s="39" t="s">
        <v>8456</v>
      </c>
      <c r="E1409" s="371" t="str">
        <f t="shared" si="119"/>
        <v>くわばら　そうし</v>
      </c>
      <c r="F1409" s="39" t="s">
        <v>2243</v>
      </c>
      <c r="G1409" s="39" t="s">
        <v>7828</v>
      </c>
      <c r="H1409" s="39" t="str">
        <f>("2015/02/14")</f>
        <v>2015/02/14</v>
      </c>
      <c r="I1409" s="39">
        <v>5</v>
      </c>
      <c r="J1409" s="39" t="s">
        <v>1478</v>
      </c>
      <c r="K1409" s="39" t="s">
        <v>2122</v>
      </c>
      <c r="L1409" s="39" t="s">
        <v>7830</v>
      </c>
      <c r="M1409" s="39" t="s">
        <v>7831</v>
      </c>
      <c r="N1409" s="39" t="str">
        <f>("0130565")</f>
        <v>0130565</v>
      </c>
      <c r="P1409" s="39" t="s">
        <v>12879</v>
      </c>
      <c r="Q1409" s="39" t="s">
        <v>8568</v>
      </c>
      <c r="R1409" s="39" t="s">
        <v>8569</v>
      </c>
      <c r="S1409" s="39" t="s">
        <v>8570</v>
      </c>
      <c r="AK1409" s="39" t="str">
        <f>("2025/03/17")</f>
        <v>2025/03/17</v>
      </c>
      <c r="AL1409" s="39" t="str">
        <f t="shared" si="124"/>
        <v>2025/04/01</v>
      </c>
    </row>
    <row r="1410" spans="1:39" x14ac:dyDescent="0.25">
      <c r="A1410" s="39" t="str">
        <f>("1502140152")</f>
        <v>1502140152</v>
      </c>
      <c r="C1410" s="39"/>
      <c r="D1410" s="39" t="s">
        <v>8457</v>
      </c>
      <c r="E1410" s="371" t="str">
        <f t="shared" si="119"/>
        <v>えとう　たくみ</v>
      </c>
      <c r="F1410" s="39" t="s">
        <v>2648</v>
      </c>
      <c r="G1410" s="39" t="s">
        <v>7828</v>
      </c>
      <c r="H1410" s="39" t="str">
        <f>("2015/02/14")</f>
        <v>2015/02/14</v>
      </c>
      <c r="I1410" s="39">
        <v>5</v>
      </c>
      <c r="J1410" s="39" t="s">
        <v>1478</v>
      </c>
      <c r="K1410" s="39" t="s">
        <v>2122</v>
      </c>
      <c r="L1410" s="39" t="s">
        <v>7830</v>
      </c>
      <c r="M1410" s="39" t="s">
        <v>7831</v>
      </c>
      <c r="N1410" s="39" t="str">
        <f>("1050097")</f>
        <v>1050097</v>
      </c>
      <c r="P1410" s="39" t="s">
        <v>12880</v>
      </c>
      <c r="Q1410" s="39" t="s">
        <v>8568</v>
      </c>
      <c r="R1410" s="39" t="s">
        <v>8569</v>
      </c>
      <c r="S1410" s="39" t="s">
        <v>8570</v>
      </c>
      <c r="AK1410" s="39" t="str">
        <f>("2025/03/25")</f>
        <v>2025/03/25</v>
      </c>
      <c r="AL1410" s="39" t="str">
        <f t="shared" si="124"/>
        <v>2025/04/01</v>
      </c>
    </row>
    <row r="1411" spans="1:39" x14ac:dyDescent="0.25">
      <c r="A1411" s="39" t="str">
        <f>("1502140153")</f>
        <v>1502140153</v>
      </c>
      <c r="C1411" s="39"/>
      <c r="D1411" s="39" t="s">
        <v>8458</v>
      </c>
      <c r="E1411" s="371" t="str">
        <f t="shared" ref="E1411:E1474" si="125">PHONETIC(P1411)</f>
        <v>しとう　ふみや</v>
      </c>
      <c r="F1411" s="39" t="s">
        <v>2602</v>
      </c>
      <c r="G1411" s="39" t="s">
        <v>7828</v>
      </c>
      <c r="H1411" s="39" t="str">
        <f>("2015/02/14")</f>
        <v>2015/02/14</v>
      </c>
      <c r="I1411" s="39">
        <v>5</v>
      </c>
      <c r="J1411" s="39" t="s">
        <v>1478</v>
      </c>
      <c r="K1411" s="39" t="s">
        <v>2122</v>
      </c>
      <c r="L1411" s="39" t="s">
        <v>7830</v>
      </c>
      <c r="M1411" s="39" t="s">
        <v>7831</v>
      </c>
      <c r="N1411" s="39" t="str">
        <f>("0430119")</f>
        <v>0430119</v>
      </c>
      <c r="P1411" s="39" t="s">
        <v>12881</v>
      </c>
      <c r="Q1411" s="39" t="s">
        <v>8568</v>
      </c>
      <c r="R1411" s="39" t="s">
        <v>8569</v>
      </c>
      <c r="S1411" s="39" t="s">
        <v>8570</v>
      </c>
      <c r="AK1411" s="39" t="str">
        <f>("2025/03/17")</f>
        <v>2025/03/17</v>
      </c>
      <c r="AL1411" s="39" t="str">
        <f t="shared" si="124"/>
        <v>2025/04/01</v>
      </c>
    </row>
    <row r="1412" spans="1:39" x14ac:dyDescent="0.25">
      <c r="A1412" s="39" t="str">
        <f>("1502150007")</f>
        <v>1502150007</v>
      </c>
      <c r="B1412" s="39" t="s">
        <v>8459</v>
      </c>
      <c r="C1412" s="39"/>
      <c r="D1412" s="39" t="s">
        <v>8460</v>
      </c>
      <c r="E1412" s="371" t="str">
        <f t="shared" si="125"/>
        <v>いとなが　かんた</v>
      </c>
      <c r="F1412" s="39" t="s">
        <v>2137</v>
      </c>
      <c r="G1412" s="39" t="s">
        <v>7828</v>
      </c>
      <c r="H1412" s="39" t="str">
        <f>("2015/02/15")</f>
        <v>2015/02/15</v>
      </c>
      <c r="I1412" s="39">
        <v>5</v>
      </c>
      <c r="J1412" s="39" t="s">
        <v>1478</v>
      </c>
      <c r="K1412" s="39" t="s">
        <v>2122</v>
      </c>
      <c r="L1412" s="39" t="s">
        <v>7830</v>
      </c>
      <c r="M1412" s="39" t="s">
        <v>7831</v>
      </c>
      <c r="N1412" s="39" t="str">
        <f>("0130510")</f>
        <v>0130510</v>
      </c>
      <c r="P1412" s="39" t="s">
        <v>12882</v>
      </c>
      <c r="Q1412" s="39" t="s">
        <v>8568</v>
      </c>
      <c r="R1412" s="39" t="s">
        <v>8569</v>
      </c>
      <c r="S1412" s="39" t="s">
        <v>8570</v>
      </c>
      <c r="AK1412" s="39" t="str">
        <f>("2025/03/21")</f>
        <v>2025/03/21</v>
      </c>
      <c r="AL1412" s="39" t="str">
        <f t="shared" si="124"/>
        <v>2025/04/01</v>
      </c>
    </row>
    <row r="1413" spans="1:39" x14ac:dyDescent="0.25">
      <c r="A1413" s="39" t="str">
        <f>("1502150051")</f>
        <v>1502150051</v>
      </c>
      <c r="C1413" s="39"/>
      <c r="D1413" s="39" t="s">
        <v>5762</v>
      </c>
      <c r="E1413" s="371" t="str">
        <f t="shared" si="125"/>
        <v>うのはな　ゆな</v>
      </c>
      <c r="F1413" s="39" t="s">
        <v>3867</v>
      </c>
      <c r="G1413" s="39" t="s">
        <v>7828</v>
      </c>
      <c r="H1413" s="39" t="str">
        <f>("2015/02/15")</f>
        <v>2015/02/15</v>
      </c>
      <c r="I1413" s="39">
        <v>5</v>
      </c>
      <c r="J1413" s="39" t="s">
        <v>1480</v>
      </c>
      <c r="K1413" s="39" t="s">
        <v>2122</v>
      </c>
      <c r="L1413" s="39" t="s">
        <v>7830</v>
      </c>
      <c r="M1413" s="39" t="s">
        <v>7831</v>
      </c>
      <c r="N1413" s="39" t="str">
        <f>("0129990")</f>
        <v>0129990</v>
      </c>
      <c r="P1413" s="39" t="s">
        <v>12883</v>
      </c>
      <c r="Q1413" s="39" t="s">
        <v>8568</v>
      </c>
      <c r="R1413" s="39" t="s">
        <v>8569</v>
      </c>
      <c r="S1413" s="39" t="s">
        <v>8570</v>
      </c>
      <c r="AK1413" s="39" t="str">
        <f>("2025/04/01")</f>
        <v>2025/04/01</v>
      </c>
      <c r="AL1413" s="39" t="str">
        <f t="shared" si="124"/>
        <v>2025/04/01</v>
      </c>
    </row>
    <row r="1414" spans="1:39" x14ac:dyDescent="0.25">
      <c r="A1414" s="39" t="str">
        <f>("1502150110")</f>
        <v>1502150110</v>
      </c>
      <c r="C1414" s="39"/>
      <c r="D1414" s="39" t="s">
        <v>8461</v>
      </c>
      <c r="E1414" s="371" t="str">
        <f t="shared" si="125"/>
        <v>とくみつ　けいた</v>
      </c>
      <c r="F1414" s="39" t="s">
        <v>1239</v>
      </c>
      <c r="G1414" s="39" t="s">
        <v>7828</v>
      </c>
      <c r="H1414" s="39" t="str">
        <f>("2015/02/15")</f>
        <v>2015/02/15</v>
      </c>
      <c r="I1414" s="39">
        <v>5</v>
      </c>
      <c r="J1414" s="39" t="s">
        <v>1478</v>
      </c>
      <c r="K1414" s="39" t="s">
        <v>2122</v>
      </c>
      <c r="L1414" s="39" t="s">
        <v>7830</v>
      </c>
      <c r="M1414" s="39" t="s">
        <v>7831</v>
      </c>
      <c r="N1414" s="39" t="str">
        <f>("0129585")</f>
        <v>0129585</v>
      </c>
      <c r="P1414" s="39" t="s">
        <v>12884</v>
      </c>
      <c r="Q1414" s="39" t="s">
        <v>8568</v>
      </c>
      <c r="R1414" s="39" t="s">
        <v>8569</v>
      </c>
      <c r="S1414" s="39" t="s">
        <v>8570</v>
      </c>
      <c r="AK1414" s="39" t="str">
        <f>("2025/03/17")</f>
        <v>2025/03/17</v>
      </c>
      <c r="AL1414" s="39" t="str">
        <f t="shared" si="124"/>
        <v>2025/04/01</v>
      </c>
    </row>
    <row r="1415" spans="1:39" x14ac:dyDescent="0.25">
      <c r="A1415" s="39" t="str">
        <f>("1502160126")</f>
        <v>1502160126</v>
      </c>
      <c r="C1415" s="39"/>
      <c r="D1415" s="39" t="s">
        <v>8462</v>
      </c>
      <c r="E1415" s="371" t="str">
        <f t="shared" si="125"/>
        <v>たかくら　そうた</v>
      </c>
      <c r="F1415" s="39" t="s">
        <v>1158</v>
      </c>
      <c r="G1415" s="39" t="s">
        <v>7828</v>
      </c>
      <c r="H1415" s="39" t="str">
        <f>("2015/02/16")</f>
        <v>2015/02/16</v>
      </c>
      <c r="I1415" s="39">
        <v>5</v>
      </c>
      <c r="J1415" s="39" t="s">
        <v>1478</v>
      </c>
      <c r="K1415" s="39" t="s">
        <v>2122</v>
      </c>
      <c r="L1415" s="39" t="s">
        <v>7830</v>
      </c>
      <c r="M1415" s="39" t="s">
        <v>7831</v>
      </c>
      <c r="N1415" s="39" t="str">
        <f>("0130318")</f>
        <v>0130318</v>
      </c>
      <c r="P1415" s="39" t="s">
        <v>12885</v>
      </c>
      <c r="Q1415" s="39" t="s">
        <v>8568</v>
      </c>
      <c r="R1415" s="39" t="s">
        <v>8569</v>
      </c>
      <c r="S1415" s="39" t="s">
        <v>8570</v>
      </c>
      <c r="AK1415" s="39" t="str">
        <f>("2025/03/17")</f>
        <v>2025/03/17</v>
      </c>
      <c r="AL1415" s="39" t="str">
        <f t="shared" si="124"/>
        <v>2025/04/01</v>
      </c>
    </row>
    <row r="1416" spans="1:39" x14ac:dyDescent="0.25">
      <c r="A1416" s="39" t="str">
        <f>("1502160153")</f>
        <v>1502160153</v>
      </c>
      <c r="C1416" s="39"/>
      <c r="D1416" s="39" t="s">
        <v>8463</v>
      </c>
      <c r="E1416" s="371" t="str">
        <f t="shared" si="125"/>
        <v>れい　ちいけん</v>
      </c>
      <c r="F1416" s="39" t="s">
        <v>947</v>
      </c>
      <c r="G1416" s="39" t="s">
        <v>7828</v>
      </c>
      <c r="H1416" s="39" t="str">
        <f>("2015/02/16")</f>
        <v>2015/02/16</v>
      </c>
      <c r="I1416" s="39">
        <v>5</v>
      </c>
      <c r="J1416" s="39" t="s">
        <v>1478</v>
      </c>
      <c r="K1416" s="39" t="s">
        <v>2122</v>
      </c>
      <c r="L1416" s="39" t="s">
        <v>7830</v>
      </c>
      <c r="M1416" s="39" t="s">
        <v>7831</v>
      </c>
      <c r="N1416" s="39" t="str">
        <f>("0130183")</f>
        <v>0130183</v>
      </c>
      <c r="P1416" s="39" t="s">
        <v>12886</v>
      </c>
      <c r="Q1416" s="39" t="s">
        <v>8568</v>
      </c>
      <c r="R1416" s="39" t="s">
        <v>8569</v>
      </c>
      <c r="S1416" s="39" t="s">
        <v>8570</v>
      </c>
      <c r="AK1416" s="39" t="str">
        <f>("2025/03/27")</f>
        <v>2025/03/27</v>
      </c>
      <c r="AL1416" s="39" t="str">
        <f t="shared" si="124"/>
        <v>2025/04/01</v>
      </c>
    </row>
    <row r="1417" spans="1:39" x14ac:dyDescent="0.25">
      <c r="A1417" s="39" t="str">
        <f>("1502170062")</f>
        <v>1502170062</v>
      </c>
      <c r="C1417" s="39"/>
      <c r="D1417" s="39" t="s">
        <v>4273</v>
      </c>
      <c r="E1417" s="371" t="str">
        <f t="shared" si="125"/>
        <v>こうの　いつき</v>
      </c>
      <c r="F1417" s="39" t="s">
        <v>3866</v>
      </c>
      <c r="G1417" s="39" t="s">
        <v>7876</v>
      </c>
      <c r="H1417" s="39" t="str">
        <f>("2015/02/17")</f>
        <v>2015/02/17</v>
      </c>
      <c r="I1417" s="39">
        <v>5</v>
      </c>
      <c r="J1417" s="39" t="s">
        <v>1478</v>
      </c>
      <c r="K1417" s="39" t="s">
        <v>2122</v>
      </c>
      <c r="L1417" s="39" t="s">
        <v>7830</v>
      </c>
      <c r="M1417" s="39" t="s">
        <v>7831</v>
      </c>
      <c r="N1417" s="39" t="str">
        <f>("0129675")</f>
        <v>0129675</v>
      </c>
      <c r="P1417" s="39" t="s">
        <v>12887</v>
      </c>
      <c r="Q1417" s="39" t="s">
        <v>8568</v>
      </c>
      <c r="R1417" s="39" t="s">
        <v>8569</v>
      </c>
      <c r="S1417" s="39" t="s">
        <v>8570</v>
      </c>
      <c r="AK1417" s="39" t="str">
        <f>("2025/04/01")</f>
        <v>2025/04/01</v>
      </c>
      <c r="AL1417" s="39" t="str">
        <f t="shared" si="124"/>
        <v>2025/04/01</v>
      </c>
      <c r="AM1417" s="39" t="str">
        <f>("2025/12/16")</f>
        <v>2025/12/16</v>
      </c>
    </row>
    <row r="1418" spans="1:39" x14ac:dyDescent="0.25">
      <c r="A1418" s="39" t="str">
        <f>("1502180147")</f>
        <v>1502180147</v>
      </c>
      <c r="C1418" s="39"/>
      <c r="D1418" s="39" t="s">
        <v>8464</v>
      </c>
      <c r="E1418" s="371" t="str">
        <f t="shared" si="125"/>
        <v>ほんだ　こうろく</v>
      </c>
      <c r="F1418" s="39" t="s">
        <v>2647</v>
      </c>
      <c r="G1418" s="39" t="s">
        <v>7828</v>
      </c>
      <c r="H1418" s="39" t="str">
        <f>("2015/02/18")</f>
        <v>2015/02/18</v>
      </c>
      <c r="I1418" s="39">
        <v>5</v>
      </c>
      <c r="J1418" s="39" t="s">
        <v>1478</v>
      </c>
      <c r="K1418" s="39" t="s">
        <v>2122</v>
      </c>
      <c r="L1418" s="39" t="s">
        <v>7830</v>
      </c>
      <c r="M1418" s="39" t="s">
        <v>7831</v>
      </c>
      <c r="N1418" s="39" t="str">
        <f>("1036817")</f>
        <v>1036817</v>
      </c>
      <c r="P1418" s="39" t="s">
        <v>12888</v>
      </c>
      <c r="Q1418" s="39" t="s">
        <v>8568</v>
      </c>
      <c r="R1418" s="39" t="s">
        <v>8569</v>
      </c>
      <c r="S1418" s="39" t="s">
        <v>8570</v>
      </c>
      <c r="AK1418" s="39" t="str">
        <f>("2025/03/17")</f>
        <v>2025/03/17</v>
      </c>
      <c r="AL1418" s="39" t="str">
        <f t="shared" si="124"/>
        <v>2025/04/01</v>
      </c>
    </row>
    <row r="1419" spans="1:39" x14ac:dyDescent="0.25">
      <c r="A1419" s="39" t="str">
        <f>("1502180175")</f>
        <v>1502180175</v>
      </c>
      <c r="C1419" s="39"/>
      <c r="D1419" s="39" t="s">
        <v>8465</v>
      </c>
      <c r="E1419" s="371" t="str">
        <f t="shared" si="125"/>
        <v>みうら　ようすけ</v>
      </c>
      <c r="F1419" s="39" t="s">
        <v>413</v>
      </c>
      <c r="G1419" s="39" t="s">
        <v>7828</v>
      </c>
      <c r="H1419" s="39" t="str">
        <f>("2015/02/18")</f>
        <v>2015/02/18</v>
      </c>
      <c r="I1419" s="39">
        <v>5</v>
      </c>
      <c r="J1419" s="39" t="s">
        <v>1478</v>
      </c>
      <c r="K1419" s="39" t="s">
        <v>2122</v>
      </c>
      <c r="L1419" s="39" t="s">
        <v>7830</v>
      </c>
      <c r="M1419" s="39" t="s">
        <v>7831</v>
      </c>
      <c r="N1419" s="39" t="str">
        <f>("0436902")</f>
        <v>0436902</v>
      </c>
      <c r="P1419" s="39" t="s">
        <v>12889</v>
      </c>
      <c r="Q1419" s="39" t="s">
        <v>8568</v>
      </c>
      <c r="R1419" s="39" t="s">
        <v>8569</v>
      </c>
      <c r="S1419" s="39" t="s">
        <v>8570</v>
      </c>
      <c r="AK1419" s="39" t="str">
        <f>("2025/03/24")</f>
        <v>2025/03/24</v>
      </c>
      <c r="AL1419" s="39" t="str">
        <f t="shared" si="124"/>
        <v>2025/04/01</v>
      </c>
    </row>
    <row r="1420" spans="1:39" x14ac:dyDescent="0.25">
      <c r="A1420" s="39" t="str">
        <f>("1502190083")</f>
        <v>1502190083</v>
      </c>
      <c r="C1420" s="39"/>
      <c r="D1420" s="39" t="s">
        <v>8466</v>
      </c>
      <c r="E1420" s="371" t="str">
        <f t="shared" si="125"/>
        <v>ごとう　きいち</v>
      </c>
      <c r="F1420" s="39" t="s">
        <v>2324</v>
      </c>
      <c r="G1420" s="39" t="s">
        <v>7828</v>
      </c>
      <c r="H1420" s="39" t="str">
        <f>("2015/02/19")</f>
        <v>2015/02/19</v>
      </c>
      <c r="I1420" s="39">
        <v>5</v>
      </c>
      <c r="J1420" s="39" t="s">
        <v>1478</v>
      </c>
      <c r="K1420" s="39" t="s">
        <v>2122</v>
      </c>
      <c r="L1420" s="39" t="s">
        <v>7830</v>
      </c>
      <c r="M1420" s="39" t="s">
        <v>7831</v>
      </c>
      <c r="N1420" s="39" t="str">
        <f>("0130486")</f>
        <v>0130486</v>
      </c>
      <c r="P1420" s="39" t="s">
        <v>12890</v>
      </c>
      <c r="Q1420" s="39" t="s">
        <v>8568</v>
      </c>
      <c r="R1420" s="39" t="s">
        <v>8569</v>
      </c>
      <c r="S1420" s="39" t="s">
        <v>8570</v>
      </c>
      <c r="AA1420" s="39" t="s">
        <v>9023</v>
      </c>
      <c r="AB1420" s="39" t="s">
        <v>7830</v>
      </c>
      <c r="AC1420" s="39" t="s">
        <v>7831</v>
      </c>
      <c r="AD1420" s="39" t="str">
        <f>("1092721")</f>
        <v>1092721</v>
      </c>
      <c r="AE1420" s="39" t="s">
        <v>9024</v>
      </c>
      <c r="AK1420" s="39" t="str">
        <f>("2025/04/18")</f>
        <v>2025/04/18</v>
      </c>
      <c r="AL1420" s="39" t="str">
        <f>("2025/04/18")</f>
        <v>2025/04/18</v>
      </c>
    </row>
    <row r="1421" spans="1:39" x14ac:dyDescent="0.25">
      <c r="A1421" s="39" t="str">
        <f>("1502190085")</f>
        <v>1502190085</v>
      </c>
      <c r="C1421" s="39"/>
      <c r="D1421" s="39" t="s">
        <v>8467</v>
      </c>
      <c r="E1421" s="371" t="str">
        <f t="shared" si="125"/>
        <v>おおいし　たくみ</v>
      </c>
      <c r="F1421" s="39" t="s">
        <v>1014</v>
      </c>
      <c r="G1421" s="39" t="s">
        <v>7828</v>
      </c>
      <c r="H1421" s="39" t="str">
        <f>("2015/02/19")</f>
        <v>2015/02/19</v>
      </c>
      <c r="I1421" s="39">
        <v>5</v>
      </c>
      <c r="J1421" s="39" t="s">
        <v>1478</v>
      </c>
      <c r="K1421" s="39" t="s">
        <v>2122</v>
      </c>
      <c r="L1421" s="39" t="s">
        <v>7830</v>
      </c>
      <c r="M1421" s="39" t="s">
        <v>7831</v>
      </c>
      <c r="N1421" s="39" t="str">
        <f>("0513313")</f>
        <v>0513313</v>
      </c>
      <c r="P1421" s="39" t="s">
        <v>12891</v>
      </c>
      <c r="Q1421" s="39" t="s">
        <v>8568</v>
      </c>
      <c r="R1421" s="39" t="s">
        <v>8569</v>
      </c>
      <c r="S1421" s="39" t="s">
        <v>8570</v>
      </c>
      <c r="AA1421" s="39" t="s">
        <v>2122</v>
      </c>
      <c r="AB1421" s="39" t="s">
        <v>7830</v>
      </c>
      <c r="AC1421" s="39" t="s">
        <v>7831</v>
      </c>
      <c r="AD1421" s="39" t="str">
        <f>("0472823")</f>
        <v>0472823</v>
      </c>
      <c r="AE1421" s="39" t="s">
        <v>2619</v>
      </c>
      <c r="AK1421" s="39" t="str">
        <f>("2025/03/17")</f>
        <v>2025/03/17</v>
      </c>
      <c r="AL1421" s="39" t="str">
        <f>("2025/04/01")</f>
        <v>2025/04/01</v>
      </c>
    </row>
    <row r="1422" spans="1:39" x14ac:dyDescent="0.25">
      <c r="A1422" s="39" t="str">
        <f>("1502190182")</f>
        <v>1502190182</v>
      </c>
      <c r="C1422" s="39"/>
      <c r="D1422" s="39" t="s">
        <v>8468</v>
      </c>
      <c r="E1422" s="371" t="str">
        <f t="shared" si="125"/>
        <v>ごとう　りんたろう</v>
      </c>
      <c r="F1422" s="39" t="s">
        <v>1751</v>
      </c>
      <c r="G1422" s="39" t="s">
        <v>7828</v>
      </c>
      <c r="H1422" s="39" t="str">
        <f>("2015/02/19")</f>
        <v>2015/02/19</v>
      </c>
      <c r="I1422" s="39">
        <v>5</v>
      </c>
      <c r="J1422" s="39" t="s">
        <v>1478</v>
      </c>
      <c r="K1422" s="39" t="s">
        <v>2122</v>
      </c>
      <c r="L1422" s="39" t="s">
        <v>7830</v>
      </c>
      <c r="M1422" s="39" t="s">
        <v>7831</v>
      </c>
      <c r="N1422" s="39" t="str">
        <f>("0130453")</f>
        <v>0130453</v>
      </c>
      <c r="P1422" s="39" t="s">
        <v>12892</v>
      </c>
      <c r="Q1422" s="39" t="s">
        <v>8568</v>
      </c>
      <c r="R1422" s="39" t="s">
        <v>8569</v>
      </c>
      <c r="S1422" s="39" t="s">
        <v>8570</v>
      </c>
      <c r="AK1422" s="39" t="str">
        <f>("2025/03/17")</f>
        <v>2025/03/17</v>
      </c>
      <c r="AL1422" s="39" t="str">
        <f>("2025/04/01")</f>
        <v>2025/04/01</v>
      </c>
    </row>
    <row r="1423" spans="1:39" x14ac:dyDescent="0.25">
      <c r="A1423" s="39" t="str">
        <f>("1502200038")</f>
        <v>1502200038</v>
      </c>
      <c r="B1423" s="39" t="s">
        <v>8469</v>
      </c>
      <c r="C1423" s="39"/>
      <c r="D1423" s="39" t="s">
        <v>5910</v>
      </c>
      <c r="E1423" s="371" t="str">
        <f t="shared" si="125"/>
        <v>あなみ　さやと</v>
      </c>
      <c r="F1423" s="39" t="s">
        <v>2530</v>
      </c>
      <c r="G1423" s="39" t="s">
        <v>7828</v>
      </c>
      <c r="H1423" s="39" t="str">
        <f>("2015/02/20")</f>
        <v>2015/02/20</v>
      </c>
      <c r="I1423" s="39">
        <v>5</v>
      </c>
      <c r="J1423" s="39" t="s">
        <v>1478</v>
      </c>
      <c r="K1423" s="39" t="s">
        <v>2122</v>
      </c>
      <c r="L1423" s="39" t="s">
        <v>7830</v>
      </c>
      <c r="M1423" s="39" t="s">
        <v>7831</v>
      </c>
      <c r="N1423" s="39" t="str">
        <f>("0338756")</f>
        <v>0338756</v>
      </c>
      <c r="P1423" s="39" t="s">
        <v>12893</v>
      </c>
      <c r="Q1423" s="39" t="s">
        <v>8568</v>
      </c>
      <c r="R1423" s="39" t="s">
        <v>8569</v>
      </c>
      <c r="S1423" s="39" t="s">
        <v>8570</v>
      </c>
      <c r="AA1423" s="39" t="s">
        <v>2122</v>
      </c>
      <c r="AB1423" s="39" t="s">
        <v>7830</v>
      </c>
      <c r="AC1423" s="39" t="s">
        <v>7831</v>
      </c>
      <c r="AD1423" s="39" t="str">
        <f>("0130633")</f>
        <v>0130633</v>
      </c>
      <c r="AE1423" s="39" t="s">
        <v>639</v>
      </c>
      <c r="AK1423" s="39" t="str">
        <f>("2025/08/22")</f>
        <v>2025/08/22</v>
      </c>
      <c r="AL1423" s="39" t="str">
        <f>("2025/08/22")</f>
        <v>2025/08/22</v>
      </c>
    </row>
    <row r="1424" spans="1:39" x14ac:dyDescent="0.25">
      <c r="A1424" s="39" t="str">
        <f>("1502200125")</f>
        <v>1502200125</v>
      </c>
      <c r="C1424" s="39"/>
      <c r="D1424" s="39" t="s">
        <v>8470</v>
      </c>
      <c r="E1424" s="371" t="str">
        <f t="shared" si="125"/>
        <v>のじり　はる</v>
      </c>
      <c r="F1424" s="39" t="s">
        <v>1751</v>
      </c>
      <c r="G1424" s="39" t="s">
        <v>7828</v>
      </c>
      <c r="H1424" s="39" t="str">
        <f>("2015/02/20")</f>
        <v>2015/02/20</v>
      </c>
      <c r="I1424" s="39">
        <v>5</v>
      </c>
      <c r="J1424" s="39" t="s">
        <v>1478</v>
      </c>
      <c r="K1424" s="39" t="s">
        <v>2122</v>
      </c>
      <c r="L1424" s="39" t="s">
        <v>7830</v>
      </c>
      <c r="M1424" s="39" t="s">
        <v>7831</v>
      </c>
      <c r="N1424" s="39" t="str">
        <f>("0130453")</f>
        <v>0130453</v>
      </c>
      <c r="P1424" s="39" t="s">
        <v>12894</v>
      </c>
      <c r="Q1424" s="39" t="s">
        <v>8568</v>
      </c>
      <c r="R1424" s="39" t="s">
        <v>8569</v>
      </c>
      <c r="S1424" s="39" t="s">
        <v>8570</v>
      </c>
      <c r="AK1424" s="39" t="str">
        <f>("2025/03/17")</f>
        <v>2025/03/17</v>
      </c>
      <c r="AL1424" s="39" t="str">
        <f>("2025/04/01")</f>
        <v>2025/04/01</v>
      </c>
    </row>
    <row r="1425" spans="1:39" x14ac:dyDescent="0.25">
      <c r="A1425" s="39" t="str">
        <f>("1502200143")</f>
        <v>1502200143</v>
      </c>
      <c r="C1425" s="39"/>
      <c r="D1425" s="39" t="s">
        <v>8471</v>
      </c>
      <c r="E1425" s="371" t="str">
        <f t="shared" si="125"/>
        <v>おかむら　わく</v>
      </c>
      <c r="F1425" s="39" t="s">
        <v>2647</v>
      </c>
      <c r="G1425" s="39" t="s">
        <v>7828</v>
      </c>
      <c r="H1425" s="39" t="str">
        <f>("2015/02/20")</f>
        <v>2015/02/20</v>
      </c>
      <c r="I1425" s="39">
        <v>5</v>
      </c>
      <c r="J1425" s="39" t="s">
        <v>1478</v>
      </c>
      <c r="K1425" s="39" t="s">
        <v>2122</v>
      </c>
      <c r="L1425" s="39" t="s">
        <v>7830</v>
      </c>
      <c r="M1425" s="39" t="s">
        <v>7831</v>
      </c>
      <c r="N1425" s="39" t="str">
        <f>("1036817")</f>
        <v>1036817</v>
      </c>
      <c r="P1425" s="39" t="s">
        <v>12895</v>
      </c>
      <c r="Q1425" s="39" t="s">
        <v>8568</v>
      </c>
      <c r="R1425" s="39" t="s">
        <v>8569</v>
      </c>
      <c r="S1425" s="39" t="s">
        <v>8570</v>
      </c>
      <c r="AK1425" s="39" t="str">
        <f>("2025/03/17")</f>
        <v>2025/03/17</v>
      </c>
      <c r="AL1425" s="39" t="str">
        <f>("2025/04/01")</f>
        <v>2025/04/01</v>
      </c>
    </row>
    <row r="1426" spans="1:39" x14ac:dyDescent="0.25">
      <c r="A1426" s="39" t="str">
        <f>("1502200171")</f>
        <v>1502200171</v>
      </c>
      <c r="C1426" s="39"/>
      <c r="D1426" s="39" t="s">
        <v>8472</v>
      </c>
      <c r="E1426" s="371" t="str">
        <f t="shared" si="125"/>
        <v>ふるさわ　けんと</v>
      </c>
      <c r="F1426" s="39" t="s">
        <v>838</v>
      </c>
      <c r="G1426" s="39" t="s">
        <v>7828</v>
      </c>
      <c r="H1426" s="39" t="str">
        <f>("2015/02/20")</f>
        <v>2015/02/20</v>
      </c>
      <c r="I1426" s="39">
        <v>5</v>
      </c>
      <c r="J1426" s="39" t="s">
        <v>1478</v>
      </c>
      <c r="K1426" s="39" t="s">
        <v>2122</v>
      </c>
      <c r="L1426" s="39" t="s">
        <v>7830</v>
      </c>
      <c r="M1426" s="39" t="s">
        <v>7831</v>
      </c>
      <c r="N1426" s="39" t="str">
        <f>("0360021")</f>
        <v>0360021</v>
      </c>
      <c r="P1426" s="39" t="s">
        <v>12896</v>
      </c>
      <c r="Q1426" s="39" t="s">
        <v>8568</v>
      </c>
      <c r="R1426" s="39" t="s">
        <v>8569</v>
      </c>
      <c r="S1426" s="39" t="s">
        <v>8570</v>
      </c>
      <c r="AK1426" s="39" t="str">
        <f>("2025/03/17")</f>
        <v>2025/03/17</v>
      </c>
      <c r="AL1426" s="39" t="str">
        <f>("2025/04/01")</f>
        <v>2025/04/01</v>
      </c>
    </row>
    <row r="1427" spans="1:39" x14ac:dyDescent="0.25">
      <c r="A1427" s="39" t="str">
        <f>("1502200202")</f>
        <v>1502200202</v>
      </c>
      <c r="C1427" s="39"/>
      <c r="D1427" s="39" t="s">
        <v>8473</v>
      </c>
      <c r="E1427" s="371" t="str">
        <f t="shared" si="125"/>
        <v>しおつき　りお</v>
      </c>
      <c r="F1427" s="39" t="s">
        <v>2138</v>
      </c>
      <c r="G1427" s="39" t="s">
        <v>7828</v>
      </c>
      <c r="H1427" s="39" t="str">
        <f>("2015/02/20")</f>
        <v>2015/02/20</v>
      </c>
      <c r="I1427" s="39">
        <v>5</v>
      </c>
      <c r="J1427" s="39" t="s">
        <v>1478</v>
      </c>
      <c r="K1427" s="39" t="s">
        <v>2122</v>
      </c>
      <c r="L1427" s="39" t="s">
        <v>7830</v>
      </c>
      <c r="M1427" s="39" t="s">
        <v>7831</v>
      </c>
      <c r="N1427" s="39" t="str">
        <f>("0130082")</f>
        <v>0130082</v>
      </c>
      <c r="P1427" s="39" t="s">
        <v>12897</v>
      </c>
      <c r="Q1427" s="39" t="s">
        <v>8568</v>
      </c>
      <c r="R1427" s="39" t="s">
        <v>8569</v>
      </c>
      <c r="S1427" s="39" t="s">
        <v>8570</v>
      </c>
      <c r="AK1427" s="39" t="str">
        <f>("2025/03/17")</f>
        <v>2025/03/17</v>
      </c>
      <c r="AL1427" s="39" t="str">
        <f>("2025/04/01")</f>
        <v>2025/04/01</v>
      </c>
      <c r="AM1427" s="39" t="str">
        <f>("2025/04/11")</f>
        <v>2025/04/11</v>
      </c>
    </row>
    <row r="1428" spans="1:39" x14ac:dyDescent="0.25">
      <c r="A1428" s="39" t="str">
        <f>("1502210003")</f>
        <v>1502210003</v>
      </c>
      <c r="C1428" s="39"/>
      <c r="D1428" s="39" t="s">
        <v>8474</v>
      </c>
      <c r="E1428" s="371" t="str">
        <f t="shared" si="125"/>
        <v>わたなべ　しょうま</v>
      </c>
      <c r="F1428" s="39" t="s">
        <v>1917</v>
      </c>
      <c r="G1428" s="39" t="s">
        <v>7876</v>
      </c>
      <c r="H1428" s="39" t="str">
        <f>("2015/02/21")</f>
        <v>2015/02/21</v>
      </c>
      <c r="I1428" s="39">
        <v>5</v>
      </c>
      <c r="J1428" s="39" t="s">
        <v>1478</v>
      </c>
      <c r="K1428" s="39" t="s">
        <v>2122</v>
      </c>
      <c r="L1428" s="39" t="s">
        <v>7830</v>
      </c>
      <c r="M1428" s="39" t="s">
        <v>7831</v>
      </c>
      <c r="N1428" s="39" t="str">
        <f>("1032161")</f>
        <v>1032161</v>
      </c>
      <c r="P1428" s="39" t="s">
        <v>12898</v>
      </c>
      <c r="Q1428" s="39" t="s">
        <v>8568</v>
      </c>
      <c r="R1428" s="39" t="s">
        <v>8569</v>
      </c>
      <c r="S1428" s="39" t="s">
        <v>8570</v>
      </c>
      <c r="AA1428" s="39" t="s">
        <v>2122</v>
      </c>
      <c r="AB1428" s="39" t="s">
        <v>7830</v>
      </c>
      <c r="AC1428" s="39" t="s">
        <v>7831</v>
      </c>
      <c r="AD1428" s="39" t="str">
        <f>("0130756")</f>
        <v>0130756</v>
      </c>
      <c r="AE1428" s="39" t="s">
        <v>5617</v>
      </c>
      <c r="AK1428" s="39" t="str">
        <f>("2025/03/21")</f>
        <v>2025/03/21</v>
      </c>
      <c r="AL1428" s="39" t="str">
        <f>("2025/04/01")</f>
        <v>2025/04/01</v>
      </c>
      <c r="AM1428" s="39" t="str">
        <f>("2025/12/02")</f>
        <v>2025/12/02</v>
      </c>
    </row>
    <row r="1429" spans="1:39" x14ac:dyDescent="0.25">
      <c r="A1429" s="39" t="str">
        <f>("1502210037")</f>
        <v>1502210037</v>
      </c>
      <c r="B1429" s="39" t="s">
        <v>8475</v>
      </c>
      <c r="C1429" s="39"/>
      <c r="D1429" s="39" t="s">
        <v>8476</v>
      </c>
      <c r="E1429" s="371" t="str">
        <f t="shared" si="125"/>
        <v>わきさか　そらと</v>
      </c>
      <c r="F1429" s="39" t="s">
        <v>829</v>
      </c>
      <c r="G1429" s="39" t="s">
        <v>7828</v>
      </c>
      <c r="H1429" s="39" t="str">
        <f>("2015/02/21")</f>
        <v>2015/02/21</v>
      </c>
      <c r="I1429" s="39">
        <v>5</v>
      </c>
      <c r="J1429" s="39" t="s">
        <v>1478</v>
      </c>
      <c r="K1429" s="39" t="s">
        <v>2122</v>
      </c>
      <c r="L1429" s="39" t="s">
        <v>7830</v>
      </c>
      <c r="M1429" s="39" t="s">
        <v>7831</v>
      </c>
      <c r="N1429" s="39" t="str">
        <f>("0426631")</f>
        <v>0426631</v>
      </c>
      <c r="P1429" s="39" t="s">
        <v>12899</v>
      </c>
      <c r="Q1429" s="39" t="s">
        <v>8568</v>
      </c>
      <c r="R1429" s="39" t="s">
        <v>8569</v>
      </c>
      <c r="S1429" s="39" t="s">
        <v>8570</v>
      </c>
      <c r="AA1429" s="39" t="s">
        <v>2122</v>
      </c>
      <c r="AB1429" s="39" t="s">
        <v>7830</v>
      </c>
      <c r="AC1429" s="39" t="s">
        <v>7831</v>
      </c>
      <c r="AD1429" s="39" t="str">
        <f>("0130475")</f>
        <v>0130475</v>
      </c>
      <c r="AE1429" s="39" t="s">
        <v>2024</v>
      </c>
      <c r="AK1429" s="39" t="str">
        <f>("2025/12/03")</f>
        <v>2025/12/03</v>
      </c>
      <c r="AL1429" s="39" t="str">
        <f>("2025/12/03")</f>
        <v>2025/12/03</v>
      </c>
    </row>
    <row r="1430" spans="1:39" x14ac:dyDescent="0.25">
      <c r="A1430" s="39" t="str">
        <f>("1502210122")</f>
        <v>1502210122</v>
      </c>
      <c r="C1430" s="39"/>
      <c r="D1430" s="39" t="s">
        <v>8477</v>
      </c>
      <c r="E1430" s="371" t="str">
        <f t="shared" si="125"/>
        <v>おおが　あさひ</v>
      </c>
      <c r="F1430" s="39" t="s">
        <v>2573</v>
      </c>
      <c r="G1430" s="39" t="s">
        <v>7828</v>
      </c>
      <c r="H1430" s="39" t="str">
        <f>("2015/02/21")</f>
        <v>2015/02/21</v>
      </c>
      <c r="I1430" s="39">
        <v>5</v>
      </c>
      <c r="J1430" s="39" t="s">
        <v>1478</v>
      </c>
      <c r="K1430" s="39" t="s">
        <v>2122</v>
      </c>
      <c r="L1430" s="39" t="s">
        <v>7830</v>
      </c>
      <c r="M1430" s="39" t="s">
        <v>7831</v>
      </c>
      <c r="N1430" s="39" t="str">
        <f>("0230982")</f>
        <v>0230982</v>
      </c>
      <c r="P1430" s="39" t="s">
        <v>12900</v>
      </c>
      <c r="Q1430" s="39" t="s">
        <v>8568</v>
      </c>
      <c r="R1430" s="39" t="s">
        <v>8569</v>
      </c>
      <c r="S1430" s="39" t="s">
        <v>8570</v>
      </c>
      <c r="AK1430" s="39" t="str">
        <f>("2025/03/17")</f>
        <v>2025/03/17</v>
      </c>
      <c r="AL1430" s="39" t="str">
        <f t="shared" ref="AL1430:AL1463" si="126">("2025/04/01")</f>
        <v>2025/04/01</v>
      </c>
    </row>
    <row r="1431" spans="1:39" x14ac:dyDescent="0.25">
      <c r="A1431" s="39" t="str">
        <f>("1502210130")</f>
        <v>1502210130</v>
      </c>
      <c r="C1431" s="39"/>
      <c r="D1431" s="39" t="s">
        <v>8478</v>
      </c>
      <c r="E1431" s="371" t="str">
        <f t="shared" si="125"/>
        <v>はらだ　じょう</v>
      </c>
      <c r="F1431" s="39" t="s">
        <v>1446</v>
      </c>
      <c r="G1431" s="39" t="s">
        <v>7828</v>
      </c>
      <c r="H1431" s="39" t="str">
        <f>("2015/02/21")</f>
        <v>2015/02/21</v>
      </c>
      <c r="I1431" s="39">
        <v>5</v>
      </c>
      <c r="J1431" s="39" t="s">
        <v>1478</v>
      </c>
      <c r="K1431" s="39" t="s">
        <v>2122</v>
      </c>
      <c r="L1431" s="39" t="s">
        <v>7830</v>
      </c>
      <c r="M1431" s="39" t="s">
        <v>7831</v>
      </c>
      <c r="N1431" s="39" t="str">
        <f>("0478807")</f>
        <v>0478807</v>
      </c>
      <c r="P1431" s="39" t="s">
        <v>12901</v>
      </c>
      <c r="Q1431" s="39" t="s">
        <v>8568</v>
      </c>
      <c r="R1431" s="39" t="s">
        <v>8569</v>
      </c>
      <c r="S1431" s="39" t="s">
        <v>8570</v>
      </c>
      <c r="AK1431" s="39" t="str">
        <f>("2025/03/21")</f>
        <v>2025/03/21</v>
      </c>
      <c r="AL1431" s="39" t="str">
        <f t="shared" si="126"/>
        <v>2025/04/01</v>
      </c>
    </row>
    <row r="1432" spans="1:39" x14ac:dyDescent="0.25">
      <c r="A1432" s="39" t="str">
        <f>("1502230094")</f>
        <v>1502230094</v>
      </c>
      <c r="C1432" s="39"/>
      <c r="D1432" s="39" t="s">
        <v>8479</v>
      </c>
      <c r="E1432" s="371" t="str">
        <f t="shared" si="125"/>
        <v>ふじかわ　けいすけ</v>
      </c>
      <c r="F1432" s="39" t="s">
        <v>827</v>
      </c>
      <c r="G1432" s="39" t="s">
        <v>7876</v>
      </c>
      <c r="H1432" s="39" t="str">
        <f>("2015/02/23")</f>
        <v>2015/02/23</v>
      </c>
      <c r="I1432" s="39">
        <v>5</v>
      </c>
      <c r="J1432" s="39" t="s">
        <v>1478</v>
      </c>
      <c r="K1432" s="39" t="s">
        <v>2122</v>
      </c>
      <c r="L1432" s="39" t="s">
        <v>7830</v>
      </c>
      <c r="M1432" s="39" t="s">
        <v>7831</v>
      </c>
      <c r="N1432" s="39" t="str">
        <f>("0504908")</f>
        <v>0504908</v>
      </c>
      <c r="P1432" s="39" t="s">
        <v>12902</v>
      </c>
      <c r="Q1432" s="39" t="s">
        <v>8568</v>
      </c>
      <c r="R1432" s="39" t="s">
        <v>8569</v>
      </c>
      <c r="S1432" s="39" t="s">
        <v>8570</v>
      </c>
      <c r="AK1432" s="39" t="str">
        <f>("2025/03/21")</f>
        <v>2025/03/21</v>
      </c>
      <c r="AL1432" s="39" t="str">
        <f t="shared" si="126"/>
        <v>2025/04/01</v>
      </c>
      <c r="AM1432" s="39" t="str">
        <f>("2025/09/22")</f>
        <v>2025/09/22</v>
      </c>
    </row>
    <row r="1433" spans="1:39" x14ac:dyDescent="0.25">
      <c r="A1433" s="39" t="str">
        <f>("1502230153")</f>
        <v>1502230153</v>
      </c>
      <c r="C1433" s="39"/>
      <c r="D1433" s="39" t="s">
        <v>6163</v>
      </c>
      <c r="E1433" s="371" t="str">
        <f t="shared" si="125"/>
        <v>こうの　けんしん</v>
      </c>
      <c r="F1433" s="39" t="s">
        <v>1095</v>
      </c>
      <c r="G1433" s="39" t="s">
        <v>7828</v>
      </c>
      <c r="H1433" s="39" t="str">
        <f>("2015/02/23")</f>
        <v>2015/02/23</v>
      </c>
      <c r="I1433" s="39">
        <v>5</v>
      </c>
      <c r="J1433" s="39" t="s">
        <v>1478</v>
      </c>
      <c r="K1433" s="39" t="s">
        <v>2122</v>
      </c>
      <c r="L1433" s="39" t="s">
        <v>7830</v>
      </c>
      <c r="M1433" s="39" t="s">
        <v>7831</v>
      </c>
      <c r="N1433" s="39" t="str">
        <f>("0487492")</f>
        <v>0487492</v>
      </c>
      <c r="P1433" s="39" t="s">
        <v>12903</v>
      </c>
      <c r="Q1433" s="39" t="s">
        <v>8568</v>
      </c>
      <c r="R1433" s="39" t="s">
        <v>8569</v>
      </c>
      <c r="S1433" s="39" t="s">
        <v>8570</v>
      </c>
      <c r="AK1433" s="39" t="str">
        <f>("2025/03/21")</f>
        <v>2025/03/21</v>
      </c>
      <c r="AL1433" s="39" t="str">
        <f t="shared" si="126"/>
        <v>2025/04/01</v>
      </c>
      <c r="AM1433" s="39" t="str">
        <f>("2025/04/11")</f>
        <v>2025/04/11</v>
      </c>
    </row>
    <row r="1434" spans="1:39" x14ac:dyDescent="0.25">
      <c r="A1434" s="39" t="str">
        <f>("1502240011")</f>
        <v>1502240011</v>
      </c>
      <c r="C1434" s="39"/>
      <c r="D1434" s="39" t="s">
        <v>8480</v>
      </c>
      <c r="E1434" s="371" t="str">
        <f t="shared" si="125"/>
        <v>いのうえ　しおん</v>
      </c>
      <c r="F1434" s="39" t="s">
        <v>639</v>
      </c>
      <c r="G1434" s="39" t="s">
        <v>7828</v>
      </c>
      <c r="H1434" s="39" t="str">
        <f>("2015/02/24")</f>
        <v>2015/02/24</v>
      </c>
      <c r="I1434" s="39">
        <v>5</v>
      </c>
      <c r="J1434" s="39" t="s">
        <v>1478</v>
      </c>
      <c r="K1434" s="39" t="s">
        <v>2122</v>
      </c>
      <c r="L1434" s="39" t="s">
        <v>7830</v>
      </c>
      <c r="M1434" s="39" t="s">
        <v>7831</v>
      </c>
      <c r="N1434" s="39" t="str">
        <f>("0130633")</f>
        <v>0130633</v>
      </c>
      <c r="P1434" s="39" t="s">
        <v>12904</v>
      </c>
      <c r="Q1434" s="39" t="s">
        <v>8568</v>
      </c>
      <c r="R1434" s="39" t="s">
        <v>8569</v>
      </c>
      <c r="S1434" s="39" t="s">
        <v>8570</v>
      </c>
      <c r="AK1434" s="39" t="str">
        <f>("2025/03/17")</f>
        <v>2025/03/17</v>
      </c>
      <c r="AL1434" s="39" t="str">
        <f t="shared" si="126"/>
        <v>2025/04/01</v>
      </c>
    </row>
    <row r="1435" spans="1:39" x14ac:dyDescent="0.25">
      <c r="A1435" s="39" t="str">
        <f>("1502240012")</f>
        <v>1502240012</v>
      </c>
      <c r="C1435" s="39"/>
      <c r="D1435" s="39" t="s">
        <v>8481</v>
      </c>
      <c r="E1435" s="371" t="str">
        <f t="shared" si="125"/>
        <v>いのうえ　かずし</v>
      </c>
      <c r="F1435" s="39" t="s">
        <v>639</v>
      </c>
      <c r="G1435" s="39" t="s">
        <v>7828</v>
      </c>
      <c r="H1435" s="39" t="str">
        <f>("2015/02/24")</f>
        <v>2015/02/24</v>
      </c>
      <c r="I1435" s="39">
        <v>5</v>
      </c>
      <c r="J1435" s="39" t="s">
        <v>1478</v>
      </c>
      <c r="K1435" s="39" t="s">
        <v>2122</v>
      </c>
      <c r="L1435" s="39" t="s">
        <v>7830</v>
      </c>
      <c r="M1435" s="39" t="s">
        <v>7831</v>
      </c>
      <c r="N1435" s="39" t="str">
        <f>("0130633")</f>
        <v>0130633</v>
      </c>
      <c r="P1435" s="39" t="s">
        <v>12905</v>
      </c>
      <c r="Q1435" s="39" t="s">
        <v>8568</v>
      </c>
      <c r="R1435" s="39" t="s">
        <v>8569</v>
      </c>
      <c r="S1435" s="39" t="s">
        <v>8570</v>
      </c>
      <c r="AK1435" s="39" t="str">
        <f>("2025/03/17")</f>
        <v>2025/03/17</v>
      </c>
      <c r="AL1435" s="39" t="str">
        <f t="shared" si="126"/>
        <v>2025/04/01</v>
      </c>
      <c r="AM1435" s="39" t="str">
        <f>("2025/04/08")</f>
        <v>2025/04/08</v>
      </c>
    </row>
    <row r="1436" spans="1:39" x14ac:dyDescent="0.25">
      <c r="A1436" s="39" t="str">
        <f>("1502240133")</f>
        <v>1502240133</v>
      </c>
      <c r="C1436" s="39"/>
      <c r="D1436" s="39" t="s">
        <v>8482</v>
      </c>
      <c r="E1436" s="371" t="str">
        <f t="shared" si="125"/>
        <v>にし　きいちろう</v>
      </c>
      <c r="F1436" s="39" t="s">
        <v>947</v>
      </c>
      <c r="G1436" s="39" t="s">
        <v>7828</v>
      </c>
      <c r="H1436" s="39" t="str">
        <f>("2015/02/24")</f>
        <v>2015/02/24</v>
      </c>
      <c r="I1436" s="39">
        <v>5</v>
      </c>
      <c r="J1436" s="39" t="s">
        <v>1478</v>
      </c>
      <c r="K1436" s="39" t="s">
        <v>2122</v>
      </c>
      <c r="L1436" s="39" t="s">
        <v>7830</v>
      </c>
      <c r="M1436" s="39" t="s">
        <v>7831</v>
      </c>
      <c r="N1436" s="39" t="str">
        <f>("0130183")</f>
        <v>0130183</v>
      </c>
      <c r="P1436" s="39" t="s">
        <v>12906</v>
      </c>
      <c r="Q1436" s="39" t="s">
        <v>8568</v>
      </c>
      <c r="R1436" s="39" t="s">
        <v>8569</v>
      </c>
      <c r="S1436" s="39" t="s">
        <v>8570</v>
      </c>
      <c r="AK1436" s="39" t="str">
        <f>("2025/03/27")</f>
        <v>2025/03/27</v>
      </c>
      <c r="AL1436" s="39" t="str">
        <f t="shared" si="126"/>
        <v>2025/04/01</v>
      </c>
    </row>
    <row r="1437" spans="1:39" x14ac:dyDescent="0.25">
      <c r="A1437" s="39" t="str">
        <f>("1502240201")</f>
        <v>1502240201</v>
      </c>
      <c r="C1437" s="39"/>
      <c r="D1437" s="39" t="s">
        <v>8483</v>
      </c>
      <c r="E1437" s="371" t="str">
        <f t="shared" si="125"/>
        <v>かまもと　そうた</v>
      </c>
      <c r="F1437" s="39" t="s">
        <v>2479</v>
      </c>
      <c r="G1437" s="39" t="s">
        <v>7828</v>
      </c>
      <c r="H1437" s="39" t="str">
        <f>("2015/02/24")</f>
        <v>2015/02/24</v>
      </c>
      <c r="I1437" s="39">
        <v>5</v>
      </c>
      <c r="J1437" s="39" t="s">
        <v>1478</v>
      </c>
      <c r="K1437" s="39" t="s">
        <v>2122</v>
      </c>
      <c r="L1437" s="39" t="s">
        <v>7830</v>
      </c>
      <c r="M1437" s="39" t="s">
        <v>7831</v>
      </c>
      <c r="N1437" s="39" t="str">
        <f>("0129608")</f>
        <v>0129608</v>
      </c>
      <c r="P1437" s="39" t="s">
        <v>12907</v>
      </c>
      <c r="Q1437" s="39" t="s">
        <v>8568</v>
      </c>
      <c r="R1437" s="39" t="s">
        <v>8569</v>
      </c>
      <c r="S1437" s="39" t="s">
        <v>8570</v>
      </c>
      <c r="AK1437" s="39" t="str">
        <f>("2025/03/17")</f>
        <v>2025/03/17</v>
      </c>
      <c r="AL1437" s="39" t="str">
        <f t="shared" si="126"/>
        <v>2025/04/01</v>
      </c>
    </row>
    <row r="1438" spans="1:39" x14ac:dyDescent="0.25">
      <c r="A1438" s="39" t="str">
        <f>("1502250170")</f>
        <v>1502250170</v>
      </c>
      <c r="C1438" s="39"/>
      <c r="D1438" s="39" t="s">
        <v>8484</v>
      </c>
      <c r="E1438" s="371" t="str">
        <f t="shared" si="125"/>
        <v>えぐち　あやと</v>
      </c>
      <c r="F1438" s="39" t="s">
        <v>8485</v>
      </c>
      <c r="G1438" s="39" t="s">
        <v>7876</v>
      </c>
      <c r="H1438" s="39" t="str">
        <f>("2015/02/25")</f>
        <v>2015/02/25</v>
      </c>
      <c r="I1438" s="39">
        <v>5</v>
      </c>
      <c r="J1438" s="39" t="s">
        <v>1478</v>
      </c>
      <c r="K1438" s="39" t="s">
        <v>2122</v>
      </c>
      <c r="L1438" s="39" t="s">
        <v>7830</v>
      </c>
      <c r="M1438" s="39" t="s">
        <v>7831</v>
      </c>
      <c r="N1438" s="39" t="str">
        <f>("0130666")</f>
        <v>0130666</v>
      </c>
      <c r="P1438" s="39" t="s">
        <v>12908</v>
      </c>
      <c r="Q1438" s="39" t="s">
        <v>8568</v>
      </c>
      <c r="R1438" s="39" t="s">
        <v>8569</v>
      </c>
      <c r="S1438" s="39" t="s">
        <v>8570</v>
      </c>
      <c r="AK1438" s="39" t="str">
        <f>("2025/03/24")</f>
        <v>2025/03/24</v>
      </c>
      <c r="AL1438" s="39" t="str">
        <f t="shared" si="126"/>
        <v>2025/04/01</v>
      </c>
      <c r="AM1438" s="39" t="str">
        <f>("2025/04/22")</f>
        <v>2025/04/22</v>
      </c>
    </row>
    <row r="1439" spans="1:39" x14ac:dyDescent="0.25">
      <c r="A1439" s="39" t="str">
        <f>("1502260137")</f>
        <v>1502260137</v>
      </c>
      <c r="C1439" s="39"/>
      <c r="D1439" s="39" t="s">
        <v>6146</v>
      </c>
      <c r="E1439" s="371" t="str">
        <f t="shared" si="125"/>
        <v>なりまつ　ひびき</v>
      </c>
      <c r="F1439" s="39" t="s">
        <v>2323</v>
      </c>
      <c r="G1439" s="39" t="s">
        <v>7876</v>
      </c>
      <c r="H1439" s="39" t="str">
        <f>("2015/02/26")</f>
        <v>2015/02/26</v>
      </c>
      <c r="I1439" s="39">
        <v>5</v>
      </c>
      <c r="J1439" s="39" t="s">
        <v>1478</v>
      </c>
      <c r="K1439" s="39" t="s">
        <v>2122</v>
      </c>
      <c r="L1439" s="39" t="s">
        <v>7830</v>
      </c>
      <c r="M1439" s="39" t="s">
        <v>7831</v>
      </c>
      <c r="N1439" s="39" t="str">
        <f>("0472722")</f>
        <v>0472722</v>
      </c>
      <c r="P1439" s="39" t="s">
        <v>12909</v>
      </c>
      <c r="Q1439" s="39" t="s">
        <v>8568</v>
      </c>
      <c r="R1439" s="39" t="s">
        <v>8569</v>
      </c>
      <c r="S1439" s="39" t="s">
        <v>8570</v>
      </c>
      <c r="AK1439" s="39" t="str">
        <f>("2025/03/17")</f>
        <v>2025/03/17</v>
      </c>
      <c r="AL1439" s="39" t="str">
        <f t="shared" si="126"/>
        <v>2025/04/01</v>
      </c>
      <c r="AM1439" s="39" t="str">
        <f>("2025/07/03")</f>
        <v>2025/07/03</v>
      </c>
    </row>
    <row r="1440" spans="1:39" x14ac:dyDescent="0.25">
      <c r="A1440" s="39" t="str">
        <f>("1502270025")</f>
        <v>1502270025</v>
      </c>
      <c r="B1440" s="39" t="s">
        <v>8486</v>
      </c>
      <c r="C1440" s="39"/>
      <c r="D1440" s="39" t="s">
        <v>5788</v>
      </c>
      <c r="E1440" s="371" t="str">
        <f t="shared" si="125"/>
        <v>さこだ　やまと</v>
      </c>
      <c r="F1440" s="39" t="s">
        <v>2516</v>
      </c>
      <c r="G1440" s="39" t="s">
        <v>7828</v>
      </c>
      <c r="H1440" s="39" t="str">
        <f>("2015/02/27")</f>
        <v>2015/02/27</v>
      </c>
      <c r="I1440" s="39">
        <v>5</v>
      </c>
      <c r="J1440" s="39" t="s">
        <v>1478</v>
      </c>
      <c r="K1440" s="39" t="s">
        <v>2122</v>
      </c>
      <c r="L1440" s="39" t="s">
        <v>7830</v>
      </c>
      <c r="M1440" s="39" t="s">
        <v>7831</v>
      </c>
      <c r="N1440" s="39" t="str">
        <f>("0130116")</f>
        <v>0130116</v>
      </c>
      <c r="P1440" s="39" t="s">
        <v>12910</v>
      </c>
      <c r="Q1440" s="39" t="s">
        <v>8568</v>
      </c>
      <c r="R1440" s="39" t="s">
        <v>8569</v>
      </c>
      <c r="S1440" s="39" t="s">
        <v>8570</v>
      </c>
      <c r="AK1440" s="39" t="str">
        <f>("2025/03/25")</f>
        <v>2025/03/25</v>
      </c>
      <c r="AL1440" s="39" t="str">
        <f t="shared" si="126"/>
        <v>2025/04/01</v>
      </c>
    </row>
    <row r="1441" spans="1:39" x14ac:dyDescent="0.25">
      <c r="A1441" s="39" t="str">
        <f>("1502270034")</f>
        <v>1502270034</v>
      </c>
      <c r="C1441" s="39"/>
      <c r="D1441" s="39" t="s">
        <v>8487</v>
      </c>
      <c r="E1441" s="371" t="str">
        <f t="shared" si="125"/>
        <v>ふるかわ　とうせい</v>
      </c>
      <c r="F1441" s="39" t="s">
        <v>2619</v>
      </c>
      <c r="G1441" s="39" t="s">
        <v>7828</v>
      </c>
      <c r="H1441" s="39" t="str">
        <f>("2015/02/27")</f>
        <v>2015/02/27</v>
      </c>
      <c r="I1441" s="39">
        <v>5</v>
      </c>
      <c r="J1441" s="39" t="s">
        <v>1478</v>
      </c>
      <c r="K1441" s="39" t="s">
        <v>2122</v>
      </c>
      <c r="L1441" s="39" t="s">
        <v>7830</v>
      </c>
      <c r="M1441" s="39" t="s">
        <v>7831</v>
      </c>
      <c r="N1441" s="39" t="str">
        <f>("0472823")</f>
        <v>0472823</v>
      </c>
      <c r="P1441" s="39" t="s">
        <v>12911</v>
      </c>
      <c r="Q1441" s="39" t="s">
        <v>8568</v>
      </c>
      <c r="R1441" s="39" t="s">
        <v>8569</v>
      </c>
      <c r="S1441" s="39" t="s">
        <v>8570</v>
      </c>
      <c r="AA1441" s="39" t="s">
        <v>2122</v>
      </c>
      <c r="AB1441" s="39" t="s">
        <v>7830</v>
      </c>
      <c r="AC1441" s="39" t="s">
        <v>7831</v>
      </c>
      <c r="AD1441" s="39" t="str">
        <f>("0230982")</f>
        <v>0230982</v>
      </c>
      <c r="AE1441" s="39" t="s">
        <v>2573</v>
      </c>
      <c r="AK1441" s="39" t="str">
        <f>("2025/03/17")</f>
        <v>2025/03/17</v>
      </c>
      <c r="AL1441" s="39" t="str">
        <f t="shared" si="126"/>
        <v>2025/04/01</v>
      </c>
    </row>
    <row r="1442" spans="1:39" x14ac:dyDescent="0.25">
      <c r="A1442" s="39" t="str">
        <f>("1502270188")</f>
        <v>1502270188</v>
      </c>
      <c r="C1442" s="39"/>
      <c r="D1442" s="39" t="s">
        <v>5643</v>
      </c>
      <c r="E1442" s="371" t="str">
        <f t="shared" si="125"/>
        <v>ごとう　いつじ</v>
      </c>
      <c r="F1442" s="39" t="s">
        <v>684</v>
      </c>
      <c r="G1442" s="39" t="s">
        <v>7828</v>
      </c>
      <c r="H1442" s="39" t="str">
        <f>("2015/02/27")</f>
        <v>2015/02/27</v>
      </c>
      <c r="I1442" s="39">
        <v>5</v>
      </c>
      <c r="J1442" s="39" t="s">
        <v>1478</v>
      </c>
      <c r="K1442" s="39" t="s">
        <v>2122</v>
      </c>
      <c r="L1442" s="39" t="s">
        <v>7830</v>
      </c>
      <c r="M1442" s="39" t="s">
        <v>7831</v>
      </c>
      <c r="N1442" s="39" t="str">
        <f>("0129518")</f>
        <v>0129518</v>
      </c>
      <c r="P1442" s="39" t="s">
        <v>12912</v>
      </c>
      <c r="Q1442" s="39" t="s">
        <v>8568</v>
      </c>
      <c r="R1442" s="39" t="s">
        <v>8569</v>
      </c>
      <c r="S1442" s="39" t="s">
        <v>8570</v>
      </c>
      <c r="AK1442" s="39" t="str">
        <f>("2025/03/17")</f>
        <v>2025/03/17</v>
      </c>
      <c r="AL1442" s="39" t="str">
        <f t="shared" si="126"/>
        <v>2025/04/01</v>
      </c>
    </row>
    <row r="1443" spans="1:39" x14ac:dyDescent="0.25">
      <c r="A1443" s="39" t="str">
        <f>("1502280059")</f>
        <v>1502280059</v>
      </c>
      <c r="B1443" s="39" t="s">
        <v>8488</v>
      </c>
      <c r="C1443" s="39"/>
      <c r="D1443" s="39" t="s">
        <v>8489</v>
      </c>
      <c r="E1443" s="371" t="str">
        <f t="shared" si="125"/>
        <v>こじま　ひろと</v>
      </c>
      <c r="F1443" s="39" t="s">
        <v>1207</v>
      </c>
      <c r="G1443" s="39" t="s">
        <v>7828</v>
      </c>
      <c r="H1443" s="39" t="str">
        <f>("2015/02/28")</f>
        <v>2015/02/28</v>
      </c>
      <c r="I1443" s="39">
        <v>5</v>
      </c>
      <c r="J1443" s="39" t="s">
        <v>1478</v>
      </c>
      <c r="K1443" s="39" t="s">
        <v>2122</v>
      </c>
      <c r="L1443" s="39" t="s">
        <v>7830</v>
      </c>
      <c r="M1443" s="39" t="s">
        <v>7831</v>
      </c>
      <c r="N1443" s="39" t="str">
        <f>("0381608")</f>
        <v>0381608</v>
      </c>
      <c r="P1443" s="39" t="s">
        <v>12913</v>
      </c>
      <c r="Q1443" s="39" t="s">
        <v>8568</v>
      </c>
      <c r="R1443" s="39" t="s">
        <v>8569</v>
      </c>
      <c r="S1443" s="39" t="s">
        <v>8570</v>
      </c>
      <c r="AA1443" s="39" t="s">
        <v>2122</v>
      </c>
      <c r="AB1443" s="39" t="s">
        <v>7830</v>
      </c>
      <c r="AC1443" s="39" t="s">
        <v>7831</v>
      </c>
      <c r="AD1443" s="39" t="str">
        <f>("0487492")</f>
        <v>0487492</v>
      </c>
      <c r="AE1443" s="39" t="s">
        <v>1095</v>
      </c>
      <c r="AK1443" s="39" t="str">
        <f>("2025/03/21")</f>
        <v>2025/03/21</v>
      </c>
      <c r="AL1443" s="39" t="str">
        <f t="shared" si="126"/>
        <v>2025/04/01</v>
      </c>
    </row>
    <row r="1444" spans="1:39" x14ac:dyDescent="0.25">
      <c r="A1444" s="39" t="str">
        <f>("1502280103")</f>
        <v>1502280103</v>
      </c>
      <c r="C1444" s="39"/>
      <c r="D1444" s="39" t="s">
        <v>8490</v>
      </c>
      <c r="E1444" s="371" t="str">
        <f t="shared" si="125"/>
        <v>いわや　ゆうと</v>
      </c>
      <c r="F1444" s="39" t="s">
        <v>2350</v>
      </c>
      <c r="G1444" s="39" t="s">
        <v>7828</v>
      </c>
      <c r="H1444" s="39" t="str">
        <f>("2015/02/28")</f>
        <v>2015/02/28</v>
      </c>
      <c r="I1444" s="39">
        <v>5</v>
      </c>
      <c r="J1444" s="39" t="s">
        <v>1478</v>
      </c>
      <c r="K1444" s="39" t="s">
        <v>2122</v>
      </c>
      <c r="L1444" s="39" t="s">
        <v>7830</v>
      </c>
      <c r="M1444" s="39" t="s">
        <v>7831</v>
      </c>
      <c r="N1444" s="39" t="str">
        <f>("0360032")</f>
        <v>0360032</v>
      </c>
      <c r="P1444" s="39" t="s">
        <v>12914</v>
      </c>
      <c r="Q1444" s="39" t="s">
        <v>8568</v>
      </c>
      <c r="R1444" s="39" t="s">
        <v>8569</v>
      </c>
      <c r="S1444" s="39" t="s">
        <v>8570</v>
      </c>
      <c r="AK1444" s="39" t="str">
        <f>("2025/03/17")</f>
        <v>2025/03/17</v>
      </c>
      <c r="AL1444" s="39" t="str">
        <f t="shared" si="126"/>
        <v>2025/04/01</v>
      </c>
    </row>
    <row r="1445" spans="1:39" x14ac:dyDescent="0.25">
      <c r="A1445" s="39" t="str">
        <f>("1502280115")</f>
        <v>1502280115</v>
      </c>
      <c r="C1445" s="39"/>
      <c r="D1445" s="39" t="s">
        <v>5650</v>
      </c>
      <c r="E1445" s="371" t="str">
        <f t="shared" si="125"/>
        <v>まつき　そうし</v>
      </c>
      <c r="F1445" s="39" t="s">
        <v>684</v>
      </c>
      <c r="G1445" s="39" t="s">
        <v>7828</v>
      </c>
      <c r="H1445" s="39" t="str">
        <f>("2015/02/28")</f>
        <v>2015/02/28</v>
      </c>
      <c r="I1445" s="39">
        <v>5</v>
      </c>
      <c r="J1445" s="39" t="s">
        <v>1478</v>
      </c>
      <c r="K1445" s="39" t="s">
        <v>2122</v>
      </c>
      <c r="L1445" s="39" t="s">
        <v>7830</v>
      </c>
      <c r="M1445" s="39" t="s">
        <v>7831</v>
      </c>
      <c r="N1445" s="39" t="str">
        <f>("0129518")</f>
        <v>0129518</v>
      </c>
      <c r="P1445" s="39" t="s">
        <v>12915</v>
      </c>
      <c r="Q1445" s="39" t="s">
        <v>8568</v>
      </c>
      <c r="R1445" s="39" t="s">
        <v>8569</v>
      </c>
      <c r="S1445" s="39" t="s">
        <v>8570</v>
      </c>
      <c r="AK1445" s="39" t="str">
        <f>("2025/03/17")</f>
        <v>2025/03/17</v>
      </c>
      <c r="AL1445" s="39" t="str">
        <f t="shared" si="126"/>
        <v>2025/04/01</v>
      </c>
    </row>
    <row r="1446" spans="1:39" x14ac:dyDescent="0.25">
      <c r="A1446" s="39" t="str">
        <f>("1503010066")</f>
        <v>1503010066</v>
      </c>
      <c r="C1446" s="39"/>
      <c r="D1446" s="39" t="s">
        <v>5988</v>
      </c>
      <c r="E1446" s="371" t="str">
        <f t="shared" si="125"/>
        <v>おおの　りく</v>
      </c>
      <c r="F1446" s="39" t="s">
        <v>2821</v>
      </c>
      <c r="G1446" s="39" t="s">
        <v>7828</v>
      </c>
      <c r="H1446" s="39" t="str">
        <f>("2016/03/01")</f>
        <v>2016/03/01</v>
      </c>
      <c r="I1446" s="39">
        <v>4</v>
      </c>
      <c r="J1446" s="39" t="s">
        <v>1478</v>
      </c>
      <c r="K1446" s="39" t="s">
        <v>2122</v>
      </c>
      <c r="L1446" s="39" t="s">
        <v>7830</v>
      </c>
      <c r="M1446" s="39" t="s">
        <v>7831</v>
      </c>
      <c r="N1446" s="39" t="str">
        <f>("0237631")</f>
        <v>0237631</v>
      </c>
      <c r="P1446" s="39" t="s">
        <v>12916</v>
      </c>
      <c r="Q1446" s="39" t="s">
        <v>8568</v>
      </c>
      <c r="R1446" s="39" t="s">
        <v>8569</v>
      </c>
      <c r="S1446" s="39" t="s">
        <v>8570</v>
      </c>
      <c r="AK1446" s="39" t="str">
        <f>("2025/03/17")</f>
        <v>2025/03/17</v>
      </c>
      <c r="AL1446" s="39" t="str">
        <f t="shared" si="126"/>
        <v>2025/04/01</v>
      </c>
      <c r="AM1446" s="39" t="str">
        <f>("2025/09/10")</f>
        <v>2025/09/10</v>
      </c>
    </row>
    <row r="1447" spans="1:39" x14ac:dyDescent="0.25">
      <c r="A1447" s="39" t="str">
        <f>("1503030176")</f>
        <v>1503030176</v>
      </c>
      <c r="C1447" s="39"/>
      <c r="D1447" s="39" t="s">
        <v>8491</v>
      </c>
      <c r="E1447" s="371" t="str">
        <f t="shared" si="125"/>
        <v>とみひさ　しょうま</v>
      </c>
      <c r="F1447" s="39" t="s">
        <v>2574</v>
      </c>
      <c r="G1447" s="39" t="s">
        <v>7828</v>
      </c>
      <c r="H1447" s="39" t="str">
        <f>("2015/03/03")</f>
        <v>2015/03/03</v>
      </c>
      <c r="I1447" s="39">
        <v>5</v>
      </c>
      <c r="J1447" s="39" t="s">
        <v>1478</v>
      </c>
      <c r="K1447" s="39" t="s">
        <v>2122</v>
      </c>
      <c r="L1447" s="39" t="s">
        <v>7830</v>
      </c>
      <c r="M1447" s="39" t="s">
        <v>7831</v>
      </c>
      <c r="N1447" s="39" t="str">
        <f>("0237620")</f>
        <v>0237620</v>
      </c>
      <c r="P1447" s="39" t="s">
        <v>12917</v>
      </c>
      <c r="Q1447" s="39" t="s">
        <v>8568</v>
      </c>
      <c r="R1447" s="39" t="s">
        <v>8569</v>
      </c>
      <c r="S1447" s="39" t="s">
        <v>8570</v>
      </c>
      <c r="AK1447" s="39" t="str">
        <f>("2025/03/17")</f>
        <v>2025/03/17</v>
      </c>
      <c r="AL1447" s="39" t="str">
        <f t="shared" si="126"/>
        <v>2025/04/01</v>
      </c>
    </row>
    <row r="1448" spans="1:39" x14ac:dyDescent="0.25">
      <c r="A1448" s="39" t="str">
        <f>("1503030191")</f>
        <v>1503030191</v>
      </c>
      <c r="C1448" s="39"/>
      <c r="D1448" s="39" t="s">
        <v>5999</v>
      </c>
      <c r="E1448" s="371" t="str">
        <f t="shared" si="125"/>
        <v>さくらい　しゅん</v>
      </c>
      <c r="F1448" s="39" t="s">
        <v>2349</v>
      </c>
      <c r="G1448" s="39" t="s">
        <v>7828</v>
      </c>
      <c r="H1448" s="39" t="str">
        <f>("2015/03/03")</f>
        <v>2015/03/03</v>
      </c>
      <c r="I1448" s="39">
        <v>5</v>
      </c>
      <c r="J1448" s="39" t="s">
        <v>1478</v>
      </c>
      <c r="K1448" s="39" t="s">
        <v>2122</v>
      </c>
      <c r="L1448" s="39" t="s">
        <v>7830</v>
      </c>
      <c r="M1448" s="39" t="s">
        <v>7831</v>
      </c>
      <c r="N1448" s="39" t="str">
        <f>("0292081")</f>
        <v>0292081</v>
      </c>
      <c r="P1448" s="39" t="s">
        <v>12918</v>
      </c>
      <c r="Q1448" s="39" t="s">
        <v>8568</v>
      </c>
      <c r="R1448" s="39" t="s">
        <v>8569</v>
      </c>
      <c r="S1448" s="39" t="s">
        <v>8570</v>
      </c>
      <c r="AK1448" s="39" t="str">
        <f>("2025/03/24")</f>
        <v>2025/03/24</v>
      </c>
      <c r="AL1448" s="39" t="str">
        <f t="shared" si="126"/>
        <v>2025/04/01</v>
      </c>
    </row>
    <row r="1449" spans="1:39" x14ac:dyDescent="0.25">
      <c r="A1449" s="39" t="str">
        <f>("1503040004")</f>
        <v>1503040004</v>
      </c>
      <c r="C1449" s="39"/>
      <c r="D1449" s="39" t="s">
        <v>5878</v>
      </c>
      <c r="E1449" s="371" t="str">
        <f t="shared" si="125"/>
        <v>たつかわ　ひろと</v>
      </c>
      <c r="F1449" s="39" t="s">
        <v>2137</v>
      </c>
      <c r="G1449" s="39" t="s">
        <v>7828</v>
      </c>
      <c r="H1449" s="39" t="str">
        <f>("2015/03/04")</f>
        <v>2015/03/04</v>
      </c>
      <c r="I1449" s="39">
        <v>5</v>
      </c>
      <c r="J1449" s="39" t="s">
        <v>1478</v>
      </c>
      <c r="K1449" s="39" t="s">
        <v>2122</v>
      </c>
      <c r="L1449" s="39" t="s">
        <v>7830</v>
      </c>
      <c r="M1449" s="39" t="s">
        <v>7831</v>
      </c>
      <c r="N1449" s="39" t="str">
        <f>("0130510")</f>
        <v>0130510</v>
      </c>
      <c r="P1449" s="39" t="s">
        <v>12919</v>
      </c>
      <c r="Q1449" s="39" t="s">
        <v>8568</v>
      </c>
      <c r="R1449" s="39" t="s">
        <v>8569</v>
      </c>
      <c r="S1449" s="39" t="s">
        <v>8570</v>
      </c>
      <c r="AK1449" s="39" t="str">
        <f>("2025/03/21")</f>
        <v>2025/03/21</v>
      </c>
      <c r="AL1449" s="39" t="str">
        <f t="shared" si="126"/>
        <v>2025/04/01</v>
      </c>
    </row>
    <row r="1450" spans="1:39" x14ac:dyDescent="0.25">
      <c r="A1450" s="39" t="str">
        <f>("1503040105")</f>
        <v>1503040105</v>
      </c>
      <c r="B1450" s="39" t="s">
        <v>8492</v>
      </c>
      <c r="C1450" s="39"/>
      <c r="D1450" s="39" t="s">
        <v>8493</v>
      </c>
      <c r="E1450" s="371" t="str">
        <f t="shared" si="125"/>
        <v>かじわら　あきと</v>
      </c>
      <c r="F1450" s="39" t="s">
        <v>8050</v>
      </c>
      <c r="G1450" s="39" t="s">
        <v>7828</v>
      </c>
      <c r="H1450" s="39" t="str">
        <f>("2015/03/04")</f>
        <v>2015/03/04</v>
      </c>
      <c r="I1450" s="39">
        <v>5</v>
      </c>
      <c r="J1450" s="39" t="s">
        <v>1478</v>
      </c>
      <c r="K1450" s="39" t="s">
        <v>2122</v>
      </c>
      <c r="L1450" s="39" t="s">
        <v>7830</v>
      </c>
      <c r="M1450" s="39" t="s">
        <v>7831</v>
      </c>
      <c r="N1450" s="39" t="str">
        <f>("0130015")</f>
        <v>0130015</v>
      </c>
      <c r="P1450" s="39" t="s">
        <v>12920</v>
      </c>
      <c r="Q1450" s="39" t="s">
        <v>8568</v>
      </c>
      <c r="R1450" s="39" t="s">
        <v>8569</v>
      </c>
      <c r="S1450" s="39" t="s">
        <v>8570</v>
      </c>
      <c r="AK1450" s="39" t="str">
        <f>("2025/03/17")</f>
        <v>2025/03/17</v>
      </c>
      <c r="AL1450" s="39" t="str">
        <f t="shared" si="126"/>
        <v>2025/04/01</v>
      </c>
    </row>
    <row r="1451" spans="1:39" x14ac:dyDescent="0.25">
      <c r="A1451" s="39" t="str">
        <f>("1503040109")</f>
        <v>1503040109</v>
      </c>
      <c r="B1451" s="39" t="s">
        <v>8494</v>
      </c>
      <c r="C1451" s="39"/>
      <c r="D1451" s="39" t="s">
        <v>4382</v>
      </c>
      <c r="E1451" s="371" t="str">
        <f t="shared" si="125"/>
        <v>おかむら　ましろ</v>
      </c>
      <c r="F1451" s="39" t="s">
        <v>156</v>
      </c>
      <c r="G1451" s="39" t="s">
        <v>7828</v>
      </c>
      <c r="H1451" s="39" t="str">
        <f>("2015/03/04")</f>
        <v>2015/03/04</v>
      </c>
      <c r="I1451" s="39">
        <v>5</v>
      </c>
      <c r="J1451" s="39" t="s">
        <v>1480</v>
      </c>
      <c r="K1451" s="39" t="s">
        <v>2122</v>
      </c>
      <c r="L1451" s="39" t="s">
        <v>7830</v>
      </c>
      <c r="M1451" s="39" t="s">
        <v>7831</v>
      </c>
      <c r="N1451" s="39" t="str">
        <f>("0130037")</f>
        <v>0130037</v>
      </c>
      <c r="P1451" s="39" t="s">
        <v>12921</v>
      </c>
      <c r="Q1451" s="39" t="s">
        <v>8568</v>
      </c>
      <c r="R1451" s="39" t="s">
        <v>8569</v>
      </c>
      <c r="S1451" s="39" t="s">
        <v>8570</v>
      </c>
      <c r="AK1451" s="39" t="str">
        <f>("2025/03/17")</f>
        <v>2025/03/17</v>
      </c>
      <c r="AL1451" s="39" t="str">
        <f t="shared" si="126"/>
        <v>2025/04/01</v>
      </c>
    </row>
    <row r="1452" spans="1:39" x14ac:dyDescent="0.25">
      <c r="A1452" s="39" t="str">
        <f>("1503040143")</f>
        <v>1503040143</v>
      </c>
      <c r="C1452" s="39"/>
      <c r="D1452" s="39" t="s">
        <v>8495</v>
      </c>
      <c r="E1452" s="371" t="str">
        <f t="shared" si="125"/>
        <v>とよだ　えいと</v>
      </c>
      <c r="F1452" s="39" t="s">
        <v>2648</v>
      </c>
      <c r="G1452" s="39" t="s">
        <v>7828</v>
      </c>
      <c r="H1452" s="39" t="str">
        <f>("2015/03/04")</f>
        <v>2015/03/04</v>
      </c>
      <c r="I1452" s="39">
        <v>5</v>
      </c>
      <c r="J1452" s="39" t="s">
        <v>1478</v>
      </c>
      <c r="K1452" s="39" t="s">
        <v>2122</v>
      </c>
      <c r="L1452" s="39" t="s">
        <v>7830</v>
      </c>
      <c r="M1452" s="39" t="s">
        <v>7831</v>
      </c>
      <c r="N1452" s="39" t="str">
        <f>("1050097")</f>
        <v>1050097</v>
      </c>
      <c r="P1452" s="39" t="s">
        <v>12922</v>
      </c>
      <c r="Q1452" s="39" t="s">
        <v>8568</v>
      </c>
      <c r="R1452" s="39" t="s">
        <v>8569</v>
      </c>
      <c r="S1452" s="39" t="s">
        <v>8570</v>
      </c>
      <c r="AK1452" s="39" t="str">
        <f>("2025/03/25")</f>
        <v>2025/03/25</v>
      </c>
      <c r="AL1452" s="39" t="str">
        <f t="shared" si="126"/>
        <v>2025/04/01</v>
      </c>
    </row>
    <row r="1453" spans="1:39" x14ac:dyDescent="0.25">
      <c r="A1453" s="39" t="str">
        <f>("1503060028")</f>
        <v>1503060028</v>
      </c>
      <c r="B1453" s="39" t="s">
        <v>8496</v>
      </c>
      <c r="C1453" s="39"/>
      <c r="D1453" s="39" t="s">
        <v>6267</v>
      </c>
      <c r="E1453" s="371" t="str">
        <f t="shared" si="125"/>
        <v>いけだ　たくと</v>
      </c>
      <c r="F1453" s="39" t="s">
        <v>3870</v>
      </c>
      <c r="G1453" s="39" t="s">
        <v>7828</v>
      </c>
      <c r="H1453" s="39" t="str">
        <f>("2015/03/06")</f>
        <v>2015/03/06</v>
      </c>
      <c r="I1453" s="39">
        <v>5</v>
      </c>
      <c r="J1453" s="39" t="s">
        <v>1478</v>
      </c>
      <c r="K1453" s="39" t="s">
        <v>2122</v>
      </c>
      <c r="L1453" s="39" t="s">
        <v>7830</v>
      </c>
      <c r="M1453" s="39" t="s">
        <v>7831</v>
      </c>
      <c r="N1453" s="39" t="str">
        <f>("1094183")</f>
        <v>1094183</v>
      </c>
      <c r="P1453" s="39" t="s">
        <v>12923</v>
      </c>
      <c r="Q1453" s="39" t="s">
        <v>8568</v>
      </c>
      <c r="R1453" s="39" t="s">
        <v>8569</v>
      </c>
      <c r="S1453" s="39" t="s">
        <v>8570</v>
      </c>
      <c r="AK1453" s="39" t="str">
        <f>("2025/03/27")</f>
        <v>2025/03/27</v>
      </c>
      <c r="AL1453" s="39" t="str">
        <f t="shared" si="126"/>
        <v>2025/04/01</v>
      </c>
    </row>
    <row r="1454" spans="1:39" x14ac:dyDescent="0.25">
      <c r="A1454" s="39" t="str">
        <f>("1503060030")</f>
        <v>1503060030</v>
      </c>
      <c r="C1454" s="39"/>
      <c r="D1454" s="39" t="s">
        <v>8497</v>
      </c>
      <c r="E1454" s="371" t="str">
        <f t="shared" si="125"/>
        <v>にのみや　ゆう</v>
      </c>
      <c r="F1454" s="39" t="s">
        <v>2573</v>
      </c>
      <c r="G1454" s="39" t="s">
        <v>7828</v>
      </c>
      <c r="H1454" s="39" t="str">
        <f>("2015/03/06")</f>
        <v>2015/03/06</v>
      </c>
      <c r="I1454" s="39">
        <v>5</v>
      </c>
      <c r="J1454" s="39" t="s">
        <v>1478</v>
      </c>
      <c r="K1454" s="39" t="s">
        <v>2122</v>
      </c>
      <c r="L1454" s="39" t="s">
        <v>7830</v>
      </c>
      <c r="M1454" s="39" t="s">
        <v>7831</v>
      </c>
      <c r="N1454" s="39" t="str">
        <f>("0230982")</f>
        <v>0230982</v>
      </c>
      <c r="P1454" s="39" t="s">
        <v>12924</v>
      </c>
      <c r="Q1454" s="39" t="s">
        <v>8568</v>
      </c>
      <c r="R1454" s="39" t="s">
        <v>8569</v>
      </c>
      <c r="S1454" s="39" t="s">
        <v>8570</v>
      </c>
      <c r="AK1454" s="39" t="str">
        <f>("2025/03/17")</f>
        <v>2025/03/17</v>
      </c>
      <c r="AL1454" s="39" t="str">
        <f t="shared" si="126"/>
        <v>2025/04/01</v>
      </c>
    </row>
    <row r="1455" spans="1:39" x14ac:dyDescent="0.25">
      <c r="A1455" s="39" t="str">
        <f>("1503060174")</f>
        <v>1503060174</v>
      </c>
      <c r="B1455" s="39" t="s">
        <v>8498</v>
      </c>
      <c r="C1455" s="39"/>
      <c r="D1455" s="39" t="s">
        <v>8499</v>
      </c>
      <c r="E1455" s="371" t="str">
        <f t="shared" si="125"/>
        <v>おの　あこ</v>
      </c>
      <c r="F1455" s="39" t="s">
        <v>2516</v>
      </c>
      <c r="G1455" s="39" t="s">
        <v>7828</v>
      </c>
      <c r="H1455" s="39" t="str">
        <f>("2015/03/06")</f>
        <v>2015/03/06</v>
      </c>
      <c r="I1455" s="39">
        <v>5</v>
      </c>
      <c r="J1455" s="39" t="s">
        <v>1480</v>
      </c>
      <c r="K1455" s="39" t="s">
        <v>2122</v>
      </c>
      <c r="L1455" s="39" t="s">
        <v>7830</v>
      </c>
      <c r="M1455" s="39" t="s">
        <v>7831</v>
      </c>
      <c r="N1455" s="39" t="str">
        <f>("0130116")</f>
        <v>0130116</v>
      </c>
      <c r="P1455" s="39" t="s">
        <v>12925</v>
      </c>
      <c r="Q1455" s="39" t="s">
        <v>8568</v>
      </c>
      <c r="R1455" s="39" t="s">
        <v>8569</v>
      </c>
      <c r="S1455" s="39" t="s">
        <v>8570</v>
      </c>
      <c r="AK1455" s="39" t="str">
        <f>("2025/03/25")</f>
        <v>2025/03/25</v>
      </c>
      <c r="AL1455" s="39" t="str">
        <f t="shared" si="126"/>
        <v>2025/04/01</v>
      </c>
    </row>
    <row r="1456" spans="1:39" x14ac:dyDescent="0.25">
      <c r="A1456" s="39" t="str">
        <f>("1503060175")</f>
        <v>1503060175</v>
      </c>
      <c r="B1456" s="39" t="s">
        <v>8500</v>
      </c>
      <c r="C1456" s="39"/>
      <c r="D1456" s="39" t="s">
        <v>8501</v>
      </c>
      <c r="E1456" s="371" t="str">
        <f t="shared" si="125"/>
        <v>おの　にこ</v>
      </c>
      <c r="F1456" s="39" t="s">
        <v>2516</v>
      </c>
      <c r="G1456" s="39" t="s">
        <v>7828</v>
      </c>
      <c r="H1456" s="39" t="str">
        <f>("2015/03/06")</f>
        <v>2015/03/06</v>
      </c>
      <c r="I1456" s="39">
        <v>5</v>
      </c>
      <c r="J1456" s="39" t="s">
        <v>1480</v>
      </c>
      <c r="K1456" s="39" t="s">
        <v>2122</v>
      </c>
      <c r="L1456" s="39" t="s">
        <v>7830</v>
      </c>
      <c r="M1456" s="39" t="s">
        <v>7831</v>
      </c>
      <c r="N1456" s="39" t="str">
        <f>("0130116")</f>
        <v>0130116</v>
      </c>
      <c r="P1456" s="39" t="s">
        <v>12926</v>
      </c>
      <c r="Q1456" s="39" t="s">
        <v>8568</v>
      </c>
      <c r="R1456" s="39" t="s">
        <v>8569</v>
      </c>
      <c r="S1456" s="39" t="s">
        <v>8570</v>
      </c>
      <c r="AK1456" s="39" t="str">
        <f>("2025/03/25")</f>
        <v>2025/03/25</v>
      </c>
      <c r="AL1456" s="39" t="str">
        <f t="shared" si="126"/>
        <v>2025/04/01</v>
      </c>
    </row>
    <row r="1457" spans="1:39" x14ac:dyDescent="0.25">
      <c r="A1457" s="39" t="str">
        <f>("1503070040")</f>
        <v>1503070040</v>
      </c>
      <c r="C1457" s="39"/>
      <c r="D1457" s="39" t="s">
        <v>6043</v>
      </c>
      <c r="E1457" s="371" t="str">
        <f t="shared" si="125"/>
        <v>ひらしま　ゆうと</v>
      </c>
      <c r="F1457" s="39" t="s">
        <v>2584</v>
      </c>
      <c r="G1457" s="39" t="s">
        <v>7828</v>
      </c>
      <c r="H1457" s="39" t="str">
        <f>("2015/03/07")</f>
        <v>2015/03/07</v>
      </c>
      <c r="I1457" s="39">
        <v>5</v>
      </c>
      <c r="J1457" s="39" t="s">
        <v>1478</v>
      </c>
      <c r="K1457" s="39" t="s">
        <v>2122</v>
      </c>
      <c r="L1457" s="39" t="s">
        <v>7830</v>
      </c>
      <c r="M1457" s="39" t="s">
        <v>7831</v>
      </c>
      <c r="N1457" s="39" t="str">
        <f>("0374071")</f>
        <v>0374071</v>
      </c>
      <c r="P1457" s="39" t="s">
        <v>12927</v>
      </c>
      <c r="Q1457" s="39" t="s">
        <v>8568</v>
      </c>
      <c r="R1457" s="39" t="s">
        <v>8569</v>
      </c>
      <c r="S1457" s="39" t="s">
        <v>8570</v>
      </c>
      <c r="AK1457" s="39" t="str">
        <f>("2025/03/17")</f>
        <v>2025/03/17</v>
      </c>
      <c r="AL1457" s="39" t="str">
        <f t="shared" si="126"/>
        <v>2025/04/01</v>
      </c>
    </row>
    <row r="1458" spans="1:39" x14ac:dyDescent="0.25">
      <c r="A1458" s="39" t="str">
        <f>("1503070082")</f>
        <v>1503070082</v>
      </c>
      <c r="B1458" s="39" t="s">
        <v>8502</v>
      </c>
      <c r="C1458" s="39"/>
      <c r="D1458" s="39" t="s">
        <v>8503</v>
      </c>
      <c r="E1458" s="371" t="str">
        <f t="shared" si="125"/>
        <v>たかだ　はると</v>
      </c>
      <c r="F1458" s="39" t="s">
        <v>1968</v>
      </c>
      <c r="G1458" s="39" t="s">
        <v>7828</v>
      </c>
      <c r="H1458" s="39" t="str">
        <f>("2015/03/07")</f>
        <v>2015/03/07</v>
      </c>
      <c r="I1458" s="39">
        <v>5</v>
      </c>
      <c r="J1458" s="39" t="s">
        <v>1478</v>
      </c>
      <c r="K1458" s="39" t="s">
        <v>2122</v>
      </c>
      <c r="L1458" s="39" t="s">
        <v>7830</v>
      </c>
      <c r="M1458" s="39" t="s">
        <v>7831</v>
      </c>
      <c r="N1458" s="39" t="str">
        <f>("0129507")</f>
        <v>0129507</v>
      </c>
      <c r="P1458" s="39" t="s">
        <v>12928</v>
      </c>
      <c r="Q1458" s="39" t="s">
        <v>8568</v>
      </c>
      <c r="R1458" s="39" t="s">
        <v>8569</v>
      </c>
      <c r="S1458" s="39" t="s">
        <v>8570</v>
      </c>
      <c r="AK1458" s="39" t="str">
        <f>("2025/03/17")</f>
        <v>2025/03/17</v>
      </c>
      <c r="AL1458" s="39" t="str">
        <f t="shared" si="126"/>
        <v>2025/04/01</v>
      </c>
    </row>
    <row r="1459" spans="1:39" x14ac:dyDescent="0.25">
      <c r="A1459" s="39" t="str">
        <f>("1503080002")</f>
        <v>1503080002</v>
      </c>
      <c r="B1459" s="39" t="s">
        <v>8504</v>
      </c>
      <c r="C1459" s="39"/>
      <c r="D1459" s="39" t="s">
        <v>3952</v>
      </c>
      <c r="E1459" s="371" t="str">
        <f t="shared" si="125"/>
        <v>わたなべ　がく</v>
      </c>
      <c r="F1459" s="39" t="s">
        <v>856</v>
      </c>
      <c r="G1459" s="39" t="s">
        <v>7828</v>
      </c>
      <c r="H1459" s="39" t="str">
        <f>("2015/03/08")</f>
        <v>2015/03/08</v>
      </c>
      <c r="I1459" s="39">
        <v>5</v>
      </c>
      <c r="J1459" s="39" t="s">
        <v>1478</v>
      </c>
      <c r="K1459" s="39" t="s">
        <v>2122</v>
      </c>
      <c r="L1459" s="39" t="s">
        <v>7830</v>
      </c>
      <c r="M1459" s="39" t="s">
        <v>7831</v>
      </c>
      <c r="N1459" s="39" t="str">
        <f>("0130149")</f>
        <v>0130149</v>
      </c>
      <c r="P1459" s="39" t="s">
        <v>12929</v>
      </c>
      <c r="Q1459" s="39" t="s">
        <v>8568</v>
      </c>
      <c r="R1459" s="39" t="s">
        <v>8569</v>
      </c>
      <c r="S1459" s="39" t="s">
        <v>8570</v>
      </c>
      <c r="AA1459" s="39" t="s">
        <v>2122</v>
      </c>
      <c r="AB1459" s="39" t="s">
        <v>7830</v>
      </c>
      <c r="AC1459" s="39" t="s">
        <v>7831</v>
      </c>
      <c r="AD1459" s="39" t="str">
        <f>("0130071")</f>
        <v>0130071</v>
      </c>
      <c r="AE1459" s="39" t="s">
        <v>2173</v>
      </c>
      <c r="AK1459" s="39" t="str">
        <f>("2025/03/17")</f>
        <v>2025/03/17</v>
      </c>
      <c r="AL1459" s="39" t="str">
        <f t="shared" si="126"/>
        <v>2025/04/01</v>
      </c>
    </row>
    <row r="1460" spans="1:39" x14ac:dyDescent="0.25">
      <c r="A1460" s="39" t="str">
        <f>("1503090079")</f>
        <v>1503090079</v>
      </c>
      <c r="B1460" s="39" t="s">
        <v>8505</v>
      </c>
      <c r="C1460" s="39"/>
      <c r="D1460" s="39" t="s">
        <v>5763</v>
      </c>
      <c r="E1460" s="371" t="str">
        <f t="shared" si="125"/>
        <v>くりやま　すず</v>
      </c>
      <c r="F1460" s="39" t="s">
        <v>3867</v>
      </c>
      <c r="G1460" s="39" t="s">
        <v>7828</v>
      </c>
      <c r="H1460" s="39" t="str">
        <f>("2015/03/09")</f>
        <v>2015/03/09</v>
      </c>
      <c r="I1460" s="39">
        <v>5</v>
      </c>
      <c r="J1460" s="39" t="s">
        <v>1480</v>
      </c>
      <c r="K1460" s="39" t="s">
        <v>2122</v>
      </c>
      <c r="L1460" s="39" t="s">
        <v>7830</v>
      </c>
      <c r="M1460" s="39" t="s">
        <v>7831</v>
      </c>
      <c r="N1460" s="39" t="str">
        <f>("0129990")</f>
        <v>0129990</v>
      </c>
      <c r="P1460" s="39" t="s">
        <v>12930</v>
      </c>
      <c r="Q1460" s="39" t="s">
        <v>8568</v>
      </c>
      <c r="R1460" s="39" t="s">
        <v>8569</v>
      </c>
      <c r="S1460" s="39" t="s">
        <v>8570</v>
      </c>
      <c r="AK1460" s="39" t="str">
        <f>("2025/04/01")</f>
        <v>2025/04/01</v>
      </c>
      <c r="AL1460" s="39" t="str">
        <f t="shared" si="126"/>
        <v>2025/04/01</v>
      </c>
    </row>
    <row r="1461" spans="1:39" x14ac:dyDescent="0.25">
      <c r="A1461" s="39" t="str">
        <f>("1503090155")</f>
        <v>1503090155</v>
      </c>
      <c r="C1461" s="39"/>
      <c r="D1461" s="39" t="s">
        <v>8506</v>
      </c>
      <c r="E1461" s="371" t="str">
        <f t="shared" si="125"/>
        <v>はた　ゆうと</v>
      </c>
      <c r="F1461" s="39" t="s">
        <v>3867</v>
      </c>
      <c r="G1461" s="39" t="s">
        <v>7828</v>
      </c>
      <c r="H1461" s="39" t="str">
        <f>("2015/03/09")</f>
        <v>2015/03/09</v>
      </c>
      <c r="I1461" s="39">
        <v>5</v>
      </c>
      <c r="J1461" s="39" t="s">
        <v>1478</v>
      </c>
      <c r="K1461" s="39" t="s">
        <v>2122</v>
      </c>
      <c r="L1461" s="39" t="s">
        <v>7830</v>
      </c>
      <c r="M1461" s="39" t="s">
        <v>7831</v>
      </c>
      <c r="N1461" s="39" t="str">
        <f>("0129990")</f>
        <v>0129990</v>
      </c>
      <c r="P1461" s="39" t="s">
        <v>12931</v>
      </c>
      <c r="Q1461" s="39" t="s">
        <v>8568</v>
      </c>
      <c r="R1461" s="39" t="s">
        <v>8569</v>
      </c>
      <c r="S1461" s="39" t="s">
        <v>8570</v>
      </c>
      <c r="AA1461" s="39" t="s">
        <v>8684</v>
      </c>
      <c r="AB1461" s="39" t="s">
        <v>7830</v>
      </c>
      <c r="AC1461" s="39" t="s">
        <v>7831</v>
      </c>
      <c r="AD1461" s="39" t="str">
        <f>("1110883")</f>
        <v>1110883</v>
      </c>
      <c r="AE1461" s="39" t="s">
        <v>9025</v>
      </c>
      <c r="AK1461" s="39" t="str">
        <f>("2025/04/01")</f>
        <v>2025/04/01</v>
      </c>
      <c r="AL1461" s="39" t="str">
        <f t="shared" si="126"/>
        <v>2025/04/01</v>
      </c>
      <c r="AM1461" s="39" t="str">
        <f>("2025/04/08")</f>
        <v>2025/04/08</v>
      </c>
    </row>
    <row r="1462" spans="1:39" x14ac:dyDescent="0.25">
      <c r="A1462" s="39" t="str">
        <f>("1503090181")</f>
        <v>1503090181</v>
      </c>
      <c r="C1462" s="39"/>
      <c r="D1462" s="39" t="s">
        <v>8507</v>
      </c>
      <c r="E1462" s="371" t="str">
        <f t="shared" si="125"/>
        <v>くろかわ　はるま</v>
      </c>
      <c r="F1462" s="39" t="s">
        <v>2587</v>
      </c>
      <c r="G1462" s="39" t="s">
        <v>7828</v>
      </c>
      <c r="H1462" s="39" t="str">
        <f>("2015/03/09")</f>
        <v>2015/03/09</v>
      </c>
      <c r="I1462" s="39">
        <v>5</v>
      </c>
      <c r="J1462" s="39" t="s">
        <v>1478</v>
      </c>
      <c r="K1462" s="39" t="s">
        <v>2122</v>
      </c>
      <c r="L1462" s="39" t="s">
        <v>7830</v>
      </c>
      <c r="M1462" s="39" t="s">
        <v>7831</v>
      </c>
      <c r="N1462" s="39" t="str">
        <f>("0387334")</f>
        <v>0387334</v>
      </c>
      <c r="P1462" s="39" t="s">
        <v>12932</v>
      </c>
      <c r="Q1462" s="39" t="s">
        <v>8568</v>
      </c>
      <c r="R1462" s="39" t="s">
        <v>8569</v>
      </c>
      <c r="S1462" s="39" t="s">
        <v>8570</v>
      </c>
      <c r="AK1462" s="39" t="str">
        <f>("2025/03/27")</f>
        <v>2025/03/27</v>
      </c>
      <c r="AL1462" s="39" t="str">
        <f t="shared" si="126"/>
        <v>2025/04/01</v>
      </c>
    </row>
    <row r="1463" spans="1:39" x14ac:dyDescent="0.25">
      <c r="A1463" s="39" t="str">
        <f>("1503100121")</f>
        <v>1503100121</v>
      </c>
      <c r="B1463" s="39" t="s">
        <v>8508</v>
      </c>
      <c r="C1463" s="39"/>
      <c r="D1463" s="39" t="s">
        <v>8509</v>
      </c>
      <c r="E1463" s="371" t="str">
        <f t="shared" si="125"/>
        <v>はやし　さき</v>
      </c>
      <c r="F1463" s="39" t="s">
        <v>1344</v>
      </c>
      <c r="G1463" s="39" t="s">
        <v>7828</v>
      </c>
      <c r="H1463" s="39" t="str">
        <f>("2015/03/10")</f>
        <v>2015/03/10</v>
      </c>
      <c r="I1463" s="39">
        <v>5</v>
      </c>
      <c r="J1463" s="39" t="s">
        <v>1480</v>
      </c>
      <c r="K1463" s="39" t="s">
        <v>2122</v>
      </c>
      <c r="L1463" s="39" t="s">
        <v>7830</v>
      </c>
      <c r="M1463" s="39" t="s">
        <v>7831</v>
      </c>
      <c r="N1463" s="39" t="str">
        <f>("0130587")</f>
        <v>0130587</v>
      </c>
      <c r="P1463" s="39" t="s">
        <v>12933</v>
      </c>
      <c r="Q1463" s="39" t="s">
        <v>8568</v>
      </c>
      <c r="R1463" s="39" t="s">
        <v>8569</v>
      </c>
      <c r="S1463" s="39" t="s">
        <v>8570</v>
      </c>
      <c r="AK1463" s="39" t="str">
        <f>("2025/03/17")</f>
        <v>2025/03/17</v>
      </c>
      <c r="AL1463" s="39" t="str">
        <f t="shared" si="126"/>
        <v>2025/04/01</v>
      </c>
    </row>
    <row r="1464" spans="1:39" x14ac:dyDescent="0.25">
      <c r="A1464" s="39" t="str">
        <f>("1503100217")</f>
        <v>1503100217</v>
      </c>
      <c r="C1464" s="39"/>
      <c r="D1464" s="39" t="s">
        <v>8510</v>
      </c>
      <c r="E1464" s="371" t="str">
        <f t="shared" si="125"/>
        <v>とーます　ぐれごりーかい</v>
      </c>
      <c r="F1464" s="39" t="s">
        <v>2349</v>
      </c>
      <c r="G1464" s="39" t="s">
        <v>7828</v>
      </c>
      <c r="H1464" s="39" t="str">
        <f>("2015/03/10")</f>
        <v>2015/03/10</v>
      </c>
      <c r="I1464" s="39">
        <v>5</v>
      </c>
      <c r="J1464" s="39" t="s">
        <v>1478</v>
      </c>
      <c r="K1464" s="39" t="s">
        <v>2122</v>
      </c>
      <c r="L1464" s="39" t="s">
        <v>7830</v>
      </c>
      <c r="M1464" s="39" t="s">
        <v>7831</v>
      </c>
      <c r="N1464" s="39" t="str">
        <f>("0292081")</f>
        <v>0292081</v>
      </c>
      <c r="P1464" s="39" t="s">
        <v>12934</v>
      </c>
      <c r="Q1464" s="39" t="s">
        <v>8568</v>
      </c>
      <c r="R1464" s="39" t="s">
        <v>8569</v>
      </c>
      <c r="S1464" s="39" t="s">
        <v>8570</v>
      </c>
      <c r="AK1464" s="39" t="str">
        <f>("2025/09/03")</f>
        <v>2025/09/03</v>
      </c>
      <c r="AL1464" s="39" t="str">
        <f>("2025/09/03")</f>
        <v>2025/09/03</v>
      </c>
    </row>
    <row r="1465" spans="1:39" x14ac:dyDescent="0.25">
      <c r="A1465" s="39" t="str">
        <f>("1503120097")</f>
        <v>1503120097</v>
      </c>
      <c r="C1465" s="39"/>
      <c r="D1465" s="39" t="s">
        <v>4325</v>
      </c>
      <c r="E1465" s="371" t="str">
        <f t="shared" si="125"/>
        <v>たはら　はやて</v>
      </c>
      <c r="F1465" s="39" t="s">
        <v>2496</v>
      </c>
      <c r="G1465" s="39" t="s">
        <v>7828</v>
      </c>
      <c r="H1465" s="39" t="str">
        <f>("2015/03/12")</f>
        <v>2015/03/12</v>
      </c>
      <c r="I1465" s="39">
        <v>5</v>
      </c>
      <c r="J1465" s="39" t="s">
        <v>1478</v>
      </c>
      <c r="K1465" s="39" t="s">
        <v>2122</v>
      </c>
      <c r="L1465" s="39" t="s">
        <v>7830</v>
      </c>
      <c r="M1465" s="39" t="s">
        <v>7831</v>
      </c>
      <c r="N1465" s="39" t="str">
        <f>("0129855")</f>
        <v>0129855</v>
      </c>
      <c r="P1465" s="39" t="s">
        <v>12935</v>
      </c>
      <c r="Q1465" s="39" t="s">
        <v>8568</v>
      </c>
      <c r="R1465" s="39" t="s">
        <v>8569</v>
      </c>
      <c r="S1465" s="39" t="s">
        <v>8570</v>
      </c>
      <c r="AK1465" s="39" t="str">
        <f>("2025/03/24")</f>
        <v>2025/03/24</v>
      </c>
      <c r="AL1465" s="39" t="str">
        <f t="shared" ref="AL1465:AL1471" si="127">("2025/04/01")</f>
        <v>2025/04/01</v>
      </c>
    </row>
    <row r="1466" spans="1:39" x14ac:dyDescent="0.25">
      <c r="A1466" s="39" t="str">
        <f>("1503130017")</f>
        <v>1503130017</v>
      </c>
      <c r="B1466" s="39" t="s">
        <v>8511</v>
      </c>
      <c r="C1466" s="39"/>
      <c r="D1466" s="39" t="s">
        <v>8512</v>
      </c>
      <c r="E1466" s="371" t="str">
        <f t="shared" si="125"/>
        <v>あらまき　えいと</v>
      </c>
      <c r="F1466" s="39" t="s">
        <v>5615</v>
      </c>
      <c r="G1466" s="39" t="s">
        <v>7828</v>
      </c>
      <c r="H1466" s="39" t="str">
        <f>("2015/03/13")</f>
        <v>2015/03/13</v>
      </c>
      <c r="I1466" s="39">
        <v>5</v>
      </c>
      <c r="J1466" s="39" t="s">
        <v>1478</v>
      </c>
      <c r="K1466" s="39" t="s">
        <v>2122</v>
      </c>
      <c r="L1466" s="39" t="s">
        <v>7830</v>
      </c>
      <c r="M1466" s="39" t="s">
        <v>7831</v>
      </c>
      <c r="N1466" s="39" t="str">
        <f>("0129642")</f>
        <v>0129642</v>
      </c>
      <c r="P1466" s="39" t="s">
        <v>12936</v>
      </c>
      <c r="Q1466" s="39" t="s">
        <v>8568</v>
      </c>
      <c r="R1466" s="39" t="s">
        <v>8569</v>
      </c>
      <c r="S1466" s="39" t="s">
        <v>8570</v>
      </c>
      <c r="AK1466" s="39" t="str">
        <f>("2025/03/24")</f>
        <v>2025/03/24</v>
      </c>
      <c r="AL1466" s="39" t="str">
        <f t="shared" si="127"/>
        <v>2025/04/01</v>
      </c>
    </row>
    <row r="1467" spans="1:39" x14ac:dyDescent="0.25">
      <c r="A1467" s="39" t="str">
        <f>("1503130042")</f>
        <v>1503130042</v>
      </c>
      <c r="C1467" s="39"/>
      <c r="D1467" s="39" t="s">
        <v>5726</v>
      </c>
      <c r="E1467" s="371" t="str">
        <f t="shared" si="125"/>
        <v>たなか　すばる</v>
      </c>
      <c r="F1467" s="39" t="s">
        <v>834</v>
      </c>
      <c r="G1467" s="39" t="s">
        <v>7828</v>
      </c>
      <c r="H1467" s="39" t="str">
        <f>("2015/03/13")</f>
        <v>2015/03/13</v>
      </c>
      <c r="I1467" s="39">
        <v>5</v>
      </c>
      <c r="J1467" s="39" t="s">
        <v>1478</v>
      </c>
      <c r="K1467" s="39" t="s">
        <v>2122</v>
      </c>
      <c r="L1467" s="39" t="s">
        <v>7830</v>
      </c>
      <c r="M1467" s="39" t="s">
        <v>7831</v>
      </c>
      <c r="N1467" s="39" t="str">
        <f>("0129844")</f>
        <v>0129844</v>
      </c>
      <c r="P1467" s="39" t="s">
        <v>12937</v>
      </c>
      <c r="Q1467" s="39" t="s">
        <v>8568</v>
      </c>
      <c r="R1467" s="39" t="s">
        <v>8569</v>
      </c>
      <c r="S1467" s="39" t="s">
        <v>8570</v>
      </c>
      <c r="AK1467" s="39" t="str">
        <f>("2025/03/17")</f>
        <v>2025/03/17</v>
      </c>
      <c r="AL1467" s="39" t="str">
        <f t="shared" si="127"/>
        <v>2025/04/01</v>
      </c>
    </row>
    <row r="1468" spans="1:39" x14ac:dyDescent="0.25">
      <c r="A1468" s="39" t="str">
        <f>("1503130057")</f>
        <v>1503130057</v>
      </c>
      <c r="B1468" s="39" t="s">
        <v>8513</v>
      </c>
      <c r="C1468" s="39"/>
      <c r="D1468" s="39" t="s">
        <v>8514</v>
      </c>
      <c r="E1468" s="371" t="str">
        <f t="shared" si="125"/>
        <v>あきよし　るい</v>
      </c>
      <c r="F1468" s="39" t="s">
        <v>639</v>
      </c>
      <c r="G1468" s="39" t="s">
        <v>7828</v>
      </c>
      <c r="H1468" s="39" t="str">
        <f>("2015/03/13")</f>
        <v>2015/03/13</v>
      </c>
      <c r="I1468" s="39">
        <v>5</v>
      </c>
      <c r="J1468" s="39" t="s">
        <v>1478</v>
      </c>
      <c r="K1468" s="39" t="s">
        <v>2122</v>
      </c>
      <c r="L1468" s="39" t="s">
        <v>7830</v>
      </c>
      <c r="M1468" s="39" t="s">
        <v>7831</v>
      </c>
      <c r="N1468" s="39" t="str">
        <f>("0130633")</f>
        <v>0130633</v>
      </c>
      <c r="P1468" s="39" t="s">
        <v>12938</v>
      </c>
      <c r="Q1468" s="39" t="s">
        <v>8568</v>
      </c>
      <c r="R1468" s="39" t="s">
        <v>8569</v>
      </c>
      <c r="S1468" s="39" t="s">
        <v>8570</v>
      </c>
      <c r="AK1468" s="39" t="str">
        <f>("2025/03/17")</f>
        <v>2025/03/17</v>
      </c>
      <c r="AL1468" s="39" t="str">
        <f t="shared" si="127"/>
        <v>2025/04/01</v>
      </c>
    </row>
    <row r="1469" spans="1:39" x14ac:dyDescent="0.25">
      <c r="A1469" s="39" t="str">
        <f>("1503140130")</f>
        <v>1503140130</v>
      </c>
      <c r="C1469" s="39"/>
      <c r="D1469" s="39" t="s">
        <v>8515</v>
      </c>
      <c r="E1469" s="371" t="str">
        <f t="shared" si="125"/>
        <v>やまぐち　けいと</v>
      </c>
      <c r="F1469" s="39" t="s">
        <v>1239</v>
      </c>
      <c r="G1469" s="39" t="s">
        <v>7828</v>
      </c>
      <c r="H1469" s="39" t="str">
        <f>("2015/03/14")</f>
        <v>2015/03/14</v>
      </c>
      <c r="I1469" s="39">
        <v>5</v>
      </c>
      <c r="J1469" s="39" t="s">
        <v>1478</v>
      </c>
      <c r="K1469" s="39" t="s">
        <v>2122</v>
      </c>
      <c r="L1469" s="39" t="s">
        <v>7830</v>
      </c>
      <c r="M1469" s="39" t="s">
        <v>7831</v>
      </c>
      <c r="N1469" s="39" t="str">
        <f>("0129585")</f>
        <v>0129585</v>
      </c>
      <c r="P1469" s="39" t="s">
        <v>12939</v>
      </c>
      <c r="Q1469" s="39" t="s">
        <v>8568</v>
      </c>
      <c r="R1469" s="39" t="s">
        <v>8569</v>
      </c>
      <c r="S1469" s="39" t="s">
        <v>8570</v>
      </c>
      <c r="AK1469" s="39" t="str">
        <f>("2025/03/17")</f>
        <v>2025/03/17</v>
      </c>
      <c r="AL1469" s="39" t="str">
        <f t="shared" si="127"/>
        <v>2025/04/01</v>
      </c>
    </row>
    <row r="1470" spans="1:39" x14ac:dyDescent="0.25">
      <c r="A1470" s="39" t="str">
        <f>("1503150103")</f>
        <v>1503150103</v>
      </c>
      <c r="C1470" s="39"/>
      <c r="D1470" s="39" t="s">
        <v>5882</v>
      </c>
      <c r="E1470" s="371" t="str">
        <f t="shared" si="125"/>
        <v>のむら　たすく</v>
      </c>
      <c r="F1470" s="39" t="s">
        <v>4220</v>
      </c>
      <c r="G1470" s="39" t="s">
        <v>7828</v>
      </c>
      <c r="H1470" s="39" t="str">
        <f>("2015/03/15")</f>
        <v>2015/03/15</v>
      </c>
      <c r="I1470" s="39">
        <v>5</v>
      </c>
      <c r="J1470" s="39" t="s">
        <v>1478</v>
      </c>
      <c r="K1470" s="39" t="s">
        <v>2122</v>
      </c>
      <c r="L1470" s="39" t="s">
        <v>7830</v>
      </c>
      <c r="M1470" s="39" t="s">
        <v>7831</v>
      </c>
      <c r="N1470" s="39" t="str">
        <f>("0130543")</f>
        <v>0130543</v>
      </c>
      <c r="P1470" s="39" t="s">
        <v>12940</v>
      </c>
      <c r="Q1470" s="39" t="s">
        <v>8568</v>
      </c>
      <c r="R1470" s="39" t="s">
        <v>8569</v>
      </c>
      <c r="S1470" s="39" t="s">
        <v>8570</v>
      </c>
      <c r="AK1470" s="39" t="str">
        <f>("2025/03/17")</f>
        <v>2025/03/17</v>
      </c>
      <c r="AL1470" s="39" t="str">
        <f t="shared" si="127"/>
        <v>2025/04/01</v>
      </c>
    </row>
    <row r="1471" spans="1:39" x14ac:dyDescent="0.25">
      <c r="A1471" s="39" t="str">
        <f>("1503160071")</f>
        <v>1503160071</v>
      </c>
      <c r="C1471" s="39"/>
      <c r="D1471" s="39" t="s">
        <v>8516</v>
      </c>
      <c r="E1471" s="371" t="str">
        <f t="shared" si="125"/>
        <v>ひらい　ひな</v>
      </c>
      <c r="F1471" s="39" t="s">
        <v>2587</v>
      </c>
      <c r="G1471" s="39" t="s">
        <v>7828</v>
      </c>
      <c r="H1471" s="39" t="str">
        <f>("2015/03/16")</f>
        <v>2015/03/16</v>
      </c>
      <c r="I1471" s="39">
        <v>5</v>
      </c>
      <c r="J1471" s="39" t="s">
        <v>1480</v>
      </c>
      <c r="K1471" s="39" t="s">
        <v>2122</v>
      </c>
      <c r="L1471" s="39" t="s">
        <v>7830</v>
      </c>
      <c r="M1471" s="39" t="s">
        <v>7831</v>
      </c>
      <c r="N1471" s="39" t="str">
        <f>("0387334")</f>
        <v>0387334</v>
      </c>
      <c r="P1471" s="39" t="s">
        <v>12941</v>
      </c>
      <c r="Q1471" s="39" t="s">
        <v>8568</v>
      </c>
      <c r="R1471" s="39" t="s">
        <v>8569</v>
      </c>
      <c r="S1471" s="39" t="s">
        <v>8570</v>
      </c>
      <c r="AK1471" s="39" t="str">
        <f>("2025/03/27")</f>
        <v>2025/03/27</v>
      </c>
      <c r="AL1471" s="39" t="str">
        <f t="shared" si="127"/>
        <v>2025/04/01</v>
      </c>
    </row>
    <row r="1472" spans="1:39" x14ac:dyDescent="0.25">
      <c r="A1472" s="39" t="str">
        <f>("1503170005")</f>
        <v>1503170005</v>
      </c>
      <c r="C1472" s="39"/>
      <c r="D1472" s="39" t="s">
        <v>5876</v>
      </c>
      <c r="E1472" s="371" t="str">
        <f t="shared" si="125"/>
        <v>たてわき　はるま</v>
      </c>
      <c r="F1472" s="39" t="s">
        <v>1917</v>
      </c>
      <c r="G1472" s="39" t="s">
        <v>7828</v>
      </c>
      <c r="H1472" s="39" t="str">
        <f t="shared" ref="H1472:H1477" si="128">("2015/03/17")</f>
        <v>2015/03/17</v>
      </c>
      <c r="I1472" s="39">
        <v>5</v>
      </c>
      <c r="J1472" s="39" t="s">
        <v>1478</v>
      </c>
      <c r="K1472" s="39" t="s">
        <v>2122</v>
      </c>
      <c r="L1472" s="39" t="s">
        <v>7830</v>
      </c>
      <c r="M1472" s="39" t="s">
        <v>7831</v>
      </c>
      <c r="N1472" s="39" t="str">
        <f>("1032161")</f>
        <v>1032161</v>
      </c>
      <c r="P1472" s="39" t="s">
        <v>12942</v>
      </c>
      <c r="Q1472" s="39" t="s">
        <v>8568</v>
      </c>
      <c r="R1472" s="39" t="s">
        <v>8569</v>
      </c>
      <c r="S1472" s="39" t="s">
        <v>8570</v>
      </c>
      <c r="AA1472" s="39" t="s">
        <v>2122</v>
      </c>
      <c r="AB1472" s="39" t="s">
        <v>7830</v>
      </c>
      <c r="AC1472" s="39" t="s">
        <v>7831</v>
      </c>
      <c r="AD1472" s="39" t="str">
        <f>("0130510")</f>
        <v>0130510</v>
      </c>
      <c r="AE1472" s="39" t="s">
        <v>2137</v>
      </c>
      <c r="AK1472" s="39" t="str">
        <f>("2025/06/24")</f>
        <v>2025/06/24</v>
      </c>
      <c r="AL1472" s="39" t="str">
        <f>("2025/06/24")</f>
        <v>2025/06/24</v>
      </c>
    </row>
    <row r="1473" spans="1:38" x14ac:dyDescent="0.25">
      <c r="A1473" s="39" t="str">
        <f>("1503170038")</f>
        <v>1503170038</v>
      </c>
      <c r="C1473" s="39"/>
      <c r="D1473" s="39" t="s">
        <v>6241</v>
      </c>
      <c r="E1473" s="371" t="str">
        <f t="shared" si="125"/>
        <v>ひがし　こうな</v>
      </c>
      <c r="F1473" s="39" t="s">
        <v>1692</v>
      </c>
      <c r="G1473" s="39" t="s">
        <v>7828</v>
      </c>
      <c r="H1473" s="39" t="str">
        <f t="shared" si="128"/>
        <v>2015/03/17</v>
      </c>
      <c r="I1473" s="39">
        <v>5</v>
      </c>
      <c r="J1473" s="39" t="s">
        <v>1478</v>
      </c>
      <c r="K1473" s="39" t="s">
        <v>2122</v>
      </c>
      <c r="L1473" s="39" t="s">
        <v>7830</v>
      </c>
      <c r="M1473" s="39" t="s">
        <v>7831</v>
      </c>
      <c r="N1473" s="39" t="str">
        <f>("1052299")</f>
        <v>1052299</v>
      </c>
      <c r="P1473" s="39" t="s">
        <v>12943</v>
      </c>
      <c r="Q1473" s="39" t="s">
        <v>8568</v>
      </c>
      <c r="R1473" s="39" t="s">
        <v>8569</v>
      </c>
      <c r="S1473" s="39" t="s">
        <v>8570</v>
      </c>
      <c r="AK1473" s="39" t="str">
        <f>("2025/03/17")</f>
        <v>2025/03/17</v>
      </c>
      <c r="AL1473" s="39" t="str">
        <f>("2025/04/01")</f>
        <v>2025/04/01</v>
      </c>
    </row>
    <row r="1474" spans="1:38" x14ac:dyDescent="0.25">
      <c r="A1474" s="39" t="str">
        <f>("1503170106")</f>
        <v>1503170106</v>
      </c>
      <c r="C1474" s="39"/>
      <c r="D1474" s="39" t="s">
        <v>5881</v>
      </c>
      <c r="E1474" s="371" t="str">
        <f t="shared" si="125"/>
        <v>ぼうむき　さねあき</v>
      </c>
      <c r="F1474" s="39" t="s">
        <v>4220</v>
      </c>
      <c r="G1474" s="39" t="s">
        <v>7828</v>
      </c>
      <c r="H1474" s="39" t="str">
        <f t="shared" si="128"/>
        <v>2015/03/17</v>
      </c>
      <c r="I1474" s="39">
        <v>5</v>
      </c>
      <c r="J1474" s="39" t="s">
        <v>1478</v>
      </c>
      <c r="K1474" s="39" t="s">
        <v>2122</v>
      </c>
      <c r="L1474" s="39" t="s">
        <v>7830</v>
      </c>
      <c r="M1474" s="39" t="s">
        <v>7831</v>
      </c>
      <c r="N1474" s="39" t="str">
        <f>("0130543")</f>
        <v>0130543</v>
      </c>
      <c r="P1474" s="39" t="s">
        <v>12944</v>
      </c>
      <c r="Q1474" s="39" t="s">
        <v>8568</v>
      </c>
      <c r="R1474" s="39" t="s">
        <v>8569</v>
      </c>
      <c r="S1474" s="39" t="s">
        <v>8570</v>
      </c>
      <c r="AK1474" s="39" t="str">
        <f>("2025/03/17")</f>
        <v>2025/03/17</v>
      </c>
      <c r="AL1474" s="39" t="str">
        <f>("2025/04/01")</f>
        <v>2025/04/01</v>
      </c>
    </row>
    <row r="1475" spans="1:38" x14ac:dyDescent="0.25">
      <c r="A1475" s="39" t="str">
        <f>("1503170187")</f>
        <v>1503170187</v>
      </c>
      <c r="C1475" s="39"/>
      <c r="D1475" s="39" t="s">
        <v>5698</v>
      </c>
      <c r="E1475" s="371" t="str">
        <f t="shared" ref="E1475:E1538" si="129">PHONETIC(P1475)</f>
        <v>のだ　たくま</v>
      </c>
      <c r="F1475" s="39" t="s">
        <v>3866</v>
      </c>
      <c r="G1475" s="39" t="s">
        <v>7828</v>
      </c>
      <c r="H1475" s="39" t="str">
        <f t="shared" si="128"/>
        <v>2015/03/17</v>
      </c>
      <c r="I1475" s="39">
        <v>5</v>
      </c>
      <c r="J1475" s="39" t="s">
        <v>1478</v>
      </c>
      <c r="K1475" s="39" t="s">
        <v>2122</v>
      </c>
      <c r="L1475" s="39" t="s">
        <v>7830</v>
      </c>
      <c r="M1475" s="39" t="s">
        <v>7831</v>
      </c>
      <c r="N1475" s="39" t="str">
        <f>("0129675")</f>
        <v>0129675</v>
      </c>
      <c r="P1475" s="39" t="s">
        <v>12505</v>
      </c>
      <c r="Q1475" s="39" t="s">
        <v>8568</v>
      </c>
      <c r="R1475" s="39" t="s">
        <v>8569</v>
      </c>
      <c r="S1475" s="39" t="s">
        <v>8570</v>
      </c>
      <c r="AK1475" s="39" t="str">
        <f>("2025/04/01")</f>
        <v>2025/04/01</v>
      </c>
      <c r="AL1475" s="39" t="str">
        <f>("2025/04/01")</f>
        <v>2025/04/01</v>
      </c>
    </row>
    <row r="1476" spans="1:38" x14ac:dyDescent="0.25">
      <c r="A1476" s="39" t="str">
        <f>("1503170212")</f>
        <v>1503170212</v>
      </c>
      <c r="C1476" s="39"/>
      <c r="D1476" s="39" t="s">
        <v>8517</v>
      </c>
      <c r="E1476" s="371" t="str">
        <f t="shared" si="129"/>
        <v>うさ　かりな</v>
      </c>
      <c r="F1476" s="39" t="s">
        <v>2469</v>
      </c>
      <c r="G1476" s="39" t="s">
        <v>7828</v>
      </c>
      <c r="H1476" s="39" t="str">
        <f t="shared" si="128"/>
        <v>2015/03/17</v>
      </c>
      <c r="I1476" s="39">
        <v>5</v>
      </c>
      <c r="J1476" s="39" t="s">
        <v>1480</v>
      </c>
      <c r="K1476" s="39" t="s">
        <v>2122</v>
      </c>
      <c r="L1476" s="39" t="s">
        <v>7830</v>
      </c>
      <c r="M1476" s="39" t="s">
        <v>7831</v>
      </c>
      <c r="N1476" s="39" t="str">
        <f>("0129462")</f>
        <v>0129462</v>
      </c>
      <c r="P1476" s="39" t="s">
        <v>12945</v>
      </c>
      <c r="Q1476" s="39" t="s">
        <v>8568</v>
      </c>
      <c r="R1476" s="39" t="s">
        <v>8569</v>
      </c>
      <c r="S1476" s="39" t="s">
        <v>8570</v>
      </c>
      <c r="AK1476" s="39" t="str">
        <f>("2025/09/09")</f>
        <v>2025/09/09</v>
      </c>
      <c r="AL1476" s="39" t="str">
        <f>("2025/09/09")</f>
        <v>2025/09/09</v>
      </c>
    </row>
    <row r="1477" spans="1:38" x14ac:dyDescent="0.25">
      <c r="A1477" s="39" t="str">
        <f>("1503170219")</f>
        <v>1503170219</v>
      </c>
      <c r="C1477" s="39"/>
      <c r="D1477" s="39" t="s">
        <v>9026</v>
      </c>
      <c r="E1477" s="371" t="str">
        <f t="shared" si="129"/>
        <v>うらやま　つむぐ</v>
      </c>
      <c r="F1477" s="39" t="s">
        <v>5616</v>
      </c>
      <c r="G1477" s="39" t="s">
        <v>7828</v>
      </c>
      <c r="H1477" s="39" t="str">
        <f t="shared" si="128"/>
        <v>2015/03/17</v>
      </c>
      <c r="I1477" s="39">
        <v>5</v>
      </c>
      <c r="J1477" s="39" t="s">
        <v>1478</v>
      </c>
      <c r="K1477" s="39" t="s">
        <v>2122</v>
      </c>
      <c r="L1477" s="39" t="s">
        <v>7830</v>
      </c>
      <c r="M1477" s="39" t="s">
        <v>7831</v>
      </c>
      <c r="N1477" s="39" t="str">
        <f>("0130385")</f>
        <v>0130385</v>
      </c>
      <c r="P1477" s="39" t="s">
        <v>12946</v>
      </c>
      <c r="Q1477" s="39" t="s">
        <v>8568</v>
      </c>
      <c r="R1477" s="39" t="s">
        <v>8569</v>
      </c>
      <c r="S1477" s="39" t="s">
        <v>8570</v>
      </c>
      <c r="AK1477" s="39" t="str">
        <f>("2026/01/05")</f>
        <v>2026/01/05</v>
      </c>
      <c r="AL1477" s="39" t="str">
        <f>("2026/01/05")</f>
        <v>2026/01/05</v>
      </c>
    </row>
    <row r="1478" spans="1:38" x14ac:dyDescent="0.25">
      <c r="A1478" s="39" t="str">
        <f>("1503180117")</f>
        <v>1503180117</v>
      </c>
      <c r="B1478" s="39" t="s">
        <v>8518</v>
      </c>
      <c r="C1478" s="39"/>
      <c r="D1478" s="39" t="s">
        <v>8519</v>
      </c>
      <c r="E1478" s="371" t="str">
        <f t="shared" si="129"/>
        <v>おおくぼ　しょうき</v>
      </c>
      <c r="F1478" s="39" t="s">
        <v>5621</v>
      </c>
      <c r="G1478" s="39" t="s">
        <v>7828</v>
      </c>
      <c r="H1478" s="39" t="str">
        <f>("2015/03/18")</f>
        <v>2015/03/18</v>
      </c>
      <c r="I1478" s="39">
        <v>5</v>
      </c>
      <c r="J1478" s="39" t="s">
        <v>1478</v>
      </c>
      <c r="K1478" s="39" t="s">
        <v>2122</v>
      </c>
      <c r="L1478" s="39" t="s">
        <v>7830</v>
      </c>
      <c r="M1478" s="39" t="s">
        <v>7831</v>
      </c>
      <c r="N1478" s="39" t="str">
        <f>("1110654")</f>
        <v>1110654</v>
      </c>
      <c r="P1478" s="39" t="s">
        <v>12947</v>
      </c>
      <c r="Q1478" s="39" t="s">
        <v>8568</v>
      </c>
      <c r="R1478" s="39" t="s">
        <v>8569</v>
      </c>
      <c r="S1478" s="39" t="s">
        <v>8570</v>
      </c>
      <c r="AA1478" s="39" t="s">
        <v>2122</v>
      </c>
      <c r="AB1478" s="39" t="s">
        <v>7830</v>
      </c>
      <c r="AC1478" s="39" t="s">
        <v>7831</v>
      </c>
      <c r="AD1478" s="39" t="str">
        <f>("0130307")</f>
        <v>0130307</v>
      </c>
      <c r="AE1478" s="39" t="s">
        <v>2342</v>
      </c>
      <c r="AK1478" s="39" t="str">
        <f>("2025/03/03")</f>
        <v>2025/03/03</v>
      </c>
      <c r="AL1478" s="39" t="str">
        <f>("2025/04/01")</f>
        <v>2025/04/01</v>
      </c>
    </row>
    <row r="1479" spans="1:38" x14ac:dyDescent="0.25">
      <c r="A1479" s="39" t="str">
        <f>("1503190075")</f>
        <v>1503190075</v>
      </c>
      <c r="B1479" s="39" t="s">
        <v>8520</v>
      </c>
      <c r="C1479" s="39"/>
      <c r="D1479" s="39" t="s">
        <v>8521</v>
      </c>
      <c r="E1479" s="371" t="str">
        <f t="shared" si="129"/>
        <v>みしろ　かのん</v>
      </c>
      <c r="F1479" s="39" t="s">
        <v>2587</v>
      </c>
      <c r="G1479" s="39" t="s">
        <v>7828</v>
      </c>
      <c r="H1479" s="39" t="str">
        <f>("2015/03/19")</f>
        <v>2015/03/19</v>
      </c>
      <c r="I1479" s="39">
        <v>5</v>
      </c>
      <c r="J1479" s="39" t="s">
        <v>1480</v>
      </c>
      <c r="K1479" s="39" t="s">
        <v>2122</v>
      </c>
      <c r="L1479" s="39" t="s">
        <v>7830</v>
      </c>
      <c r="M1479" s="39" t="s">
        <v>7831</v>
      </c>
      <c r="N1479" s="39" t="str">
        <f>("0387334")</f>
        <v>0387334</v>
      </c>
      <c r="P1479" s="39" t="s">
        <v>12948</v>
      </c>
      <c r="Q1479" s="39" t="s">
        <v>8568</v>
      </c>
      <c r="R1479" s="39" t="s">
        <v>8569</v>
      </c>
      <c r="S1479" s="39" t="s">
        <v>8570</v>
      </c>
      <c r="AK1479" s="39" t="str">
        <f>("2025/03/27")</f>
        <v>2025/03/27</v>
      </c>
      <c r="AL1479" s="39" t="str">
        <f>("2025/04/01")</f>
        <v>2025/04/01</v>
      </c>
    </row>
    <row r="1480" spans="1:38" x14ac:dyDescent="0.25">
      <c r="A1480" s="39" t="str">
        <f>("1503190084")</f>
        <v>1503190084</v>
      </c>
      <c r="C1480" s="39"/>
      <c r="D1480" s="39" t="s">
        <v>8522</v>
      </c>
      <c r="E1480" s="371" t="str">
        <f t="shared" si="129"/>
        <v>いまがわ　まさきよ</v>
      </c>
      <c r="F1480" s="39" t="s">
        <v>1095</v>
      </c>
      <c r="G1480" s="39" t="s">
        <v>7828</v>
      </c>
      <c r="H1480" s="39" t="str">
        <f>("2015/03/19")</f>
        <v>2015/03/19</v>
      </c>
      <c r="I1480" s="39">
        <v>5</v>
      </c>
      <c r="J1480" s="39" t="s">
        <v>1478</v>
      </c>
      <c r="K1480" s="39" t="s">
        <v>2122</v>
      </c>
      <c r="L1480" s="39" t="s">
        <v>7830</v>
      </c>
      <c r="M1480" s="39" t="s">
        <v>7831</v>
      </c>
      <c r="N1480" s="39" t="str">
        <f>("0487492")</f>
        <v>0487492</v>
      </c>
      <c r="P1480" s="39" t="s">
        <v>12949</v>
      </c>
      <c r="Q1480" s="39" t="s">
        <v>8568</v>
      </c>
      <c r="R1480" s="39" t="s">
        <v>8569</v>
      </c>
      <c r="S1480" s="39" t="s">
        <v>8570</v>
      </c>
      <c r="AA1480" s="39" t="s">
        <v>2122</v>
      </c>
      <c r="AB1480" s="39" t="s">
        <v>7830</v>
      </c>
      <c r="AC1480" s="39" t="s">
        <v>7831</v>
      </c>
      <c r="AD1480" s="39" t="str">
        <f>("0381608")</f>
        <v>0381608</v>
      </c>
      <c r="AE1480" s="39" t="s">
        <v>1207</v>
      </c>
      <c r="AF1480" s="39" t="s">
        <v>2122</v>
      </c>
      <c r="AG1480" s="39" t="s">
        <v>7830</v>
      </c>
      <c r="AH1480" s="39" t="s">
        <v>7831</v>
      </c>
      <c r="AI1480" s="39" t="str">
        <f>("0487492")</f>
        <v>0487492</v>
      </c>
      <c r="AJ1480" s="39" t="s">
        <v>1095</v>
      </c>
      <c r="AK1480" s="39" t="str">
        <f>("2025/04/11")</f>
        <v>2025/04/11</v>
      </c>
      <c r="AL1480" s="39" t="str">
        <f>("2025/04/11")</f>
        <v>2025/04/11</v>
      </c>
    </row>
    <row r="1481" spans="1:38" x14ac:dyDescent="0.25">
      <c r="A1481" s="39" t="str">
        <f>("1503200116")</f>
        <v>1503200116</v>
      </c>
      <c r="C1481" s="39"/>
      <c r="D1481" s="39" t="s">
        <v>5729</v>
      </c>
      <c r="E1481" s="371" t="str">
        <f t="shared" si="129"/>
        <v>わたなべ　そあ</v>
      </c>
      <c r="F1481" s="39" t="s">
        <v>834</v>
      </c>
      <c r="G1481" s="39" t="s">
        <v>7828</v>
      </c>
      <c r="H1481" s="39" t="str">
        <f>("2015/03/20")</f>
        <v>2015/03/20</v>
      </c>
      <c r="I1481" s="39">
        <v>5</v>
      </c>
      <c r="J1481" s="39" t="s">
        <v>1478</v>
      </c>
      <c r="K1481" s="39" t="s">
        <v>2122</v>
      </c>
      <c r="L1481" s="39" t="s">
        <v>7830</v>
      </c>
      <c r="M1481" s="39" t="s">
        <v>7831</v>
      </c>
      <c r="N1481" s="39" t="str">
        <f>("0129844")</f>
        <v>0129844</v>
      </c>
      <c r="P1481" s="39" t="s">
        <v>12950</v>
      </c>
      <c r="Q1481" s="39" t="s">
        <v>8568</v>
      </c>
      <c r="R1481" s="39" t="s">
        <v>8569</v>
      </c>
      <c r="S1481" s="39" t="s">
        <v>8570</v>
      </c>
      <c r="AK1481" s="39" t="str">
        <f>("2025/03/17")</f>
        <v>2025/03/17</v>
      </c>
      <c r="AL1481" s="39" t="str">
        <f t="shared" ref="AL1481:AL1486" si="130">("2025/04/01")</f>
        <v>2025/04/01</v>
      </c>
    </row>
    <row r="1482" spans="1:38" x14ac:dyDescent="0.25">
      <c r="A1482" s="39" t="str">
        <f>("1503200117")</f>
        <v>1503200117</v>
      </c>
      <c r="C1482" s="39"/>
      <c r="D1482" s="39" t="s">
        <v>8523</v>
      </c>
      <c r="E1482" s="371" t="str">
        <f t="shared" si="129"/>
        <v>やなだ　かずまさ</v>
      </c>
      <c r="F1482" s="39" t="s">
        <v>2573</v>
      </c>
      <c r="G1482" s="39" t="s">
        <v>7828</v>
      </c>
      <c r="H1482" s="39" t="str">
        <f>("2015/03/20")</f>
        <v>2015/03/20</v>
      </c>
      <c r="I1482" s="39">
        <v>5</v>
      </c>
      <c r="J1482" s="39" t="s">
        <v>1478</v>
      </c>
      <c r="K1482" s="39" t="s">
        <v>2122</v>
      </c>
      <c r="L1482" s="39" t="s">
        <v>7830</v>
      </c>
      <c r="M1482" s="39" t="s">
        <v>7831</v>
      </c>
      <c r="N1482" s="39" t="str">
        <f>("0230982")</f>
        <v>0230982</v>
      </c>
      <c r="P1482" s="39" t="s">
        <v>12951</v>
      </c>
      <c r="Q1482" s="39" t="s">
        <v>8568</v>
      </c>
      <c r="R1482" s="39" t="s">
        <v>8569</v>
      </c>
      <c r="S1482" s="39" t="s">
        <v>8570</v>
      </c>
      <c r="AK1482" s="39" t="str">
        <f>("2025/03/17")</f>
        <v>2025/03/17</v>
      </c>
      <c r="AL1482" s="39" t="str">
        <f t="shared" si="130"/>
        <v>2025/04/01</v>
      </c>
    </row>
    <row r="1483" spans="1:38" x14ac:dyDescent="0.25">
      <c r="A1483" s="39" t="str">
        <f>("1503200136")</f>
        <v>1503200136</v>
      </c>
      <c r="C1483" s="39"/>
      <c r="D1483" s="39" t="s">
        <v>6141</v>
      </c>
      <c r="E1483" s="371" t="str">
        <f t="shared" si="129"/>
        <v>ゆき　りょうすけ</v>
      </c>
      <c r="F1483" s="39" t="s">
        <v>2033</v>
      </c>
      <c r="G1483" s="39" t="s">
        <v>7828</v>
      </c>
      <c r="H1483" s="39" t="str">
        <f>("2015/03/20")</f>
        <v>2015/03/20</v>
      </c>
      <c r="I1483" s="39">
        <v>5</v>
      </c>
      <c r="J1483" s="39" t="s">
        <v>1478</v>
      </c>
      <c r="K1483" s="39" t="s">
        <v>2122</v>
      </c>
      <c r="L1483" s="39" t="s">
        <v>7830</v>
      </c>
      <c r="M1483" s="39" t="s">
        <v>7831</v>
      </c>
      <c r="N1483" s="39" t="str">
        <f>("0130442")</f>
        <v>0130442</v>
      </c>
      <c r="P1483" s="39" t="s">
        <v>12952</v>
      </c>
      <c r="Q1483" s="39" t="s">
        <v>8568</v>
      </c>
      <c r="R1483" s="39" t="s">
        <v>8569</v>
      </c>
      <c r="S1483" s="39" t="s">
        <v>8570</v>
      </c>
      <c r="AA1483" s="39" t="s">
        <v>2122</v>
      </c>
      <c r="AB1483" s="39" t="s">
        <v>7830</v>
      </c>
      <c r="AC1483" s="39" t="s">
        <v>7831</v>
      </c>
      <c r="AD1483" s="39" t="str">
        <f>("0456892")</f>
        <v>0456892</v>
      </c>
      <c r="AE1483" s="39" t="s">
        <v>2615</v>
      </c>
      <c r="AK1483" s="39" t="str">
        <f>("2025/04/04")</f>
        <v>2025/04/04</v>
      </c>
      <c r="AL1483" s="39" t="str">
        <f t="shared" si="130"/>
        <v>2025/04/01</v>
      </c>
    </row>
    <row r="1484" spans="1:38" x14ac:dyDescent="0.25">
      <c r="A1484" s="39" t="str">
        <f>("1503200156")</f>
        <v>1503200156</v>
      </c>
      <c r="C1484" s="39"/>
      <c r="D1484" s="39" t="s">
        <v>5644</v>
      </c>
      <c r="E1484" s="371" t="str">
        <f t="shared" si="129"/>
        <v>よろず　さんしろう</v>
      </c>
      <c r="F1484" s="39" t="s">
        <v>684</v>
      </c>
      <c r="G1484" s="39" t="s">
        <v>7828</v>
      </c>
      <c r="H1484" s="39" t="str">
        <f>("2015/03/20")</f>
        <v>2015/03/20</v>
      </c>
      <c r="I1484" s="39">
        <v>5</v>
      </c>
      <c r="J1484" s="39" t="s">
        <v>1478</v>
      </c>
      <c r="K1484" s="39" t="s">
        <v>2122</v>
      </c>
      <c r="L1484" s="39" t="s">
        <v>7830</v>
      </c>
      <c r="M1484" s="39" t="s">
        <v>7831</v>
      </c>
      <c r="N1484" s="39" t="str">
        <f>("0129518")</f>
        <v>0129518</v>
      </c>
      <c r="P1484" s="39" t="s">
        <v>12953</v>
      </c>
      <c r="Q1484" s="39" t="s">
        <v>8568</v>
      </c>
      <c r="R1484" s="39" t="s">
        <v>8569</v>
      </c>
      <c r="S1484" s="39" t="s">
        <v>8570</v>
      </c>
      <c r="AK1484" s="39" t="str">
        <f>("2025/03/17")</f>
        <v>2025/03/17</v>
      </c>
      <c r="AL1484" s="39" t="str">
        <f t="shared" si="130"/>
        <v>2025/04/01</v>
      </c>
    </row>
    <row r="1485" spans="1:38" x14ac:dyDescent="0.25">
      <c r="A1485" s="39" t="str">
        <f>("1503210047")</f>
        <v>1503210047</v>
      </c>
      <c r="C1485" s="39"/>
      <c r="D1485" s="39" t="s">
        <v>8524</v>
      </c>
      <c r="E1485" s="371" t="str">
        <f t="shared" si="129"/>
        <v>きたやま　きるあ</v>
      </c>
      <c r="F1485" s="39" t="s">
        <v>3867</v>
      </c>
      <c r="G1485" s="39" t="s">
        <v>7828</v>
      </c>
      <c r="H1485" s="39" t="str">
        <f>("2015/03/21")</f>
        <v>2015/03/21</v>
      </c>
      <c r="I1485" s="39">
        <v>5</v>
      </c>
      <c r="J1485" s="39" t="s">
        <v>1478</v>
      </c>
      <c r="K1485" s="39" t="s">
        <v>2122</v>
      </c>
      <c r="L1485" s="39" t="s">
        <v>7830</v>
      </c>
      <c r="M1485" s="39" t="s">
        <v>7831</v>
      </c>
      <c r="N1485" s="39" t="str">
        <f>("0129990")</f>
        <v>0129990</v>
      </c>
      <c r="P1485" s="39" t="s">
        <v>12954</v>
      </c>
      <c r="Q1485" s="39" t="s">
        <v>8568</v>
      </c>
      <c r="R1485" s="39" t="s">
        <v>8569</v>
      </c>
      <c r="S1485" s="39" t="s">
        <v>8570</v>
      </c>
      <c r="AK1485" s="39" t="str">
        <f>("2025/04/01")</f>
        <v>2025/04/01</v>
      </c>
      <c r="AL1485" s="39" t="str">
        <f t="shared" si="130"/>
        <v>2025/04/01</v>
      </c>
    </row>
    <row r="1486" spans="1:38" x14ac:dyDescent="0.25">
      <c r="A1486" s="39" t="str">
        <f>("1503210048")</f>
        <v>1503210048</v>
      </c>
      <c r="C1486" s="39"/>
      <c r="D1486" s="39" t="s">
        <v>8525</v>
      </c>
      <c r="E1486" s="371" t="str">
        <f t="shared" si="129"/>
        <v>ふじかわ　やまと</v>
      </c>
      <c r="F1486" s="39" t="s">
        <v>827</v>
      </c>
      <c r="G1486" s="39" t="s">
        <v>7828</v>
      </c>
      <c r="H1486" s="39" t="str">
        <f>("2015/03/21")</f>
        <v>2015/03/21</v>
      </c>
      <c r="I1486" s="39">
        <v>5</v>
      </c>
      <c r="J1486" s="39" t="s">
        <v>1478</v>
      </c>
      <c r="K1486" s="39" t="s">
        <v>2122</v>
      </c>
      <c r="L1486" s="39" t="s">
        <v>7830</v>
      </c>
      <c r="M1486" s="39" t="s">
        <v>7831</v>
      </c>
      <c r="N1486" s="39" t="str">
        <f>("0504908")</f>
        <v>0504908</v>
      </c>
      <c r="P1486" s="39" t="s">
        <v>12955</v>
      </c>
      <c r="Q1486" s="39" t="s">
        <v>8568</v>
      </c>
      <c r="R1486" s="39" t="s">
        <v>8569</v>
      </c>
      <c r="S1486" s="39" t="s">
        <v>8570</v>
      </c>
      <c r="AK1486" s="39" t="str">
        <f>("2025/03/21")</f>
        <v>2025/03/21</v>
      </c>
      <c r="AL1486" s="39" t="str">
        <f t="shared" si="130"/>
        <v>2025/04/01</v>
      </c>
    </row>
    <row r="1487" spans="1:38" x14ac:dyDescent="0.25">
      <c r="A1487" s="39" t="str">
        <f>("1503210140")</f>
        <v>1503210140</v>
      </c>
      <c r="C1487" s="39"/>
      <c r="D1487" s="39" t="s">
        <v>8526</v>
      </c>
      <c r="E1487" s="371" t="str">
        <f t="shared" si="129"/>
        <v>かわづ　りあな</v>
      </c>
      <c r="F1487" s="39" t="s">
        <v>684</v>
      </c>
      <c r="G1487" s="39" t="s">
        <v>7828</v>
      </c>
      <c r="H1487" s="39" t="str">
        <f>("2015/03/21")</f>
        <v>2015/03/21</v>
      </c>
      <c r="I1487" s="39">
        <v>5</v>
      </c>
      <c r="J1487" s="39" t="s">
        <v>1480</v>
      </c>
      <c r="K1487" s="39" t="s">
        <v>2122</v>
      </c>
      <c r="L1487" s="39" t="s">
        <v>7830</v>
      </c>
      <c r="M1487" s="39" t="s">
        <v>7831</v>
      </c>
      <c r="N1487" s="39" t="str">
        <f>("0129518")</f>
        <v>0129518</v>
      </c>
      <c r="P1487" s="39" t="s">
        <v>12956</v>
      </c>
      <c r="Q1487" s="39" t="s">
        <v>8568</v>
      </c>
      <c r="R1487" s="39" t="s">
        <v>8569</v>
      </c>
      <c r="S1487" s="39" t="s">
        <v>8570</v>
      </c>
      <c r="AK1487" s="39" t="str">
        <f>("2025/04/16")</f>
        <v>2025/04/16</v>
      </c>
      <c r="AL1487" s="39" t="str">
        <f>("2025/04/16")</f>
        <v>2025/04/16</v>
      </c>
    </row>
    <row r="1488" spans="1:38" x14ac:dyDescent="0.25">
      <c r="A1488" s="39" t="str">
        <f>("1503220004")</f>
        <v>1503220004</v>
      </c>
      <c r="C1488" s="39"/>
      <c r="D1488" s="39" t="s">
        <v>5961</v>
      </c>
      <c r="E1488" s="371" t="str">
        <f t="shared" si="129"/>
        <v>わたなべ　おうが</v>
      </c>
      <c r="F1488" s="39" t="s">
        <v>5621</v>
      </c>
      <c r="G1488" s="39" t="s">
        <v>7828</v>
      </c>
      <c r="H1488" s="39" t="str">
        <f>("2015/03/22")</f>
        <v>2015/03/22</v>
      </c>
      <c r="I1488" s="39">
        <v>5</v>
      </c>
      <c r="J1488" s="39" t="s">
        <v>1478</v>
      </c>
      <c r="K1488" s="39" t="s">
        <v>2122</v>
      </c>
      <c r="L1488" s="39" t="s">
        <v>7830</v>
      </c>
      <c r="M1488" s="39" t="s">
        <v>7831</v>
      </c>
      <c r="N1488" s="39" t="str">
        <f>("1110654")</f>
        <v>1110654</v>
      </c>
      <c r="P1488" s="39" t="s">
        <v>12957</v>
      </c>
      <c r="Q1488" s="39" t="s">
        <v>8568</v>
      </c>
      <c r="R1488" s="39" t="s">
        <v>8569</v>
      </c>
      <c r="S1488" s="39" t="s">
        <v>8570</v>
      </c>
      <c r="AA1488" s="39" t="s">
        <v>2122</v>
      </c>
      <c r="AB1488" s="39" t="s">
        <v>7830</v>
      </c>
      <c r="AC1488" s="39" t="s">
        <v>7831</v>
      </c>
      <c r="AD1488" s="39" t="str">
        <f>("0130756")</f>
        <v>0130756</v>
      </c>
      <c r="AE1488" s="39" t="s">
        <v>5617</v>
      </c>
      <c r="AF1488" s="39" t="s">
        <v>2122</v>
      </c>
      <c r="AG1488" s="39" t="s">
        <v>7830</v>
      </c>
      <c r="AH1488" s="39" t="s">
        <v>7831</v>
      </c>
      <c r="AI1488" s="39" t="str">
        <f>("0130600")</f>
        <v>0130600</v>
      </c>
      <c r="AJ1488" s="39" t="s">
        <v>2543</v>
      </c>
      <c r="AK1488" s="39" t="str">
        <f>("2025/03/17")</f>
        <v>2025/03/17</v>
      </c>
      <c r="AL1488" s="39" t="str">
        <f t="shared" ref="AL1488:AL1493" si="131">("2025/04/01")</f>
        <v>2025/04/01</v>
      </c>
    </row>
    <row r="1489" spans="1:39" x14ac:dyDescent="0.25">
      <c r="A1489" s="39" t="str">
        <f>("1503220073")</f>
        <v>1503220073</v>
      </c>
      <c r="C1489" s="39"/>
      <c r="D1489" s="39" t="s">
        <v>5840</v>
      </c>
      <c r="E1489" s="371" t="str">
        <f t="shared" si="129"/>
        <v>ふくだ　かいと</v>
      </c>
      <c r="F1489" s="39" t="s">
        <v>2531</v>
      </c>
      <c r="G1489" s="39" t="s">
        <v>7828</v>
      </c>
      <c r="H1489" s="39" t="str">
        <f>("2015/03/22")</f>
        <v>2015/03/22</v>
      </c>
      <c r="I1489" s="39">
        <v>5</v>
      </c>
      <c r="J1489" s="39" t="s">
        <v>1478</v>
      </c>
      <c r="K1489" s="39" t="s">
        <v>2122</v>
      </c>
      <c r="L1489" s="39" t="s">
        <v>7830</v>
      </c>
      <c r="M1489" s="39" t="s">
        <v>7831</v>
      </c>
      <c r="N1489" s="39" t="str">
        <f>("0130419")</f>
        <v>0130419</v>
      </c>
      <c r="P1489" s="39" t="s">
        <v>12958</v>
      </c>
      <c r="Q1489" s="39" t="s">
        <v>8568</v>
      </c>
      <c r="R1489" s="39" t="s">
        <v>8569</v>
      </c>
      <c r="S1489" s="39" t="s">
        <v>8570</v>
      </c>
      <c r="AK1489" s="39" t="str">
        <f>("2025/03/17")</f>
        <v>2025/03/17</v>
      </c>
      <c r="AL1489" s="39" t="str">
        <f t="shared" si="131"/>
        <v>2025/04/01</v>
      </c>
    </row>
    <row r="1490" spans="1:39" x14ac:dyDescent="0.25">
      <c r="A1490" s="39" t="str">
        <f>("1503220076")</f>
        <v>1503220076</v>
      </c>
      <c r="C1490" s="39"/>
      <c r="D1490" s="39" t="s">
        <v>4759</v>
      </c>
      <c r="E1490" s="371" t="str">
        <f t="shared" si="129"/>
        <v>ひがし　こうのすけ</v>
      </c>
      <c r="F1490" s="39" t="s">
        <v>1082</v>
      </c>
      <c r="G1490" s="39" t="s">
        <v>7828</v>
      </c>
      <c r="H1490" s="39" t="str">
        <f>("2015/03/22")</f>
        <v>2015/03/22</v>
      </c>
      <c r="I1490" s="39">
        <v>5</v>
      </c>
      <c r="J1490" s="39" t="s">
        <v>1478</v>
      </c>
      <c r="K1490" s="39" t="s">
        <v>2122</v>
      </c>
      <c r="L1490" s="39" t="s">
        <v>7830</v>
      </c>
      <c r="M1490" s="39" t="s">
        <v>7831</v>
      </c>
      <c r="N1490" s="39" t="str">
        <f>("0450009")</f>
        <v>0450009</v>
      </c>
      <c r="P1490" s="39" t="s">
        <v>12959</v>
      </c>
      <c r="Q1490" s="39" t="s">
        <v>8568</v>
      </c>
      <c r="R1490" s="39" t="s">
        <v>8569</v>
      </c>
      <c r="S1490" s="39" t="s">
        <v>8570</v>
      </c>
      <c r="AK1490" s="39" t="str">
        <f>("2025/03/17")</f>
        <v>2025/03/17</v>
      </c>
      <c r="AL1490" s="39" t="str">
        <f t="shared" si="131"/>
        <v>2025/04/01</v>
      </c>
    </row>
    <row r="1491" spans="1:39" x14ac:dyDescent="0.25">
      <c r="A1491" s="39" t="str">
        <f>("1503220127")</f>
        <v>1503220127</v>
      </c>
      <c r="C1491" s="39"/>
      <c r="D1491" s="39" t="s">
        <v>8527</v>
      </c>
      <c r="E1491" s="371" t="str">
        <f t="shared" si="129"/>
        <v>いのうえ　さくたろう</v>
      </c>
      <c r="F1491" s="39" t="s">
        <v>827</v>
      </c>
      <c r="G1491" s="39" t="s">
        <v>7828</v>
      </c>
      <c r="H1491" s="39" t="str">
        <f>("2015/03/22")</f>
        <v>2015/03/22</v>
      </c>
      <c r="I1491" s="39">
        <v>5</v>
      </c>
      <c r="J1491" s="39" t="s">
        <v>1478</v>
      </c>
      <c r="K1491" s="39" t="s">
        <v>2122</v>
      </c>
      <c r="L1491" s="39" t="s">
        <v>7830</v>
      </c>
      <c r="M1491" s="39" t="s">
        <v>7831</v>
      </c>
      <c r="N1491" s="39" t="str">
        <f>("0504908")</f>
        <v>0504908</v>
      </c>
      <c r="P1491" s="39" t="s">
        <v>12960</v>
      </c>
      <c r="Q1491" s="39" t="s">
        <v>8568</v>
      </c>
      <c r="R1491" s="39" t="s">
        <v>8569</v>
      </c>
      <c r="S1491" s="39" t="s">
        <v>8570</v>
      </c>
      <c r="AK1491" s="39" t="str">
        <f>("2025/03/21")</f>
        <v>2025/03/21</v>
      </c>
      <c r="AL1491" s="39" t="str">
        <f t="shared" si="131"/>
        <v>2025/04/01</v>
      </c>
    </row>
    <row r="1492" spans="1:39" x14ac:dyDescent="0.25">
      <c r="A1492" s="39" t="str">
        <f>("1503220130")</f>
        <v>1503220130</v>
      </c>
      <c r="C1492" s="39"/>
      <c r="D1492" s="39" t="s">
        <v>8528</v>
      </c>
      <c r="E1492" s="371" t="str">
        <f t="shared" si="129"/>
        <v>なんば　たかゆき</v>
      </c>
      <c r="F1492" s="39" t="s">
        <v>1481</v>
      </c>
      <c r="G1492" s="39" t="s">
        <v>7828</v>
      </c>
      <c r="H1492" s="39" t="str">
        <f>("2015/03/22")</f>
        <v>2015/03/22</v>
      </c>
      <c r="I1492" s="39">
        <v>5</v>
      </c>
      <c r="J1492" s="39" t="s">
        <v>1478</v>
      </c>
      <c r="K1492" s="39" t="s">
        <v>2122</v>
      </c>
      <c r="L1492" s="39" t="s">
        <v>7830</v>
      </c>
      <c r="M1492" s="39" t="s">
        <v>7831</v>
      </c>
      <c r="N1492" s="39" t="str">
        <f>("0129866")</f>
        <v>0129866</v>
      </c>
      <c r="P1492" s="39" t="s">
        <v>12961</v>
      </c>
      <c r="Q1492" s="39" t="s">
        <v>8568</v>
      </c>
      <c r="R1492" s="39" t="s">
        <v>8569</v>
      </c>
      <c r="S1492" s="39" t="s">
        <v>8570</v>
      </c>
      <c r="AK1492" s="39" t="str">
        <f>("2025/03/19")</f>
        <v>2025/03/19</v>
      </c>
      <c r="AL1492" s="39" t="str">
        <f t="shared" si="131"/>
        <v>2025/04/01</v>
      </c>
    </row>
    <row r="1493" spans="1:39" x14ac:dyDescent="0.25">
      <c r="A1493" s="39" t="str">
        <f>("1503230083")</f>
        <v>1503230083</v>
      </c>
      <c r="C1493" s="39"/>
      <c r="D1493" s="39" t="s">
        <v>5778</v>
      </c>
      <c r="E1493" s="371" t="str">
        <f t="shared" si="129"/>
        <v>たしろ　とよのぶ</v>
      </c>
      <c r="F1493" s="39" t="s">
        <v>2138</v>
      </c>
      <c r="G1493" s="39" t="s">
        <v>7828</v>
      </c>
      <c r="H1493" s="39" t="str">
        <f>("2015/03/23")</f>
        <v>2015/03/23</v>
      </c>
      <c r="I1493" s="39">
        <v>5</v>
      </c>
      <c r="J1493" s="39" t="s">
        <v>1478</v>
      </c>
      <c r="K1493" s="39" t="s">
        <v>2122</v>
      </c>
      <c r="L1493" s="39" t="s">
        <v>7830</v>
      </c>
      <c r="M1493" s="39" t="s">
        <v>7831</v>
      </c>
      <c r="N1493" s="39" t="str">
        <f>("0130082")</f>
        <v>0130082</v>
      </c>
      <c r="P1493" s="39" t="s">
        <v>12962</v>
      </c>
      <c r="Q1493" s="39" t="s">
        <v>8568</v>
      </c>
      <c r="R1493" s="39" t="s">
        <v>8569</v>
      </c>
      <c r="S1493" s="39" t="s">
        <v>8570</v>
      </c>
      <c r="AK1493" s="39" t="str">
        <f>("2025/03/17")</f>
        <v>2025/03/17</v>
      </c>
      <c r="AL1493" s="39" t="str">
        <f t="shared" si="131"/>
        <v>2025/04/01</v>
      </c>
    </row>
    <row r="1494" spans="1:39" x14ac:dyDescent="0.25">
      <c r="A1494" s="39" t="str">
        <f>("1503240166")</f>
        <v>1503240166</v>
      </c>
      <c r="C1494" s="39"/>
      <c r="D1494" s="39" t="s">
        <v>8529</v>
      </c>
      <c r="E1494" s="371" t="str">
        <f t="shared" si="129"/>
        <v>いけだ　りく</v>
      </c>
      <c r="F1494" s="39" t="s">
        <v>5619</v>
      </c>
      <c r="G1494" s="39" t="s">
        <v>7828</v>
      </c>
      <c r="H1494" s="39" t="str">
        <f>("2015/03/24")</f>
        <v>2015/03/24</v>
      </c>
      <c r="I1494" s="39">
        <v>5</v>
      </c>
      <c r="J1494" s="39" t="s">
        <v>1478</v>
      </c>
      <c r="K1494" s="39" t="s">
        <v>2122</v>
      </c>
      <c r="L1494" s="39" t="s">
        <v>7830</v>
      </c>
      <c r="M1494" s="39" t="s">
        <v>7831</v>
      </c>
      <c r="N1494" s="39" t="str">
        <f>("1089004")</f>
        <v>1089004</v>
      </c>
      <c r="P1494" s="39" t="s">
        <v>12963</v>
      </c>
      <c r="Q1494" s="39" t="s">
        <v>8568</v>
      </c>
      <c r="R1494" s="39" t="s">
        <v>8569</v>
      </c>
      <c r="S1494" s="39" t="s">
        <v>8570</v>
      </c>
      <c r="AA1494" s="39" t="s">
        <v>2122</v>
      </c>
      <c r="AB1494" s="39" t="s">
        <v>7830</v>
      </c>
      <c r="AC1494" s="39" t="s">
        <v>7831</v>
      </c>
      <c r="AD1494" s="39" t="str">
        <f>("0436902")</f>
        <v>0436902</v>
      </c>
      <c r="AE1494" s="39" t="s">
        <v>413</v>
      </c>
      <c r="AK1494" s="39" t="str">
        <f>("2025/04/10")</f>
        <v>2025/04/10</v>
      </c>
      <c r="AL1494" s="39" t="str">
        <f>("2025/04/10")</f>
        <v>2025/04/10</v>
      </c>
    </row>
    <row r="1495" spans="1:39" x14ac:dyDescent="0.25">
      <c r="A1495" s="39" t="str">
        <f>("1503250053")</f>
        <v>1503250053</v>
      </c>
      <c r="B1495" s="39" t="s">
        <v>8530</v>
      </c>
      <c r="C1495" s="39"/>
      <c r="D1495" s="39" t="s">
        <v>6170</v>
      </c>
      <c r="E1495" s="371" t="str">
        <f t="shared" si="129"/>
        <v>あべ　ともえ</v>
      </c>
      <c r="F1495" s="39" t="s">
        <v>2156</v>
      </c>
      <c r="G1495" s="39" t="s">
        <v>7828</v>
      </c>
      <c r="H1495" s="39" t="str">
        <f>("2015/03/25")</f>
        <v>2015/03/25</v>
      </c>
      <c r="I1495" s="39">
        <v>5</v>
      </c>
      <c r="J1495" s="39" t="s">
        <v>1480</v>
      </c>
      <c r="K1495" s="39" t="s">
        <v>2122</v>
      </c>
      <c r="L1495" s="39" t="s">
        <v>7830</v>
      </c>
      <c r="M1495" s="39" t="s">
        <v>7831</v>
      </c>
      <c r="N1495" s="39" t="str">
        <f>("0493040")</f>
        <v>0493040</v>
      </c>
      <c r="P1495" s="39" t="s">
        <v>12964</v>
      </c>
      <c r="Q1495" s="39" t="s">
        <v>8568</v>
      </c>
      <c r="R1495" s="39" t="s">
        <v>8569</v>
      </c>
      <c r="S1495" s="39" t="s">
        <v>8570</v>
      </c>
      <c r="AK1495" s="39" t="str">
        <f>("2025/03/17")</f>
        <v>2025/03/17</v>
      </c>
      <c r="AL1495" s="39" t="str">
        <f>("2025/04/01")</f>
        <v>2025/04/01</v>
      </c>
    </row>
    <row r="1496" spans="1:39" x14ac:dyDescent="0.25">
      <c r="A1496" s="39" t="str">
        <f>("1503250060")</f>
        <v>1503250060</v>
      </c>
      <c r="C1496" s="39"/>
      <c r="D1496" s="39" t="s">
        <v>4626</v>
      </c>
      <c r="E1496" s="371" t="str">
        <f t="shared" si="129"/>
        <v>しゅとう　そうせい</v>
      </c>
      <c r="F1496" s="39" t="s">
        <v>7864</v>
      </c>
      <c r="G1496" s="39" t="s">
        <v>7828</v>
      </c>
      <c r="H1496" s="39" t="str">
        <f>("2015/03/25")</f>
        <v>2015/03/25</v>
      </c>
      <c r="I1496" s="39">
        <v>5</v>
      </c>
      <c r="J1496" s="39" t="s">
        <v>1478</v>
      </c>
      <c r="K1496" s="39" t="s">
        <v>2122</v>
      </c>
      <c r="L1496" s="39" t="s">
        <v>7830</v>
      </c>
      <c r="M1496" s="39" t="s">
        <v>7831</v>
      </c>
      <c r="N1496" s="39" t="str">
        <f>("1039801")</f>
        <v>1039801</v>
      </c>
      <c r="P1496" s="39" t="s">
        <v>12965</v>
      </c>
      <c r="Q1496" s="39" t="s">
        <v>8568</v>
      </c>
      <c r="R1496" s="39" t="s">
        <v>8569</v>
      </c>
      <c r="S1496" s="39" t="s">
        <v>8570</v>
      </c>
      <c r="AA1496" s="39" t="s">
        <v>2122</v>
      </c>
      <c r="AB1496" s="39" t="s">
        <v>7830</v>
      </c>
      <c r="AC1496" s="39" t="s">
        <v>7831</v>
      </c>
      <c r="AD1496" s="39" t="str">
        <f>("0130745")</f>
        <v>0130745</v>
      </c>
      <c r="AE1496" s="39" t="s">
        <v>686</v>
      </c>
      <c r="AK1496" s="39" t="str">
        <f>("2025/06/10")</f>
        <v>2025/06/10</v>
      </c>
      <c r="AL1496" s="39" t="str">
        <f>("2025/06/10")</f>
        <v>2025/06/10</v>
      </c>
    </row>
    <row r="1497" spans="1:39" x14ac:dyDescent="0.25">
      <c r="A1497" s="39" t="str">
        <f>("1503250167")</f>
        <v>1503250167</v>
      </c>
      <c r="C1497" s="39"/>
      <c r="D1497" s="39" t="s">
        <v>8531</v>
      </c>
      <c r="E1497" s="371" t="str">
        <f t="shared" si="129"/>
        <v>みふさ　まお</v>
      </c>
      <c r="F1497" s="39" t="s">
        <v>838</v>
      </c>
      <c r="G1497" s="39" t="s">
        <v>7828</v>
      </c>
      <c r="H1497" s="39" t="str">
        <f>("2015/03/25")</f>
        <v>2015/03/25</v>
      </c>
      <c r="I1497" s="39">
        <v>5</v>
      </c>
      <c r="J1497" s="39" t="s">
        <v>1478</v>
      </c>
      <c r="K1497" s="39" t="s">
        <v>2122</v>
      </c>
      <c r="L1497" s="39" t="s">
        <v>7830</v>
      </c>
      <c r="M1497" s="39" t="s">
        <v>7831</v>
      </c>
      <c r="N1497" s="39" t="str">
        <f>("0360021")</f>
        <v>0360021</v>
      </c>
      <c r="P1497" s="39" t="s">
        <v>12966</v>
      </c>
      <c r="Q1497" s="39" t="s">
        <v>8568</v>
      </c>
      <c r="R1497" s="39" t="s">
        <v>8569</v>
      </c>
      <c r="S1497" s="39" t="s">
        <v>8570</v>
      </c>
      <c r="AK1497" s="39" t="str">
        <f>("2025/03/17")</f>
        <v>2025/03/17</v>
      </c>
      <c r="AL1497" s="39" t="str">
        <f>("2025/04/01")</f>
        <v>2025/04/01</v>
      </c>
    </row>
    <row r="1498" spans="1:39" x14ac:dyDescent="0.25">
      <c r="A1498" s="39" t="str">
        <f>("1503250173")</f>
        <v>1503250173</v>
      </c>
      <c r="C1498" s="39"/>
      <c r="D1498" s="39" t="s">
        <v>5751</v>
      </c>
      <c r="E1498" s="371" t="str">
        <f t="shared" si="129"/>
        <v>せきね　ゆうた</v>
      </c>
      <c r="F1498" s="39" t="s">
        <v>2505</v>
      </c>
      <c r="G1498" s="39" t="s">
        <v>7876</v>
      </c>
      <c r="H1498" s="39" t="str">
        <f>("2015/03/25")</f>
        <v>2015/03/25</v>
      </c>
      <c r="I1498" s="39">
        <v>5</v>
      </c>
      <c r="J1498" s="39" t="s">
        <v>1478</v>
      </c>
      <c r="K1498" s="39" t="s">
        <v>2122</v>
      </c>
      <c r="L1498" s="39" t="s">
        <v>7830</v>
      </c>
      <c r="M1498" s="39" t="s">
        <v>7831</v>
      </c>
      <c r="N1498" s="39" t="str">
        <f>("0129923")</f>
        <v>0129923</v>
      </c>
      <c r="P1498" s="39" t="s">
        <v>12967</v>
      </c>
      <c r="Q1498" s="39" t="s">
        <v>8568</v>
      </c>
      <c r="R1498" s="39" t="s">
        <v>8569</v>
      </c>
      <c r="S1498" s="39" t="s">
        <v>8570</v>
      </c>
      <c r="AK1498" s="39" t="str">
        <f>("2025/03/17")</f>
        <v>2025/03/17</v>
      </c>
      <c r="AL1498" s="39" t="str">
        <f>("2025/04/01")</f>
        <v>2025/04/01</v>
      </c>
      <c r="AM1498" s="39" t="str">
        <f>("2025/06/27")</f>
        <v>2025/06/27</v>
      </c>
    </row>
    <row r="1499" spans="1:39" x14ac:dyDescent="0.25">
      <c r="A1499" s="39" t="str">
        <f>("1503250215")</f>
        <v>1503250215</v>
      </c>
      <c r="C1499" s="39"/>
      <c r="D1499" s="39" t="s">
        <v>8532</v>
      </c>
      <c r="E1499" s="371" t="str">
        <f t="shared" si="129"/>
        <v>あきやま　たいしょう</v>
      </c>
      <c r="F1499" s="39" t="s">
        <v>2156</v>
      </c>
      <c r="G1499" s="39" t="s">
        <v>7828</v>
      </c>
      <c r="H1499" s="39" t="str">
        <f>("2015/03/25")</f>
        <v>2015/03/25</v>
      </c>
      <c r="I1499" s="39">
        <v>5</v>
      </c>
      <c r="J1499" s="39" t="s">
        <v>1478</v>
      </c>
      <c r="K1499" s="39" t="s">
        <v>2122</v>
      </c>
      <c r="L1499" s="39" t="s">
        <v>7830</v>
      </c>
      <c r="M1499" s="39" t="s">
        <v>7831</v>
      </c>
      <c r="N1499" s="39" t="str">
        <f>("0493040")</f>
        <v>0493040</v>
      </c>
      <c r="P1499" s="39" t="s">
        <v>12968</v>
      </c>
      <c r="Q1499" s="39" t="s">
        <v>8568</v>
      </c>
      <c r="R1499" s="39" t="s">
        <v>8569</v>
      </c>
      <c r="S1499" s="39" t="s">
        <v>8570</v>
      </c>
      <c r="AK1499" s="39" t="str">
        <f>("2025/10/28")</f>
        <v>2025/10/28</v>
      </c>
      <c r="AL1499" s="39" t="str">
        <f>("2025/10/28")</f>
        <v>2025/10/28</v>
      </c>
    </row>
    <row r="1500" spans="1:39" x14ac:dyDescent="0.25">
      <c r="A1500" s="39" t="str">
        <f>("1503260176")</f>
        <v>1503260176</v>
      </c>
      <c r="C1500" s="39"/>
      <c r="D1500" s="39" t="s">
        <v>5699</v>
      </c>
      <c r="E1500" s="371" t="str">
        <f t="shared" si="129"/>
        <v>さがら　えいと</v>
      </c>
      <c r="F1500" s="39" t="s">
        <v>3866</v>
      </c>
      <c r="G1500" s="39" t="s">
        <v>7828</v>
      </c>
      <c r="H1500" s="39" t="str">
        <f>("2015/03/26")</f>
        <v>2015/03/26</v>
      </c>
      <c r="I1500" s="39">
        <v>5</v>
      </c>
      <c r="J1500" s="39" t="s">
        <v>1478</v>
      </c>
      <c r="K1500" s="39" t="s">
        <v>2122</v>
      </c>
      <c r="L1500" s="39" t="s">
        <v>7830</v>
      </c>
      <c r="M1500" s="39" t="s">
        <v>7831</v>
      </c>
      <c r="N1500" s="39" t="str">
        <f>("0129675")</f>
        <v>0129675</v>
      </c>
      <c r="P1500" s="39" t="s">
        <v>12969</v>
      </c>
      <c r="Q1500" s="39" t="s">
        <v>8568</v>
      </c>
      <c r="R1500" s="39" t="s">
        <v>8569</v>
      </c>
      <c r="S1500" s="39" t="s">
        <v>8570</v>
      </c>
      <c r="AK1500" s="39" t="str">
        <f>("2025/04/01")</f>
        <v>2025/04/01</v>
      </c>
      <c r="AL1500" s="39" t="str">
        <f>("2025/04/01")</f>
        <v>2025/04/01</v>
      </c>
    </row>
    <row r="1501" spans="1:39" x14ac:dyDescent="0.25">
      <c r="A1501" s="39" t="str">
        <f>("1503270053")</f>
        <v>1503270053</v>
      </c>
      <c r="B1501" s="39" t="s">
        <v>8533</v>
      </c>
      <c r="C1501" s="39"/>
      <c r="D1501" s="39" t="s">
        <v>8534</v>
      </c>
      <c r="E1501" s="371" t="str">
        <f t="shared" si="129"/>
        <v>おがさわら　ごう</v>
      </c>
      <c r="F1501" s="39" t="s">
        <v>2024</v>
      </c>
      <c r="G1501" s="39" t="s">
        <v>7828</v>
      </c>
      <c r="H1501" s="39" t="str">
        <f>("2015/03/27")</f>
        <v>2015/03/27</v>
      </c>
      <c r="I1501" s="39">
        <v>5</v>
      </c>
      <c r="J1501" s="39" t="s">
        <v>1478</v>
      </c>
      <c r="K1501" s="39" t="s">
        <v>2122</v>
      </c>
      <c r="L1501" s="39" t="s">
        <v>7830</v>
      </c>
      <c r="M1501" s="39" t="s">
        <v>7831</v>
      </c>
      <c r="N1501" s="39" t="str">
        <f>("0130475")</f>
        <v>0130475</v>
      </c>
      <c r="P1501" s="39" t="s">
        <v>12970</v>
      </c>
      <c r="Q1501" s="39" t="s">
        <v>8568</v>
      </c>
      <c r="R1501" s="39" t="s">
        <v>8569</v>
      </c>
      <c r="S1501" s="39" t="s">
        <v>8570</v>
      </c>
      <c r="AK1501" s="39" t="str">
        <f>("2025/04/04")</f>
        <v>2025/04/04</v>
      </c>
      <c r="AL1501" s="39" t="str">
        <f t="shared" ref="AL1501:AL1510" si="132">("2025/04/01")</f>
        <v>2025/04/01</v>
      </c>
    </row>
    <row r="1502" spans="1:39" x14ac:dyDescent="0.25">
      <c r="A1502" s="39" t="str">
        <f>("1503280120")</f>
        <v>1503280120</v>
      </c>
      <c r="C1502" s="39"/>
      <c r="D1502" s="39" t="s">
        <v>8535</v>
      </c>
      <c r="E1502" s="371" t="str">
        <f t="shared" si="129"/>
        <v>たけもと　りくと</v>
      </c>
      <c r="F1502" s="39" t="s">
        <v>2648</v>
      </c>
      <c r="G1502" s="39" t="s">
        <v>7828</v>
      </c>
      <c r="H1502" s="39" t="str">
        <f>("2015/03/28")</f>
        <v>2015/03/28</v>
      </c>
      <c r="I1502" s="39">
        <v>5</v>
      </c>
      <c r="J1502" s="39" t="s">
        <v>1478</v>
      </c>
      <c r="K1502" s="39" t="s">
        <v>2122</v>
      </c>
      <c r="L1502" s="39" t="s">
        <v>7830</v>
      </c>
      <c r="M1502" s="39" t="s">
        <v>7831</v>
      </c>
      <c r="N1502" s="39" t="str">
        <f>("1050097")</f>
        <v>1050097</v>
      </c>
      <c r="P1502" s="39" t="s">
        <v>12971</v>
      </c>
      <c r="Q1502" s="39" t="s">
        <v>8568</v>
      </c>
      <c r="R1502" s="39" t="s">
        <v>8569</v>
      </c>
      <c r="S1502" s="39" t="s">
        <v>8570</v>
      </c>
      <c r="AK1502" s="39" t="str">
        <f>("2025/03/25")</f>
        <v>2025/03/25</v>
      </c>
      <c r="AL1502" s="39" t="str">
        <f t="shared" si="132"/>
        <v>2025/04/01</v>
      </c>
    </row>
    <row r="1503" spans="1:39" x14ac:dyDescent="0.25">
      <c r="A1503" s="39" t="str">
        <f>("1503280147")</f>
        <v>1503280147</v>
      </c>
      <c r="B1503" s="39" t="s">
        <v>8536</v>
      </c>
      <c r="C1503" s="39"/>
      <c r="D1503" s="39" t="s">
        <v>8537</v>
      </c>
      <c r="E1503" s="371" t="str">
        <f t="shared" si="129"/>
        <v>みむら　たかのり</v>
      </c>
      <c r="F1503" s="39" t="s">
        <v>2188</v>
      </c>
      <c r="G1503" s="39" t="s">
        <v>7828</v>
      </c>
      <c r="H1503" s="39" t="str">
        <f>("2015/03/28")</f>
        <v>2015/03/28</v>
      </c>
      <c r="I1503" s="39">
        <v>5</v>
      </c>
      <c r="J1503" s="39" t="s">
        <v>1478</v>
      </c>
      <c r="K1503" s="39" t="s">
        <v>2122</v>
      </c>
      <c r="L1503" s="39" t="s">
        <v>7830</v>
      </c>
      <c r="M1503" s="39" t="s">
        <v>7831</v>
      </c>
      <c r="N1503" s="39" t="str">
        <f>("0129596")</f>
        <v>0129596</v>
      </c>
      <c r="P1503" s="39" t="s">
        <v>12972</v>
      </c>
      <c r="Q1503" s="39" t="s">
        <v>8568</v>
      </c>
      <c r="R1503" s="39" t="s">
        <v>8569</v>
      </c>
      <c r="S1503" s="39" t="s">
        <v>8570</v>
      </c>
      <c r="AK1503" s="39" t="str">
        <f t="shared" ref="AK1503:AK1509" si="133">("2025/03/17")</f>
        <v>2025/03/17</v>
      </c>
      <c r="AL1503" s="39" t="str">
        <f t="shared" si="132"/>
        <v>2025/04/01</v>
      </c>
    </row>
    <row r="1504" spans="1:39" x14ac:dyDescent="0.25">
      <c r="A1504" s="39" t="str">
        <f>("1503290007")</f>
        <v>1503290007</v>
      </c>
      <c r="C1504" s="39"/>
      <c r="D1504" s="39" t="s">
        <v>8538</v>
      </c>
      <c r="E1504" s="371" t="str">
        <f t="shared" si="129"/>
        <v>もろとみ　れんせい</v>
      </c>
      <c r="F1504" s="39" t="s">
        <v>2573</v>
      </c>
      <c r="G1504" s="39" t="s">
        <v>7828</v>
      </c>
      <c r="H1504" s="39" t="str">
        <f>("2015/03/29")</f>
        <v>2015/03/29</v>
      </c>
      <c r="I1504" s="39">
        <v>5</v>
      </c>
      <c r="J1504" s="39" t="s">
        <v>1478</v>
      </c>
      <c r="K1504" s="39" t="s">
        <v>2122</v>
      </c>
      <c r="L1504" s="39" t="s">
        <v>7830</v>
      </c>
      <c r="M1504" s="39" t="s">
        <v>7831</v>
      </c>
      <c r="N1504" s="39" t="str">
        <f>("0230982")</f>
        <v>0230982</v>
      </c>
      <c r="P1504" s="39" t="s">
        <v>12973</v>
      </c>
      <c r="Q1504" s="39" t="s">
        <v>8568</v>
      </c>
      <c r="R1504" s="39" t="s">
        <v>8569</v>
      </c>
      <c r="S1504" s="39" t="s">
        <v>8570</v>
      </c>
      <c r="AK1504" s="39" t="str">
        <f t="shared" si="133"/>
        <v>2025/03/17</v>
      </c>
      <c r="AL1504" s="39" t="str">
        <f t="shared" si="132"/>
        <v>2025/04/01</v>
      </c>
    </row>
    <row r="1505" spans="1:39" x14ac:dyDescent="0.25">
      <c r="A1505" s="39" t="str">
        <f>("1503290041")</f>
        <v>1503290041</v>
      </c>
      <c r="C1505" s="39"/>
      <c r="D1505" s="39" t="s">
        <v>8539</v>
      </c>
      <c r="E1505" s="371" t="str">
        <f t="shared" si="129"/>
        <v>なかしま　ひでと</v>
      </c>
      <c r="F1505" s="39" t="s">
        <v>1968</v>
      </c>
      <c r="G1505" s="39" t="s">
        <v>7828</v>
      </c>
      <c r="H1505" s="39" t="str">
        <f>("2015/03/29")</f>
        <v>2015/03/29</v>
      </c>
      <c r="I1505" s="39">
        <v>5</v>
      </c>
      <c r="J1505" s="39" t="s">
        <v>1478</v>
      </c>
      <c r="K1505" s="39" t="s">
        <v>2122</v>
      </c>
      <c r="L1505" s="39" t="s">
        <v>7830</v>
      </c>
      <c r="M1505" s="39" t="s">
        <v>7831</v>
      </c>
      <c r="N1505" s="39" t="str">
        <f>("0129507")</f>
        <v>0129507</v>
      </c>
      <c r="P1505" s="39" t="s">
        <v>12974</v>
      </c>
      <c r="Q1505" s="39" t="s">
        <v>8568</v>
      </c>
      <c r="R1505" s="39" t="s">
        <v>8569</v>
      </c>
      <c r="S1505" s="39" t="s">
        <v>8570</v>
      </c>
      <c r="AA1505" s="39" t="s">
        <v>2122</v>
      </c>
      <c r="AB1505" s="39" t="s">
        <v>7830</v>
      </c>
      <c r="AC1505" s="39" t="s">
        <v>7831</v>
      </c>
      <c r="AD1505" s="39" t="str">
        <f>("0504908")</f>
        <v>0504908</v>
      </c>
      <c r="AE1505" s="39" t="s">
        <v>827</v>
      </c>
      <c r="AK1505" s="39" t="str">
        <f t="shared" si="133"/>
        <v>2025/03/17</v>
      </c>
      <c r="AL1505" s="39" t="str">
        <f t="shared" si="132"/>
        <v>2025/04/01</v>
      </c>
    </row>
    <row r="1506" spans="1:39" x14ac:dyDescent="0.25">
      <c r="A1506" s="39" t="str">
        <f>("1503300050")</f>
        <v>1503300050</v>
      </c>
      <c r="C1506" s="39"/>
      <c r="D1506" s="39" t="s">
        <v>4353</v>
      </c>
      <c r="E1506" s="371" t="str">
        <f t="shared" si="129"/>
        <v>さの　みなと</v>
      </c>
      <c r="F1506" s="39" t="s">
        <v>2505</v>
      </c>
      <c r="G1506" s="39" t="s">
        <v>7828</v>
      </c>
      <c r="H1506" s="39" t="str">
        <f>("2015/03/30")</f>
        <v>2015/03/30</v>
      </c>
      <c r="I1506" s="39">
        <v>5</v>
      </c>
      <c r="J1506" s="39" t="s">
        <v>1478</v>
      </c>
      <c r="K1506" s="39" t="s">
        <v>2122</v>
      </c>
      <c r="L1506" s="39" t="s">
        <v>7830</v>
      </c>
      <c r="M1506" s="39" t="s">
        <v>7831</v>
      </c>
      <c r="N1506" s="39" t="str">
        <f>("0129923")</f>
        <v>0129923</v>
      </c>
      <c r="P1506" s="39" t="s">
        <v>12975</v>
      </c>
      <c r="Q1506" s="39" t="s">
        <v>8568</v>
      </c>
      <c r="R1506" s="39" t="s">
        <v>8569</v>
      </c>
      <c r="S1506" s="39" t="s">
        <v>8570</v>
      </c>
      <c r="AK1506" s="39" t="str">
        <f t="shared" si="133"/>
        <v>2025/03/17</v>
      </c>
      <c r="AL1506" s="39" t="str">
        <f t="shared" si="132"/>
        <v>2025/04/01</v>
      </c>
    </row>
    <row r="1507" spans="1:39" x14ac:dyDescent="0.25">
      <c r="A1507" s="39" t="str">
        <f>("1504020072")</f>
        <v>1504020072</v>
      </c>
      <c r="C1507" s="39"/>
      <c r="D1507" s="39" t="s">
        <v>5859</v>
      </c>
      <c r="E1507" s="371" t="str">
        <f t="shared" si="129"/>
        <v>ただ　ゆいと</v>
      </c>
      <c r="F1507" s="39" t="s">
        <v>1751</v>
      </c>
      <c r="G1507" s="39" t="s">
        <v>7828</v>
      </c>
      <c r="H1507" s="39" t="str">
        <f>("2015/04/02")</f>
        <v>2015/04/02</v>
      </c>
      <c r="I1507" s="39">
        <v>4</v>
      </c>
      <c r="J1507" s="39" t="s">
        <v>1478</v>
      </c>
      <c r="K1507" s="39" t="s">
        <v>2122</v>
      </c>
      <c r="L1507" s="39" t="s">
        <v>7830</v>
      </c>
      <c r="M1507" s="39" t="s">
        <v>7831</v>
      </c>
      <c r="N1507" s="39" t="str">
        <f>("0130453")</f>
        <v>0130453</v>
      </c>
      <c r="P1507" s="39" t="s">
        <v>12976</v>
      </c>
      <c r="Q1507" s="39" t="s">
        <v>8568</v>
      </c>
      <c r="R1507" s="39" t="s">
        <v>8569</v>
      </c>
      <c r="S1507" s="39" t="s">
        <v>8570</v>
      </c>
      <c r="AK1507" s="39" t="str">
        <f t="shared" si="133"/>
        <v>2025/03/17</v>
      </c>
      <c r="AL1507" s="39" t="str">
        <f t="shared" si="132"/>
        <v>2025/04/01</v>
      </c>
    </row>
    <row r="1508" spans="1:39" x14ac:dyDescent="0.25">
      <c r="A1508" s="39" t="str">
        <f>("1504020084")</f>
        <v>1504020084</v>
      </c>
      <c r="C1508" s="39"/>
      <c r="D1508" s="39" t="s">
        <v>9027</v>
      </c>
      <c r="E1508" s="371" t="str">
        <f t="shared" si="129"/>
        <v>たましろ　あさひ</v>
      </c>
      <c r="F1508" s="39" t="s">
        <v>2575</v>
      </c>
      <c r="G1508" s="39" t="s">
        <v>7828</v>
      </c>
      <c r="H1508" s="39" t="str">
        <f>("2015/04/02")</f>
        <v>2015/04/02</v>
      </c>
      <c r="I1508" s="39">
        <v>4</v>
      </c>
      <c r="J1508" s="39" t="s">
        <v>1478</v>
      </c>
      <c r="K1508" s="39" t="s">
        <v>2122</v>
      </c>
      <c r="L1508" s="39" t="s">
        <v>7830</v>
      </c>
      <c r="M1508" s="39" t="s">
        <v>7831</v>
      </c>
      <c r="N1508" s="39" t="str">
        <f>("0303040")</f>
        <v>0303040</v>
      </c>
      <c r="P1508" s="39" t="s">
        <v>12977</v>
      </c>
      <c r="Q1508" s="39" t="s">
        <v>8568</v>
      </c>
      <c r="R1508" s="39" t="s">
        <v>8569</v>
      </c>
      <c r="S1508" s="39" t="s">
        <v>8570</v>
      </c>
      <c r="AK1508" s="39" t="str">
        <f t="shared" si="133"/>
        <v>2025/03/17</v>
      </c>
      <c r="AL1508" s="39" t="str">
        <f t="shared" si="132"/>
        <v>2025/04/01</v>
      </c>
    </row>
    <row r="1509" spans="1:39" x14ac:dyDescent="0.25">
      <c r="A1509" s="39" t="str">
        <f>("1504030111")</f>
        <v>1504030111</v>
      </c>
      <c r="C1509" s="39"/>
      <c r="D1509" s="39" t="s">
        <v>9028</v>
      </c>
      <c r="E1509" s="371" t="str">
        <f t="shared" si="129"/>
        <v>さとう　りくと</v>
      </c>
      <c r="F1509" s="39" t="s">
        <v>1190</v>
      </c>
      <c r="G1509" s="39" t="s">
        <v>7828</v>
      </c>
      <c r="H1509" s="39" t="str">
        <f>("2015/04/03")</f>
        <v>2015/04/03</v>
      </c>
      <c r="I1509" s="39">
        <v>4</v>
      </c>
      <c r="J1509" s="39" t="s">
        <v>1478</v>
      </c>
      <c r="K1509" s="39" t="s">
        <v>2122</v>
      </c>
      <c r="L1509" s="39" t="s">
        <v>7830</v>
      </c>
      <c r="M1509" s="39" t="s">
        <v>7831</v>
      </c>
      <c r="N1509" s="39" t="str">
        <f>("0130554")</f>
        <v>0130554</v>
      </c>
      <c r="P1509" s="39" t="s">
        <v>12978</v>
      </c>
      <c r="Q1509" s="39" t="s">
        <v>8568</v>
      </c>
      <c r="R1509" s="39" t="s">
        <v>8569</v>
      </c>
      <c r="S1509" s="39" t="s">
        <v>8570</v>
      </c>
      <c r="AK1509" s="39" t="str">
        <f t="shared" si="133"/>
        <v>2025/03/17</v>
      </c>
      <c r="AL1509" s="39" t="str">
        <f t="shared" si="132"/>
        <v>2025/04/01</v>
      </c>
    </row>
    <row r="1510" spans="1:39" x14ac:dyDescent="0.25">
      <c r="A1510" s="39" t="str">
        <f>("1504040142")</f>
        <v>1504040142</v>
      </c>
      <c r="C1510" s="39"/>
      <c r="D1510" s="39" t="s">
        <v>9029</v>
      </c>
      <c r="E1510" s="371" t="str">
        <f t="shared" si="129"/>
        <v>やすえだ　さき</v>
      </c>
      <c r="F1510" s="39" t="s">
        <v>520</v>
      </c>
      <c r="G1510" s="39" t="s">
        <v>7876</v>
      </c>
      <c r="H1510" s="39" t="str">
        <f>("2015/04/04")</f>
        <v>2015/04/04</v>
      </c>
      <c r="I1510" s="39">
        <v>4</v>
      </c>
      <c r="J1510" s="39" t="s">
        <v>1480</v>
      </c>
      <c r="K1510" s="39" t="s">
        <v>2122</v>
      </c>
      <c r="L1510" s="39" t="s">
        <v>7830</v>
      </c>
      <c r="M1510" s="39" t="s">
        <v>7831</v>
      </c>
      <c r="N1510" s="39" t="str">
        <f>("0129765")</f>
        <v>0129765</v>
      </c>
      <c r="P1510" s="39" t="s">
        <v>12979</v>
      </c>
      <c r="Q1510" s="39" t="s">
        <v>8568</v>
      </c>
      <c r="R1510" s="39" t="s">
        <v>8569</v>
      </c>
      <c r="S1510" s="39" t="s">
        <v>8570</v>
      </c>
      <c r="AK1510" s="39" t="str">
        <f>("2025/03/25")</f>
        <v>2025/03/25</v>
      </c>
      <c r="AL1510" s="39" t="str">
        <f t="shared" si="132"/>
        <v>2025/04/01</v>
      </c>
      <c r="AM1510" s="39" t="str">
        <f>("2025/05/28")</f>
        <v>2025/05/28</v>
      </c>
    </row>
    <row r="1511" spans="1:39" x14ac:dyDescent="0.25">
      <c r="A1511" s="39" t="str">
        <f>("1504040189")</f>
        <v>1504040189</v>
      </c>
      <c r="C1511" s="39"/>
      <c r="D1511" s="39" t="s">
        <v>9030</v>
      </c>
      <c r="E1511" s="371" t="str">
        <f t="shared" si="129"/>
        <v>ふかみ　りく</v>
      </c>
      <c r="F1511" s="39" t="s">
        <v>2648</v>
      </c>
      <c r="G1511" s="39" t="s">
        <v>7828</v>
      </c>
      <c r="H1511" s="39" t="str">
        <f>("2015/04/04")</f>
        <v>2015/04/04</v>
      </c>
      <c r="I1511" s="39">
        <v>4</v>
      </c>
      <c r="J1511" s="39" t="s">
        <v>1478</v>
      </c>
      <c r="K1511" s="39" t="s">
        <v>2122</v>
      </c>
      <c r="L1511" s="39" t="s">
        <v>7830</v>
      </c>
      <c r="M1511" s="39" t="s">
        <v>7831</v>
      </c>
      <c r="N1511" s="39" t="str">
        <f>("1050097")</f>
        <v>1050097</v>
      </c>
      <c r="P1511" s="39" t="s">
        <v>12980</v>
      </c>
      <c r="Q1511" s="39" t="s">
        <v>8568</v>
      </c>
      <c r="R1511" s="39" t="s">
        <v>8569</v>
      </c>
      <c r="S1511" s="39" t="s">
        <v>8570</v>
      </c>
      <c r="AK1511" s="39" t="str">
        <f>("2025/09/02")</f>
        <v>2025/09/02</v>
      </c>
      <c r="AL1511" s="39" t="str">
        <f>("2025/09/02")</f>
        <v>2025/09/02</v>
      </c>
    </row>
    <row r="1512" spans="1:39" x14ac:dyDescent="0.25">
      <c r="A1512" s="39" t="str">
        <f>("1504050074")</f>
        <v>1504050074</v>
      </c>
      <c r="C1512" s="39"/>
      <c r="D1512" s="39" t="s">
        <v>9031</v>
      </c>
      <c r="E1512" s="371" t="str">
        <f t="shared" si="129"/>
        <v>まつばら　たくと</v>
      </c>
      <c r="F1512" s="39" t="s">
        <v>1239</v>
      </c>
      <c r="G1512" s="39" t="s">
        <v>7828</v>
      </c>
      <c r="H1512" s="39" t="str">
        <f>("2015/04/05")</f>
        <v>2015/04/05</v>
      </c>
      <c r="I1512" s="39">
        <v>4</v>
      </c>
      <c r="J1512" s="39" t="s">
        <v>1478</v>
      </c>
      <c r="K1512" s="39" t="s">
        <v>2122</v>
      </c>
      <c r="L1512" s="39" t="s">
        <v>7830</v>
      </c>
      <c r="M1512" s="39" t="s">
        <v>7831</v>
      </c>
      <c r="N1512" s="39" t="str">
        <f>("0129585")</f>
        <v>0129585</v>
      </c>
      <c r="P1512" s="39" t="s">
        <v>12981</v>
      </c>
      <c r="Q1512" s="39" t="s">
        <v>8568</v>
      </c>
      <c r="R1512" s="39" t="s">
        <v>8569</v>
      </c>
      <c r="S1512" s="39" t="s">
        <v>8570</v>
      </c>
      <c r="AK1512" s="39" t="str">
        <f>("2025/03/17")</f>
        <v>2025/03/17</v>
      </c>
      <c r="AL1512" s="39" t="str">
        <f>("2025/04/01")</f>
        <v>2025/04/01</v>
      </c>
    </row>
    <row r="1513" spans="1:39" x14ac:dyDescent="0.25">
      <c r="A1513" s="39" t="str">
        <f>("1504050135")</f>
        <v>1504050135</v>
      </c>
      <c r="C1513" s="39"/>
      <c r="D1513" s="39" t="s">
        <v>9032</v>
      </c>
      <c r="E1513" s="371" t="str">
        <f t="shared" si="129"/>
        <v>しんや　そうた</v>
      </c>
      <c r="F1513" s="39" t="s">
        <v>2023</v>
      </c>
      <c r="G1513" s="39" t="s">
        <v>7828</v>
      </c>
      <c r="H1513" s="39" t="str">
        <f>("2015/04/05")</f>
        <v>2015/04/05</v>
      </c>
      <c r="I1513" s="39">
        <v>4</v>
      </c>
      <c r="J1513" s="39" t="s">
        <v>1478</v>
      </c>
      <c r="K1513" s="39" t="s">
        <v>2122</v>
      </c>
      <c r="L1513" s="39" t="s">
        <v>7830</v>
      </c>
      <c r="M1513" s="39" t="s">
        <v>7831</v>
      </c>
      <c r="N1513" s="39" t="str">
        <f>("0129967")</f>
        <v>0129967</v>
      </c>
      <c r="P1513" s="39" t="s">
        <v>12982</v>
      </c>
      <c r="Q1513" s="39" t="s">
        <v>8568</v>
      </c>
      <c r="R1513" s="39" t="s">
        <v>8569</v>
      </c>
      <c r="S1513" s="39" t="s">
        <v>8570</v>
      </c>
      <c r="AK1513" s="39" t="str">
        <f>("2025/04/10")</f>
        <v>2025/04/10</v>
      </c>
      <c r="AL1513" s="39" t="str">
        <f>("2025/04/10")</f>
        <v>2025/04/10</v>
      </c>
    </row>
    <row r="1514" spans="1:39" x14ac:dyDescent="0.25">
      <c r="A1514" s="39" t="str">
        <f>("1504050152")</f>
        <v>1504050152</v>
      </c>
      <c r="C1514" s="39"/>
      <c r="D1514" s="39" t="s">
        <v>9033</v>
      </c>
      <c r="E1514" s="371" t="str">
        <f t="shared" si="129"/>
        <v>みなみ　おうすけ</v>
      </c>
      <c r="F1514" s="39" t="s">
        <v>1446</v>
      </c>
      <c r="G1514" s="39" t="s">
        <v>7828</v>
      </c>
      <c r="H1514" s="39" t="str">
        <f>("2015/04/05")</f>
        <v>2015/04/05</v>
      </c>
      <c r="I1514" s="39">
        <v>4</v>
      </c>
      <c r="J1514" s="39" t="s">
        <v>1478</v>
      </c>
      <c r="K1514" s="39" t="s">
        <v>2122</v>
      </c>
      <c r="L1514" s="39" t="s">
        <v>7830</v>
      </c>
      <c r="M1514" s="39" t="s">
        <v>7831</v>
      </c>
      <c r="N1514" s="39" t="str">
        <f>("0478807")</f>
        <v>0478807</v>
      </c>
      <c r="P1514" s="39" t="s">
        <v>12983</v>
      </c>
      <c r="Q1514" s="39" t="s">
        <v>8568</v>
      </c>
      <c r="R1514" s="39" t="s">
        <v>8569</v>
      </c>
      <c r="S1514" s="39" t="s">
        <v>8570</v>
      </c>
      <c r="AK1514" s="39" t="str">
        <f>("2025/09/17")</f>
        <v>2025/09/17</v>
      </c>
      <c r="AL1514" s="39" t="str">
        <f>("2025/09/17")</f>
        <v>2025/09/17</v>
      </c>
    </row>
    <row r="1515" spans="1:39" x14ac:dyDescent="0.25">
      <c r="A1515" s="39" t="str">
        <f>("1504060083")</f>
        <v>1504060083</v>
      </c>
      <c r="B1515" s="39" t="s">
        <v>9034</v>
      </c>
      <c r="C1515" s="39"/>
      <c r="D1515" s="39" t="s">
        <v>9035</v>
      </c>
      <c r="E1515" s="371" t="str">
        <f t="shared" si="129"/>
        <v>よしだ　まさや</v>
      </c>
      <c r="F1515" s="39" t="s">
        <v>686</v>
      </c>
      <c r="G1515" s="39" t="s">
        <v>7828</v>
      </c>
      <c r="H1515" s="39" t="str">
        <f>("2015/04/06")</f>
        <v>2015/04/06</v>
      </c>
      <c r="I1515" s="39">
        <v>4</v>
      </c>
      <c r="J1515" s="39" t="s">
        <v>1478</v>
      </c>
      <c r="K1515" s="39" t="s">
        <v>2122</v>
      </c>
      <c r="L1515" s="39" t="s">
        <v>7830</v>
      </c>
      <c r="M1515" s="39" t="s">
        <v>7831</v>
      </c>
      <c r="N1515" s="39" t="str">
        <f>("0130745")</f>
        <v>0130745</v>
      </c>
      <c r="P1515" s="39" t="s">
        <v>12984</v>
      </c>
      <c r="Q1515" s="39" t="s">
        <v>8568</v>
      </c>
      <c r="R1515" s="39" t="s">
        <v>8569</v>
      </c>
      <c r="S1515" s="39" t="s">
        <v>8570</v>
      </c>
      <c r="AK1515" s="39" t="str">
        <f>("2025/03/17")</f>
        <v>2025/03/17</v>
      </c>
      <c r="AL1515" s="39" t="str">
        <f>("2025/04/01")</f>
        <v>2025/04/01</v>
      </c>
    </row>
    <row r="1516" spans="1:39" x14ac:dyDescent="0.25">
      <c r="A1516" s="39" t="str">
        <f>("1504060084")</f>
        <v>1504060084</v>
      </c>
      <c r="C1516" s="39"/>
      <c r="D1516" s="39" t="s">
        <v>9036</v>
      </c>
      <c r="E1516" s="371" t="str">
        <f t="shared" si="129"/>
        <v>おおもり　えいと</v>
      </c>
      <c r="F1516" s="39" t="s">
        <v>2530</v>
      </c>
      <c r="G1516" s="39" t="s">
        <v>7828</v>
      </c>
      <c r="H1516" s="39" t="str">
        <f>("2015/04/06")</f>
        <v>2015/04/06</v>
      </c>
      <c r="I1516" s="39">
        <v>4</v>
      </c>
      <c r="J1516" s="39" t="s">
        <v>1478</v>
      </c>
      <c r="K1516" s="39" t="s">
        <v>2122</v>
      </c>
      <c r="L1516" s="39" t="s">
        <v>7830</v>
      </c>
      <c r="M1516" s="39" t="s">
        <v>7831</v>
      </c>
      <c r="N1516" s="39" t="str">
        <f>("0338756")</f>
        <v>0338756</v>
      </c>
      <c r="P1516" s="39" t="s">
        <v>12985</v>
      </c>
      <c r="Q1516" s="39" t="s">
        <v>8568</v>
      </c>
      <c r="R1516" s="39" t="s">
        <v>8569</v>
      </c>
      <c r="S1516" s="39" t="s">
        <v>8570</v>
      </c>
      <c r="AK1516" s="39" t="str">
        <f>("2025/04/01")</f>
        <v>2025/04/01</v>
      </c>
      <c r="AL1516" s="39" t="str">
        <f>("2025/04/01")</f>
        <v>2025/04/01</v>
      </c>
    </row>
    <row r="1517" spans="1:39" x14ac:dyDescent="0.25">
      <c r="A1517" s="39" t="str">
        <f>("1504070165")</f>
        <v>1504070165</v>
      </c>
      <c r="C1517" s="39"/>
      <c r="D1517" s="39" t="s">
        <v>9037</v>
      </c>
      <c r="E1517" s="371" t="str">
        <f t="shared" si="129"/>
        <v>あべ　はる</v>
      </c>
      <c r="F1517" s="39" t="s">
        <v>838</v>
      </c>
      <c r="G1517" s="39" t="s">
        <v>7828</v>
      </c>
      <c r="H1517" s="39" t="str">
        <f>("2015/04/07")</f>
        <v>2015/04/07</v>
      </c>
      <c r="I1517" s="39">
        <v>4</v>
      </c>
      <c r="J1517" s="39" t="s">
        <v>1478</v>
      </c>
      <c r="K1517" s="39" t="s">
        <v>2122</v>
      </c>
      <c r="L1517" s="39" t="s">
        <v>7830</v>
      </c>
      <c r="M1517" s="39" t="s">
        <v>7831</v>
      </c>
      <c r="N1517" s="39" t="str">
        <f>("0360021")</f>
        <v>0360021</v>
      </c>
      <c r="P1517" s="39" t="s">
        <v>12986</v>
      </c>
      <c r="Q1517" s="39" t="s">
        <v>8568</v>
      </c>
      <c r="R1517" s="39" t="s">
        <v>8569</v>
      </c>
      <c r="S1517" s="39" t="s">
        <v>8570</v>
      </c>
      <c r="AK1517" s="39" t="str">
        <f>("2025/03/17")</f>
        <v>2025/03/17</v>
      </c>
      <c r="AL1517" s="39" t="str">
        <f>("2025/04/01")</f>
        <v>2025/04/01</v>
      </c>
    </row>
    <row r="1518" spans="1:39" x14ac:dyDescent="0.25">
      <c r="A1518" s="39" t="str">
        <f>("1504070242")</f>
        <v>1504070242</v>
      </c>
      <c r="C1518" s="39"/>
      <c r="D1518" s="39" t="s">
        <v>9038</v>
      </c>
      <c r="E1518" s="371" t="str">
        <f t="shared" si="129"/>
        <v>にしの　すばる</v>
      </c>
      <c r="F1518" s="39" t="s">
        <v>1751</v>
      </c>
      <c r="G1518" s="39" t="s">
        <v>7828</v>
      </c>
      <c r="H1518" s="39" t="str">
        <f>("2015/04/07")</f>
        <v>2015/04/07</v>
      </c>
      <c r="I1518" s="39">
        <v>4</v>
      </c>
      <c r="J1518" s="39" t="s">
        <v>1478</v>
      </c>
      <c r="K1518" s="39" t="s">
        <v>2122</v>
      </c>
      <c r="L1518" s="39" t="s">
        <v>7830</v>
      </c>
      <c r="M1518" s="39" t="s">
        <v>7831</v>
      </c>
      <c r="N1518" s="39" t="str">
        <f>("0130453")</f>
        <v>0130453</v>
      </c>
      <c r="P1518" s="39" t="s">
        <v>12987</v>
      </c>
      <c r="Q1518" s="39" t="s">
        <v>8568</v>
      </c>
      <c r="R1518" s="39" t="s">
        <v>8569</v>
      </c>
      <c r="S1518" s="39" t="s">
        <v>8570</v>
      </c>
      <c r="AK1518" s="39" t="str">
        <f>("2025/07/28")</f>
        <v>2025/07/28</v>
      </c>
      <c r="AL1518" s="39" t="str">
        <f>("2025/07/28")</f>
        <v>2025/07/28</v>
      </c>
    </row>
    <row r="1519" spans="1:39" x14ac:dyDescent="0.25">
      <c r="A1519" s="39" t="str">
        <f>("1504080008")</f>
        <v>1504080008</v>
      </c>
      <c r="C1519" s="39"/>
      <c r="D1519" s="39" t="s">
        <v>5743</v>
      </c>
      <c r="E1519" s="371" t="str">
        <f t="shared" si="129"/>
        <v>かみじょう　もとき</v>
      </c>
      <c r="F1519" s="39" t="s">
        <v>2918</v>
      </c>
      <c r="G1519" s="39" t="s">
        <v>7828</v>
      </c>
      <c r="H1519" s="39" t="str">
        <f>("2015/04/08")</f>
        <v>2015/04/08</v>
      </c>
      <c r="I1519" s="39">
        <v>4</v>
      </c>
      <c r="J1519" s="39" t="s">
        <v>1478</v>
      </c>
      <c r="K1519" s="39" t="s">
        <v>2122</v>
      </c>
      <c r="L1519" s="39" t="s">
        <v>7830</v>
      </c>
      <c r="M1519" s="39" t="s">
        <v>7831</v>
      </c>
      <c r="N1519" s="39" t="str">
        <f>("0129912")</f>
        <v>0129912</v>
      </c>
      <c r="P1519" s="39" t="s">
        <v>12988</v>
      </c>
      <c r="Q1519" s="39" t="s">
        <v>8568</v>
      </c>
      <c r="R1519" s="39" t="s">
        <v>8569</v>
      </c>
      <c r="S1519" s="39" t="s">
        <v>8570</v>
      </c>
      <c r="AK1519" s="39" t="str">
        <f>("2025/03/17")</f>
        <v>2025/03/17</v>
      </c>
      <c r="AL1519" s="39" t="str">
        <f>("2025/04/01")</f>
        <v>2025/04/01</v>
      </c>
    </row>
    <row r="1520" spans="1:39" x14ac:dyDescent="0.25">
      <c r="A1520" s="39" t="str">
        <f>("1504080154")</f>
        <v>1504080154</v>
      </c>
      <c r="C1520" s="39"/>
      <c r="D1520" s="39" t="s">
        <v>9039</v>
      </c>
      <c r="E1520" s="371" t="str">
        <f t="shared" si="129"/>
        <v>なかやま　さくたろう</v>
      </c>
      <c r="F1520" s="39" t="s">
        <v>2557</v>
      </c>
      <c r="G1520" s="39" t="s">
        <v>7828</v>
      </c>
      <c r="H1520" s="39" t="str">
        <f>("2015/04/08")</f>
        <v>2015/04/08</v>
      </c>
      <c r="I1520" s="39">
        <v>4</v>
      </c>
      <c r="J1520" s="39" t="s">
        <v>1478</v>
      </c>
      <c r="K1520" s="39" t="s">
        <v>2122</v>
      </c>
      <c r="L1520" s="39" t="s">
        <v>7830</v>
      </c>
      <c r="M1520" s="39" t="s">
        <v>7831</v>
      </c>
      <c r="N1520" s="39" t="str">
        <f>("0130723")</f>
        <v>0130723</v>
      </c>
      <c r="P1520" s="39" t="s">
        <v>12989</v>
      </c>
      <c r="Q1520" s="39" t="s">
        <v>8568</v>
      </c>
      <c r="R1520" s="39" t="s">
        <v>8569</v>
      </c>
      <c r="S1520" s="39" t="s">
        <v>8570</v>
      </c>
      <c r="AK1520" s="39" t="str">
        <f>("2025/03/17")</f>
        <v>2025/03/17</v>
      </c>
      <c r="AL1520" s="39" t="str">
        <f>("2025/04/01")</f>
        <v>2025/04/01</v>
      </c>
    </row>
    <row r="1521" spans="1:39" x14ac:dyDescent="0.25">
      <c r="A1521" s="39" t="str">
        <f>("1504080168")</f>
        <v>1504080168</v>
      </c>
      <c r="C1521" s="39"/>
      <c r="D1521" s="39" t="s">
        <v>9040</v>
      </c>
      <c r="E1521" s="371" t="str">
        <f t="shared" si="129"/>
        <v>えとう　こうた</v>
      </c>
      <c r="F1521" s="39" t="s">
        <v>2648</v>
      </c>
      <c r="G1521" s="39" t="s">
        <v>7828</v>
      </c>
      <c r="H1521" s="39" t="str">
        <f>("2015/04/08")</f>
        <v>2015/04/08</v>
      </c>
      <c r="I1521" s="39">
        <v>4</v>
      </c>
      <c r="J1521" s="39" t="s">
        <v>1478</v>
      </c>
      <c r="K1521" s="39" t="s">
        <v>2122</v>
      </c>
      <c r="L1521" s="39" t="s">
        <v>7830</v>
      </c>
      <c r="M1521" s="39" t="s">
        <v>7831</v>
      </c>
      <c r="N1521" s="39" t="str">
        <f>("1050097")</f>
        <v>1050097</v>
      </c>
      <c r="P1521" s="39" t="s">
        <v>12990</v>
      </c>
      <c r="Q1521" s="39" t="s">
        <v>8568</v>
      </c>
      <c r="R1521" s="39" t="s">
        <v>8569</v>
      </c>
      <c r="S1521" s="39" t="s">
        <v>8570</v>
      </c>
      <c r="AK1521" s="39" t="str">
        <f>("2025/03/25")</f>
        <v>2025/03/25</v>
      </c>
      <c r="AL1521" s="39" t="str">
        <f>("2025/04/01")</f>
        <v>2025/04/01</v>
      </c>
    </row>
    <row r="1522" spans="1:39" x14ac:dyDescent="0.25">
      <c r="A1522" s="39" t="str">
        <f>("1504090194")</f>
        <v>1504090194</v>
      </c>
      <c r="C1522" s="39"/>
      <c r="D1522" s="39" t="s">
        <v>9041</v>
      </c>
      <c r="E1522" s="371" t="str">
        <f t="shared" si="129"/>
        <v>みやもと　ひろむ</v>
      </c>
      <c r="F1522" s="39" t="s">
        <v>5619</v>
      </c>
      <c r="G1522" s="39" t="s">
        <v>7828</v>
      </c>
      <c r="H1522" s="39" t="str">
        <f>("2015/04/09")</f>
        <v>2015/04/09</v>
      </c>
      <c r="I1522" s="39">
        <v>4</v>
      </c>
      <c r="J1522" s="39" t="s">
        <v>1478</v>
      </c>
      <c r="K1522" s="39" t="s">
        <v>2122</v>
      </c>
      <c r="L1522" s="39" t="s">
        <v>7830</v>
      </c>
      <c r="M1522" s="39" t="s">
        <v>7831</v>
      </c>
      <c r="N1522" s="39" t="str">
        <f>("1089004")</f>
        <v>1089004</v>
      </c>
      <c r="P1522" s="39" t="s">
        <v>12991</v>
      </c>
      <c r="Q1522" s="39" t="s">
        <v>8568</v>
      </c>
      <c r="R1522" s="39" t="s">
        <v>8569</v>
      </c>
      <c r="S1522" s="39" t="s">
        <v>8570</v>
      </c>
      <c r="AK1522" s="39" t="str">
        <f>("2025/03/27")</f>
        <v>2025/03/27</v>
      </c>
      <c r="AL1522" s="39" t="str">
        <f>("2025/04/01")</f>
        <v>2025/04/01</v>
      </c>
    </row>
    <row r="1523" spans="1:39" x14ac:dyDescent="0.25">
      <c r="A1523" s="39" t="str">
        <f>("1504110105")</f>
        <v>1504110105</v>
      </c>
      <c r="C1523" s="39"/>
      <c r="D1523" s="39" t="s">
        <v>9042</v>
      </c>
      <c r="E1523" s="371" t="str">
        <f t="shared" si="129"/>
        <v>かい　みなと</v>
      </c>
      <c r="F1523" s="39" t="s">
        <v>2587</v>
      </c>
      <c r="G1523" s="39" t="s">
        <v>7828</v>
      </c>
      <c r="H1523" s="39" t="str">
        <f>("2015/04/11")</f>
        <v>2015/04/11</v>
      </c>
      <c r="I1523" s="39">
        <v>4</v>
      </c>
      <c r="J1523" s="39" t="s">
        <v>1478</v>
      </c>
      <c r="K1523" s="39" t="s">
        <v>2122</v>
      </c>
      <c r="L1523" s="39" t="s">
        <v>7830</v>
      </c>
      <c r="M1523" s="39" t="s">
        <v>7831</v>
      </c>
      <c r="N1523" s="39" t="str">
        <f>("0387334")</f>
        <v>0387334</v>
      </c>
      <c r="P1523" s="39" t="s">
        <v>12992</v>
      </c>
      <c r="Q1523" s="39" t="s">
        <v>8568</v>
      </c>
      <c r="R1523" s="39" t="s">
        <v>8569</v>
      </c>
      <c r="S1523" s="39" t="s">
        <v>8570</v>
      </c>
      <c r="AK1523" s="39" t="str">
        <f>("2025/03/27")</f>
        <v>2025/03/27</v>
      </c>
      <c r="AL1523" s="39" t="str">
        <f>("2025/04/01")</f>
        <v>2025/04/01</v>
      </c>
    </row>
    <row r="1524" spans="1:39" x14ac:dyDescent="0.25">
      <c r="A1524" s="39" t="str">
        <f>("1504110175")</f>
        <v>1504110175</v>
      </c>
      <c r="C1524" s="39"/>
      <c r="D1524" s="39" t="s">
        <v>9043</v>
      </c>
      <c r="E1524" s="371" t="str">
        <f t="shared" si="129"/>
        <v>いわや　そうま</v>
      </c>
      <c r="F1524" s="39" t="s">
        <v>2323</v>
      </c>
      <c r="G1524" s="39" t="s">
        <v>7828</v>
      </c>
      <c r="H1524" s="39" t="str">
        <f>("2015/04/11")</f>
        <v>2015/04/11</v>
      </c>
      <c r="I1524" s="39">
        <v>4</v>
      </c>
      <c r="J1524" s="39" t="s">
        <v>1478</v>
      </c>
      <c r="K1524" s="39" t="s">
        <v>2122</v>
      </c>
      <c r="L1524" s="39" t="s">
        <v>7830</v>
      </c>
      <c r="M1524" s="39" t="s">
        <v>7831</v>
      </c>
      <c r="N1524" s="39" t="str">
        <f>("0472722")</f>
        <v>0472722</v>
      </c>
      <c r="P1524" s="39" t="s">
        <v>12993</v>
      </c>
      <c r="Q1524" s="39" t="s">
        <v>8568</v>
      </c>
      <c r="R1524" s="39" t="s">
        <v>8569</v>
      </c>
      <c r="S1524" s="39" t="s">
        <v>8570</v>
      </c>
      <c r="AK1524" s="39" t="str">
        <f>("2025/07/25")</f>
        <v>2025/07/25</v>
      </c>
      <c r="AL1524" s="39" t="str">
        <f>("2025/07/25")</f>
        <v>2025/07/25</v>
      </c>
    </row>
    <row r="1525" spans="1:39" x14ac:dyDescent="0.25">
      <c r="A1525" s="39" t="str">
        <f>("1504120113")</f>
        <v>1504120113</v>
      </c>
      <c r="C1525" s="39"/>
      <c r="D1525" s="39" t="s">
        <v>9044</v>
      </c>
      <c r="E1525" s="371" t="str">
        <f t="shared" si="129"/>
        <v>やまさき　えにし</v>
      </c>
      <c r="F1525" s="39" t="s">
        <v>2491</v>
      </c>
      <c r="G1525" s="39" t="s">
        <v>7828</v>
      </c>
      <c r="H1525" s="39" t="str">
        <f>("2015/04/12")</f>
        <v>2015/04/12</v>
      </c>
      <c r="I1525" s="39">
        <v>4</v>
      </c>
      <c r="J1525" s="39" t="s">
        <v>1478</v>
      </c>
      <c r="K1525" s="39" t="s">
        <v>2122</v>
      </c>
      <c r="L1525" s="39" t="s">
        <v>7830</v>
      </c>
      <c r="M1525" s="39" t="s">
        <v>7831</v>
      </c>
      <c r="N1525" s="39" t="str">
        <f>("0129822")</f>
        <v>0129822</v>
      </c>
      <c r="P1525" s="39" t="s">
        <v>12994</v>
      </c>
      <c r="Q1525" s="39" t="s">
        <v>8568</v>
      </c>
      <c r="R1525" s="39" t="s">
        <v>8569</v>
      </c>
      <c r="S1525" s="39" t="s">
        <v>8570</v>
      </c>
      <c r="AK1525" s="39" t="str">
        <f>("2025/03/17")</f>
        <v>2025/03/17</v>
      </c>
      <c r="AL1525" s="39" t="str">
        <f>("2025/04/01")</f>
        <v>2025/04/01</v>
      </c>
    </row>
    <row r="1526" spans="1:39" x14ac:dyDescent="0.25">
      <c r="A1526" s="39" t="str">
        <f>("1504120142")</f>
        <v>1504120142</v>
      </c>
      <c r="C1526" s="39"/>
      <c r="D1526" s="39" t="s">
        <v>9045</v>
      </c>
      <c r="E1526" s="371" t="str">
        <f t="shared" si="129"/>
        <v>いのうえ　しほ</v>
      </c>
      <c r="F1526" s="39" t="s">
        <v>2323</v>
      </c>
      <c r="G1526" s="39" t="s">
        <v>7828</v>
      </c>
      <c r="H1526" s="39" t="str">
        <f>("2015/04/12")</f>
        <v>2015/04/12</v>
      </c>
      <c r="I1526" s="39">
        <v>4</v>
      </c>
      <c r="J1526" s="39" t="s">
        <v>1480</v>
      </c>
      <c r="K1526" s="39" t="s">
        <v>2122</v>
      </c>
      <c r="L1526" s="39" t="s">
        <v>7830</v>
      </c>
      <c r="M1526" s="39" t="s">
        <v>7831</v>
      </c>
      <c r="N1526" s="39" t="str">
        <f>("0472722")</f>
        <v>0472722</v>
      </c>
      <c r="P1526" s="39" t="s">
        <v>12995</v>
      </c>
      <c r="Q1526" s="39" t="s">
        <v>8568</v>
      </c>
      <c r="R1526" s="39" t="s">
        <v>8569</v>
      </c>
      <c r="S1526" s="39" t="s">
        <v>8570</v>
      </c>
      <c r="AK1526" s="39" t="str">
        <f>("2025/07/25")</f>
        <v>2025/07/25</v>
      </c>
      <c r="AL1526" s="39" t="str">
        <f>("2025/07/25")</f>
        <v>2025/07/25</v>
      </c>
    </row>
    <row r="1527" spans="1:39" x14ac:dyDescent="0.25">
      <c r="A1527" s="39" t="str">
        <f>("1504130195")</f>
        <v>1504130195</v>
      </c>
      <c r="C1527" s="39"/>
      <c r="D1527" s="39" t="s">
        <v>9046</v>
      </c>
      <c r="E1527" s="371" t="str">
        <f t="shared" si="129"/>
        <v>はた　そうた</v>
      </c>
      <c r="F1527" s="39" t="s">
        <v>838</v>
      </c>
      <c r="G1527" s="39" t="s">
        <v>7828</v>
      </c>
      <c r="H1527" s="39" t="str">
        <f>("2015/04/13")</f>
        <v>2015/04/13</v>
      </c>
      <c r="I1527" s="39">
        <v>4</v>
      </c>
      <c r="J1527" s="39" t="s">
        <v>1478</v>
      </c>
      <c r="K1527" s="39" t="s">
        <v>2122</v>
      </c>
      <c r="L1527" s="39" t="s">
        <v>7830</v>
      </c>
      <c r="M1527" s="39" t="s">
        <v>7831</v>
      </c>
      <c r="N1527" s="39" t="str">
        <f>("0360021")</f>
        <v>0360021</v>
      </c>
      <c r="P1527" s="39" t="s">
        <v>12996</v>
      </c>
      <c r="Q1527" s="39" t="s">
        <v>8568</v>
      </c>
      <c r="R1527" s="39" t="s">
        <v>8569</v>
      </c>
      <c r="S1527" s="39" t="s">
        <v>8570</v>
      </c>
      <c r="AK1527" s="39" t="str">
        <f>("2025/04/10")</f>
        <v>2025/04/10</v>
      </c>
      <c r="AL1527" s="39" t="str">
        <f>("2025/04/10")</f>
        <v>2025/04/10</v>
      </c>
    </row>
    <row r="1528" spans="1:39" x14ac:dyDescent="0.25">
      <c r="A1528" s="39" t="str">
        <f>("1504140066")</f>
        <v>1504140066</v>
      </c>
      <c r="C1528" s="39"/>
      <c r="D1528" s="39" t="s">
        <v>9047</v>
      </c>
      <c r="E1528" s="371" t="str">
        <f t="shared" si="129"/>
        <v>よしおか　いおり</v>
      </c>
      <c r="F1528" s="39" t="s">
        <v>2575</v>
      </c>
      <c r="G1528" s="39" t="s">
        <v>7828</v>
      </c>
      <c r="H1528" s="39" t="str">
        <f>("2015/04/14")</f>
        <v>2015/04/14</v>
      </c>
      <c r="I1528" s="39">
        <v>4</v>
      </c>
      <c r="J1528" s="39" t="s">
        <v>1478</v>
      </c>
      <c r="K1528" s="39" t="s">
        <v>2122</v>
      </c>
      <c r="L1528" s="39" t="s">
        <v>7830</v>
      </c>
      <c r="M1528" s="39" t="s">
        <v>7831</v>
      </c>
      <c r="N1528" s="39" t="str">
        <f>("0303040")</f>
        <v>0303040</v>
      </c>
      <c r="P1528" s="39" t="s">
        <v>12997</v>
      </c>
      <c r="Q1528" s="39" t="s">
        <v>8568</v>
      </c>
      <c r="R1528" s="39" t="s">
        <v>8569</v>
      </c>
      <c r="S1528" s="39" t="s">
        <v>8570</v>
      </c>
      <c r="AK1528" s="39" t="str">
        <f>("2025/03/17")</f>
        <v>2025/03/17</v>
      </c>
      <c r="AL1528" s="39" t="str">
        <f>("2025/04/01")</f>
        <v>2025/04/01</v>
      </c>
    </row>
    <row r="1529" spans="1:39" x14ac:dyDescent="0.25">
      <c r="A1529" s="39" t="str">
        <f>("1504140129")</f>
        <v>1504140129</v>
      </c>
      <c r="C1529" s="39"/>
      <c r="D1529" s="39" t="s">
        <v>9048</v>
      </c>
      <c r="E1529" s="371" t="str">
        <f t="shared" si="129"/>
        <v>ふじの　いつき</v>
      </c>
      <c r="F1529" s="39" t="s">
        <v>2323</v>
      </c>
      <c r="G1529" s="39" t="s">
        <v>7828</v>
      </c>
      <c r="H1529" s="39" t="str">
        <f>("2015/04/14")</f>
        <v>2015/04/14</v>
      </c>
      <c r="I1529" s="39">
        <v>4</v>
      </c>
      <c r="J1529" s="39" t="s">
        <v>1478</v>
      </c>
      <c r="K1529" s="39" t="s">
        <v>2122</v>
      </c>
      <c r="L1529" s="39" t="s">
        <v>7830</v>
      </c>
      <c r="M1529" s="39" t="s">
        <v>7831</v>
      </c>
      <c r="N1529" s="39" t="str">
        <f>("0472722")</f>
        <v>0472722</v>
      </c>
      <c r="P1529" s="39" t="s">
        <v>12998</v>
      </c>
      <c r="Q1529" s="39" t="s">
        <v>8568</v>
      </c>
      <c r="R1529" s="39" t="s">
        <v>8569</v>
      </c>
      <c r="S1529" s="39" t="s">
        <v>8570</v>
      </c>
      <c r="AK1529" s="39" t="str">
        <f>("2025/03/17")</f>
        <v>2025/03/17</v>
      </c>
      <c r="AL1529" s="39" t="str">
        <f>("2025/04/01")</f>
        <v>2025/04/01</v>
      </c>
    </row>
    <row r="1530" spans="1:39" x14ac:dyDescent="0.25">
      <c r="A1530" s="39" t="str">
        <f>("1504150196")</f>
        <v>1504150196</v>
      </c>
      <c r="C1530" s="39"/>
      <c r="D1530" s="39" t="s">
        <v>9049</v>
      </c>
      <c r="E1530" s="371" t="str">
        <f t="shared" si="129"/>
        <v>しゅとう　あつし</v>
      </c>
      <c r="F1530" s="39" t="s">
        <v>829</v>
      </c>
      <c r="G1530" s="39" t="s">
        <v>7828</v>
      </c>
      <c r="H1530" s="39" t="str">
        <f>("2015/04/15")</f>
        <v>2015/04/15</v>
      </c>
      <c r="I1530" s="39">
        <v>4</v>
      </c>
      <c r="J1530" s="39" t="s">
        <v>1478</v>
      </c>
      <c r="K1530" s="39" t="s">
        <v>2122</v>
      </c>
      <c r="L1530" s="39" t="s">
        <v>7830</v>
      </c>
      <c r="M1530" s="39" t="s">
        <v>7831</v>
      </c>
      <c r="N1530" s="39" t="str">
        <f>("0426631")</f>
        <v>0426631</v>
      </c>
      <c r="P1530" s="39" t="s">
        <v>12999</v>
      </c>
      <c r="Q1530" s="39" t="s">
        <v>8568</v>
      </c>
      <c r="R1530" s="39" t="s">
        <v>8569</v>
      </c>
      <c r="S1530" s="39" t="s">
        <v>8570</v>
      </c>
      <c r="AK1530" s="39" t="str">
        <f>("2025/03/21")</f>
        <v>2025/03/21</v>
      </c>
      <c r="AL1530" s="39" t="str">
        <f>("2025/04/01")</f>
        <v>2025/04/01</v>
      </c>
    </row>
    <row r="1531" spans="1:39" x14ac:dyDescent="0.25">
      <c r="A1531" s="39" t="str">
        <f>("1504160097")</f>
        <v>1504160097</v>
      </c>
      <c r="C1531" s="39"/>
      <c r="D1531" s="39" t="s">
        <v>9050</v>
      </c>
      <c r="E1531" s="371" t="str">
        <f t="shared" si="129"/>
        <v>こばやし　げんき</v>
      </c>
      <c r="F1531" s="39" t="s">
        <v>1917</v>
      </c>
      <c r="G1531" s="39" t="s">
        <v>7876</v>
      </c>
      <c r="H1531" s="39" t="str">
        <f>("2015/04/16")</f>
        <v>2015/04/16</v>
      </c>
      <c r="I1531" s="39">
        <v>4</v>
      </c>
      <c r="J1531" s="39" t="s">
        <v>1478</v>
      </c>
      <c r="K1531" s="39" t="s">
        <v>2122</v>
      </c>
      <c r="L1531" s="39" t="s">
        <v>7830</v>
      </c>
      <c r="M1531" s="39" t="s">
        <v>7831</v>
      </c>
      <c r="N1531" s="39" t="str">
        <f>("1032161")</f>
        <v>1032161</v>
      </c>
      <c r="P1531" s="39" t="s">
        <v>13000</v>
      </c>
      <c r="Q1531" s="39" t="s">
        <v>8568</v>
      </c>
      <c r="R1531" s="39" t="s">
        <v>8569</v>
      </c>
      <c r="S1531" s="39" t="s">
        <v>8570</v>
      </c>
      <c r="AK1531" s="39" t="str">
        <f>("2025/03/21")</f>
        <v>2025/03/21</v>
      </c>
      <c r="AL1531" s="39" t="str">
        <f>("2025/04/01")</f>
        <v>2025/04/01</v>
      </c>
      <c r="AM1531" s="39" t="str">
        <f>("2025/04/28")</f>
        <v>2025/04/28</v>
      </c>
    </row>
    <row r="1532" spans="1:39" x14ac:dyDescent="0.25">
      <c r="A1532" s="39" t="str">
        <f>("1504160225")</f>
        <v>1504160225</v>
      </c>
      <c r="C1532" s="39"/>
      <c r="D1532" s="39" t="s">
        <v>9051</v>
      </c>
      <c r="E1532" s="371" t="str">
        <f t="shared" si="129"/>
        <v>ひらかわ　つかさ</v>
      </c>
      <c r="F1532" s="39" t="s">
        <v>829</v>
      </c>
      <c r="G1532" s="39" t="s">
        <v>7828</v>
      </c>
      <c r="H1532" s="39" t="str">
        <f>("2015/04/16")</f>
        <v>2015/04/16</v>
      </c>
      <c r="I1532" s="39">
        <v>4</v>
      </c>
      <c r="J1532" s="39" t="s">
        <v>1478</v>
      </c>
      <c r="K1532" s="39" t="s">
        <v>2122</v>
      </c>
      <c r="L1532" s="39" t="s">
        <v>7830</v>
      </c>
      <c r="M1532" s="39" t="s">
        <v>7831</v>
      </c>
      <c r="N1532" s="39" t="str">
        <f>("0426631")</f>
        <v>0426631</v>
      </c>
      <c r="P1532" s="39" t="s">
        <v>13001</v>
      </c>
      <c r="Q1532" s="39" t="s">
        <v>8568</v>
      </c>
      <c r="R1532" s="39" t="s">
        <v>8569</v>
      </c>
      <c r="S1532" s="39" t="s">
        <v>8570</v>
      </c>
      <c r="AK1532" s="39" t="str">
        <f>("2025/09/09")</f>
        <v>2025/09/09</v>
      </c>
      <c r="AL1532" s="39" t="str">
        <f>("2025/09/09")</f>
        <v>2025/09/09</v>
      </c>
    </row>
    <row r="1533" spans="1:39" x14ac:dyDescent="0.25">
      <c r="A1533" s="39" t="str">
        <f>("1504170115")</f>
        <v>1504170115</v>
      </c>
      <c r="C1533" s="39"/>
      <c r="D1533" s="39" t="s">
        <v>9052</v>
      </c>
      <c r="E1533" s="371" t="str">
        <f t="shared" si="129"/>
        <v>ながの　りむあ</v>
      </c>
      <c r="F1533" s="39" t="s">
        <v>2619</v>
      </c>
      <c r="G1533" s="39" t="s">
        <v>7828</v>
      </c>
      <c r="H1533" s="39" t="str">
        <f>("2015/04/17")</f>
        <v>2015/04/17</v>
      </c>
      <c r="I1533" s="39">
        <v>4</v>
      </c>
      <c r="J1533" s="39" t="s">
        <v>1478</v>
      </c>
      <c r="K1533" s="39" t="s">
        <v>2122</v>
      </c>
      <c r="L1533" s="39" t="s">
        <v>7830</v>
      </c>
      <c r="M1533" s="39" t="s">
        <v>7831</v>
      </c>
      <c r="N1533" s="39" t="str">
        <f>("0472823")</f>
        <v>0472823</v>
      </c>
      <c r="P1533" s="39" t="s">
        <v>13002</v>
      </c>
      <c r="Q1533" s="39" t="s">
        <v>8568</v>
      </c>
      <c r="R1533" s="39" t="s">
        <v>8569</v>
      </c>
      <c r="S1533" s="39" t="s">
        <v>8570</v>
      </c>
      <c r="AK1533" s="39" t="str">
        <f>("2025/03/17")</f>
        <v>2025/03/17</v>
      </c>
      <c r="AL1533" s="39" t="str">
        <f t="shared" ref="AL1533:AL1542" si="134">("2025/04/01")</f>
        <v>2025/04/01</v>
      </c>
    </row>
    <row r="1534" spans="1:39" x14ac:dyDescent="0.25">
      <c r="A1534" s="39" t="str">
        <f>("1504170176")</f>
        <v>1504170176</v>
      </c>
      <c r="C1534" s="39"/>
      <c r="D1534" s="39" t="s">
        <v>9053</v>
      </c>
      <c r="E1534" s="371" t="str">
        <f t="shared" si="129"/>
        <v>みずくれ　ゆいと</v>
      </c>
      <c r="F1534" s="39" t="s">
        <v>8050</v>
      </c>
      <c r="G1534" s="39" t="s">
        <v>7828</v>
      </c>
      <c r="H1534" s="39" t="str">
        <f>("2015/04/17")</f>
        <v>2015/04/17</v>
      </c>
      <c r="I1534" s="39">
        <v>4</v>
      </c>
      <c r="J1534" s="39" t="s">
        <v>1478</v>
      </c>
      <c r="K1534" s="39" t="s">
        <v>2122</v>
      </c>
      <c r="L1534" s="39" t="s">
        <v>7830</v>
      </c>
      <c r="M1534" s="39" t="s">
        <v>7831</v>
      </c>
      <c r="N1534" s="39" t="str">
        <f>("0130015")</f>
        <v>0130015</v>
      </c>
      <c r="P1534" s="39" t="s">
        <v>13003</v>
      </c>
      <c r="Q1534" s="39" t="s">
        <v>8568</v>
      </c>
      <c r="R1534" s="39" t="s">
        <v>8569</v>
      </c>
      <c r="S1534" s="39" t="s">
        <v>8570</v>
      </c>
      <c r="AK1534" s="39" t="str">
        <f>("2025/03/17")</f>
        <v>2025/03/17</v>
      </c>
      <c r="AL1534" s="39" t="str">
        <f t="shared" si="134"/>
        <v>2025/04/01</v>
      </c>
    </row>
    <row r="1535" spans="1:39" x14ac:dyDescent="0.25">
      <c r="A1535" s="39" t="str">
        <f>("1504170183")</f>
        <v>1504170183</v>
      </c>
      <c r="B1535" s="39" t="s">
        <v>9054</v>
      </c>
      <c r="C1535" s="39"/>
      <c r="D1535" s="39" t="s">
        <v>9055</v>
      </c>
      <c r="E1535" s="371" t="str">
        <f t="shared" si="129"/>
        <v>ひがし　そらと</v>
      </c>
      <c r="F1535" s="39" t="s">
        <v>2188</v>
      </c>
      <c r="G1535" s="39" t="s">
        <v>7828</v>
      </c>
      <c r="H1535" s="39" t="str">
        <f>("2015/04/17")</f>
        <v>2015/04/17</v>
      </c>
      <c r="I1535" s="39">
        <v>4</v>
      </c>
      <c r="J1535" s="39" t="s">
        <v>1478</v>
      </c>
      <c r="K1535" s="39" t="s">
        <v>2122</v>
      </c>
      <c r="L1535" s="39" t="s">
        <v>7830</v>
      </c>
      <c r="M1535" s="39" t="s">
        <v>7831</v>
      </c>
      <c r="N1535" s="39" t="str">
        <f>("0129596")</f>
        <v>0129596</v>
      </c>
      <c r="P1535" s="39" t="s">
        <v>13004</v>
      </c>
      <c r="Q1535" s="39" t="s">
        <v>8568</v>
      </c>
      <c r="R1535" s="39" t="s">
        <v>8569</v>
      </c>
      <c r="S1535" s="39" t="s">
        <v>8570</v>
      </c>
      <c r="AK1535" s="39" t="str">
        <f>("2025/03/17")</f>
        <v>2025/03/17</v>
      </c>
      <c r="AL1535" s="39" t="str">
        <f t="shared" si="134"/>
        <v>2025/04/01</v>
      </c>
    </row>
    <row r="1536" spans="1:39" x14ac:dyDescent="0.25">
      <c r="A1536" s="39" t="str">
        <f>("1504180030")</f>
        <v>1504180030</v>
      </c>
      <c r="B1536" s="39" t="s">
        <v>9056</v>
      </c>
      <c r="C1536" s="39"/>
      <c r="D1536" s="39" t="s">
        <v>9057</v>
      </c>
      <c r="E1536" s="371" t="str">
        <f t="shared" si="129"/>
        <v>こだま　けんしん</v>
      </c>
      <c r="F1536" s="39" t="s">
        <v>2574</v>
      </c>
      <c r="G1536" s="39" t="s">
        <v>7828</v>
      </c>
      <c r="H1536" s="39" t="str">
        <f>("2015/04/18")</f>
        <v>2015/04/18</v>
      </c>
      <c r="I1536" s="39">
        <v>4</v>
      </c>
      <c r="J1536" s="39" t="s">
        <v>1478</v>
      </c>
      <c r="K1536" s="39" t="s">
        <v>2122</v>
      </c>
      <c r="L1536" s="39" t="s">
        <v>7830</v>
      </c>
      <c r="M1536" s="39" t="s">
        <v>7831</v>
      </c>
      <c r="N1536" s="39" t="str">
        <f>("0237620")</f>
        <v>0237620</v>
      </c>
      <c r="P1536" s="39" t="s">
        <v>13005</v>
      </c>
      <c r="Q1536" s="39" t="s">
        <v>8568</v>
      </c>
      <c r="R1536" s="39" t="s">
        <v>8569</v>
      </c>
      <c r="S1536" s="39" t="s">
        <v>8570</v>
      </c>
      <c r="AK1536" s="39" t="str">
        <f>("2025/03/17")</f>
        <v>2025/03/17</v>
      </c>
      <c r="AL1536" s="39" t="str">
        <f t="shared" si="134"/>
        <v>2025/04/01</v>
      </c>
    </row>
    <row r="1537" spans="1:39" x14ac:dyDescent="0.25">
      <c r="A1537" s="39" t="str">
        <f>("1504180068")</f>
        <v>1504180068</v>
      </c>
      <c r="C1537" s="39"/>
      <c r="D1537" s="39" t="s">
        <v>9058</v>
      </c>
      <c r="E1537" s="371" t="str">
        <f t="shared" si="129"/>
        <v>ひなご　ゆい</v>
      </c>
      <c r="F1537" s="39" t="s">
        <v>2491</v>
      </c>
      <c r="G1537" s="39" t="s">
        <v>7828</v>
      </c>
      <c r="H1537" s="39" t="str">
        <f>("2015/04/18")</f>
        <v>2015/04/18</v>
      </c>
      <c r="I1537" s="39">
        <v>4</v>
      </c>
      <c r="J1537" s="39" t="s">
        <v>1480</v>
      </c>
      <c r="K1537" s="39" t="s">
        <v>2122</v>
      </c>
      <c r="L1537" s="39" t="s">
        <v>7830</v>
      </c>
      <c r="M1537" s="39" t="s">
        <v>7831</v>
      </c>
      <c r="N1537" s="39" t="str">
        <f>("0129822")</f>
        <v>0129822</v>
      </c>
      <c r="P1537" s="39" t="s">
        <v>13006</v>
      </c>
      <c r="Q1537" s="39" t="s">
        <v>8568</v>
      </c>
      <c r="R1537" s="39" t="s">
        <v>8569</v>
      </c>
      <c r="S1537" s="39" t="s">
        <v>8570</v>
      </c>
      <c r="AK1537" s="39" t="str">
        <f>("2025/03/17")</f>
        <v>2025/03/17</v>
      </c>
      <c r="AL1537" s="39" t="str">
        <f t="shared" si="134"/>
        <v>2025/04/01</v>
      </c>
    </row>
    <row r="1538" spans="1:39" x14ac:dyDescent="0.25">
      <c r="A1538" s="39" t="str">
        <f>("1504180095")</f>
        <v>1504180095</v>
      </c>
      <c r="C1538" s="39"/>
      <c r="D1538" s="39" t="s">
        <v>9059</v>
      </c>
      <c r="E1538" s="371" t="str">
        <f t="shared" si="129"/>
        <v>まさき　はる</v>
      </c>
      <c r="F1538" s="39" t="s">
        <v>2648</v>
      </c>
      <c r="G1538" s="39" t="s">
        <v>7828</v>
      </c>
      <c r="H1538" s="39" t="str">
        <f>("2015/04/18")</f>
        <v>2015/04/18</v>
      </c>
      <c r="I1538" s="39">
        <v>4</v>
      </c>
      <c r="J1538" s="39" t="s">
        <v>1478</v>
      </c>
      <c r="K1538" s="39" t="s">
        <v>2122</v>
      </c>
      <c r="L1538" s="39" t="s">
        <v>7830</v>
      </c>
      <c r="M1538" s="39" t="s">
        <v>7831</v>
      </c>
      <c r="N1538" s="39" t="str">
        <f>("1050097")</f>
        <v>1050097</v>
      </c>
      <c r="P1538" s="39" t="s">
        <v>13007</v>
      </c>
      <c r="Q1538" s="39" t="s">
        <v>8568</v>
      </c>
      <c r="R1538" s="39" t="s">
        <v>8569</v>
      </c>
      <c r="S1538" s="39" t="s">
        <v>8570</v>
      </c>
      <c r="AK1538" s="39" t="str">
        <f>("2025/03/25")</f>
        <v>2025/03/25</v>
      </c>
      <c r="AL1538" s="39" t="str">
        <f t="shared" si="134"/>
        <v>2025/04/01</v>
      </c>
    </row>
    <row r="1539" spans="1:39" x14ac:dyDescent="0.25">
      <c r="A1539" s="39" t="str">
        <f>("1504200012")</f>
        <v>1504200012</v>
      </c>
      <c r="B1539" s="39" t="s">
        <v>9060</v>
      </c>
      <c r="C1539" s="39"/>
      <c r="D1539" s="39" t="s">
        <v>9061</v>
      </c>
      <c r="E1539" s="371" t="str">
        <f t="shared" ref="E1539:E1602" si="135">PHONETIC(P1539)</f>
        <v>あべ　けいすけ</v>
      </c>
      <c r="F1539" s="39" t="s">
        <v>856</v>
      </c>
      <c r="G1539" s="39" t="s">
        <v>7828</v>
      </c>
      <c r="H1539" s="39" t="str">
        <f>("2015/04/20")</f>
        <v>2015/04/20</v>
      </c>
      <c r="I1539" s="39">
        <v>4</v>
      </c>
      <c r="J1539" s="39" t="s">
        <v>1478</v>
      </c>
      <c r="K1539" s="39" t="s">
        <v>2122</v>
      </c>
      <c r="L1539" s="39" t="s">
        <v>7830</v>
      </c>
      <c r="M1539" s="39" t="s">
        <v>7831</v>
      </c>
      <c r="N1539" s="39" t="str">
        <f>("0130149")</f>
        <v>0130149</v>
      </c>
      <c r="P1539" s="39" t="s">
        <v>13008</v>
      </c>
      <c r="Q1539" s="39" t="s">
        <v>8568</v>
      </c>
      <c r="R1539" s="39" t="s">
        <v>8569</v>
      </c>
      <c r="S1539" s="39" t="s">
        <v>8570</v>
      </c>
      <c r="AA1539" s="39" t="s">
        <v>2122</v>
      </c>
      <c r="AB1539" s="39" t="s">
        <v>7830</v>
      </c>
      <c r="AC1539" s="39" t="s">
        <v>7831</v>
      </c>
      <c r="AD1539" s="39" t="str">
        <f>("0130071")</f>
        <v>0130071</v>
      </c>
      <c r="AE1539" s="39" t="s">
        <v>2173</v>
      </c>
      <c r="AK1539" s="39" t="str">
        <f>("2025/03/25")</f>
        <v>2025/03/25</v>
      </c>
      <c r="AL1539" s="39" t="str">
        <f t="shared" si="134"/>
        <v>2025/04/01</v>
      </c>
    </row>
    <row r="1540" spans="1:39" x14ac:dyDescent="0.25">
      <c r="A1540" s="39" t="str">
        <f>("1504200173")</f>
        <v>1504200173</v>
      </c>
      <c r="C1540" s="39"/>
      <c r="D1540" s="39" t="s">
        <v>9062</v>
      </c>
      <c r="E1540" s="371" t="str">
        <f t="shared" si="135"/>
        <v>こやま　がく</v>
      </c>
      <c r="F1540" s="39" t="s">
        <v>2491</v>
      </c>
      <c r="G1540" s="39" t="s">
        <v>7828</v>
      </c>
      <c r="H1540" s="39" t="str">
        <f>("2015/04/20")</f>
        <v>2015/04/20</v>
      </c>
      <c r="I1540" s="39">
        <v>4</v>
      </c>
      <c r="J1540" s="39" t="s">
        <v>1478</v>
      </c>
      <c r="K1540" s="39" t="s">
        <v>2122</v>
      </c>
      <c r="L1540" s="39" t="s">
        <v>7830</v>
      </c>
      <c r="M1540" s="39" t="s">
        <v>7831</v>
      </c>
      <c r="N1540" s="39" t="str">
        <f>("0129822")</f>
        <v>0129822</v>
      </c>
      <c r="P1540" s="39" t="s">
        <v>13009</v>
      </c>
      <c r="Q1540" s="39" t="s">
        <v>8568</v>
      </c>
      <c r="R1540" s="39" t="s">
        <v>8569</v>
      </c>
      <c r="S1540" s="39" t="s">
        <v>8570</v>
      </c>
      <c r="AK1540" s="39" t="str">
        <f>("2025/03/17")</f>
        <v>2025/03/17</v>
      </c>
      <c r="AL1540" s="39" t="str">
        <f t="shared" si="134"/>
        <v>2025/04/01</v>
      </c>
    </row>
    <row r="1541" spans="1:39" x14ac:dyDescent="0.25">
      <c r="A1541" s="39" t="str">
        <f>("1504210010")</f>
        <v>1504210010</v>
      </c>
      <c r="B1541" s="39" t="s">
        <v>9063</v>
      </c>
      <c r="C1541" s="39"/>
      <c r="D1541" s="39" t="s">
        <v>9064</v>
      </c>
      <c r="E1541" s="371" t="str">
        <f t="shared" si="135"/>
        <v>おの　ゆいと</v>
      </c>
      <c r="F1541" s="39" t="s">
        <v>2516</v>
      </c>
      <c r="G1541" s="39" t="s">
        <v>7828</v>
      </c>
      <c r="H1541" s="39" t="str">
        <f>("2015/04/21")</f>
        <v>2015/04/21</v>
      </c>
      <c r="I1541" s="39">
        <v>4</v>
      </c>
      <c r="J1541" s="39" t="s">
        <v>1478</v>
      </c>
      <c r="K1541" s="39" t="s">
        <v>2122</v>
      </c>
      <c r="L1541" s="39" t="s">
        <v>7830</v>
      </c>
      <c r="M1541" s="39" t="s">
        <v>7831</v>
      </c>
      <c r="N1541" s="39" t="str">
        <f>("0130116")</f>
        <v>0130116</v>
      </c>
      <c r="P1541" s="39" t="s">
        <v>13010</v>
      </c>
      <c r="Q1541" s="39" t="s">
        <v>8568</v>
      </c>
      <c r="R1541" s="39" t="s">
        <v>8569</v>
      </c>
      <c r="S1541" s="39" t="s">
        <v>8570</v>
      </c>
      <c r="AK1541" s="39" t="str">
        <f>("2025/03/25")</f>
        <v>2025/03/25</v>
      </c>
      <c r="AL1541" s="39" t="str">
        <f t="shared" si="134"/>
        <v>2025/04/01</v>
      </c>
    </row>
    <row r="1542" spans="1:39" x14ac:dyDescent="0.25">
      <c r="A1542" s="39" t="str">
        <f>("1504210169")</f>
        <v>1504210169</v>
      </c>
      <c r="C1542" s="39"/>
      <c r="D1542" s="39" t="s">
        <v>9065</v>
      </c>
      <c r="E1542" s="371" t="str">
        <f t="shared" si="135"/>
        <v>すがの　はるま</v>
      </c>
      <c r="F1542" s="39" t="s">
        <v>2647</v>
      </c>
      <c r="G1542" s="39" t="s">
        <v>7828</v>
      </c>
      <c r="H1542" s="39" t="str">
        <f>("2015/04/21")</f>
        <v>2015/04/21</v>
      </c>
      <c r="I1542" s="39">
        <v>4</v>
      </c>
      <c r="J1542" s="39" t="s">
        <v>1478</v>
      </c>
      <c r="K1542" s="39" t="s">
        <v>2122</v>
      </c>
      <c r="L1542" s="39" t="s">
        <v>7830</v>
      </c>
      <c r="M1542" s="39" t="s">
        <v>7831</v>
      </c>
      <c r="N1542" s="39" t="str">
        <f>("1036817")</f>
        <v>1036817</v>
      </c>
      <c r="P1542" s="39" t="s">
        <v>13011</v>
      </c>
      <c r="Q1542" s="39" t="s">
        <v>8568</v>
      </c>
      <c r="R1542" s="39" t="s">
        <v>8569</v>
      </c>
      <c r="S1542" s="39" t="s">
        <v>8570</v>
      </c>
      <c r="AK1542" s="39" t="str">
        <f>("2025/03/17")</f>
        <v>2025/03/17</v>
      </c>
      <c r="AL1542" s="39" t="str">
        <f t="shared" si="134"/>
        <v>2025/04/01</v>
      </c>
    </row>
    <row r="1543" spans="1:39" x14ac:dyDescent="0.25">
      <c r="A1543" s="39" t="str">
        <f>("1504210204")</f>
        <v>1504210204</v>
      </c>
      <c r="C1543" s="39"/>
      <c r="D1543" s="39" t="s">
        <v>9066</v>
      </c>
      <c r="E1543" s="371" t="str">
        <f t="shared" si="135"/>
        <v>ますの　あさひ</v>
      </c>
      <c r="F1543" s="39" t="s">
        <v>2024</v>
      </c>
      <c r="G1543" s="39" t="s">
        <v>7876</v>
      </c>
      <c r="H1543" s="39" t="str">
        <f>("2015/04/21")</f>
        <v>2015/04/21</v>
      </c>
      <c r="I1543" s="39">
        <v>4</v>
      </c>
      <c r="J1543" s="39" t="s">
        <v>1478</v>
      </c>
      <c r="K1543" s="39" t="s">
        <v>2122</v>
      </c>
      <c r="L1543" s="39" t="s">
        <v>7830</v>
      </c>
      <c r="M1543" s="39" t="s">
        <v>7831</v>
      </c>
      <c r="N1543" s="39" t="str">
        <f>("0130475")</f>
        <v>0130475</v>
      </c>
      <c r="P1543" s="39" t="s">
        <v>13012</v>
      </c>
      <c r="Q1543" s="39" t="s">
        <v>8568</v>
      </c>
      <c r="R1543" s="39" t="s">
        <v>8569</v>
      </c>
      <c r="S1543" s="39" t="s">
        <v>8570</v>
      </c>
      <c r="AK1543" s="39" t="str">
        <f>("2025/08/01")</f>
        <v>2025/08/01</v>
      </c>
      <c r="AL1543" s="39" t="str">
        <f>("2025/08/01")</f>
        <v>2025/08/01</v>
      </c>
      <c r="AM1543" s="39" t="str">
        <f>("2025/12/23")</f>
        <v>2025/12/23</v>
      </c>
    </row>
    <row r="1544" spans="1:39" x14ac:dyDescent="0.25">
      <c r="A1544" s="39" t="str">
        <f>("1504220025")</f>
        <v>1504220025</v>
      </c>
      <c r="C1544" s="39"/>
      <c r="D1544" s="39" t="s">
        <v>9067</v>
      </c>
      <c r="E1544" s="371" t="str">
        <f t="shared" si="135"/>
        <v>えとう　ゆうた</v>
      </c>
      <c r="F1544" s="39" t="s">
        <v>8485</v>
      </c>
      <c r="G1544" s="39" t="s">
        <v>7828</v>
      </c>
      <c r="H1544" s="39" t="str">
        <f>("2015/04/22")</f>
        <v>2015/04/22</v>
      </c>
      <c r="I1544" s="39">
        <v>4</v>
      </c>
      <c r="J1544" s="39" t="s">
        <v>1478</v>
      </c>
      <c r="K1544" s="39" t="s">
        <v>2122</v>
      </c>
      <c r="L1544" s="39" t="s">
        <v>7830</v>
      </c>
      <c r="M1544" s="39" t="s">
        <v>7831</v>
      </c>
      <c r="N1544" s="39" t="str">
        <f>("0130666")</f>
        <v>0130666</v>
      </c>
      <c r="P1544" s="39" t="s">
        <v>13013</v>
      </c>
      <c r="Q1544" s="39" t="s">
        <v>8568</v>
      </c>
      <c r="R1544" s="39" t="s">
        <v>8569</v>
      </c>
      <c r="S1544" s="39" t="s">
        <v>8570</v>
      </c>
      <c r="AK1544" s="39" t="str">
        <f>("2025/03/24")</f>
        <v>2025/03/24</v>
      </c>
      <c r="AL1544" s="39" t="str">
        <f>("2025/04/01")</f>
        <v>2025/04/01</v>
      </c>
    </row>
    <row r="1545" spans="1:39" x14ac:dyDescent="0.25">
      <c r="A1545" s="39" t="str">
        <f>("1504220054")</f>
        <v>1504220054</v>
      </c>
      <c r="C1545" s="39"/>
      <c r="D1545" s="39" t="s">
        <v>9068</v>
      </c>
      <c r="E1545" s="371" t="str">
        <f t="shared" si="135"/>
        <v>はしもと　りく</v>
      </c>
      <c r="F1545" s="39" t="s">
        <v>2139</v>
      </c>
      <c r="G1545" s="39" t="s">
        <v>7828</v>
      </c>
      <c r="H1545" s="39" t="str">
        <f>("2015/04/22")</f>
        <v>2015/04/22</v>
      </c>
      <c r="I1545" s="39">
        <v>4</v>
      </c>
      <c r="J1545" s="39" t="s">
        <v>1478</v>
      </c>
      <c r="K1545" s="39" t="s">
        <v>2122</v>
      </c>
      <c r="L1545" s="39" t="s">
        <v>7830</v>
      </c>
      <c r="M1545" s="39" t="s">
        <v>7831</v>
      </c>
      <c r="N1545" s="39" t="str">
        <f>("0129798")</f>
        <v>0129798</v>
      </c>
      <c r="P1545" s="39" t="s">
        <v>13014</v>
      </c>
      <c r="Q1545" s="39" t="s">
        <v>8568</v>
      </c>
      <c r="R1545" s="39" t="s">
        <v>8569</v>
      </c>
      <c r="S1545" s="39" t="s">
        <v>8570</v>
      </c>
      <c r="AK1545" s="39" t="str">
        <f>("2025/03/27")</f>
        <v>2025/03/27</v>
      </c>
      <c r="AL1545" s="39" t="str">
        <f>("2025/04/01")</f>
        <v>2025/04/01</v>
      </c>
    </row>
    <row r="1546" spans="1:39" x14ac:dyDescent="0.25">
      <c r="A1546" s="39" t="str">
        <f>("1504220146")</f>
        <v>1504220146</v>
      </c>
      <c r="C1546" s="39"/>
      <c r="D1546" s="39" t="s">
        <v>9069</v>
      </c>
      <c r="E1546" s="371" t="str">
        <f t="shared" si="135"/>
        <v>しゅとう　れん</v>
      </c>
      <c r="F1546" s="39" t="s">
        <v>2557</v>
      </c>
      <c r="G1546" s="39" t="s">
        <v>7828</v>
      </c>
      <c r="H1546" s="39" t="str">
        <f>("2015/04/22")</f>
        <v>2015/04/22</v>
      </c>
      <c r="I1546" s="39">
        <v>4</v>
      </c>
      <c r="J1546" s="39" t="s">
        <v>1478</v>
      </c>
      <c r="K1546" s="39" t="s">
        <v>2122</v>
      </c>
      <c r="L1546" s="39" t="s">
        <v>7830</v>
      </c>
      <c r="M1546" s="39" t="s">
        <v>7831</v>
      </c>
      <c r="N1546" s="39" t="str">
        <f>("0130723")</f>
        <v>0130723</v>
      </c>
      <c r="P1546" s="39" t="s">
        <v>13015</v>
      </c>
      <c r="Q1546" s="39" t="s">
        <v>8568</v>
      </c>
      <c r="R1546" s="39" t="s">
        <v>8569</v>
      </c>
      <c r="S1546" s="39" t="s">
        <v>8570</v>
      </c>
      <c r="AK1546" s="39" t="str">
        <f>("2025/03/17")</f>
        <v>2025/03/17</v>
      </c>
      <c r="AL1546" s="39" t="str">
        <f>("2025/04/01")</f>
        <v>2025/04/01</v>
      </c>
    </row>
    <row r="1547" spans="1:39" x14ac:dyDescent="0.25">
      <c r="A1547" s="39" t="str">
        <f>("1504230023")</f>
        <v>1504230023</v>
      </c>
      <c r="B1547" s="39" t="s">
        <v>9070</v>
      </c>
      <c r="C1547" s="39"/>
      <c r="D1547" s="39" t="s">
        <v>9071</v>
      </c>
      <c r="E1547" s="371" t="str">
        <f t="shared" si="135"/>
        <v>おか　こうき</v>
      </c>
      <c r="F1547" s="39" t="s">
        <v>5615</v>
      </c>
      <c r="G1547" s="39" t="s">
        <v>7828</v>
      </c>
      <c r="H1547" s="39" t="str">
        <f>("2015/04/23")</f>
        <v>2015/04/23</v>
      </c>
      <c r="I1547" s="39">
        <v>4</v>
      </c>
      <c r="J1547" s="39" t="s">
        <v>1478</v>
      </c>
      <c r="K1547" s="39" t="s">
        <v>2122</v>
      </c>
      <c r="L1547" s="39" t="s">
        <v>7830</v>
      </c>
      <c r="M1547" s="39" t="s">
        <v>7831</v>
      </c>
      <c r="N1547" s="39" t="str">
        <f>("0129642")</f>
        <v>0129642</v>
      </c>
      <c r="P1547" s="39" t="s">
        <v>13016</v>
      </c>
      <c r="Q1547" s="39" t="s">
        <v>8568</v>
      </c>
      <c r="R1547" s="39" t="s">
        <v>8569</v>
      </c>
      <c r="S1547" s="39" t="s">
        <v>8570</v>
      </c>
      <c r="AK1547" s="39" t="str">
        <f>("2025/03/24")</f>
        <v>2025/03/24</v>
      </c>
      <c r="AL1547" s="39" t="str">
        <f>("2025/04/01")</f>
        <v>2025/04/01</v>
      </c>
    </row>
    <row r="1548" spans="1:39" x14ac:dyDescent="0.25">
      <c r="A1548" s="39" t="str">
        <f>("1504230137")</f>
        <v>1504230137</v>
      </c>
      <c r="C1548" s="39"/>
      <c r="D1548" s="39" t="s">
        <v>9072</v>
      </c>
      <c r="E1548" s="371" t="str">
        <f t="shared" si="135"/>
        <v>ほづき　しゅんたろう</v>
      </c>
      <c r="F1548" s="39" t="s">
        <v>2557</v>
      </c>
      <c r="G1548" s="39" t="s">
        <v>7828</v>
      </c>
      <c r="H1548" s="39" t="str">
        <f>("2015/04/23")</f>
        <v>2015/04/23</v>
      </c>
      <c r="I1548" s="39">
        <v>4</v>
      </c>
      <c r="J1548" s="39" t="s">
        <v>1478</v>
      </c>
      <c r="K1548" s="39" t="s">
        <v>2122</v>
      </c>
      <c r="L1548" s="39" t="s">
        <v>7830</v>
      </c>
      <c r="M1548" s="39" t="s">
        <v>7831</v>
      </c>
      <c r="N1548" s="39" t="str">
        <f>("0130723")</f>
        <v>0130723</v>
      </c>
      <c r="P1548" s="39" t="s">
        <v>13017</v>
      </c>
      <c r="Q1548" s="39" t="s">
        <v>8568</v>
      </c>
      <c r="R1548" s="39" t="s">
        <v>8569</v>
      </c>
      <c r="S1548" s="39" t="s">
        <v>8570</v>
      </c>
      <c r="AK1548" s="39" t="str">
        <f>("2025/03/17")</f>
        <v>2025/03/17</v>
      </c>
      <c r="AL1548" s="39" t="str">
        <f>("2025/04/01")</f>
        <v>2025/04/01</v>
      </c>
    </row>
    <row r="1549" spans="1:39" x14ac:dyDescent="0.25">
      <c r="A1549" s="39" t="str">
        <f>("1504240228")</f>
        <v>1504240228</v>
      </c>
      <c r="C1549" s="39"/>
      <c r="D1549" s="39" t="s">
        <v>9073</v>
      </c>
      <c r="E1549" s="371" t="str">
        <f t="shared" si="135"/>
        <v>そのだ　はると</v>
      </c>
      <c r="F1549" s="39" t="s">
        <v>2821</v>
      </c>
      <c r="G1549" s="39" t="s">
        <v>7828</v>
      </c>
      <c r="H1549" s="39" t="str">
        <f>("2015/04/24")</f>
        <v>2015/04/24</v>
      </c>
      <c r="I1549" s="39">
        <v>4</v>
      </c>
      <c r="J1549" s="39" t="s">
        <v>1478</v>
      </c>
      <c r="K1549" s="39" t="s">
        <v>2122</v>
      </c>
      <c r="L1549" s="39" t="s">
        <v>7830</v>
      </c>
      <c r="M1549" s="39" t="s">
        <v>7831</v>
      </c>
      <c r="N1549" s="39" t="str">
        <f>("0237631")</f>
        <v>0237631</v>
      </c>
      <c r="P1549" s="39" t="s">
        <v>13018</v>
      </c>
      <c r="Q1549" s="39" t="s">
        <v>8568</v>
      </c>
      <c r="R1549" s="39" t="s">
        <v>8569</v>
      </c>
      <c r="S1549" s="39" t="s">
        <v>8570</v>
      </c>
      <c r="AK1549" s="39" t="str">
        <f>("2025/11/26")</f>
        <v>2025/11/26</v>
      </c>
      <c r="AL1549" s="39" t="str">
        <f>("2025/11/26")</f>
        <v>2025/11/26</v>
      </c>
    </row>
    <row r="1550" spans="1:39" x14ac:dyDescent="0.25">
      <c r="A1550" s="39" t="str">
        <f>("1504260078")</f>
        <v>1504260078</v>
      </c>
      <c r="C1550" s="39"/>
      <c r="D1550" s="39" t="s">
        <v>9074</v>
      </c>
      <c r="E1550" s="371" t="str">
        <f t="shared" si="135"/>
        <v>たぐち　そうた</v>
      </c>
      <c r="F1550" s="39" t="s">
        <v>2573</v>
      </c>
      <c r="G1550" s="39" t="s">
        <v>7828</v>
      </c>
      <c r="H1550" s="39" t="str">
        <f>("2015/04/26")</f>
        <v>2015/04/26</v>
      </c>
      <c r="I1550" s="39">
        <v>4</v>
      </c>
      <c r="J1550" s="39" t="s">
        <v>1478</v>
      </c>
      <c r="K1550" s="39" t="s">
        <v>2122</v>
      </c>
      <c r="L1550" s="39" t="s">
        <v>7830</v>
      </c>
      <c r="M1550" s="39" t="s">
        <v>7831</v>
      </c>
      <c r="N1550" s="39" t="str">
        <f>("0230982")</f>
        <v>0230982</v>
      </c>
      <c r="P1550" s="39" t="s">
        <v>13019</v>
      </c>
      <c r="Q1550" s="39" t="s">
        <v>8568</v>
      </c>
      <c r="R1550" s="39" t="s">
        <v>8569</v>
      </c>
      <c r="S1550" s="39" t="s">
        <v>8570</v>
      </c>
      <c r="AK1550" s="39" t="str">
        <f>("2025/03/17")</f>
        <v>2025/03/17</v>
      </c>
      <c r="AL1550" s="39" t="str">
        <f t="shared" ref="AL1550:AL1555" si="136">("2025/04/01")</f>
        <v>2025/04/01</v>
      </c>
    </row>
    <row r="1551" spans="1:39" x14ac:dyDescent="0.25">
      <c r="A1551" s="39" t="str">
        <f>("1504270088")</f>
        <v>1504270088</v>
      </c>
      <c r="C1551" s="39"/>
      <c r="D1551" s="39" t="s">
        <v>9075</v>
      </c>
      <c r="E1551" s="371" t="str">
        <f t="shared" si="135"/>
        <v>ふるしょう　ゆうせい</v>
      </c>
      <c r="F1551" s="39" t="s">
        <v>7910</v>
      </c>
      <c r="G1551" s="39" t="s">
        <v>7828</v>
      </c>
      <c r="H1551" s="39" t="str">
        <f>("2015/04/27")</f>
        <v>2015/04/27</v>
      </c>
      <c r="I1551" s="39">
        <v>4</v>
      </c>
      <c r="J1551" s="39" t="s">
        <v>1478</v>
      </c>
      <c r="K1551" s="39" t="s">
        <v>2122</v>
      </c>
      <c r="L1551" s="39" t="s">
        <v>7830</v>
      </c>
      <c r="M1551" s="39" t="s">
        <v>7831</v>
      </c>
      <c r="N1551" s="39" t="str">
        <f>("1111064")</f>
        <v>1111064</v>
      </c>
      <c r="P1551" s="39" t="s">
        <v>13020</v>
      </c>
      <c r="Q1551" s="39" t="s">
        <v>8568</v>
      </c>
      <c r="R1551" s="39" t="s">
        <v>8569</v>
      </c>
      <c r="S1551" s="39" t="s">
        <v>8570</v>
      </c>
      <c r="AK1551" s="39" t="str">
        <f>("2025/03/17")</f>
        <v>2025/03/17</v>
      </c>
      <c r="AL1551" s="39" t="str">
        <f t="shared" si="136"/>
        <v>2025/04/01</v>
      </c>
    </row>
    <row r="1552" spans="1:39" x14ac:dyDescent="0.25">
      <c r="A1552" s="39" t="str">
        <f>("1504280136")</f>
        <v>1504280136</v>
      </c>
      <c r="C1552" s="39"/>
      <c r="D1552" s="39" t="s">
        <v>9076</v>
      </c>
      <c r="E1552" s="371" t="str">
        <f t="shared" si="135"/>
        <v>みうら　たけなり</v>
      </c>
      <c r="F1552" s="39" t="s">
        <v>2594</v>
      </c>
      <c r="G1552" s="39" t="s">
        <v>7828</v>
      </c>
      <c r="H1552" s="39" t="str">
        <f>("2015/04/28")</f>
        <v>2015/04/28</v>
      </c>
      <c r="I1552" s="39">
        <v>4</v>
      </c>
      <c r="J1552" s="39" t="s">
        <v>1478</v>
      </c>
      <c r="K1552" s="39" t="s">
        <v>2122</v>
      </c>
      <c r="L1552" s="39" t="s">
        <v>7830</v>
      </c>
      <c r="M1552" s="39" t="s">
        <v>7831</v>
      </c>
      <c r="N1552" s="39" t="str">
        <f>("0424583")</f>
        <v>0424583</v>
      </c>
      <c r="P1552" s="39" t="s">
        <v>13021</v>
      </c>
      <c r="Q1552" s="39" t="s">
        <v>8568</v>
      </c>
      <c r="R1552" s="39" t="s">
        <v>8569</v>
      </c>
      <c r="S1552" s="39" t="s">
        <v>8570</v>
      </c>
      <c r="AK1552" s="39" t="str">
        <f>("2025/03/17")</f>
        <v>2025/03/17</v>
      </c>
      <c r="AL1552" s="39" t="str">
        <f t="shared" si="136"/>
        <v>2025/04/01</v>
      </c>
    </row>
    <row r="1553" spans="1:39" x14ac:dyDescent="0.25">
      <c r="A1553" s="39" t="str">
        <f>("1504290008")</f>
        <v>1504290008</v>
      </c>
      <c r="C1553" s="39"/>
      <c r="D1553" s="39" t="s">
        <v>9077</v>
      </c>
      <c r="E1553" s="371" t="str">
        <f t="shared" si="135"/>
        <v>よしもと　こうじ</v>
      </c>
      <c r="F1553" s="39" t="s">
        <v>2544</v>
      </c>
      <c r="G1553" s="39" t="s">
        <v>7828</v>
      </c>
      <c r="H1553" s="39" t="str">
        <f>("2015/04/29")</f>
        <v>2015/04/29</v>
      </c>
      <c r="I1553" s="39">
        <v>4</v>
      </c>
      <c r="J1553" s="39" t="s">
        <v>1478</v>
      </c>
      <c r="K1553" s="39" t="s">
        <v>2122</v>
      </c>
      <c r="L1553" s="39" t="s">
        <v>7830</v>
      </c>
      <c r="M1553" s="39" t="s">
        <v>7831</v>
      </c>
      <c r="N1553" s="39" t="str">
        <f>("0130644")</f>
        <v>0130644</v>
      </c>
      <c r="P1553" s="39" t="s">
        <v>13022</v>
      </c>
      <c r="Q1553" s="39" t="s">
        <v>8568</v>
      </c>
      <c r="R1553" s="39" t="s">
        <v>8569</v>
      </c>
      <c r="S1553" s="39" t="s">
        <v>8570</v>
      </c>
      <c r="AK1553" s="39" t="str">
        <f>("2025/03/17")</f>
        <v>2025/03/17</v>
      </c>
      <c r="AL1553" s="39" t="str">
        <f t="shared" si="136"/>
        <v>2025/04/01</v>
      </c>
    </row>
    <row r="1554" spans="1:39" x14ac:dyDescent="0.25">
      <c r="A1554" s="39" t="str">
        <f>("1504290133")</f>
        <v>1504290133</v>
      </c>
      <c r="C1554" s="39"/>
      <c r="D1554" s="39" t="s">
        <v>9078</v>
      </c>
      <c r="E1554" s="371" t="str">
        <f t="shared" si="135"/>
        <v>ふるかわ　ちはる</v>
      </c>
      <c r="F1554" s="39" t="s">
        <v>3867</v>
      </c>
      <c r="G1554" s="39" t="s">
        <v>7828</v>
      </c>
      <c r="H1554" s="39" t="str">
        <f>("2015/04/29")</f>
        <v>2015/04/29</v>
      </c>
      <c r="I1554" s="39">
        <v>4</v>
      </c>
      <c r="J1554" s="39" t="s">
        <v>1478</v>
      </c>
      <c r="K1554" s="39" t="s">
        <v>2122</v>
      </c>
      <c r="L1554" s="39" t="s">
        <v>7830</v>
      </c>
      <c r="M1554" s="39" t="s">
        <v>7831</v>
      </c>
      <c r="N1554" s="39" t="str">
        <f>("0129990")</f>
        <v>0129990</v>
      </c>
      <c r="P1554" s="39" t="s">
        <v>13023</v>
      </c>
      <c r="Q1554" s="39" t="s">
        <v>8568</v>
      </c>
      <c r="R1554" s="39" t="s">
        <v>8569</v>
      </c>
      <c r="S1554" s="39" t="s">
        <v>8570</v>
      </c>
      <c r="AK1554" s="39" t="str">
        <f>("2025/04/01")</f>
        <v>2025/04/01</v>
      </c>
      <c r="AL1554" s="39" t="str">
        <f t="shared" si="136"/>
        <v>2025/04/01</v>
      </c>
      <c r="AM1554" s="39" t="str">
        <f>("2025/04/08")</f>
        <v>2025/04/08</v>
      </c>
    </row>
    <row r="1555" spans="1:39" x14ac:dyDescent="0.25">
      <c r="A1555" s="39" t="str">
        <f>("1505010215")</f>
        <v>1505010215</v>
      </c>
      <c r="C1555" s="39"/>
      <c r="D1555" s="39" t="s">
        <v>9079</v>
      </c>
      <c r="E1555" s="371" t="str">
        <f t="shared" si="135"/>
        <v>ながとみ　たいら</v>
      </c>
      <c r="F1555" s="39" t="s">
        <v>2647</v>
      </c>
      <c r="G1555" s="39" t="s">
        <v>7828</v>
      </c>
      <c r="H1555" s="39" t="str">
        <f>("2015/05/01")</f>
        <v>2015/05/01</v>
      </c>
      <c r="I1555" s="39">
        <v>4</v>
      </c>
      <c r="J1555" s="39" t="s">
        <v>1478</v>
      </c>
      <c r="K1555" s="39" t="s">
        <v>2122</v>
      </c>
      <c r="L1555" s="39" t="s">
        <v>7830</v>
      </c>
      <c r="M1555" s="39" t="s">
        <v>7831</v>
      </c>
      <c r="N1555" s="39" t="str">
        <f>("1036817")</f>
        <v>1036817</v>
      </c>
      <c r="P1555" s="39" t="s">
        <v>13024</v>
      </c>
      <c r="Q1555" s="39" t="s">
        <v>8568</v>
      </c>
      <c r="R1555" s="39" t="s">
        <v>8569</v>
      </c>
      <c r="S1555" s="39" t="s">
        <v>8570</v>
      </c>
      <c r="AK1555" s="39" t="str">
        <f>("2025/03/17")</f>
        <v>2025/03/17</v>
      </c>
      <c r="AL1555" s="39" t="str">
        <f t="shared" si="136"/>
        <v>2025/04/01</v>
      </c>
    </row>
    <row r="1556" spans="1:39" x14ac:dyDescent="0.25">
      <c r="A1556" s="39" t="str">
        <f>("1505010259")</f>
        <v>1505010259</v>
      </c>
      <c r="C1556" s="39"/>
      <c r="D1556" s="39" t="s">
        <v>9080</v>
      </c>
      <c r="E1556" s="371" t="str">
        <f t="shared" si="135"/>
        <v>たかはし　ももか</v>
      </c>
      <c r="F1556" s="39" t="s">
        <v>7910</v>
      </c>
      <c r="G1556" s="39" t="s">
        <v>7828</v>
      </c>
      <c r="H1556" s="39" t="str">
        <f>("2015/05/01")</f>
        <v>2015/05/01</v>
      </c>
      <c r="I1556" s="39">
        <v>4</v>
      </c>
      <c r="J1556" s="39" t="s">
        <v>1480</v>
      </c>
      <c r="K1556" s="39" t="s">
        <v>2122</v>
      </c>
      <c r="L1556" s="39" t="s">
        <v>7830</v>
      </c>
      <c r="M1556" s="39" t="s">
        <v>7831</v>
      </c>
      <c r="N1556" s="39" t="str">
        <f>("1111064")</f>
        <v>1111064</v>
      </c>
      <c r="P1556" s="39" t="s">
        <v>13025</v>
      </c>
      <c r="Q1556" s="39" t="s">
        <v>8568</v>
      </c>
      <c r="R1556" s="39" t="s">
        <v>8569</v>
      </c>
      <c r="S1556" s="39" t="s">
        <v>8570</v>
      </c>
      <c r="AK1556" s="39" t="str">
        <f>("2025/09/09")</f>
        <v>2025/09/09</v>
      </c>
      <c r="AL1556" s="39" t="str">
        <f>("2025/09/09")</f>
        <v>2025/09/09</v>
      </c>
    </row>
    <row r="1557" spans="1:39" x14ac:dyDescent="0.25">
      <c r="A1557" s="39" t="str">
        <f>("1505020038")</f>
        <v>1505020038</v>
      </c>
      <c r="C1557" s="39"/>
      <c r="D1557" s="39" t="s">
        <v>9081</v>
      </c>
      <c r="E1557" s="371" t="str">
        <f t="shared" si="135"/>
        <v>あべ　そうま</v>
      </c>
      <c r="F1557" s="39" t="s">
        <v>2138</v>
      </c>
      <c r="G1557" s="39" t="s">
        <v>7828</v>
      </c>
      <c r="H1557" s="39" t="str">
        <f>("2015/05/02")</f>
        <v>2015/05/02</v>
      </c>
      <c r="I1557" s="39">
        <v>4</v>
      </c>
      <c r="J1557" s="39" t="s">
        <v>1478</v>
      </c>
      <c r="K1557" s="39" t="s">
        <v>2122</v>
      </c>
      <c r="L1557" s="39" t="s">
        <v>7830</v>
      </c>
      <c r="M1557" s="39" t="s">
        <v>7831</v>
      </c>
      <c r="N1557" s="39" t="str">
        <f>("0130082")</f>
        <v>0130082</v>
      </c>
      <c r="P1557" s="39" t="s">
        <v>12404</v>
      </c>
      <c r="Q1557" s="39" t="s">
        <v>8568</v>
      </c>
      <c r="R1557" s="39" t="s">
        <v>8569</v>
      </c>
      <c r="S1557" s="39" t="s">
        <v>8570</v>
      </c>
      <c r="AA1557" s="39" t="s">
        <v>2122</v>
      </c>
      <c r="AB1557" s="39" t="s">
        <v>7830</v>
      </c>
      <c r="AC1557" s="39" t="s">
        <v>7831</v>
      </c>
      <c r="AD1557" s="39" t="str">
        <f>("0130071")</f>
        <v>0130071</v>
      </c>
      <c r="AE1557" s="39" t="s">
        <v>2173</v>
      </c>
      <c r="AK1557" s="39" t="str">
        <f>("2025/04/04")</f>
        <v>2025/04/04</v>
      </c>
      <c r="AL1557" s="39" t="str">
        <f>("2025/04/04")</f>
        <v>2025/04/04</v>
      </c>
      <c r="AM1557" s="39" t="str">
        <f>("2025/04/11")</f>
        <v>2025/04/11</v>
      </c>
    </row>
    <row r="1558" spans="1:39" x14ac:dyDescent="0.25">
      <c r="A1558" s="39" t="str">
        <f>("1505020151")</f>
        <v>1505020151</v>
      </c>
      <c r="C1558" s="39"/>
      <c r="D1558" s="39" t="s">
        <v>3048</v>
      </c>
      <c r="E1558" s="371" t="str">
        <f t="shared" si="135"/>
        <v>まつうら　こうき</v>
      </c>
      <c r="F1558" s="39" t="s">
        <v>2491</v>
      </c>
      <c r="G1558" s="39" t="s">
        <v>7828</v>
      </c>
      <c r="H1558" s="39" t="str">
        <f>("2015/05/02")</f>
        <v>2015/05/02</v>
      </c>
      <c r="I1558" s="39">
        <v>4</v>
      </c>
      <c r="J1558" s="39" t="s">
        <v>1478</v>
      </c>
      <c r="K1558" s="39" t="s">
        <v>2122</v>
      </c>
      <c r="L1558" s="39" t="s">
        <v>7830</v>
      </c>
      <c r="M1558" s="39" t="s">
        <v>7831</v>
      </c>
      <c r="N1558" s="39" t="str">
        <f>("0129822")</f>
        <v>0129822</v>
      </c>
      <c r="P1558" s="39" t="s">
        <v>13026</v>
      </c>
      <c r="Q1558" s="39" t="s">
        <v>8568</v>
      </c>
      <c r="R1558" s="39" t="s">
        <v>8569</v>
      </c>
      <c r="S1558" s="39" t="s">
        <v>8570</v>
      </c>
      <c r="AK1558" s="39" t="str">
        <f>("2025/03/17")</f>
        <v>2025/03/17</v>
      </c>
      <c r="AL1558" s="39" t="str">
        <f>("2025/04/01")</f>
        <v>2025/04/01</v>
      </c>
    </row>
    <row r="1559" spans="1:39" x14ac:dyDescent="0.25">
      <c r="A1559" s="39" t="str">
        <f>("1505020171")</f>
        <v>1505020171</v>
      </c>
      <c r="C1559" s="39"/>
      <c r="D1559" s="39" t="s">
        <v>9082</v>
      </c>
      <c r="E1559" s="371" t="str">
        <f t="shared" si="135"/>
        <v>えだ　はると</v>
      </c>
      <c r="F1559" s="39" t="s">
        <v>2587</v>
      </c>
      <c r="G1559" s="39" t="s">
        <v>7828</v>
      </c>
      <c r="H1559" s="39" t="str">
        <f>("2015/05/02")</f>
        <v>2015/05/02</v>
      </c>
      <c r="I1559" s="39">
        <v>4</v>
      </c>
      <c r="J1559" s="39" t="s">
        <v>1478</v>
      </c>
      <c r="K1559" s="39" t="s">
        <v>2122</v>
      </c>
      <c r="L1559" s="39" t="s">
        <v>7830</v>
      </c>
      <c r="M1559" s="39" t="s">
        <v>7831</v>
      </c>
      <c r="N1559" s="39" t="str">
        <f>("0387334")</f>
        <v>0387334</v>
      </c>
      <c r="P1559" s="39" t="s">
        <v>13027</v>
      </c>
      <c r="Q1559" s="39" t="s">
        <v>8568</v>
      </c>
      <c r="R1559" s="39" t="s">
        <v>8569</v>
      </c>
      <c r="S1559" s="39" t="s">
        <v>8570</v>
      </c>
      <c r="AK1559" s="39" t="str">
        <f>("2025/04/10")</f>
        <v>2025/04/10</v>
      </c>
      <c r="AL1559" s="39" t="str">
        <f>("2025/04/10")</f>
        <v>2025/04/10</v>
      </c>
    </row>
    <row r="1560" spans="1:39" x14ac:dyDescent="0.25">
      <c r="A1560" s="39" t="str">
        <f>("1505040011")</f>
        <v>1505040011</v>
      </c>
      <c r="B1560" s="39" t="s">
        <v>9083</v>
      </c>
      <c r="C1560" s="39"/>
      <c r="D1560" s="39" t="s">
        <v>9084</v>
      </c>
      <c r="E1560" s="371" t="str">
        <f t="shared" si="135"/>
        <v>こだま　あつき</v>
      </c>
      <c r="F1560" s="39" t="s">
        <v>2516</v>
      </c>
      <c r="G1560" s="39" t="s">
        <v>7828</v>
      </c>
      <c r="H1560" s="39" t="str">
        <f>("2015/05/04")</f>
        <v>2015/05/04</v>
      </c>
      <c r="I1560" s="39">
        <v>4</v>
      </c>
      <c r="J1560" s="39" t="s">
        <v>1478</v>
      </c>
      <c r="K1560" s="39" t="s">
        <v>2122</v>
      </c>
      <c r="L1560" s="39" t="s">
        <v>7830</v>
      </c>
      <c r="M1560" s="39" t="s">
        <v>7831</v>
      </c>
      <c r="N1560" s="39" t="str">
        <f>("0130116")</f>
        <v>0130116</v>
      </c>
      <c r="P1560" s="39" t="s">
        <v>13028</v>
      </c>
      <c r="Q1560" s="39" t="s">
        <v>8568</v>
      </c>
      <c r="R1560" s="39" t="s">
        <v>8569</v>
      </c>
      <c r="S1560" s="39" t="s">
        <v>8570</v>
      </c>
      <c r="AK1560" s="39" t="str">
        <f>("2025/03/25")</f>
        <v>2025/03/25</v>
      </c>
      <c r="AL1560" s="39" t="str">
        <f>("2025/04/01")</f>
        <v>2025/04/01</v>
      </c>
    </row>
    <row r="1561" spans="1:39" x14ac:dyDescent="0.25">
      <c r="A1561" s="39" t="str">
        <f>("1505050056")</f>
        <v>1505050056</v>
      </c>
      <c r="C1561" s="39"/>
      <c r="D1561" s="39" t="s">
        <v>9085</v>
      </c>
      <c r="E1561" s="371" t="str">
        <f t="shared" si="135"/>
        <v>あいざわ　いつき</v>
      </c>
      <c r="F1561" s="39" t="s">
        <v>2530</v>
      </c>
      <c r="G1561" s="39" t="s">
        <v>7828</v>
      </c>
      <c r="H1561" s="39" t="str">
        <f>("2015/05/05")</f>
        <v>2015/05/05</v>
      </c>
      <c r="I1561" s="39">
        <v>4</v>
      </c>
      <c r="J1561" s="39" t="s">
        <v>1478</v>
      </c>
      <c r="K1561" s="39" t="s">
        <v>2122</v>
      </c>
      <c r="L1561" s="39" t="s">
        <v>7830</v>
      </c>
      <c r="M1561" s="39" t="s">
        <v>7831</v>
      </c>
      <c r="N1561" s="39" t="str">
        <f>("0338756")</f>
        <v>0338756</v>
      </c>
      <c r="P1561" s="39" t="s">
        <v>13029</v>
      </c>
      <c r="Q1561" s="39" t="s">
        <v>8568</v>
      </c>
      <c r="R1561" s="39" t="s">
        <v>8569</v>
      </c>
      <c r="S1561" s="39" t="s">
        <v>8570</v>
      </c>
      <c r="AK1561" s="39" t="str">
        <f>("2025/04/01")</f>
        <v>2025/04/01</v>
      </c>
      <c r="AL1561" s="39" t="str">
        <f>("2025/04/01")</f>
        <v>2025/04/01</v>
      </c>
    </row>
    <row r="1562" spans="1:39" x14ac:dyDescent="0.25">
      <c r="A1562" s="39" t="str">
        <f>("1505050107")</f>
        <v>1505050107</v>
      </c>
      <c r="C1562" s="39"/>
      <c r="D1562" s="39" t="s">
        <v>9086</v>
      </c>
      <c r="E1562" s="371" t="str">
        <f t="shared" si="135"/>
        <v>おの　えいと</v>
      </c>
      <c r="F1562" s="39" t="s">
        <v>2587</v>
      </c>
      <c r="G1562" s="39" t="s">
        <v>7828</v>
      </c>
      <c r="H1562" s="39" t="str">
        <f>("2015/05/05")</f>
        <v>2015/05/05</v>
      </c>
      <c r="I1562" s="39">
        <v>4</v>
      </c>
      <c r="J1562" s="39" t="s">
        <v>1478</v>
      </c>
      <c r="K1562" s="39" t="s">
        <v>2122</v>
      </c>
      <c r="L1562" s="39" t="s">
        <v>7830</v>
      </c>
      <c r="M1562" s="39" t="s">
        <v>7831</v>
      </c>
      <c r="N1562" s="39" t="str">
        <f>("0387334")</f>
        <v>0387334</v>
      </c>
      <c r="P1562" s="39" t="s">
        <v>13030</v>
      </c>
      <c r="Q1562" s="39" t="s">
        <v>8568</v>
      </c>
      <c r="R1562" s="39" t="s">
        <v>8569</v>
      </c>
      <c r="S1562" s="39" t="s">
        <v>8570</v>
      </c>
      <c r="AK1562" s="39" t="str">
        <f>("2025/03/27")</f>
        <v>2025/03/27</v>
      </c>
      <c r="AL1562" s="39" t="str">
        <f>("2025/04/01")</f>
        <v>2025/04/01</v>
      </c>
    </row>
    <row r="1563" spans="1:39" x14ac:dyDescent="0.25">
      <c r="A1563" s="39" t="str">
        <f>("1505060052")</f>
        <v>1505060052</v>
      </c>
      <c r="C1563" s="39"/>
      <c r="D1563" s="39" t="s">
        <v>9087</v>
      </c>
      <c r="E1563" s="371" t="str">
        <f t="shared" si="135"/>
        <v>かい　ふみや</v>
      </c>
      <c r="F1563" s="39" t="s">
        <v>928</v>
      </c>
      <c r="G1563" s="39" t="s">
        <v>7828</v>
      </c>
      <c r="H1563" s="39" t="str">
        <f>("2015/05/06")</f>
        <v>2015/05/06</v>
      </c>
      <c r="I1563" s="39">
        <v>4</v>
      </c>
      <c r="J1563" s="39" t="s">
        <v>1478</v>
      </c>
      <c r="K1563" s="39" t="s">
        <v>2122</v>
      </c>
      <c r="L1563" s="39" t="s">
        <v>7830</v>
      </c>
      <c r="M1563" s="39" t="s">
        <v>7831</v>
      </c>
      <c r="N1563" s="39" t="str">
        <f>("0130532")</f>
        <v>0130532</v>
      </c>
      <c r="P1563" s="39" t="s">
        <v>13031</v>
      </c>
      <c r="Q1563" s="39" t="s">
        <v>8568</v>
      </c>
      <c r="R1563" s="39" t="s">
        <v>8569</v>
      </c>
      <c r="S1563" s="39" t="s">
        <v>8570</v>
      </c>
      <c r="AK1563" s="39" t="str">
        <f>("2025/03/17")</f>
        <v>2025/03/17</v>
      </c>
      <c r="AL1563" s="39" t="str">
        <f>("2025/04/01")</f>
        <v>2025/04/01</v>
      </c>
    </row>
    <row r="1564" spans="1:39" x14ac:dyDescent="0.25">
      <c r="A1564" s="39" t="str">
        <f>("1505060170")</f>
        <v>1505060170</v>
      </c>
      <c r="C1564" s="39"/>
      <c r="D1564" s="39" t="s">
        <v>9088</v>
      </c>
      <c r="E1564" s="371" t="str">
        <f t="shared" si="135"/>
        <v>たかはし　かりん</v>
      </c>
      <c r="F1564" s="39" t="s">
        <v>829</v>
      </c>
      <c r="G1564" s="39" t="s">
        <v>7828</v>
      </c>
      <c r="H1564" s="39" t="str">
        <f>("2015/05/06")</f>
        <v>2015/05/06</v>
      </c>
      <c r="I1564" s="39">
        <v>4</v>
      </c>
      <c r="J1564" s="39" t="s">
        <v>1480</v>
      </c>
      <c r="K1564" s="39" t="s">
        <v>2122</v>
      </c>
      <c r="L1564" s="39" t="s">
        <v>7830</v>
      </c>
      <c r="M1564" s="39" t="s">
        <v>7831</v>
      </c>
      <c r="N1564" s="39" t="str">
        <f>("0426631")</f>
        <v>0426631</v>
      </c>
      <c r="P1564" s="39" t="s">
        <v>13032</v>
      </c>
      <c r="Q1564" s="39" t="s">
        <v>8568</v>
      </c>
      <c r="R1564" s="39" t="s">
        <v>8569</v>
      </c>
      <c r="S1564" s="39" t="s">
        <v>8570</v>
      </c>
      <c r="AK1564" s="39" t="str">
        <f>("2025/09/09")</f>
        <v>2025/09/09</v>
      </c>
      <c r="AL1564" s="39" t="str">
        <f>("2025/09/09")</f>
        <v>2025/09/09</v>
      </c>
    </row>
    <row r="1565" spans="1:39" x14ac:dyDescent="0.25">
      <c r="A1565" s="39" t="str">
        <f>("1505080111")</f>
        <v>1505080111</v>
      </c>
      <c r="C1565" s="39"/>
      <c r="D1565" s="39" t="s">
        <v>9089</v>
      </c>
      <c r="E1565" s="371" t="str">
        <f t="shared" si="135"/>
        <v>おの　がくと</v>
      </c>
      <c r="F1565" s="39" t="s">
        <v>1481</v>
      </c>
      <c r="G1565" s="39" t="s">
        <v>7828</v>
      </c>
      <c r="H1565" s="39" t="str">
        <f>("2015/05/08")</f>
        <v>2015/05/08</v>
      </c>
      <c r="I1565" s="39">
        <v>4</v>
      </c>
      <c r="J1565" s="39" t="s">
        <v>1478</v>
      </c>
      <c r="K1565" s="39" t="s">
        <v>2122</v>
      </c>
      <c r="L1565" s="39" t="s">
        <v>7830</v>
      </c>
      <c r="M1565" s="39" t="s">
        <v>7831</v>
      </c>
      <c r="N1565" s="39" t="str">
        <f>("0129866")</f>
        <v>0129866</v>
      </c>
      <c r="P1565" s="39" t="s">
        <v>13033</v>
      </c>
      <c r="Q1565" s="39" t="s">
        <v>8568</v>
      </c>
      <c r="R1565" s="39" t="s">
        <v>8569</v>
      </c>
      <c r="S1565" s="39" t="s">
        <v>8570</v>
      </c>
      <c r="AK1565" s="39" t="str">
        <f>("2025/03/19")</f>
        <v>2025/03/19</v>
      </c>
      <c r="AL1565" s="39" t="str">
        <f>("2025/04/01")</f>
        <v>2025/04/01</v>
      </c>
    </row>
    <row r="1566" spans="1:39" x14ac:dyDescent="0.25">
      <c r="A1566" s="39" t="str">
        <f>("1505080142")</f>
        <v>1505080142</v>
      </c>
      <c r="C1566" s="39"/>
      <c r="D1566" s="39" t="s">
        <v>9090</v>
      </c>
      <c r="E1566" s="371" t="str">
        <f t="shared" si="135"/>
        <v>みなみ　そうた</v>
      </c>
      <c r="F1566" s="39" t="s">
        <v>2587</v>
      </c>
      <c r="G1566" s="39" t="s">
        <v>7828</v>
      </c>
      <c r="H1566" s="39" t="str">
        <f>("2015/05/08")</f>
        <v>2015/05/08</v>
      </c>
      <c r="I1566" s="39">
        <v>4</v>
      </c>
      <c r="J1566" s="39" t="s">
        <v>1478</v>
      </c>
      <c r="K1566" s="39" t="s">
        <v>2122</v>
      </c>
      <c r="L1566" s="39" t="s">
        <v>7830</v>
      </c>
      <c r="M1566" s="39" t="s">
        <v>7831</v>
      </c>
      <c r="N1566" s="39" t="str">
        <f>("0387334")</f>
        <v>0387334</v>
      </c>
      <c r="P1566" s="39" t="s">
        <v>13034</v>
      </c>
      <c r="Q1566" s="39" t="s">
        <v>8568</v>
      </c>
      <c r="R1566" s="39" t="s">
        <v>8569</v>
      </c>
      <c r="S1566" s="39" t="s">
        <v>8570</v>
      </c>
      <c r="AK1566" s="39" t="str">
        <f>("2025/03/27")</f>
        <v>2025/03/27</v>
      </c>
      <c r="AL1566" s="39" t="str">
        <f>("2025/04/01")</f>
        <v>2025/04/01</v>
      </c>
    </row>
    <row r="1567" spans="1:39" x14ac:dyDescent="0.25">
      <c r="A1567" s="39" t="str">
        <f>("1505080152")</f>
        <v>1505080152</v>
      </c>
      <c r="C1567" s="39"/>
      <c r="D1567" s="39" t="s">
        <v>9091</v>
      </c>
      <c r="E1567" s="371" t="str">
        <f t="shared" si="135"/>
        <v>こくい　たける</v>
      </c>
      <c r="F1567" s="39" t="s">
        <v>2323</v>
      </c>
      <c r="G1567" s="39" t="s">
        <v>7828</v>
      </c>
      <c r="H1567" s="39" t="str">
        <f>("2015/05/08")</f>
        <v>2015/05/08</v>
      </c>
      <c r="I1567" s="39">
        <v>4</v>
      </c>
      <c r="J1567" s="39" t="s">
        <v>1478</v>
      </c>
      <c r="K1567" s="39" t="s">
        <v>2122</v>
      </c>
      <c r="L1567" s="39" t="s">
        <v>7830</v>
      </c>
      <c r="M1567" s="39" t="s">
        <v>7831</v>
      </c>
      <c r="N1567" s="39" t="str">
        <f>("0472722")</f>
        <v>0472722</v>
      </c>
      <c r="P1567" s="39" t="s">
        <v>13035</v>
      </c>
      <c r="Q1567" s="39" t="s">
        <v>8568</v>
      </c>
      <c r="R1567" s="39" t="s">
        <v>8569</v>
      </c>
      <c r="S1567" s="39" t="s">
        <v>8570</v>
      </c>
      <c r="AK1567" s="39" t="str">
        <f>("2025/03/17")</f>
        <v>2025/03/17</v>
      </c>
      <c r="AL1567" s="39" t="str">
        <f>("2025/04/01")</f>
        <v>2025/04/01</v>
      </c>
    </row>
    <row r="1568" spans="1:39" x14ac:dyDescent="0.25">
      <c r="A1568" s="39" t="str">
        <f>("1505090059")</f>
        <v>1505090059</v>
      </c>
      <c r="B1568" s="39" t="s">
        <v>9092</v>
      </c>
      <c r="C1568" s="39"/>
      <c r="D1568" s="39" t="s">
        <v>9093</v>
      </c>
      <c r="E1568" s="371" t="str">
        <f t="shared" si="135"/>
        <v>わかすぎ　えいと</v>
      </c>
      <c r="F1568" s="39" t="s">
        <v>2619</v>
      </c>
      <c r="G1568" s="39" t="s">
        <v>7828</v>
      </c>
      <c r="H1568" s="39" t="str">
        <f>("2015/05/09")</f>
        <v>2015/05/09</v>
      </c>
      <c r="I1568" s="39">
        <v>4</v>
      </c>
      <c r="J1568" s="39" t="s">
        <v>1478</v>
      </c>
      <c r="K1568" s="39" t="s">
        <v>2122</v>
      </c>
      <c r="L1568" s="39" t="s">
        <v>7830</v>
      </c>
      <c r="M1568" s="39" t="s">
        <v>7831</v>
      </c>
      <c r="N1568" s="39" t="str">
        <f>("0472823")</f>
        <v>0472823</v>
      </c>
      <c r="P1568" s="39" t="s">
        <v>13036</v>
      </c>
      <c r="Q1568" s="39" t="s">
        <v>8568</v>
      </c>
      <c r="R1568" s="39" t="s">
        <v>8569</v>
      </c>
      <c r="S1568" s="39" t="s">
        <v>8570</v>
      </c>
      <c r="AA1568" s="39" t="s">
        <v>2122</v>
      </c>
      <c r="AB1568" s="39" t="s">
        <v>7830</v>
      </c>
      <c r="AC1568" s="39" t="s">
        <v>7831</v>
      </c>
      <c r="AD1568" s="39" t="str">
        <f>("0130598")</f>
        <v>0130598</v>
      </c>
      <c r="AE1568" s="39" t="s">
        <v>1330</v>
      </c>
      <c r="AK1568" s="39" t="str">
        <f>("2025/07/30")</f>
        <v>2025/07/30</v>
      </c>
      <c r="AL1568" s="39" t="str">
        <f>("2025/07/30")</f>
        <v>2025/07/30</v>
      </c>
    </row>
    <row r="1569" spans="1:39" x14ac:dyDescent="0.25">
      <c r="A1569" s="39" t="str">
        <f>("1505100106")</f>
        <v>1505100106</v>
      </c>
      <c r="C1569" s="39"/>
      <c r="D1569" s="39" t="s">
        <v>6261</v>
      </c>
      <c r="E1569" s="371" t="str">
        <f t="shared" si="135"/>
        <v>きら　かいしん</v>
      </c>
      <c r="F1569" s="39" t="s">
        <v>5619</v>
      </c>
      <c r="G1569" s="39" t="s">
        <v>7828</v>
      </c>
      <c r="H1569" s="39" t="str">
        <f>("2015/05/10")</f>
        <v>2015/05/10</v>
      </c>
      <c r="I1569" s="39">
        <v>4</v>
      </c>
      <c r="J1569" s="39" t="s">
        <v>1478</v>
      </c>
      <c r="K1569" s="39" t="s">
        <v>2122</v>
      </c>
      <c r="L1569" s="39" t="s">
        <v>7830</v>
      </c>
      <c r="M1569" s="39" t="s">
        <v>7831</v>
      </c>
      <c r="N1569" s="39" t="str">
        <f>("1089004")</f>
        <v>1089004</v>
      </c>
      <c r="P1569" s="39" t="s">
        <v>13037</v>
      </c>
      <c r="Q1569" s="39" t="s">
        <v>8568</v>
      </c>
      <c r="R1569" s="39" t="s">
        <v>8569</v>
      </c>
      <c r="S1569" s="39" t="s">
        <v>8570</v>
      </c>
      <c r="AK1569" s="39" t="str">
        <f>("2025/03/27")</f>
        <v>2025/03/27</v>
      </c>
      <c r="AL1569" s="39" t="str">
        <f t="shared" ref="AL1569:AL1578" si="137">("2025/04/01")</f>
        <v>2025/04/01</v>
      </c>
    </row>
    <row r="1570" spans="1:39" x14ac:dyDescent="0.25">
      <c r="A1570" s="39" t="str">
        <f>("1505100128")</f>
        <v>1505100128</v>
      </c>
      <c r="C1570" s="39"/>
      <c r="D1570" s="39" t="s">
        <v>9094</v>
      </c>
      <c r="E1570" s="371" t="str">
        <f t="shared" si="135"/>
        <v>わたなべ　ゆうと</v>
      </c>
      <c r="F1570" s="39" t="s">
        <v>2647</v>
      </c>
      <c r="G1570" s="39" t="s">
        <v>7828</v>
      </c>
      <c r="H1570" s="39" t="str">
        <f>("2015/05/10")</f>
        <v>2015/05/10</v>
      </c>
      <c r="I1570" s="39">
        <v>4</v>
      </c>
      <c r="J1570" s="39" t="s">
        <v>1478</v>
      </c>
      <c r="K1570" s="39" t="s">
        <v>2122</v>
      </c>
      <c r="L1570" s="39" t="s">
        <v>7830</v>
      </c>
      <c r="M1570" s="39" t="s">
        <v>7831</v>
      </c>
      <c r="N1570" s="39" t="str">
        <f>("1036817")</f>
        <v>1036817</v>
      </c>
      <c r="P1570" s="39" t="s">
        <v>12083</v>
      </c>
      <c r="Q1570" s="39" t="s">
        <v>8568</v>
      </c>
      <c r="R1570" s="39" t="s">
        <v>8569</v>
      </c>
      <c r="S1570" s="39" t="s">
        <v>8570</v>
      </c>
      <c r="AK1570" s="39" t="str">
        <f>("2025/03/17")</f>
        <v>2025/03/17</v>
      </c>
      <c r="AL1570" s="39" t="str">
        <f t="shared" si="137"/>
        <v>2025/04/01</v>
      </c>
    </row>
    <row r="1571" spans="1:39" x14ac:dyDescent="0.25">
      <c r="A1571" s="39" t="str">
        <f>("1505110066")</f>
        <v>1505110066</v>
      </c>
      <c r="C1571" s="39"/>
      <c r="D1571" s="39" t="s">
        <v>9095</v>
      </c>
      <c r="E1571" s="371" t="str">
        <f t="shared" si="135"/>
        <v>せき　まさひろ</v>
      </c>
      <c r="F1571" s="39" t="s">
        <v>1190</v>
      </c>
      <c r="G1571" s="39" t="s">
        <v>7876</v>
      </c>
      <c r="H1571" s="39" t="str">
        <f>("2015/05/11")</f>
        <v>2015/05/11</v>
      </c>
      <c r="I1571" s="39">
        <v>4</v>
      </c>
      <c r="J1571" s="39" t="s">
        <v>1478</v>
      </c>
      <c r="K1571" s="39" t="s">
        <v>2122</v>
      </c>
      <c r="L1571" s="39" t="s">
        <v>7830</v>
      </c>
      <c r="M1571" s="39" t="s">
        <v>7831</v>
      </c>
      <c r="N1571" s="39" t="str">
        <f>("0130554")</f>
        <v>0130554</v>
      </c>
      <c r="P1571" s="39" t="s">
        <v>13038</v>
      </c>
      <c r="Q1571" s="39" t="s">
        <v>8568</v>
      </c>
      <c r="R1571" s="39" t="s">
        <v>8569</v>
      </c>
      <c r="S1571" s="39" t="s">
        <v>8570</v>
      </c>
      <c r="AK1571" s="39" t="str">
        <f>("2025/03/17")</f>
        <v>2025/03/17</v>
      </c>
      <c r="AL1571" s="39" t="str">
        <f t="shared" si="137"/>
        <v>2025/04/01</v>
      </c>
      <c r="AM1571" s="39" t="str">
        <f>("2025/12/15")</f>
        <v>2025/12/15</v>
      </c>
    </row>
    <row r="1572" spans="1:39" x14ac:dyDescent="0.25">
      <c r="A1572" s="39" t="str">
        <f>("1505120155")</f>
        <v>1505120155</v>
      </c>
      <c r="B1572" s="39" t="s">
        <v>9096</v>
      </c>
      <c r="C1572" s="39"/>
      <c r="D1572" s="39" t="s">
        <v>9097</v>
      </c>
      <c r="E1572" s="371" t="str">
        <f t="shared" si="135"/>
        <v>かとう　はる</v>
      </c>
      <c r="F1572" s="39" t="s">
        <v>2594</v>
      </c>
      <c r="G1572" s="39" t="s">
        <v>7828</v>
      </c>
      <c r="H1572" s="39" t="str">
        <f>("2015/05/12")</f>
        <v>2015/05/12</v>
      </c>
      <c r="I1572" s="39">
        <v>4</v>
      </c>
      <c r="J1572" s="39" t="s">
        <v>1478</v>
      </c>
      <c r="K1572" s="39" t="s">
        <v>2122</v>
      </c>
      <c r="L1572" s="39" t="s">
        <v>7830</v>
      </c>
      <c r="M1572" s="39" t="s">
        <v>7831</v>
      </c>
      <c r="N1572" s="39" t="str">
        <f>("0424583")</f>
        <v>0424583</v>
      </c>
      <c r="P1572" s="39" t="s">
        <v>13039</v>
      </c>
      <c r="Q1572" s="39" t="s">
        <v>8568</v>
      </c>
      <c r="R1572" s="39" t="s">
        <v>8569</v>
      </c>
      <c r="S1572" s="39" t="s">
        <v>8570</v>
      </c>
      <c r="AK1572" s="39" t="str">
        <f>("2025/03/17")</f>
        <v>2025/03/17</v>
      </c>
      <c r="AL1572" s="39" t="str">
        <f t="shared" si="137"/>
        <v>2025/04/01</v>
      </c>
    </row>
    <row r="1573" spans="1:39" x14ac:dyDescent="0.25">
      <c r="A1573" s="39" t="str">
        <f>("1505130044")</f>
        <v>1505130044</v>
      </c>
      <c r="B1573" s="39" t="s">
        <v>9098</v>
      </c>
      <c r="C1573" s="39"/>
      <c r="D1573" s="39" t="s">
        <v>5696</v>
      </c>
      <c r="E1573" s="371" t="str">
        <f t="shared" si="135"/>
        <v>こじま　たつみ</v>
      </c>
      <c r="F1573" s="39" t="s">
        <v>3866</v>
      </c>
      <c r="G1573" s="39" t="s">
        <v>7828</v>
      </c>
      <c r="H1573" s="39" t="str">
        <f>("2015/05/13")</f>
        <v>2015/05/13</v>
      </c>
      <c r="I1573" s="39">
        <v>4</v>
      </c>
      <c r="J1573" s="39" t="s">
        <v>1478</v>
      </c>
      <c r="K1573" s="39" t="s">
        <v>2122</v>
      </c>
      <c r="L1573" s="39" t="s">
        <v>7830</v>
      </c>
      <c r="M1573" s="39" t="s">
        <v>7831</v>
      </c>
      <c r="N1573" s="39" t="str">
        <f>("0129675")</f>
        <v>0129675</v>
      </c>
      <c r="P1573" s="39" t="s">
        <v>13040</v>
      </c>
      <c r="Q1573" s="39" t="s">
        <v>8568</v>
      </c>
      <c r="R1573" s="39" t="s">
        <v>8569</v>
      </c>
      <c r="S1573" s="39" t="s">
        <v>8570</v>
      </c>
      <c r="AK1573" s="39" t="str">
        <f>("2025/04/01")</f>
        <v>2025/04/01</v>
      </c>
      <c r="AL1573" s="39" t="str">
        <f t="shared" si="137"/>
        <v>2025/04/01</v>
      </c>
    </row>
    <row r="1574" spans="1:39" x14ac:dyDescent="0.25">
      <c r="A1574" s="39" t="str">
        <f>("1505130045")</f>
        <v>1505130045</v>
      </c>
      <c r="B1574" s="39" t="s">
        <v>9099</v>
      </c>
      <c r="C1574" s="39"/>
      <c r="D1574" s="39" t="s">
        <v>5697</v>
      </c>
      <c r="E1574" s="371" t="str">
        <f t="shared" si="135"/>
        <v>こじま　とうき</v>
      </c>
      <c r="F1574" s="39" t="s">
        <v>3866</v>
      </c>
      <c r="G1574" s="39" t="s">
        <v>7828</v>
      </c>
      <c r="H1574" s="39" t="str">
        <f>("2015/05/13")</f>
        <v>2015/05/13</v>
      </c>
      <c r="I1574" s="39">
        <v>4</v>
      </c>
      <c r="J1574" s="39" t="s">
        <v>1478</v>
      </c>
      <c r="K1574" s="39" t="s">
        <v>2122</v>
      </c>
      <c r="L1574" s="39" t="s">
        <v>7830</v>
      </c>
      <c r="M1574" s="39" t="s">
        <v>7831</v>
      </c>
      <c r="N1574" s="39" t="str">
        <f>("0129675")</f>
        <v>0129675</v>
      </c>
      <c r="P1574" s="39" t="s">
        <v>13041</v>
      </c>
      <c r="Q1574" s="39" t="s">
        <v>8568</v>
      </c>
      <c r="R1574" s="39" t="s">
        <v>8569</v>
      </c>
      <c r="S1574" s="39" t="s">
        <v>8570</v>
      </c>
      <c r="AK1574" s="39" t="str">
        <f>("2025/04/01")</f>
        <v>2025/04/01</v>
      </c>
      <c r="AL1574" s="39" t="str">
        <f t="shared" si="137"/>
        <v>2025/04/01</v>
      </c>
    </row>
    <row r="1575" spans="1:39" x14ac:dyDescent="0.25">
      <c r="A1575" s="39" t="str">
        <f>("1505130046")</f>
        <v>1505130046</v>
      </c>
      <c r="B1575" s="39" t="s">
        <v>9100</v>
      </c>
      <c r="C1575" s="39"/>
      <c r="D1575" s="39" t="s">
        <v>9101</v>
      </c>
      <c r="E1575" s="371" t="str">
        <f t="shared" si="135"/>
        <v>こじま　みお</v>
      </c>
      <c r="F1575" s="39" t="s">
        <v>3866</v>
      </c>
      <c r="G1575" s="39" t="s">
        <v>7828</v>
      </c>
      <c r="H1575" s="39" t="str">
        <f>("2015/05/13")</f>
        <v>2015/05/13</v>
      </c>
      <c r="I1575" s="39">
        <v>4</v>
      </c>
      <c r="J1575" s="39" t="s">
        <v>1480</v>
      </c>
      <c r="K1575" s="39" t="s">
        <v>2122</v>
      </c>
      <c r="L1575" s="39" t="s">
        <v>7830</v>
      </c>
      <c r="M1575" s="39" t="s">
        <v>7831</v>
      </c>
      <c r="N1575" s="39" t="str">
        <f>("0129675")</f>
        <v>0129675</v>
      </c>
      <c r="P1575" s="39" t="s">
        <v>13042</v>
      </c>
      <c r="Q1575" s="39" t="s">
        <v>8568</v>
      </c>
      <c r="R1575" s="39" t="s">
        <v>8569</v>
      </c>
      <c r="S1575" s="39" t="s">
        <v>8570</v>
      </c>
      <c r="AK1575" s="39" t="str">
        <f>("2025/04/01")</f>
        <v>2025/04/01</v>
      </c>
      <c r="AL1575" s="39" t="str">
        <f t="shared" si="137"/>
        <v>2025/04/01</v>
      </c>
    </row>
    <row r="1576" spans="1:39" x14ac:dyDescent="0.25">
      <c r="A1576" s="39" t="str">
        <f>("1505130087")</f>
        <v>1505130087</v>
      </c>
      <c r="C1576" s="39"/>
      <c r="D1576" s="39" t="s">
        <v>9102</v>
      </c>
      <c r="E1576" s="371" t="str">
        <f t="shared" si="135"/>
        <v>いしかわ　ふうと</v>
      </c>
      <c r="F1576" s="39" t="s">
        <v>1968</v>
      </c>
      <c r="G1576" s="39" t="s">
        <v>7828</v>
      </c>
      <c r="H1576" s="39" t="str">
        <f>("2015/05/13")</f>
        <v>2015/05/13</v>
      </c>
      <c r="I1576" s="39">
        <v>4</v>
      </c>
      <c r="J1576" s="39" t="s">
        <v>1478</v>
      </c>
      <c r="K1576" s="39" t="s">
        <v>2122</v>
      </c>
      <c r="L1576" s="39" t="s">
        <v>7830</v>
      </c>
      <c r="M1576" s="39" t="s">
        <v>7831</v>
      </c>
      <c r="N1576" s="39" t="str">
        <f>("0129507")</f>
        <v>0129507</v>
      </c>
      <c r="P1576" s="39" t="s">
        <v>13043</v>
      </c>
      <c r="Q1576" s="39" t="s">
        <v>8568</v>
      </c>
      <c r="R1576" s="39" t="s">
        <v>8569</v>
      </c>
      <c r="S1576" s="39" t="s">
        <v>8570</v>
      </c>
      <c r="AK1576" s="39" t="str">
        <f>("2025/03/17")</f>
        <v>2025/03/17</v>
      </c>
      <c r="AL1576" s="39" t="str">
        <f t="shared" si="137"/>
        <v>2025/04/01</v>
      </c>
    </row>
    <row r="1577" spans="1:39" x14ac:dyDescent="0.25">
      <c r="A1577" s="39" t="str">
        <f>("1505130157")</f>
        <v>1505130157</v>
      </c>
      <c r="C1577" s="39"/>
      <c r="D1577" s="39" t="s">
        <v>9103</v>
      </c>
      <c r="E1577" s="371" t="str">
        <f t="shared" si="135"/>
        <v>ごとう　ゆきあ</v>
      </c>
      <c r="F1577" s="39" t="s">
        <v>829</v>
      </c>
      <c r="G1577" s="39" t="s">
        <v>7828</v>
      </c>
      <c r="H1577" s="39" t="str">
        <f>("2015/05/13")</f>
        <v>2015/05/13</v>
      </c>
      <c r="I1577" s="39">
        <v>4</v>
      </c>
      <c r="J1577" s="39" t="s">
        <v>1478</v>
      </c>
      <c r="K1577" s="39" t="s">
        <v>2122</v>
      </c>
      <c r="L1577" s="39" t="s">
        <v>7830</v>
      </c>
      <c r="M1577" s="39" t="s">
        <v>7831</v>
      </c>
      <c r="N1577" s="39" t="str">
        <f>("0426631")</f>
        <v>0426631</v>
      </c>
      <c r="P1577" s="39" t="s">
        <v>13044</v>
      </c>
      <c r="Q1577" s="39" t="s">
        <v>8568</v>
      </c>
      <c r="R1577" s="39" t="s">
        <v>8569</v>
      </c>
      <c r="S1577" s="39" t="s">
        <v>8570</v>
      </c>
      <c r="AK1577" s="39" t="str">
        <f>("2025/03/21")</f>
        <v>2025/03/21</v>
      </c>
      <c r="AL1577" s="39" t="str">
        <f t="shared" si="137"/>
        <v>2025/04/01</v>
      </c>
    </row>
    <row r="1578" spans="1:39" x14ac:dyDescent="0.25">
      <c r="A1578" s="39" t="str">
        <f>("1505140012")</f>
        <v>1505140012</v>
      </c>
      <c r="C1578" s="39"/>
      <c r="D1578" s="39" t="s">
        <v>9104</v>
      </c>
      <c r="E1578" s="371" t="str">
        <f t="shared" si="135"/>
        <v>おかみ　たくと</v>
      </c>
      <c r="F1578" s="39" t="s">
        <v>3104</v>
      </c>
      <c r="G1578" s="39" t="s">
        <v>7828</v>
      </c>
      <c r="H1578" s="39" t="str">
        <f>("2015/05/14")</f>
        <v>2015/05/14</v>
      </c>
      <c r="I1578" s="39">
        <v>4</v>
      </c>
      <c r="J1578" s="39" t="s">
        <v>1478</v>
      </c>
      <c r="K1578" s="39" t="s">
        <v>2122</v>
      </c>
      <c r="L1578" s="39" t="s">
        <v>7830</v>
      </c>
      <c r="M1578" s="39" t="s">
        <v>7831</v>
      </c>
      <c r="N1578" s="39" t="str">
        <f>("1076189")</f>
        <v>1076189</v>
      </c>
      <c r="P1578" s="39" t="s">
        <v>13045</v>
      </c>
      <c r="Q1578" s="39" t="s">
        <v>8568</v>
      </c>
      <c r="R1578" s="39" t="s">
        <v>8569</v>
      </c>
      <c r="S1578" s="39" t="s">
        <v>8570</v>
      </c>
      <c r="AK1578" s="39" t="str">
        <f>("2025/03/24")</f>
        <v>2025/03/24</v>
      </c>
      <c r="AL1578" s="39" t="str">
        <f t="shared" si="137"/>
        <v>2025/04/01</v>
      </c>
    </row>
    <row r="1579" spans="1:39" x14ac:dyDescent="0.25">
      <c r="A1579" s="39" t="str">
        <f>("1505140199")</f>
        <v>1505140199</v>
      </c>
      <c r="C1579" s="39"/>
      <c r="D1579" s="39" t="s">
        <v>9105</v>
      </c>
      <c r="E1579" s="371" t="str">
        <f t="shared" si="135"/>
        <v>たきもと　しゅうや</v>
      </c>
      <c r="F1579" s="39" t="s">
        <v>2349</v>
      </c>
      <c r="G1579" s="39" t="s">
        <v>7828</v>
      </c>
      <c r="H1579" s="39" t="str">
        <f>("2015/05/14")</f>
        <v>2015/05/14</v>
      </c>
      <c r="I1579" s="39">
        <v>4</v>
      </c>
      <c r="J1579" s="39" t="s">
        <v>1478</v>
      </c>
      <c r="K1579" s="39" t="s">
        <v>2122</v>
      </c>
      <c r="L1579" s="39" t="s">
        <v>7830</v>
      </c>
      <c r="M1579" s="39" t="s">
        <v>7831</v>
      </c>
      <c r="N1579" s="39" t="str">
        <f>("0292081")</f>
        <v>0292081</v>
      </c>
      <c r="P1579" s="39" t="s">
        <v>13046</v>
      </c>
      <c r="Q1579" s="39" t="s">
        <v>8568</v>
      </c>
      <c r="R1579" s="39" t="s">
        <v>8569</v>
      </c>
      <c r="S1579" s="39" t="s">
        <v>8570</v>
      </c>
      <c r="AK1579" s="39" t="str">
        <f>("2025/09/03")</f>
        <v>2025/09/03</v>
      </c>
      <c r="AL1579" s="39" t="str">
        <f>("2025/09/03")</f>
        <v>2025/09/03</v>
      </c>
    </row>
    <row r="1580" spans="1:39" x14ac:dyDescent="0.25">
      <c r="A1580" s="39" t="str">
        <f>("1505150002")</f>
        <v>1505150002</v>
      </c>
      <c r="B1580" s="39" t="s">
        <v>9106</v>
      </c>
      <c r="C1580" s="39"/>
      <c r="D1580" s="39" t="s">
        <v>9107</v>
      </c>
      <c r="E1580" s="371" t="str">
        <f t="shared" si="135"/>
        <v>いそがわ　あおい</v>
      </c>
      <c r="F1580" s="39" t="s">
        <v>2574</v>
      </c>
      <c r="G1580" s="39" t="s">
        <v>7828</v>
      </c>
      <c r="H1580" s="39" t="str">
        <f t="shared" ref="H1580:H1585" si="138">("2015/05/15")</f>
        <v>2015/05/15</v>
      </c>
      <c r="I1580" s="39">
        <v>4</v>
      </c>
      <c r="J1580" s="39" t="s">
        <v>1478</v>
      </c>
      <c r="K1580" s="39" t="s">
        <v>2122</v>
      </c>
      <c r="L1580" s="39" t="s">
        <v>7830</v>
      </c>
      <c r="M1580" s="39" t="s">
        <v>7831</v>
      </c>
      <c r="N1580" s="39" t="str">
        <f>("0237620")</f>
        <v>0237620</v>
      </c>
      <c r="P1580" s="39" t="s">
        <v>13047</v>
      </c>
      <c r="Q1580" s="39" t="s">
        <v>8568</v>
      </c>
      <c r="R1580" s="39" t="s">
        <v>8569</v>
      </c>
      <c r="S1580" s="39" t="s">
        <v>8570</v>
      </c>
      <c r="AK1580" s="39" t="str">
        <f>("2025/03/17")</f>
        <v>2025/03/17</v>
      </c>
      <c r="AL1580" s="39" t="str">
        <f>("2025/04/01")</f>
        <v>2025/04/01</v>
      </c>
    </row>
    <row r="1581" spans="1:39" x14ac:dyDescent="0.25">
      <c r="A1581" s="39" t="str">
        <f>("1505150095")</f>
        <v>1505150095</v>
      </c>
      <c r="C1581" s="39"/>
      <c r="D1581" s="39" t="s">
        <v>9108</v>
      </c>
      <c r="E1581" s="371" t="str">
        <f t="shared" si="135"/>
        <v>いとう　るい</v>
      </c>
      <c r="F1581" s="39" t="s">
        <v>928</v>
      </c>
      <c r="G1581" s="39" t="s">
        <v>7828</v>
      </c>
      <c r="H1581" s="39" t="str">
        <f t="shared" si="138"/>
        <v>2015/05/15</v>
      </c>
      <c r="I1581" s="39">
        <v>4</v>
      </c>
      <c r="J1581" s="39" t="s">
        <v>1478</v>
      </c>
      <c r="K1581" s="39" t="s">
        <v>2122</v>
      </c>
      <c r="L1581" s="39" t="s">
        <v>7830</v>
      </c>
      <c r="M1581" s="39" t="s">
        <v>7831</v>
      </c>
      <c r="N1581" s="39" t="str">
        <f>("0130532")</f>
        <v>0130532</v>
      </c>
      <c r="P1581" s="39" t="s">
        <v>13048</v>
      </c>
      <c r="Q1581" s="39" t="s">
        <v>8568</v>
      </c>
      <c r="R1581" s="39" t="s">
        <v>8569</v>
      </c>
      <c r="S1581" s="39" t="s">
        <v>8570</v>
      </c>
      <c r="AK1581" s="39" t="str">
        <f>("2025/03/17")</f>
        <v>2025/03/17</v>
      </c>
      <c r="AL1581" s="39" t="str">
        <f>("2025/04/01")</f>
        <v>2025/04/01</v>
      </c>
    </row>
    <row r="1582" spans="1:39" x14ac:dyDescent="0.25">
      <c r="A1582" s="39" t="str">
        <f>("1505150141")</f>
        <v>1505150141</v>
      </c>
      <c r="C1582" s="39"/>
      <c r="D1582" s="39" t="s">
        <v>9109</v>
      </c>
      <c r="E1582" s="371" t="str">
        <f t="shared" si="135"/>
        <v>うえやま　くるみ</v>
      </c>
      <c r="F1582" s="39" t="s">
        <v>3867</v>
      </c>
      <c r="G1582" s="39" t="s">
        <v>7828</v>
      </c>
      <c r="H1582" s="39" t="str">
        <f t="shared" si="138"/>
        <v>2015/05/15</v>
      </c>
      <c r="I1582" s="39">
        <v>4</v>
      </c>
      <c r="J1582" s="39" t="s">
        <v>1480</v>
      </c>
      <c r="K1582" s="39" t="s">
        <v>2122</v>
      </c>
      <c r="L1582" s="39" t="s">
        <v>7830</v>
      </c>
      <c r="M1582" s="39" t="s">
        <v>7831</v>
      </c>
      <c r="N1582" s="39" t="str">
        <f>("0129990")</f>
        <v>0129990</v>
      </c>
      <c r="P1582" s="39" t="s">
        <v>13049</v>
      </c>
      <c r="Q1582" s="39" t="s">
        <v>8568</v>
      </c>
      <c r="R1582" s="39" t="s">
        <v>8569</v>
      </c>
      <c r="S1582" s="39" t="s">
        <v>8570</v>
      </c>
      <c r="AK1582" s="39" t="str">
        <f>("2025/04/01")</f>
        <v>2025/04/01</v>
      </c>
      <c r="AL1582" s="39" t="str">
        <f>("2025/04/01")</f>
        <v>2025/04/01</v>
      </c>
    </row>
    <row r="1583" spans="1:39" x14ac:dyDescent="0.25">
      <c r="A1583" s="39" t="str">
        <f>("1505150196")</f>
        <v>1505150196</v>
      </c>
      <c r="C1583" s="39"/>
      <c r="D1583" s="39" t="s">
        <v>9110</v>
      </c>
      <c r="E1583" s="371" t="str">
        <f t="shared" si="135"/>
        <v>たかき　れん</v>
      </c>
      <c r="F1583" s="39" t="s">
        <v>7864</v>
      </c>
      <c r="G1583" s="39" t="s">
        <v>7828</v>
      </c>
      <c r="H1583" s="39" t="str">
        <f t="shared" si="138"/>
        <v>2015/05/15</v>
      </c>
      <c r="I1583" s="39">
        <v>4</v>
      </c>
      <c r="J1583" s="39" t="s">
        <v>1478</v>
      </c>
      <c r="K1583" s="39" t="s">
        <v>2122</v>
      </c>
      <c r="L1583" s="39" t="s">
        <v>7830</v>
      </c>
      <c r="M1583" s="39" t="s">
        <v>7831</v>
      </c>
      <c r="N1583" s="39" t="str">
        <f>("1039801")</f>
        <v>1039801</v>
      </c>
      <c r="P1583" s="39" t="s">
        <v>13050</v>
      </c>
      <c r="Q1583" s="39" t="s">
        <v>8568</v>
      </c>
      <c r="R1583" s="39" t="s">
        <v>8569</v>
      </c>
      <c r="S1583" s="39" t="s">
        <v>8570</v>
      </c>
      <c r="AA1583" s="39" t="s">
        <v>2122</v>
      </c>
      <c r="AB1583" s="39" t="s">
        <v>7830</v>
      </c>
      <c r="AC1583" s="39" t="s">
        <v>7831</v>
      </c>
      <c r="AD1583" s="39" t="str">
        <f>("0130734")</f>
        <v>0130734</v>
      </c>
      <c r="AE1583" s="39" t="s">
        <v>188</v>
      </c>
      <c r="AK1583" s="39" t="str">
        <f>("2025/07/30")</f>
        <v>2025/07/30</v>
      </c>
      <c r="AL1583" s="39" t="str">
        <f>("2025/07/30")</f>
        <v>2025/07/30</v>
      </c>
    </row>
    <row r="1584" spans="1:39" x14ac:dyDescent="0.25">
      <c r="A1584" s="39" t="str">
        <f>("1505150230")</f>
        <v>1505150230</v>
      </c>
      <c r="B1584" s="39" t="s">
        <v>9111</v>
      </c>
      <c r="C1584" s="39"/>
      <c r="D1584" s="39" t="s">
        <v>9112</v>
      </c>
      <c r="E1584" s="371" t="str">
        <f t="shared" si="135"/>
        <v>わたなべ　しょうみ</v>
      </c>
      <c r="F1584" s="39" t="s">
        <v>2188</v>
      </c>
      <c r="G1584" s="39" t="s">
        <v>7828</v>
      </c>
      <c r="H1584" s="39" t="str">
        <f t="shared" si="138"/>
        <v>2015/05/15</v>
      </c>
      <c r="I1584" s="39">
        <v>4</v>
      </c>
      <c r="J1584" s="39" t="s">
        <v>1478</v>
      </c>
      <c r="K1584" s="39" t="s">
        <v>2122</v>
      </c>
      <c r="L1584" s="39" t="s">
        <v>7830</v>
      </c>
      <c r="M1584" s="39" t="s">
        <v>7831</v>
      </c>
      <c r="N1584" s="39" t="str">
        <f>("0129596")</f>
        <v>0129596</v>
      </c>
      <c r="P1584" s="39" t="s">
        <v>13051</v>
      </c>
      <c r="Q1584" s="39" t="s">
        <v>8568</v>
      </c>
      <c r="R1584" s="39" t="s">
        <v>8569</v>
      </c>
      <c r="S1584" s="39" t="s">
        <v>8570</v>
      </c>
      <c r="AK1584" s="39" t="str">
        <f>("2025/03/17")</f>
        <v>2025/03/17</v>
      </c>
      <c r="AL1584" s="39" t="str">
        <f>("2025/04/01")</f>
        <v>2025/04/01</v>
      </c>
    </row>
    <row r="1585" spans="1:39" x14ac:dyDescent="0.25">
      <c r="A1585" s="39" t="str">
        <f>("1505150250")</f>
        <v>1505150250</v>
      </c>
      <c r="C1585" s="39"/>
      <c r="D1585" s="39" t="s">
        <v>9113</v>
      </c>
      <c r="E1585" s="371" t="str">
        <f t="shared" si="135"/>
        <v>かげやま　しょう</v>
      </c>
      <c r="F1585" s="39" t="s">
        <v>838</v>
      </c>
      <c r="G1585" s="39" t="s">
        <v>7828</v>
      </c>
      <c r="H1585" s="39" t="str">
        <f t="shared" si="138"/>
        <v>2015/05/15</v>
      </c>
      <c r="I1585" s="39">
        <v>4</v>
      </c>
      <c r="J1585" s="39" t="s">
        <v>1478</v>
      </c>
      <c r="K1585" s="39" t="s">
        <v>2122</v>
      </c>
      <c r="L1585" s="39" t="s">
        <v>7830</v>
      </c>
      <c r="M1585" s="39" t="s">
        <v>7831</v>
      </c>
      <c r="N1585" s="39" t="str">
        <f>("0360021")</f>
        <v>0360021</v>
      </c>
      <c r="P1585" s="39" t="s">
        <v>13052</v>
      </c>
      <c r="Q1585" s="39" t="s">
        <v>8568</v>
      </c>
      <c r="R1585" s="39" t="s">
        <v>8569</v>
      </c>
      <c r="S1585" s="39" t="s">
        <v>8570</v>
      </c>
      <c r="AK1585" s="39" t="str">
        <f>("2025/04/10")</f>
        <v>2025/04/10</v>
      </c>
      <c r="AL1585" s="39" t="str">
        <f>("2025/04/10")</f>
        <v>2025/04/10</v>
      </c>
    </row>
    <row r="1586" spans="1:39" x14ac:dyDescent="0.25">
      <c r="A1586" s="39" t="str">
        <f>("1505160128")</f>
        <v>1505160128</v>
      </c>
      <c r="C1586" s="39"/>
      <c r="D1586" s="39" t="s">
        <v>9114</v>
      </c>
      <c r="E1586" s="371" t="str">
        <f t="shared" si="135"/>
        <v>きん　じう</v>
      </c>
      <c r="F1586" s="39" t="s">
        <v>1207</v>
      </c>
      <c r="G1586" s="39" t="s">
        <v>7828</v>
      </c>
      <c r="H1586" s="39" t="str">
        <f>("2015/05/16")</f>
        <v>2015/05/16</v>
      </c>
      <c r="I1586" s="39">
        <v>4</v>
      </c>
      <c r="J1586" s="39" t="s">
        <v>1478</v>
      </c>
      <c r="K1586" s="39" t="s">
        <v>2122</v>
      </c>
      <c r="L1586" s="39" t="s">
        <v>7830</v>
      </c>
      <c r="M1586" s="39" t="s">
        <v>7831</v>
      </c>
      <c r="N1586" s="39" t="str">
        <f>("0381608")</f>
        <v>0381608</v>
      </c>
      <c r="P1586" s="39" t="s">
        <v>13053</v>
      </c>
      <c r="Q1586" s="39" t="s">
        <v>8568</v>
      </c>
      <c r="R1586" s="39" t="s">
        <v>8569</v>
      </c>
      <c r="S1586" s="39" t="s">
        <v>8570</v>
      </c>
      <c r="AK1586" s="39" t="str">
        <f>("2025/03/21")</f>
        <v>2025/03/21</v>
      </c>
      <c r="AL1586" s="39" t="str">
        <f>("2025/04/01")</f>
        <v>2025/04/01</v>
      </c>
    </row>
    <row r="1587" spans="1:39" x14ac:dyDescent="0.25">
      <c r="A1587" s="39" t="str">
        <f>("1505160174")</f>
        <v>1505160174</v>
      </c>
      <c r="C1587" s="39"/>
      <c r="D1587" s="39" t="s">
        <v>9115</v>
      </c>
      <c r="E1587" s="371" t="str">
        <f t="shared" si="135"/>
        <v>とだか　あさひ</v>
      </c>
      <c r="F1587" s="39" t="s">
        <v>2587</v>
      </c>
      <c r="G1587" s="39" t="s">
        <v>7828</v>
      </c>
      <c r="H1587" s="39" t="str">
        <f>("2015/05/16")</f>
        <v>2015/05/16</v>
      </c>
      <c r="I1587" s="39">
        <v>4</v>
      </c>
      <c r="J1587" s="39" t="s">
        <v>1478</v>
      </c>
      <c r="K1587" s="39" t="s">
        <v>2122</v>
      </c>
      <c r="L1587" s="39" t="s">
        <v>7830</v>
      </c>
      <c r="M1587" s="39" t="s">
        <v>7831</v>
      </c>
      <c r="N1587" s="39" t="str">
        <f>("0387334")</f>
        <v>0387334</v>
      </c>
      <c r="P1587" s="39" t="s">
        <v>13054</v>
      </c>
      <c r="Q1587" s="39" t="s">
        <v>8568</v>
      </c>
      <c r="R1587" s="39" t="s">
        <v>8569</v>
      </c>
      <c r="S1587" s="39" t="s">
        <v>8570</v>
      </c>
      <c r="AK1587" s="39" t="str">
        <f>("2025/04/10")</f>
        <v>2025/04/10</v>
      </c>
      <c r="AL1587" s="39" t="str">
        <f>("2025/04/10")</f>
        <v>2025/04/10</v>
      </c>
    </row>
    <row r="1588" spans="1:39" x14ac:dyDescent="0.25">
      <c r="A1588" s="39" t="str">
        <f>("1505180079")</f>
        <v>1505180079</v>
      </c>
      <c r="B1588" s="39" t="s">
        <v>9116</v>
      </c>
      <c r="C1588" s="39"/>
      <c r="D1588" s="39" t="s">
        <v>9117</v>
      </c>
      <c r="E1588" s="371" t="str">
        <f t="shared" si="135"/>
        <v>やまざき　けんと</v>
      </c>
      <c r="F1588" s="39" t="s">
        <v>686</v>
      </c>
      <c r="G1588" s="39" t="s">
        <v>7828</v>
      </c>
      <c r="H1588" s="39" t="str">
        <f>("2015/05/18")</f>
        <v>2015/05/18</v>
      </c>
      <c r="I1588" s="39">
        <v>4</v>
      </c>
      <c r="J1588" s="39" t="s">
        <v>1478</v>
      </c>
      <c r="K1588" s="39" t="s">
        <v>2122</v>
      </c>
      <c r="L1588" s="39" t="s">
        <v>7830</v>
      </c>
      <c r="M1588" s="39" t="s">
        <v>7831</v>
      </c>
      <c r="N1588" s="39" t="str">
        <f>("0130745")</f>
        <v>0130745</v>
      </c>
      <c r="P1588" s="39" t="s">
        <v>13055</v>
      </c>
      <c r="Q1588" s="39" t="s">
        <v>8568</v>
      </c>
      <c r="R1588" s="39" t="s">
        <v>8569</v>
      </c>
      <c r="S1588" s="39" t="s">
        <v>8570</v>
      </c>
      <c r="AK1588" s="39" t="str">
        <f>("2025/03/17")</f>
        <v>2025/03/17</v>
      </c>
      <c r="AL1588" s="39" t="str">
        <f t="shared" ref="AL1588:AL1593" si="139">("2025/04/01")</f>
        <v>2025/04/01</v>
      </c>
    </row>
    <row r="1589" spans="1:39" x14ac:dyDescent="0.25">
      <c r="A1589" s="39" t="str">
        <f>("1505180170")</f>
        <v>1505180170</v>
      </c>
      <c r="C1589" s="39"/>
      <c r="D1589" s="39" t="s">
        <v>9118</v>
      </c>
      <c r="E1589" s="371" t="str">
        <f t="shared" si="135"/>
        <v>しみず　ゆうり</v>
      </c>
      <c r="F1589" s="39" t="s">
        <v>2575</v>
      </c>
      <c r="G1589" s="39" t="s">
        <v>7828</v>
      </c>
      <c r="H1589" s="39" t="str">
        <f>("2015/05/18")</f>
        <v>2015/05/18</v>
      </c>
      <c r="I1589" s="39">
        <v>4</v>
      </c>
      <c r="J1589" s="39" t="s">
        <v>1478</v>
      </c>
      <c r="K1589" s="39" t="s">
        <v>2122</v>
      </c>
      <c r="L1589" s="39" t="s">
        <v>7830</v>
      </c>
      <c r="M1589" s="39" t="s">
        <v>7831</v>
      </c>
      <c r="N1589" s="39" t="str">
        <f>("0303040")</f>
        <v>0303040</v>
      </c>
      <c r="P1589" s="39" t="s">
        <v>13056</v>
      </c>
      <c r="Q1589" s="39" t="s">
        <v>8568</v>
      </c>
      <c r="R1589" s="39" t="s">
        <v>8569</v>
      </c>
      <c r="S1589" s="39" t="s">
        <v>8570</v>
      </c>
      <c r="AK1589" s="39" t="str">
        <f>("2025/03/17")</f>
        <v>2025/03/17</v>
      </c>
      <c r="AL1589" s="39" t="str">
        <f t="shared" si="139"/>
        <v>2025/04/01</v>
      </c>
    </row>
    <row r="1590" spans="1:39" x14ac:dyDescent="0.25">
      <c r="A1590" s="39" t="str">
        <f>("1505190078")</f>
        <v>1505190078</v>
      </c>
      <c r="B1590" s="39" t="s">
        <v>9119</v>
      </c>
      <c r="C1590" s="39"/>
      <c r="D1590" s="39" t="s">
        <v>9120</v>
      </c>
      <c r="E1590" s="371" t="str">
        <f t="shared" si="135"/>
        <v>いけべ　こうた</v>
      </c>
      <c r="F1590" s="39" t="s">
        <v>686</v>
      </c>
      <c r="G1590" s="39" t="s">
        <v>7828</v>
      </c>
      <c r="H1590" s="39" t="str">
        <f>("2015/05/19")</f>
        <v>2015/05/19</v>
      </c>
      <c r="I1590" s="39">
        <v>4</v>
      </c>
      <c r="J1590" s="39" t="s">
        <v>1478</v>
      </c>
      <c r="K1590" s="39" t="s">
        <v>2122</v>
      </c>
      <c r="L1590" s="39" t="s">
        <v>7830</v>
      </c>
      <c r="M1590" s="39" t="s">
        <v>7831</v>
      </c>
      <c r="N1590" s="39" t="str">
        <f>("0130745")</f>
        <v>0130745</v>
      </c>
      <c r="P1590" s="39" t="s">
        <v>13057</v>
      </c>
      <c r="Q1590" s="39" t="s">
        <v>8568</v>
      </c>
      <c r="R1590" s="39" t="s">
        <v>8569</v>
      </c>
      <c r="S1590" s="39" t="s">
        <v>8570</v>
      </c>
      <c r="AK1590" s="39" t="str">
        <f>("2025/03/17")</f>
        <v>2025/03/17</v>
      </c>
      <c r="AL1590" s="39" t="str">
        <f t="shared" si="139"/>
        <v>2025/04/01</v>
      </c>
    </row>
    <row r="1591" spans="1:39" x14ac:dyDescent="0.25">
      <c r="A1591" s="39" t="str">
        <f>("1505190154")</f>
        <v>1505190154</v>
      </c>
      <c r="C1591" s="39"/>
      <c r="D1591" s="39" t="s">
        <v>9121</v>
      </c>
      <c r="E1591" s="371" t="str">
        <f t="shared" si="135"/>
        <v>きりむら　いつき</v>
      </c>
      <c r="F1591" s="39" t="s">
        <v>2243</v>
      </c>
      <c r="G1591" s="39" t="s">
        <v>7828</v>
      </c>
      <c r="H1591" s="39" t="str">
        <f>("2015/05/19")</f>
        <v>2015/05/19</v>
      </c>
      <c r="I1591" s="39">
        <v>4</v>
      </c>
      <c r="J1591" s="39" t="s">
        <v>1478</v>
      </c>
      <c r="K1591" s="39" t="s">
        <v>2122</v>
      </c>
      <c r="L1591" s="39" t="s">
        <v>7830</v>
      </c>
      <c r="M1591" s="39" t="s">
        <v>7831</v>
      </c>
      <c r="N1591" s="39" t="str">
        <f>("0130565")</f>
        <v>0130565</v>
      </c>
      <c r="P1591" s="39" t="s">
        <v>13058</v>
      </c>
      <c r="Q1591" s="39" t="s">
        <v>8568</v>
      </c>
      <c r="R1591" s="39" t="s">
        <v>8569</v>
      </c>
      <c r="S1591" s="39" t="s">
        <v>8570</v>
      </c>
      <c r="AK1591" s="39" t="str">
        <f>("2025/03/17")</f>
        <v>2025/03/17</v>
      </c>
      <c r="AL1591" s="39" t="str">
        <f t="shared" si="139"/>
        <v>2025/04/01</v>
      </c>
    </row>
    <row r="1592" spans="1:39" x14ac:dyDescent="0.25">
      <c r="A1592" s="39" t="str">
        <f>("1505200029")</f>
        <v>1505200029</v>
      </c>
      <c r="C1592" s="39"/>
      <c r="D1592" s="39" t="s">
        <v>9122</v>
      </c>
      <c r="E1592" s="371" t="str">
        <f t="shared" si="135"/>
        <v>おおにし　ひなた</v>
      </c>
      <c r="F1592" s="39" t="s">
        <v>2349</v>
      </c>
      <c r="G1592" s="39" t="s">
        <v>7828</v>
      </c>
      <c r="H1592" s="39" t="str">
        <f>("2015/05/20")</f>
        <v>2015/05/20</v>
      </c>
      <c r="I1592" s="39">
        <v>4</v>
      </c>
      <c r="J1592" s="39" t="s">
        <v>1478</v>
      </c>
      <c r="K1592" s="39" t="s">
        <v>2122</v>
      </c>
      <c r="L1592" s="39" t="s">
        <v>7830</v>
      </c>
      <c r="M1592" s="39" t="s">
        <v>7831</v>
      </c>
      <c r="N1592" s="39" t="str">
        <f>("0292081")</f>
        <v>0292081</v>
      </c>
      <c r="P1592" s="39" t="s">
        <v>13059</v>
      </c>
      <c r="Q1592" s="39" t="s">
        <v>8568</v>
      </c>
      <c r="R1592" s="39" t="s">
        <v>8569</v>
      </c>
      <c r="S1592" s="39" t="s">
        <v>8570</v>
      </c>
      <c r="AK1592" s="39" t="str">
        <f>("2025/03/24")</f>
        <v>2025/03/24</v>
      </c>
      <c r="AL1592" s="39" t="str">
        <f t="shared" si="139"/>
        <v>2025/04/01</v>
      </c>
    </row>
    <row r="1593" spans="1:39" x14ac:dyDescent="0.25">
      <c r="A1593" s="39" t="str">
        <f>("1505200132")</f>
        <v>1505200132</v>
      </c>
      <c r="C1593" s="39"/>
      <c r="D1593" s="39" t="s">
        <v>9123</v>
      </c>
      <c r="E1593" s="371" t="str">
        <f t="shared" si="135"/>
        <v>よしだ　いぶき</v>
      </c>
      <c r="F1593" s="39" t="s">
        <v>2477</v>
      </c>
      <c r="G1593" s="39" t="s">
        <v>7828</v>
      </c>
      <c r="H1593" s="39" t="str">
        <f>("2015/05/20")</f>
        <v>2015/05/20</v>
      </c>
      <c r="I1593" s="39">
        <v>4</v>
      </c>
      <c r="J1593" s="39" t="s">
        <v>1478</v>
      </c>
      <c r="K1593" s="39" t="s">
        <v>2122</v>
      </c>
      <c r="L1593" s="39" t="s">
        <v>7830</v>
      </c>
      <c r="M1593" s="39" t="s">
        <v>7831</v>
      </c>
      <c r="N1593" s="39" t="str">
        <f>("0129541")</f>
        <v>0129541</v>
      </c>
      <c r="P1593" s="39" t="s">
        <v>13060</v>
      </c>
      <c r="Q1593" s="39" t="s">
        <v>8568</v>
      </c>
      <c r="R1593" s="39" t="s">
        <v>8569</v>
      </c>
      <c r="S1593" s="39" t="s">
        <v>8570</v>
      </c>
      <c r="AK1593" s="39" t="str">
        <f>("2025/03/27")</f>
        <v>2025/03/27</v>
      </c>
      <c r="AL1593" s="39" t="str">
        <f t="shared" si="139"/>
        <v>2025/04/01</v>
      </c>
    </row>
    <row r="1594" spans="1:39" x14ac:dyDescent="0.25">
      <c r="A1594" s="39" t="str">
        <f>("1505200198")</f>
        <v>1505200198</v>
      </c>
      <c r="C1594" s="39"/>
      <c r="D1594" s="39" t="s">
        <v>9124</v>
      </c>
      <c r="E1594" s="371" t="str">
        <f t="shared" si="135"/>
        <v>のなか　たいが</v>
      </c>
      <c r="F1594" s="39" t="s">
        <v>2587</v>
      </c>
      <c r="G1594" s="39" t="s">
        <v>7828</v>
      </c>
      <c r="H1594" s="39" t="str">
        <f>("2015/05/20")</f>
        <v>2015/05/20</v>
      </c>
      <c r="I1594" s="39">
        <v>4</v>
      </c>
      <c r="J1594" s="39" t="s">
        <v>1478</v>
      </c>
      <c r="K1594" s="39" t="s">
        <v>2122</v>
      </c>
      <c r="L1594" s="39" t="s">
        <v>7830</v>
      </c>
      <c r="M1594" s="39" t="s">
        <v>7831</v>
      </c>
      <c r="N1594" s="39" t="str">
        <f>("0387334")</f>
        <v>0387334</v>
      </c>
      <c r="P1594" s="39" t="s">
        <v>13061</v>
      </c>
      <c r="Q1594" s="39" t="s">
        <v>8568</v>
      </c>
      <c r="R1594" s="39" t="s">
        <v>8569</v>
      </c>
      <c r="S1594" s="39" t="s">
        <v>8570</v>
      </c>
      <c r="AK1594" s="39" t="str">
        <f>("2025/04/10")</f>
        <v>2025/04/10</v>
      </c>
      <c r="AL1594" s="39" t="str">
        <f>("2025/04/10")</f>
        <v>2025/04/10</v>
      </c>
    </row>
    <row r="1595" spans="1:39" x14ac:dyDescent="0.25">
      <c r="A1595" s="39" t="str">
        <f>("1505210206")</f>
        <v>1505210206</v>
      </c>
      <c r="C1595" s="39"/>
      <c r="D1595" s="39" t="s">
        <v>9125</v>
      </c>
      <c r="E1595" s="371" t="str">
        <f t="shared" si="135"/>
        <v>ごとう　りく</v>
      </c>
      <c r="F1595" s="39" t="s">
        <v>928</v>
      </c>
      <c r="G1595" s="39" t="s">
        <v>7828</v>
      </c>
      <c r="H1595" s="39" t="str">
        <f>("2015/05/21")</f>
        <v>2015/05/21</v>
      </c>
      <c r="I1595" s="39">
        <v>4</v>
      </c>
      <c r="J1595" s="39" t="s">
        <v>1478</v>
      </c>
      <c r="K1595" s="39" t="s">
        <v>2122</v>
      </c>
      <c r="L1595" s="39" t="s">
        <v>7830</v>
      </c>
      <c r="M1595" s="39" t="s">
        <v>7831</v>
      </c>
      <c r="N1595" s="39" t="str">
        <f>("0130532")</f>
        <v>0130532</v>
      </c>
      <c r="P1595" s="39" t="s">
        <v>13062</v>
      </c>
      <c r="Q1595" s="39" t="s">
        <v>8568</v>
      </c>
      <c r="R1595" s="39" t="s">
        <v>8569</v>
      </c>
      <c r="S1595" s="39" t="s">
        <v>8570</v>
      </c>
      <c r="AK1595" s="39" t="str">
        <f>("2025/05/07")</f>
        <v>2025/05/07</v>
      </c>
      <c r="AL1595" s="39" t="str">
        <f>("2025/05/07")</f>
        <v>2025/05/07</v>
      </c>
      <c r="AM1595" s="39" t="str">
        <f>("2025/05/14")</f>
        <v>2025/05/14</v>
      </c>
    </row>
    <row r="1596" spans="1:39" x14ac:dyDescent="0.25">
      <c r="A1596" s="39" t="str">
        <f>("1505230039")</f>
        <v>1505230039</v>
      </c>
      <c r="C1596" s="39"/>
      <c r="D1596" s="39" t="s">
        <v>9126</v>
      </c>
      <c r="E1596" s="371" t="str">
        <f t="shared" si="135"/>
        <v>やわた　しょう</v>
      </c>
      <c r="F1596" s="39" t="s">
        <v>2878</v>
      </c>
      <c r="G1596" s="39" t="s">
        <v>7828</v>
      </c>
      <c r="H1596" s="39" t="str">
        <f>("2015/05/23")</f>
        <v>2015/05/23</v>
      </c>
      <c r="I1596" s="39">
        <v>4</v>
      </c>
      <c r="J1596" s="39" t="s">
        <v>1478</v>
      </c>
      <c r="K1596" s="39" t="s">
        <v>2122</v>
      </c>
      <c r="L1596" s="39" t="s">
        <v>7830</v>
      </c>
      <c r="M1596" s="39" t="s">
        <v>7831</v>
      </c>
      <c r="N1596" s="39" t="str">
        <f>("0129484")</f>
        <v>0129484</v>
      </c>
      <c r="P1596" s="39" t="s">
        <v>13063</v>
      </c>
      <c r="Q1596" s="39" t="s">
        <v>8568</v>
      </c>
      <c r="R1596" s="39" t="s">
        <v>8569</v>
      </c>
      <c r="S1596" s="39" t="s">
        <v>8570</v>
      </c>
      <c r="AK1596" s="39" t="str">
        <f>("2025/03/17")</f>
        <v>2025/03/17</v>
      </c>
      <c r="AL1596" s="39" t="str">
        <f t="shared" ref="AL1596:AL1601" si="140">("2025/04/01")</f>
        <v>2025/04/01</v>
      </c>
    </row>
    <row r="1597" spans="1:39" x14ac:dyDescent="0.25">
      <c r="A1597" s="39" t="str">
        <f>("1505230088")</f>
        <v>1505230088</v>
      </c>
      <c r="C1597" s="39"/>
      <c r="D1597" s="39" t="s">
        <v>5717</v>
      </c>
      <c r="E1597" s="371" t="str">
        <f t="shared" si="135"/>
        <v>さほ　たいすけ</v>
      </c>
      <c r="F1597" s="39" t="s">
        <v>2139</v>
      </c>
      <c r="G1597" s="39" t="s">
        <v>7828</v>
      </c>
      <c r="H1597" s="39" t="str">
        <f>("2015/05/23")</f>
        <v>2015/05/23</v>
      </c>
      <c r="I1597" s="39">
        <v>4</v>
      </c>
      <c r="J1597" s="39" t="s">
        <v>1478</v>
      </c>
      <c r="K1597" s="39" t="s">
        <v>2122</v>
      </c>
      <c r="L1597" s="39" t="s">
        <v>7830</v>
      </c>
      <c r="M1597" s="39" t="s">
        <v>7831</v>
      </c>
      <c r="N1597" s="39" t="str">
        <f>("0129798")</f>
        <v>0129798</v>
      </c>
      <c r="P1597" s="39" t="s">
        <v>13064</v>
      </c>
      <c r="Q1597" s="39" t="s">
        <v>8568</v>
      </c>
      <c r="R1597" s="39" t="s">
        <v>8569</v>
      </c>
      <c r="S1597" s="39" t="s">
        <v>8570</v>
      </c>
      <c r="AK1597" s="39" t="str">
        <f>("2025/03/27")</f>
        <v>2025/03/27</v>
      </c>
      <c r="AL1597" s="39" t="str">
        <f t="shared" si="140"/>
        <v>2025/04/01</v>
      </c>
    </row>
    <row r="1598" spans="1:39" x14ac:dyDescent="0.25">
      <c r="A1598" s="39" t="str">
        <f>("1505240034")</f>
        <v>1505240034</v>
      </c>
      <c r="B1598" s="39" t="s">
        <v>9127</v>
      </c>
      <c r="C1598" s="39"/>
      <c r="D1598" s="39" t="s">
        <v>9128</v>
      </c>
      <c r="E1598" s="371" t="str">
        <f t="shared" si="135"/>
        <v>みずえ　ともひさ</v>
      </c>
      <c r="F1598" s="39" t="s">
        <v>1977</v>
      </c>
      <c r="G1598" s="39" t="s">
        <v>7828</v>
      </c>
      <c r="H1598" s="39" t="str">
        <f>("2015/05/24")</f>
        <v>2015/05/24</v>
      </c>
      <c r="I1598" s="39">
        <v>4</v>
      </c>
      <c r="J1598" s="39" t="s">
        <v>1478</v>
      </c>
      <c r="K1598" s="39" t="s">
        <v>2122</v>
      </c>
      <c r="L1598" s="39" t="s">
        <v>7830</v>
      </c>
      <c r="M1598" s="39" t="s">
        <v>7831</v>
      </c>
      <c r="N1598" s="39" t="str">
        <f>("0395254")</f>
        <v>0395254</v>
      </c>
      <c r="P1598" s="39" t="s">
        <v>13065</v>
      </c>
      <c r="Q1598" s="39" t="s">
        <v>8568</v>
      </c>
      <c r="R1598" s="39" t="s">
        <v>8569</v>
      </c>
      <c r="S1598" s="39" t="s">
        <v>8570</v>
      </c>
      <c r="AK1598" s="39" t="str">
        <f>("2025/03/17")</f>
        <v>2025/03/17</v>
      </c>
      <c r="AL1598" s="39" t="str">
        <f t="shared" si="140"/>
        <v>2025/04/01</v>
      </c>
    </row>
    <row r="1599" spans="1:39" x14ac:dyDescent="0.25">
      <c r="A1599" s="39" t="str">
        <f>("1505240087")</f>
        <v>1505240087</v>
      </c>
      <c r="C1599" s="39"/>
      <c r="D1599" s="39" t="s">
        <v>9129</v>
      </c>
      <c r="E1599" s="371" t="str">
        <f t="shared" si="135"/>
        <v>ながの　そう</v>
      </c>
      <c r="F1599" s="39" t="s">
        <v>2342</v>
      </c>
      <c r="G1599" s="39" t="s">
        <v>7828</v>
      </c>
      <c r="H1599" s="39" t="str">
        <f>("2015/05/24")</f>
        <v>2015/05/24</v>
      </c>
      <c r="I1599" s="39">
        <v>4</v>
      </c>
      <c r="J1599" s="39" t="s">
        <v>1478</v>
      </c>
      <c r="K1599" s="39" t="s">
        <v>2122</v>
      </c>
      <c r="L1599" s="39" t="s">
        <v>7830</v>
      </c>
      <c r="M1599" s="39" t="s">
        <v>7831</v>
      </c>
      <c r="N1599" s="39" t="str">
        <f>("0130307")</f>
        <v>0130307</v>
      </c>
      <c r="P1599" s="39" t="s">
        <v>13066</v>
      </c>
      <c r="Q1599" s="39" t="s">
        <v>8568</v>
      </c>
      <c r="R1599" s="39" t="s">
        <v>8569</v>
      </c>
      <c r="S1599" s="39" t="s">
        <v>8570</v>
      </c>
      <c r="AK1599" s="39" t="str">
        <f>("2025/03/17")</f>
        <v>2025/03/17</v>
      </c>
      <c r="AL1599" s="39" t="str">
        <f t="shared" si="140"/>
        <v>2025/04/01</v>
      </c>
    </row>
    <row r="1600" spans="1:39" x14ac:dyDescent="0.25">
      <c r="A1600" s="39" t="str">
        <f>("1505240088")</f>
        <v>1505240088</v>
      </c>
      <c r="C1600" s="39"/>
      <c r="D1600" s="39" t="s">
        <v>9130</v>
      </c>
      <c r="E1600" s="371" t="str">
        <f t="shared" si="135"/>
        <v>かたやま　えいた</v>
      </c>
      <c r="F1600" s="39" t="s">
        <v>2587</v>
      </c>
      <c r="G1600" s="39" t="s">
        <v>7828</v>
      </c>
      <c r="H1600" s="39" t="str">
        <f>("2015/05/24")</f>
        <v>2015/05/24</v>
      </c>
      <c r="I1600" s="39">
        <v>4</v>
      </c>
      <c r="J1600" s="39" t="s">
        <v>1478</v>
      </c>
      <c r="K1600" s="39" t="s">
        <v>2122</v>
      </c>
      <c r="L1600" s="39" t="s">
        <v>7830</v>
      </c>
      <c r="M1600" s="39" t="s">
        <v>7831</v>
      </c>
      <c r="N1600" s="39" t="str">
        <f>("0387334")</f>
        <v>0387334</v>
      </c>
      <c r="P1600" s="39" t="s">
        <v>13067</v>
      </c>
      <c r="Q1600" s="39" t="s">
        <v>8568</v>
      </c>
      <c r="R1600" s="39" t="s">
        <v>8569</v>
      </c>
      <c r="S1600" s="39" t="s">
        <v>8570</v>
      </c>
      <c r="AK1600" s="39" t="str">
        <f>("2025/03/27")</f>
        <v>2025/03/27</v>
      </c>
      <c r="AL1600" s="39" t="str">
        <f t="shared" si="140"/>
        <v>2025/04/01</v>
      </c>
    </row>
    <row r="1601" spans="1:39" x14ac:dyDescent="0.25">
      <c r="A1601" s="39" t="str">
        <f>("1505250090")</f>
        <v>1505250090</v>
      </c>
      <c r="C1601" s="39"/>
      <c r="D1601" s="39" t="s">
        <v>5750</v>
      </c>
      <c r="E1601" s="371" t="str">
        <f t="shared" si="135"/>
        <v>こが　はるま</v>
      </c>
      <c r="F1601" s="39" t="s">
        <v>2505</v>
      </c>
      <c r="G1601" s="39" t="s">
        <v>7828</v>
      </c>
      <c r="H1601" s="39" t="str">
        <f>("2015/05/25")</f>
        <v>2015/05/25</v>
      </c>
      <c r="I1601" s="39">
        <v>4</v>
      </c>
      <c r="J1601" s="39" t="s">
        <v>1478</v>
      </c>
      <c r="K1601" s="39" t="s">
        <v>2122</v>
      </c>
      <c r="L1601" s="39" t="s">
        <v>7830</v>
      </c>
      <c r="M1601" s="39" t="s">
        <v>7831</v>
      </c>
      <c r="N1601" s="39" t="str">
        <f>("0129923")</f>
        <v>0129923</v>
      </c>
      <c r="P1601" s="39" t="s">
        <v>13068</v>
      </c>
      <c r="Q1601" s="39" t="s">
        <v>8568</v>
      </c>
      <c r="R1601" s="39" t="s">
        <v>8569</v>
      </c>
      <c r="S1601" s="39" t="s">
        <v>8570</v>
      </c>
      <c r="AK1601" s="39" t="str">
        <f>("2025/03/17")</f>
        <v>2025/03/17</v>
      </c>
      <c r="AL1601" s="39" t="str">
        <f t="shared" si="140"/>
        <v>2025/04/01</v>
      </c>
    </row>
    <row r="1602" spans="1:39" x14ac:dyDescent="0.25">
      <c r="A1602" s="39" t="str">
        <f>("1505250217")</f>
        <v>1505250217</v>
      </c>
      <c r="C1602" s="39"/>
      <c r="D1602" s="39" t="s">
        <v>9131</v>
      </c>
      <c r="E1602" s="371" t="str">
        <f t="shared" si="135"/>
        <v>そのだ　そら</v>
      </c>
      <c r="F1602" s="39" t="s">
        <v>1207</v>
      </c>
      <c r="G1602" s="39" t="s">
        <v>7828</v>
      </c>
      <c r="H1602" s="39" t="str">
        <f>("2015/05/25")</f>
        <v>2015/05/25</v>
      </c>
      <c r="I1602" s="39">
        <v>4</v>
      </c>
      <c r="J1602" s="39" t="s">
        <v>1478</v>
      </c>
      <c r="K1602" s="39" t="s">
        <v>2122</v>
      </c>
      <c r="L1602" s="39" t="s">
        <v>7830</v>
      </c>
      <c r="M1602" s="39" t="s">
        <v>7831</v>
      </c>
      <c r="N1602" s="39" t="str">
        <f>("0381608")</f>
        <v>0381608</v>
      </c>
      <c r="P1602" s="39" t="s">
        <v>13069</v>
      </c>
      <c r="Q1602" s="39" t="s">
        <v>8568</v>
      </c>
      <c r="R1602" s="39" t="s">
        <v>8569</v>
      </c>
      <c r="S1602" s="39" t="s">
        <v>8570</v>
      </c>
      <c r="AK1602" s="39" t="str">
        <f>("2025/04/23")</f>
        <v>2025/04/23</v>
      </c>
      <c r="AL1602" s="39" t="str">
        <f>("2025/04/23")</f>
        <v>2025/04/23</v>
      </c>
    </row>
    <row r="1603" spans="1:39" x14ac:dyDescent="0.25">
      <c r="A1603" s="39" t="str">
        <f>("1505250218")</f>
        <v>1505250218</v>
      </c>
      <c r="C1603" s="39"/>
      <c r="D1603" s="39" t="s">
        <v>9132</v>
      </c>
      <c r="E1603" s="371" t="str">
        <f t="shared" ref="E1603:E1666" si="141">PHONETIC(P1603)</f>
        <v>そのだ　あお</v>
      </c>
      <c r="F1603" s="39" t="s">
        <v>1207</v>
      </c>
      <c r="G1603" s="39" t="s">
        <v>7828</v>
      </c>
      <c r="H1603" s="39" t="str">
        <f>("2015/05/25")</f>
        <v>2015/05/25</v>
      </c>
      <c r="I1603" s="39">
        <v>4</v>
      </c>
      <c r="J1603" s="39" t="s">
        <v>1478</v>
      </c>
      <c r="K1603" s="39" t="s">
        <v>2122</v>
      </c>
      <c r="L1603" s="39" t="s">
        <v>7830</v>
      </c>
      <c r="M1603" s="39" t="s">
        <v>7831</v>
      </c>
      <c r="N1603" s="39" t="str">
        <f>("0381608")</f>
        <v>0381608</v>
      </c>
      <c r="P1603" s="39" t="s">
        <v>13070</v>
      </c>
      <c r="Q1603" s="39" t="s">
        <v>8568</v>
      </c>
      <c r="R1603" s="39" t="s">
        <v>8569</v>
      </c>
      <c r="S1603" s="39" t="s">
        <v>8570</v>
      </c>
      <c r="AK1603" s="39" t="str">
        <f>("2025/04/23")</f>
        <v>2025/04/23</v>
      </c>
      <c r="AL1603" s="39" t="str">
        <f>("2025/04/23")</f>
        <v>2025/04/23</v>
      </c>
    </row>
    <row r="1604" spans="1:39" x14ac:dyDescent="0.25">
      <c r="A1604" s="39" t="str">
        <f>("1505260162")</f>
        <v>1505260162</v>
      </c>
      <c r="C1604" s="39"/>
      <c r="D1604" s="39" t="s">
        <v>9133</v>
      </c>
      <c r="E1604" s="371" t="str">
        <f t="shared" si="141"/>
        <v>あさの　なおまさ</v>
      </c>
      <c r="F1604" s="39" t="s">
        <v>1082</v>
      </c>
      <c r="G1604" s="39" t="s">
        <v>7828</v>
      </c>
      <c r="H1604" s="39" t="str">
        <f>("2015/05/26")</f>
        <v>2015/05/26</v>
      </c>
      <c r="I1604" s="39">
        <v>4</v>
      </c>
      <c r="J1604" s="39" t="s">
        <v>1478</v>
      </c>
      <c r="K1604" s="39" t="s">
        <v>2122</v>
      </c>
      <c r="L1604" s="39" t="s">
        <v>7830</v>
      </c>
      <c r="M1604" s="39" t="s">
        <v>7831</v>
      </c>
      <c r="N1604" s="39" t="str">
        <f>("0450009")</f>
        <v>0450009</v>
      </c>
      <c r="P1604" s="39" t="s">
        <v>13071</v>
      </c>
      <c r="Q1604" s="39" t="s">
        <v>8568</v>
      </c>
      <c r="R1604" s="39" t="s">
        <v>8569</v>
      </c>
      <c r="S1604" s="39" t="s">
        <v>8570</v>
      </c>
      <c r="AK1604" s="39" t="str">
        <f>("2025/03/17")</f>
        <v>2025/03/17</v>
      </c>
      <c r="AL1604" s="39" t="str">
        <f>("2025/04/01")</f>
        <v>2025/04/01</v>
      </c>
    </row>
    <row r="1605" spans="1:39" x14ac:dyDescent="0.25">
      <c r="A1605" s="39" t="str">
        <f>("1505270129")</f>
        <v>1505270129</v>
      </c>
      <c r="C1605" s="39"/>
      <c r="D1605" s="39" t="s">
        <v>9134</v>
      </c>
      <c r="E1605" s="371" t="str">
        <f t="shared" si="141"/>
        <v>わたなべ　やいちろう</v>
      </c>
      <c r="F1605" s="39" t="s">
        <v>2022</v>
      </c>
      <c r="G1605" s="39" t="s">
        <v>7828</v>
      </c>
      <c r="H1605" s="39" t="str">
        <f>("2015/05/27")</f>
        <v>2015/05/27</v>
      </c>
      <c r="I1605" s="39">
        <v>4</v>
      </c>
      <c r="J1605" s="39" t="s">
        <v>1478</v>
      </c>
      <c r="K1605" s="39" t="s">
        <v>2122</v>
      </c>
      <c r="L1605" s="39" t="s">
        <v>7830</v>
      </c>
      <c r="M1605" s="39" t="s">
        <v>7831</v>
      </c>
      <c r="N1605" s="39" t="str">
        <f>("0130329")</f>
        <v>0130329</v>
      </c>
      <c r="P1605" s="39" t="s">
        <v>13072</v>
      </c>
      <c r="Q1605" s="39" t="s">
        <v>8568</v>
      </c>
      <c r="R1605" s="39" t="s">
        <v>8569</v>
      </c>
      <c r="S1605" s="39" t="s">
        <v>8570</v>
      </c>
      <c r="AA1605" s="39" t="s">
        <v>2122</v>
      </c>
      <c r="AB1605" s="39" t="s">
        <v>7830</v>
      </c>
      <c r="AC1605" s="39" t="s">
        <v>7831</v>
      </c>
      <c r="AD1605" s="39" t="str">
        <f>("0472823")</f>
        <v>0472823</v>
      </c>
      <c r="AE1605" s="39" t="s">
        <v>2619</v>
      </c>
      <c r="AK1605" s="39" t="str">
        <f>("2025/04/10")</f>
        <v>2025/04/10</v>
      </c>
      <c r="AL1605" s="39" t="str">
        <f>("2025/04/10")</f>
        <v>2025/04/10</v>
      </c>
      <c r="AM1605" s="39" t="str">
        <f>("2025/09/22")</f>
        <v>2025/09/22</v>
      </c>
    </row>
    <row r="1606" spans="1:39" x14ac:dyDescent="0.25">
      <c r="A1606" s="39" t="str">
        <f>("1505280161")</f>
        <v>1505280161</v>
      </c>
      <c r="C1606" s="39"/>
      <c r="D1606" s="39" t="s">
        <v>9135</v>
      </c>
      <c r="E1606" s="371" t="str">
        <f t="shared" si="141"/>
        <v>かみ　あいと</v>
      </c>
      <c r="F1606" s="39" t="s">
        <v>520</v>
      </c>
      <c r="G1606" s="39" t="s">
        <v>7828</v>
      </c>
      <c r="H1606" s="39" t="str">
        <f>("2015/05/28")</f>
        <v>2015/05/28</v>
      </c>
      <c r="I1606" s="39">
        <v>4</v>
      </c>
      <c r="J1606" s="39" t="s">
        <v>1478</v>
      </c>
      <c r="K1606" s="39" t="s">
        <v>2122</v>
      </c>
      <c r="L1606" s="39" t="s">
        <v>7830</v>
      </c>
      <c r="M1606" s="39" t="s">
        <v>7831</v>
      </c>
      <c r="N1606" s="39" t="str">
        <f>("0129765")</f>
        <v>0129765</v>
      </c>
      <c r="P1606" s="39" t="s">
        <v>13073</v>
      </c>
      <c r="Q1606" s="39" t="s">
        <v>8568</v>
      </c>
      <c r="R1606" s="39" t="s">
        <v>8569</v>
      </c>
      <c r="S1606" s="39" t="s">
        <v>8570</v>
      </c>
      <c r="AK1606" s="39" t="str">
        <f>("2025/03/25")</f>
        <v>2025/03/25</v>
      </c>
      <c r="AL1606" s="39" t="str">
        <f>("2025/04/01")</f>
        <v>2025/04/01</v>
      </c>
      <c r="AM1606" s="39" t="str">
        <f>("2025/09/12")</f>
        <v>2025/09/12</v>
      </c>
    </row>
    <row r="1607" spans="1:39" x14ac:dyDescent="0.25">
      <c r="A1607" s="39" t="str">
        <f>("1505280193")</f>
        <v>1505280193</v>
      </c>
      <c r="C1607" s="39"/>
      <c r="D1607" s="39" t="s">
        <v>9136</v>
      </c>
      <c r="E1607" s="371" t="str">
        <f t="shared" si="141"/>
        <v>いわお　しょうま</v>
      </c>
      <c r="F1607" s="39" t="s">
        <v>5616</v>
      </c>
      <c r="G1607" s="39" t="s">
        <v>7828</v>
      </c>
      <c r="H1607" s="39" t="str">
        <f>("2015/05/28")</f>
        <v>2015/05/28</v>
      </c>
      <c r="I1607" s="39">
        <v>4</v>
      </c>
      <c r="J1607" s="39" t="s">
        <v>1478</v>
      </c>
      <c r="K1607" s="39" t="s">
        <v>2122</v>
      </c>
      <c r="L1607" s="39" t="s">
        <v>7830</v>
      </c>
      <c r="M1607" s="39" t="s">
        <v>7831</v>
      </c>
      <c r="N1607" s="39" t="str">
        <f>("0130385")</f>
        <v>0130385</v>
      </c>
      <c r="P1607" s="39" t="s">
        <v>13074</v>
      </c>
      <c r="Q1607" s="39" t="s">
        <v>8568</v>
      </c>
      <c r="R1607" s="39" t="s">
        <v>8569</v>
      </c>
      <c r="S1607" s="39" t="s">
        <v>8570</v>
      </c>
      <c r="AK1607" s="39" t="str">
        <f>("2025/10/07")</f>
        <v>2025/10/07</v>
      </c>
      <c r="AL1607" s="39" t="str">
        <f>("2025/10/07")</f>
        <v>2025/10/07</v>
      </c>
    </row>
    <row r="1608" spans="1:39" x14ac:dyDescent="0.25">
      <c r="A1608" s="39" t="str">
        <f>("1505290098")</f>
        <v>1505290098</v>
      </c>
      <c r="C1608" s="39"/>
      <c r="D1608" s="39" t="s">
        <v>9137</v>
      </c>
      <c r="E1608" s="371" t="str">
        <f t="shared" si="141"/>
        <v>ひめの　へいすけ</v>
      </c>
      <c r="F1608" s="39" t="s">
        <v>829</v>
      </c>
      <c r="G1608" s="39" t="s">
        <v>7828</v>
      </c>
      <c r="H1608" s="39" t="str">
        <f>("2015/05/29")</f>
        <v>2015/05/29</v>
      </c>
      <c r="I1608" s="39">
        <v>4</v>
      </c>
      <c r="J1608" s="39" t="s">
        <v>1478</v>
      </c>
      <c r="K1608" s="39" t="s">
        <v>2122</v>
      </c>
      <c r="L1608" s="39" t="s">
        <v>7830</v>
      </c>
      <c r="M1608" s="39" t="s">
        <v>7831</v>
      </c>
      <c r="N1608" s="39" t="str">
        <f>("0426631")</f>
        <v>0426631</v>
      </c>
      <c r="P1608" s="39" t="s">
        <v>13075</v>
      </c>
      <c r="Q1608" s="39" t="s">
        <v>8568</v>
      </c>
      <c r="R1608" s="39" t="s">
        <v>8569</v>
      </c>
      <c r="S1608" s="39" t="s">
        <v>8570</v>
      </c>
      <c r="AK1608" s="39" t="str">
        <f>("2025/03/21")</f>
        <v>2025/03/21</v>
      </c>
      <c r="AL1608" s="39" t="str">
        <f t="shared" ref="AL1608:AL1621" si="142">("2025/04/01")</f>
        <v>2025/04/01</v>
      </c>
    </row>
    <row r="1609" spans="1:39" x14ac:dyDescent="0.25">
      <c r="A1609" s="39" t="str">
        <f>("1505290132")</f>
        <v>1505290132</v>
      </c>
      <c r="C1609" s="39"/>
      <c r="D1609" s="39" t="s">
        <v>9138</v>
      </c>
      <c r="E1609" s="371" t="str">
        <f t="shared" si="141"/>
        <v>やまむら　えいと</v>
      </c>
      <c r="F1609" s="39" t="s">
        <v>1207</v>
      </c>
      <c r="G1609" s="39" t="s">
        <v>7828</v>
      </c>
      <c r="H1609" s="39" t="str">
        <f>("2015/05/29")</f>
        <v>2015/05/29</v>
      </c>
      <c r="I1609" s="39">
        <v>4</v>
      </c>
      <c r="J1609" s="39" t="s">
        <v>1478</v>
      </c>
      <c r="K1609" s="39" t="s">
        <v>2122</v>
      </c>
      <c r="L1609" s="39" t="s">
        <v>7830</v>
      </c>
      <c r="M1609" s="39" t="s">
        <v>7831</v>
      </c>
      <c r="N1609" s="39" t="str">
        <f>("0381608")</f>
        <v>0381608</v>
      </c>
      <c r="P1609" s="39" t="s">
        <v>13076</v>
      </c>
      <c r="Q1609" s="39" t="s">
        <v>8568</v>
      </c>
      <c r="R1609" s="39" t="s">
        <v>8569</v>
      </c>
      <c r="S1609" s="39" t="s">
        <v>8570</v>
      </c>
      <c r="AK1609" s="39" t="str">
        <f>("2025/03/21")</f>
        <v>2025/03/21</v>
      </c>
      <c r="AL1609" s="39" t="str">
        <f t="shared" si="142"/>
        <v>2025/04/01</v>
      </c>
    </row>
    <row r="1610" spans="1:39" x14ac:dyDescent="0.25">
      <c r="A1610" s="39" t="str">
        <f>("1505300034")</f>
        <v>1505300034</v>
      </c>
      <c r="C1610" s="39"/>
      <c r="D1610" s="39" t="s">
        <v>9139</v>
      </c>
      <c r="E1610" s="371" t="str">
        <f t="shared" si="141"/>
        <v>ひなご　そうた</v>
      </c>
      <c r="F1610" s="39" t="s">
        <v>2821</v>
      </c>
      <c r="G1610" s="39" t="s">
        <v>7828</v>
      </c>
      <c r="H1610" s="39" t="str">
        <f>("2015/05/30")</f>
        <v>2015/05/30</v>
      </c>
      <c r="I1610" s="39">
        <v>4</v>
      </c>
      <c r="J1610" s="39" t="s">
        <v>1478</v>
      </c>
      <c r="K1610" s="39" t="s">
        <v>2122</v>
      </c>
      <c r="L1610" s="39" t="s">
        <v>7830</v>
      </c>
      <c r="M1610" s="39" t="s">
        <v>7831</v>
      </c>
      <c r="N1610" s="39" t="str">
        <f>("0237631")</f>
        <v>0237631</v>
      </c>
      <c r="P1610" s="39" t="s">
        <v>13077</v>
      </c>
      <c r="Q1610" s="39" t="s">
        <v>8568</v>
      </c>
      <c r="R1610" s="39" t="s">
        <v>8569</v>
      </c>
      <c r="S1610" s="39" t="s">
        <v>8570</v>
      </c>
      <c r="AK1610" s="39" t="str">
        <f>("2025/03/17")</f>
        <v>2025/03/17</v>
      </c>
      <c r="AL1610" s="39" t="str">
        <f t="shared" si="142"/>
        <v>2025/04/01</v>
      </c>
    </row>
    <row r="1611" spans="1:39" x14ac:dyDescent="0.25">
      <c r="A1611" s="39" t="str">
        <f>("1505300081")</f>
        <v>1505300081</v>
      </c>
      <c r="C1611" s="39"/>
      <c r="D1611" s="39" t="s">
        <v>9140</v>
      </c>
      <c r="E1611" s="371" t="str">
        <f t="shared" si="141"/>
        <v>たむら　そうすけ</v>
      </c>
      <c r="F1611" s="39" t="s">
        <v>1977</v>
      </c>
      <c r="G1611" s="39" t="s">
        <v>7828</v>
      </c>
      <c r="H1611" s="39" t="str">
        <f>("2015/05/30")</f>
        <v>2015/05/30</v>
      </c>
      <c r="I1611" s="39">
        <v>4</v>
      </c>
      <c r="J1611" s="39" t="s">
        <v>1478</v>
      </c>
      <c r="K1611" s="39" t="s">
        <v>2122</v>
      </c>
      <c r="L1611" s="39" t="s">
        <v>7830</v>
      </c>
      <c r="M1611" s="39" t="s">
        <v>7831</v>
      </c>
      <c r="N1611" s="39" t="str">
        <f>("0395254")</f>
        <v>0395254</v>
      </c>
      <c r="P1611" s="39" t="s">
        <v>13078</v>
      </c>
      <c r="Q1611" s="39" t="s">
        <v>8568</v>
      </c>
      <c r="R1611" s="39" t="s">
        <v>8569</v>
      </c>
      <c r="S1611" s="39" t="s">
        <v>8570</v>
      </c>
      <c r="AK1611" s="39" t="str">
        <f>("2025/03/17")</f>
        <v>2025/03/17</v>
      </c>
      <c r="AL1611" s="39" t="str">
        <f t="shared" si="142"/>
        <v>2025/04/01</v>
      </c>
    </row>
    <row r="1612" spans="1:39" x14ac:dyDescent="0.25">
      <c r="A1612" s="39" t="str">
        <f>("1505300089")</f>
        <v>1505300089</v>
      </c>
      <c r="C1612" s="39"/>
      <c r="D1612" s="39" t="s">
        <v>5782</v>
      </c>
      <c r="E1612" s="371" t="str">
        <f t="shared" si="141"/>
        <v>さかもと　とうま</v>
      </c>
      <c r="F1612" s="39" t="s">
        <v>2514</v>
      </c>
      <c r="G1612" s="39" t="s">
        <v>7828</v>
      </c>
      <c r="H1612" s="39" t="str">
        <f>("2015/05/30")</f>
        <v>2015/05/30</v>
      </c>
      <c r="I1612" s="39">
        <v>4</v>
      </c>
      <c r="J1612" s="39" t="s">
        <v>1478</v>
      </c>
      <c r="K1612" s="39" t="s">
        <v>2122</v>
      </c>
      <c r="L1612" s="39" t="s">
        <v>7830</v>
      </c>
      <c r="M1612" s="39" t="s">
        <v>7831</v>
      </c>
      <c r="N1612" s="39" t="str">
        <f>("0130093")</f>
        <v>0130093</v>
      </c>
      <c r="P1612" s="39" t="s">
        <v>13079</v>
      </c>
      <c r="Q1612" s="39" t="s">
        <v>8568</v>
      </c>
      <c r="R1612" s="39" t="s">
        <v>8569</v>
      </c>
      <c r="S1612" s="39" t="s">
        <v>8570</v>
      </c>
      <c r="AK1612" s="39" t="str">
        <f>("2025/04/01")</f>
        <v>2025/04/01</v>
      </c>
      <c r="AL1612" s="39" t="str">
        <f t="shared" si="142"/>
        <v>2025/04/01</v>
      </c>
    </row>
    <row r="1613" spans="1:39" x14ac:dyDescent="0.25">
      <c r="A1613" s="39" t="str">
        <f>("1505310010")</f>
        <v>1505310010</v>
      </c>
      <c r="B1613" s="39" t="s">
        <v>9141</v>
      </c>
      <c r="C1613" s="39"/>
      <c r="D1613" s="39" t="s">
        <v>9142</v>
      </c>
      <c r="E1613" s="371" t="str">
        <f t="shared" si="141"/>
        <v>ごとう　みなと</v>
      </c>
      <c r="F1613" s="39" t="s">
        <v>2544</v>
      </c>
      <c r="G1613" s="39" t="s">
        <v>7828</v>
      </c>
      <c r="H1613" s="39" t="str">
        <f>("2015/05/31")</f>
        <v>2015/05/31</v>
      </c>
      <c r="I1613" s="39">
        <v>4</v>
      </c>
      <c r="J1613" s="39" t="s">
        <v>1478</v>
      </c>
      <c r="K1613" s="39" t="s">
        <v>2122</v>
      </c>
      <c r="L1613" s="39" t="s">
        <v>7830</v>
      </c>
      <c r="M1613" s="39" t="s">
        <v>7831</v>
      </c>
      <c r="N1613" s="39" t="str">
        <f>("0130644")</f>
        <v>0130644</v>
      </c>
      <c r="P1613" s="39" t="s">
        <v>13080</v>
      </c>
      <c r="Q1613" s="39" t="s">
        <v>8568</v>
      </c>
      <c r="R1613" s="39" t="s">
        <v>8569</v>
      </c>
      <c r="S1613" s="39" t="s">
        <v>8570</v>
      </c>
      <c r="AK1613" s="39" t="str">
        <f>("2025/03/17")</f>
        <v>2025/03/17</v>
      </c>
      <c r="AL1613" s="39" t="str">
        <f t="shared" si="142"/>
        <v>2025/04/01</v>
      </c>
    </row>
    <row r="1614" spans="1:39" x14ac:dyDescent="0.25">
      <c r="A1614" s="39" t="str">
        <f>("1506010005")</f>
        <v>1506010005</v>
      </c>
      <c r="C1614" s="39"/>
      <c r="D1614" s="39" t="s">
        <v>9143</v>
      </c>
      <c r="E1614" s="371" t="str">
        <f t="shared" si="141"/>
        <v>いとう　りく</v>
      </c>
      <c r="F1614" s="39" t="s">
        <v>2573</v>
      </c>
      <c r="G1614" s="39" t="s">
        <v>7828</v>
      </c>
      <c r="H1614" s="39" t="str">
        <f>("2015/06/01")</f>
        <v>2015/06/01</v>
      </c>
      <c r="I1614" s="39">
        <v>4</v>
      </c>
      <c r="J1614" s="39" t="s">
        <v>1478</v>
      </c>
      <c r="K1614" s="39" t="s">
        <v>2122</v>
      </c>
      <c r="L1614" s="39" t="s">
        <v>7830</v>
      </c>
      <c r="M1614" s="39" t="s">
        <v>7831</v>
      </c>
      <c r="N1614" s="39" t="str">
        <f>("0230982")</f>
        <v>0230982</v>
      </c>
      <c r="P1614" s="39" t="s">
        <v>13081</v>
      </c>
      <c r="Q1614" s="39" t="s">
        <v>8568</v>
      </c>
      <c r="R1614" s="39" t="s">
        <v>8569</v>
      </c>
      <c r="S1614" s="39" t="s">
        <v>8570</v>
      </c>
      <c r="AK1614" s="39" t="str">
        <f>("2025/03/17")</f>
        <v>2025/03/17</v>
      </c>
      <c r="AL1614" s="39" t="str">
        <f t="shared" si="142"/>
        <v>2025/04/01</v>
      </c>
    </row>
    <row r="1615" spans="1:39" x14ac:dyDescent="0.25">
      <c r="A1615" s="39" t="str">
        <f>("1506010028")</f>
        <v>1506010028</v>
      </c>
      <c r="C1615" s="39"/>
      <c r="D1615" s="39" t="s">
        <v>5871</v>
      </c>
      <c r="E1615" s="371" t="str">
        <f t="shared" si="141"/>
        <v>こじま　そら</v>
      </c>
      <c r="F1615" s="39" t="s">
        <v>2533</v>
      </c>
      <c r="G1615" s="39" t="s">
        <v>7828</v>
      </c>
      <c r="H1615" s="39" t="str">
        <f>("2015/06/01")</f>
        <v>2015/06/01</v>
      </c>
      <c r="I1615" s="39">
        <v>4</v>
      </c>
      <c r="J1615" s="39" t="s">
        <v>1478</v>
      </c>
      <c r="K1615" s="39" t="s">
        <v>2122</v>
      </c>
      <c r="L1615" s="39" t="s">
        <v>7830</v>
      </c>
      <c r="M1615" s="39" t="s">
        <v>7831</v>
      </c>
      <c r="N1615" s="39" t="str">
        <f>("0130497")</f>
        <v>0130497</v>
      </c>
      <c r="P1615" s="39" t="s">
        <v>13082</v>
      </c>
      <c r="Q1615" s="39" t="s">
        <v>8568</v>
      </c>
      <c r="R1615" s="39" t="s">
        <v>8569</v>
      </c>
      <c r="S1615" s="39" t="s">
        <v>8570</v>
      </c>
      <c r="AK1615" s="39" t="str">
        <f>("2025/03/17")</f>
        <v>2025/03/17</v>
      </c>
      <c r="AL1615" s="39" t="str">
        <f t="shared" si="142"/>
        <v>2025/04/01</v>
      </c>
    </row>
    <row r="1616" spans="1:39" x14ac:dyDescent="0.25">
      <c r="A1616" s="39" t="str">
        <f>("1506010140")</f>
        <v>1506010140</v>
      </c>
      <c r="C1616" s="39"/>
      <c r="D1616" s="39" t="s">
        <v>9144</v>
      </c>
      <c r="E1616" s="371" t="str">
        <f t="shared" si="141"/>
        <v>まえかわ　あさひ</v>
      </c>
      <c r="F1616" s="39" t="s">
        <v>2477</v>
      </c>
      <c r="G1616" s="39" t="s">
        <v>7828</v>
      </c>
      <c r="H1616" s="39" t="str">
        <f>("2015/06/01")</f>
        <v>2015/06/01</v>
      </c>
      <c r="I1616" s="39">
        <v>4</v>
      </c>
      <c r="J1616" s="39" t="s">
        <v>1478</v>
      </c>
      <c r="K1616" s="39" t="s">
        <v>2122</v>
      </c>
      <c r="L1616" s="39" t="s">
        <v>7830</v>
      </c>
      <c r="M1616" s="39" t="s">
        <v>7831</v>
      </c>
      <c r="N1616" s="39" t="str">
        <f>("0129541")</f>
        <v>0129541</v>
      </c>
      <c r="P1616" s="39" t="s">
        <v>13083</v>
      </c>
      <c r="Q1616" s="39" t="s">
        <v>8568</v>
      </c>
      <c r="R1616" s="39" t="s">
        <v>8569</v>
      </c>
      <c r="S1616" s="39" t="s">
        <v>8570</v>
      </c>
      <c r="AK1616" s="39" t="str">
        <f>("2025/03/27")</f>
        <v>2025/03/27</v>
      </c>
      <c r="AL1616" s="39" t="str">
        <f t="shared" si="142"/>
        <v>2025/04/01</v>
      </c>
    </row>
    <row r="1617" spans="1:38" x14ac:dyDescent="0.25">
      <c r="A1617" s="39" t="str">
        <f>("1506020019")</f>
        <v>1506020019</v>
      </c>
      <c r="B1617" s="39" t="s">
        <v>9145</v>
      </c>
      <c r="C1617" s="39"/>
      <c r="D1617" s="39" t="s">
        <v>9146</v>
      </c>
      <c r="E1617" s="371" t="str">
        <f t="shared" si="141"/>
        <v>たかはし　しゅうご</v>
      </c>
      <c r="F1617" s="39" t="s">
        <v>5615</v>
      </c>
      <c r="G1617" s="39" t="s">
        <v>7828</v>
      </c>
      <c r="H1617" s="39" t="str">
        <f>("2015/06/02")</f>
        <v>2015/06/02</v>
      </c>
      <c r="I1617" s="39">
        <v>4</v>
      </c>
      <c r="J1617" s="39" t="s">
        <v>1478</v>
      </c>
      <c r="K1617" s="39" t="s">
        <v>2122</v>
      </c>
      <c r="L1617" s="39" t="s">
        <v>7830</v>
      </c>
      <c r="M1617" s="39" t="s">
        <v>7831</v>
      </c>
      <c r="N1617" s="39" t="str">
        <f>("0129642")</f>
        <v>0129642</v>
      </c>
      <c r="P1617" s="39" t="s">
        <v>13084</v>
      </c>
      <c r="Q1617" s="39" t="s">
        <v>8568</v>
      </c>
      <c r="R1617" s="39" t="s">
        <v>8569</v>
      </c>
      <c r="S1617" s="39" t="s">
        <v>8570</v>
      </c>
      <c r="AK1617" s="39" t="str">
        <f>("2025/03/24")</f>
        <v>2025/03/24</v>
      </c>
      <c r="AL1617" s="39" t="str">
        <f t="shared" si="142"/>
        <v>2025/04/01</v>
      </c>
    </row>
    <row r="1618" spans="1:38" x14ac:dyDescent="0.25">
      <c r="A1618" s="39" t="str">
        <f>("1506020046")</f>
        <v>1506020046</v>
      </c>
      <c r="C1618" s="39"/>
      <c r="D1618" s="39" t="s">
        <v>9147</v>
      </c>
      <c r="E1618" s="371" t="str">
        <f t="shared" si="141"/>
        <v>もりなが　えいた</v>
      </c>
      <c r="F1618" s="39" t="s">
        <v>1917</v>
      </c>
      <c r="G1618" s="39" t="s">
        <v>7828</v>
      </c>
      <c r="H1618" s="39" t="str">
        <f>("2015/06/02")</f>
        <v>2015/06/02</v>
      </c>
      <c r="I1618" s="39">
        <v>4</v>
      </c>
      <c r="J1618" s="39" t="s">
        <v>1478</v>
      </c>
      <c r="K1618" s="39" t="s">
        <v>2122</v>
      </c>
      <c r="L1618" s="39" t="s">
        <v>7830</v>
      </c>
      <c r="M1618" s="39" t="s">
        <v>7831</v>
      </c>
      <c r="N1618" s="39" t="str">
        <f>("1032161")</f>
        <v>1032161</v>
      </c>
      <c r="P1618" s="39" t="s">
        <v>13085</v>
      </c>
      <c r="Q1618" s="39" t="s">
        <v>8568</v>
      </c>
      <c r="R1618" s="39" t="s">
        <v>8569</v>
      </c>
      <c r="S1618" s="39" t="s">
        <v>8570</v>
      </c>
      <c r="AA1618" s="39" t="s">
        <v>2122</v>
      </c>
      <c r="AB1618" s="39" t="s">
        <v>7830</v>
      </c>
      <c r="AC1618" s="39" t="s">
        <v>7831</v>
      </c>
      <c r="AD1618" s="39" t="str">
        <f>("0130701")</f>
        <v>0130701</v>
      </c>
      <c r="AE1618" s="39" t="s">
        <v>8818</v>
      </c>
      <c r="AK1618" s="39" t="str">
        <f>("2025/03/21")</f>
        <v>2025/03/21</v>
      </c>
      <c r="AL1618" s="39" t="str">
        <f t="shared" si="142"/>
        <v>2025/04/01</v>
      </c>
    </row>
    <row r="1619" spans="1:38" x14ac:dyDescent="0.25">
      <c r="A1619" s="39" t="str">
        <f>("1506020112")</f>
        <v>1506020112</v>
      </c>
      <c r="C1619" s="39"/>
      <c r="D1619" s="39" t="s">
        <v>9148</v>
      </c>
      <c r="E1619" s="371" t="str">
        <f t="shared" si="141"/>
        <v>うど　そうし</v>
      </c>
      <c r="F1619" s="39" t="s">
        <v>1481</v>
      </c>
      <c r="G1619" s="39" t="s">
        <v>7828</v>
      </c>
      <c r="H1619" s="39" t="str">
        <f>("2015/06/02")</f>
        <v>2015/06/02</v>
      </c>
      <c r="I1619" s="39">
        <v>4</v>
      </c>
      <c r="J1619" s="39" t="s">
        <v>1478</v>
      </c>
      <c r="K1619" s="39" t="s">
        <v>2122</v>
      </c>
      <c r="L1619" s="39" t="s">
        <v>7830</v>
      </c>
      <c r="M1619" s="39" t="s">
        <v>7831</v>
      </c>
      <c r="N1619" s="39" t="str">
        <f>("0129866")</f>
        <v>0129866</v>
      </c>
      <c r="P1619" s="39" t="s">
        <v>13086</v>
      </c>
      <c r="Q1619" s="39" t="s">
        <v>8568</v>
      </c>
      <c r="R1619" s="39" t="s">
        <v>8569</v>
      </c>
      <c r="S1619" s="39" t="s">
        <v>8570</v>
      </c>
      <c r="AK1619" s="39" t="str">
        <f>("2025/03/19")</f>
        <v>2025/03/19</v>
      </c>
      <c r="AL1619" s="39" t="str">
        <f t="shared" si="142"/>
        <v>2025/04/01</v>
      </c>
    </row>
    <row r="1620" spans="1:38" x14ac:dyDescent="0.25">
      <c r="A1620" s="39" t="str">
        <f>("1506020184")</f>
        <v>1506020184</v>
      </c>
      <c r="C1620" s="39"/>
      <c r="D1620" s="39" t="s">
        <v>9149</v>
      </c>
      <c r="E1620" s="371" t="str">
        <f t="shared" si="141"/>
        <v>にしだ　こうた</v>
      </c>
      <c r="F1620" s="39" t="s">
        <v>2491</v>
      </c>
      <c r="G1620" s="39" t="s">
        <v>7828</v>
      </c>
      <c r="H1620" s="39" t="str">
        <f>("2015/06/02")</f>
        <v>2015/06/02</v>
      </c>
      <c r="I1620" s="39">
        <v>4</v>
      </c>
      <c r="J1620" s="39" t="s">
        <v>1478</v>
      </c>
      <c r="K1620" s="39" t="s">
        <v>2122</v>
      </c>
      <c r="L1620" s="39" t="s">
        <v>7830</v>
      </c>
      <c r="M1620" s="39" t="s">
        <v>7831</v>
      </c>
      <c r="N1620" s="39" t="str">
        <f>("0129822")</f>
        <v>0129822</v>
      </c>
      <c r="P1620" s="39" t="s">
        <v>13087</v>
      </c>
      <c r="Q1620" s="39" t="s">
        <v>8568</v>
      </c>
      <c r="R1620" s="39" t="s">
        <v>8569</v>
      </c>
      <c r="S1620" s="39" t="s">
        <v>8570</v>
      </c>
      <c r="AK1620" s="39" t="str">
        <f>("2025/03/17")</f>
        <v>2025/03/17</v>
      </c>
      <c r="AL1620" s="39" t="str">
        <f t="shared" si="142"/>
        <v>2025/04/01</v>
      </c>
    </row>
    <row r="1621" spans="1:38" x14ac:dyDescent="0.25">
      <c r="A1621" s="39" t="str">
        <f>("1506030008")</f>
        <v>1506030008</v>
      </c>
      <c r="B1621" s="39" t="s">
        <v>9150</v>
      </c>
      <c r="C1621" s="39"/>
      <c r="D1621" s="39" t="s">
        <v>9151</v>
      </c>
      <c r="E1621" s="371" t="str">
        <f t="shared" si="141"/>
        <v>みやがわ　たすく</v>
      </c>
      <c r="F1621" s="39" t="s">
        <v>2137</v>
      </c>
      <c r="G1621" s="39" t="s">
        <v>7828</v>
      </c>
      <c r="H1621" s="39" t="str">
        <f>("2015/06/03")</f>
        <v>2015/06/03</v>
      </c>
      <c r="I1621" s="39">
        <v>4</v>
      </c>
      <c r="J1621" s="39" t="s">
        <v>1478</v>
      </c>
      <c r="K1621" s="39" t="s">
        <v>2122</v>
      </c>
      <c r="L1621" s="39" t="s">
        <v>7830</v>
      </c>
      <c r="M1621" s="39" t="s">
        <v>7831</v>
      </c>
      <c r="N1621" s="39" t="str">
        <f>("0130510")</f>
        <v>0130510</v>
      </c>
      <c r="P1621" s="39" t="s">
        <v>13088</v>
      </c>
      <c r="Q1621" s="39" t="s">
        <v>8568</v>
      </c>
      <c r="R1621" s="39" t="s">
        <v>8569</v>
      </c>
      <c r="S1621" s="39" t="s">
        <v>8570</v>
      </c>
      <c r="AK1621" s="39" t="str">
        <f>("2025/03/21")</f>
        <v>2025/03/21</v>
      </c>
      <c r="AL1621" s="39" t="str">
        <f t="shared" si="142"/>
        <v>2025/04/01</v>
      </c>
    </row>
    <row r="1622" spans="1:38" x14ac:dyDescent="0.25">
      <c r="A1622" s="39" t="str">
        <f>("1506030205")</f>
        <v>1506030205</v>
      </c>
      <c r="C1622" s="39"/>
      <c r="D1622" s="39" t="s">
        <v>9152</v>
      </c>
      <c r="E1622" s="371" t="str">
        <f t="shared" si="141"/>
        <v>まつもと　えいと</v>
      </c>
      <c r="F1622" s="39" t="s">
        <v>2587</v>
      </c>
      <c r="G1622" s="39" t="s">
        <v>7828</v>
      </c>
      <c r="H1622" s="39" t="str">
        <f>("2015/06/03")</f>
        <v>2015/06/03</v>
      </c>
      <c r="I1622" s="39">
        <v>4</v>
      </c>
      <c r="J1622" s="39" t="s">
        <v>1478</v>
      </c>
      <c r="K1622" s="39" t="s">
        <v>2122</v>
      </c>
      <c r="L1622" s="39" t="s">
        <v>7830</v>
      </c>
      <c r="M1622" s="39" t="s">
        <v>7831</v>
      </c>
      <c r="N1622" s="39" t="str">
        <f>("0387334")</f>
        <v>0387334</v>
      </c>
      <c r="P1622" s="39" t="s">
        <v>13089</v>
      </c>
      <c r="Q1622" s="39" t="s">
        <v>8568</v>
      </c>
      <c r="R1622" s="39" t="s">
        <v>8569</v>
      </c>
      <c r="S1622" s="39" t="s">
        <v>8570</v>
      </c>
      <c r="AK1622" s="39" t="str">
        <f>("2025/04/10")</f>
        <v>2025/04/10</v>
      </c>
      <c r="AL1622" s="39" t="str">
        <f>("2025/04/10")</f>
        <v>2025/04/10</v>
      </c>
    </row>
    <row r="1623" spans="1:38" x14ac:dyDescent="0.25">
      <c r="A1623" s="39" t="str">
        <f>("1506040035")</f>
        <v>1506040035</v>
      </c>
      <c r="B1623" s="39" t="s">
        <v>9153</v>
      </c>
      <c r="C1623" s="39"/>
      <c r="D1623" s="39" t="s">
        <v>5879</v>
      </c>
      <c r="E1623" s="371" t="str">
        <f t="shared" si="141"/>
        <v>ごとう　こうせい</v>
      </c>
      <c r="F1623" s="39" t="s">
        <v>928</v>
      </c>
      <c r="G1623" s="39" t="s">
        <v>7828</v>
      </c>
      <c r="H1623" s="39" t="str">
        <f>("2015/06/04")</f>
        <v>2015/06/04</v>
      </c>
      <c r="I1623" s="39">
        <v>4</v>
      </c>
      <c r="J1623" s="39" t="s">
        <v>1478</v>
      </c>
      <c r="K1623" s="39" t="s">
        <v>2122</v>
      </c>
      <c r="L1623" s="39" t="s">
        <v>7830</v>
      </c>
      <c r="M1623" s="39" t="s">
        <v>7831</v>
      </c>
      <c r="N1623" s="39" t="str">
        <f>("0130532")</f>
        <v>0130532</v>
      </c>
      <c r="P1623" s="39" t="s">
        <v>13090</v>
      </c>
      <c r="Q1623" s="39" t="s">
        <v>8568</v>
      </c>
      <c r="R1623" s="39" t="s">
        <v>8569</v>
      </c>
      <c r="S1623" s="39" t="s">
        <v>8570</v>
      </c>
      <c r="AK1623" s="39" t="str">
        <f>("2025/03/17")</f>
        <v>2025/03/17</v>
      </c>
      <c r="AL1623" s="39" t="str">
        <f>("2025/04/01")</f>
        <v>2025/04/01</v>
      </c>
    </row>
    <row r="1624" spans="1:38" x14ac:dyDescent="0.25">
      <c r="A1624" s="39" t="str">
        <f>("1506040124")</f>
        <v>1506040124</v>
      </c>
      <c r="C1624" s="39"/>
      <c r="D1624" s="39" t="s">
        <v>9154</v>
      </c>
      <c r="E1624" s="371" t="str">
        <f t="shared" si="141"/>
        <v>うめき　いお</v>
      </c>
      <c r="F1624" s="39" t="s">
        <v>2243</v>
      </c>
      <c r="G1624" s="39" t="s">
        <v>7828</v>
      </c>
      <c r="H1624" s="39" t="str">
        <f>("2015/06/04")</f>
        <v>2015/06/04</v>
      </c>
      <c r="I1624" s="39">
        <v>4</v>
      </c>
      <c r="J1624" s="39" t="s">
        <v>1478</v>
      </c>
      <c r="K1624" s="39" t="s">
        <v>2122</v>
      </c>
      <c r="L1624" s="39" t="s">
        <v>7830</v>
      </c>
      <c r="M1624" s="39" t="s">
        <v>7831</v>
      </c>
      <c r="N1624" s="39" t="str">
        <f>("0130565")</f>
        <v>0130565</v>
      </c>
      <c r="P1624" s="39" t="s">
        <v>13091</v>
      </c>
      <c r="Q1624" s="39" t="s">
        <v>8568</v>
      </c>
      <c r="R1624" s="39" t="s">
        <v>8569</v>
      </c>
      <c r="S1624" s="39" t="s">
        <v>8570</v>
      </c>
      <c r="AK1624" s="39" t="str">
        <f>("2025/03/17")</f>
        <v>2025/03/17</v>
      </c>
      <c r="AL1624" s="39" t="str">
        <f>("2025/04/01")</f>
        <v>2025/04/01</v>
      </c>
    </row>
    <row r="1625" spans="1:38" x14ac:dyDescent="0.25">
      <c r="A1625" s="39" t="str">
        <f>("1506050220")</f>
        <v>1506050220</v>
      </c>
      <c r="C1625" s="39"/>
      <c r="D1625" s="39" t="s">
        <v>9155</v>
      </c>
      <c r="E1625" s="371" t="str">
        <f t="shared" si="141"/>
        <v>みずえ　そうすけ</v>
      </c>
      <c r="F1625" s="39" t="s">
        <v>2349</v>
      </c>
      <c r="G1625" s="39" t="s">
        <v>7828</v>
      </c>
      <c r="H1625" s="39" t="str">
        <f>("2015/06/05")</f>
        <v>2015/06/05</v>
      </c>
      <c r="I1625" s="39">
        <v>4</v>
      </c>
      <c r="J1625" s="39" t="s">
        <v>1478</v>
      </c>
      <c r="K1625" s="39" t="s">
        <v>2122</v>
      </c>
      <c r="L1625" s="39" t="s">
        <v>7830</v>
      </c>
      <c r="M1625" s="39" t="s">
        <v>7831</v>
      </c>
      <c r="N1625" s="39" t="str">
        <f>("0292081")</f>
        <v>0292081</v>
      </c>
      <c r="P1625" s="39" t="s">
        <v>13092</v>
      </c>
      <c r="Q1625" s="39" t="s">
        <v>8568</v>
      </c>
      <c r="R1625" s="39" t="s">
        <v>8569</v>
      </c>
      <c r="S1625" s="39" t="s">
        <v>8570</v>
      </c>
      <c r="AK1625" s="39" t="str">
        <f>("2025/09/03")</f>
        <v>2025/09/03</v>
      </c>
      <c r="AL1625" s="39" t="str">
        <f>("2025/09/03")</f>
        <v>2025/09/03</v>
      </c>
    </row>
    <row r="1626" spans="1:38" x14ac:dyDescent="0.25">
      <c r="A1626" s="39" t="str">
        <f>("1506060055")</f>
        <v>1506060055</v>
      </c>
      <c r="C1626" s="39"/>
      <c r="D1626" s="39" t="s">
        <v>9156</v>
      </c>
      <c r="E1626" s="371" t="str">
        <f t="shared" si="141"/>
        <v>よしみつ　こう</v>
      </c>
      <c r="F1626" s="39" t="s">
        <v>2139</v>
      </c>
      <c r="G1626" s="39" t="s">
        <v>7828</v>
      </c>
      <c r="H1626" s="39" t="str">
        <f>("2015/06/06")</f>
        <v>2015/06/06</v>
      </c>
      <c r="I1626" s="39">
        <v>4</v>
      </c>
      <c r="J1626" s="39" t="s">
        <v>1478</v>
      </c>
      <c r="K1626" s="39" t="s">
        <v>2122</v>
      </c>
      <c r="L1626" s="39" t="s">
        <v>7830</v>
      </c>
      <c r="M1626" s="39" t="s">
        <v>7831</v>
      </c>
      <c r="N1626" s="39" t="str">
        <f>("0129798")</f>
        <v>0129798</v>
      </c>
      <c r="P1626" s="39" t="s">
        <v>13093</v>
      </c>
      <c r="Q1626" s="39" t="s">
        <v>8568</v>
      </c>
      <c r="R1626" s="39" t="s">
        <v>8569</v>
      </c>
      <c r="S1626" s="39" t="s">
        <v>8570</v>
      </c>
      <c r="AA1626" s="39" t="s">
        <v>2122</v>
      </c>
      <c r="AB1626" s="39" t="s">
        <v>7830</v>
      </c>
      <c r="AC1626" s="39" t="s">
        <v>7831</v>
      </c>
      <c r="AD1626" s="39" t="str">
        <f>("1111064")</f>
        <v>1111064</v>
      </c>
      <c r="AE1626" s="39" t="s">
        <v>7910</v>
      </c>
      <c r="AK1626" s="39" t="str">
        <f>("2025/10/15")</f>
        <v>2025/10/15</v>
      </c>
      <c r="AL1626" s="39" t="str">
        <f>("2025/10/15")</f>
        <v>2025/10/15</v>
      </c>
    </row>
    <row r="1627" spans="1:38" x14ac:dyDescent="0.25">
      <c r="A1627" s="39" t="str">
        <f>("1506080122")</f>
        <v>1506080122</v>
      </c>
      <c r="C1627" s="39"/>
      <c r="D1627" s="39" t="s">
        <v>9157</v>
      </c>
      <c r="E1627" s="371" t="str">
        <f t="shared" si="141"/>
        <v>そが　とうま</v>
      </c>
      <c r="F1627" s="39" t="s">
        <v>2648</v>
      </c>
      <c r="G1627" s="39" t="s">
        <v>7828</v>
      </c>
      <c r="H1627" s="39" t="str">
        <f>("2015/06/08")</f>
        <v>2015/06/08</v>
      </c>
      <c r="I1627" s="39">
        <v>4</v>
      </c>
      <c r="J1627" s="39" t="s">
        <v>1478</v>
      </c>
      <c r="K1627" s="39" t="s">
        <v>2122</v>
      </c>
      <c r="L1627" s="39" t="s">
        <v>7830</v>
      </c>
      <c r="M1627" s="39" t="s">
        <v>7831</v>
      </c>
      <c r="N1627" s="39" t="str">
        <f>("1050097")</f>
        <v>1050097</v>
      </c>
      <c r="P1627" s="39" t="s">
        <v>13094</v>
      </c>
      <c r="Q1627" s="39" t="s">
        <v>8568</v>
      </c>
      <c r="R1627" s="39" t="s">
        <v>8569</v>
      </c>
      <c r="S1627" s="39" t="s">
        <v>8570</v>
      </c>
      <c r="AK1627" s="39" t="str">
        <f>("2025/03/25")</f>
        <v>2025/03/25</v>
      </c>
      <c r="AL1627" s="39" t="str">
        <f>("2025/04/01")</f>
        <v>2025/04/01</v>
      </c>
    </row>
    <row r="1628" spans="1:38" x14ac:dyDescent="0.25">
      <c r="A1628" s="39" t="str">
        <f>("1506080161")</f>
        <v>1506080161</v>
      </c>
      <c r="C1628" s="39"/>
      <c r="D1628" s="39" t="s">
        <v>9158</v>
      </c>
      <c r="E1628" s="371" t="str">
        <f t="shared" si="141"/>
        <v>たかくら　たけひと</v>
      </c>
      <c r="F1628" s="39" t="s">
        <v>684</v>
      </c>
      <c r="G1628" s="39" t="s">
        <v>7828</v>
      </c>
      <c r="H1628" s="39" t="str">
        <f>("2015/06/08")</f>
        <v>2015/06/08</v>
      </c>
      <c r="I1628" s="39">
        <v>4</v>
      </c>
      <c r="J1628" s="39" t="s">
        <v>1478</v>
      </c>
      <c r="K1628" s="39" t="s">
        <v>2122</v>
      </c>
      <c r="L1628" s="39" t="s">
        <v>7830</v>
      </c>
      <c r="M1628" s="39" t="s">
        <v>7831</v>
      </c>
      <c r="N1628" s="39" t="str">
        <f>("0129518")</f>
        <v>0129518</v>
      </c>
      <c r="P1628" s="39" t="s">
        <v>13095</v>
      </c>
      <c r="Q1628" s="39" t="s">
        <v>8568</v>
      </c>
      <c r="R1628" s="39" t="s">
        <v>8569</v>
      </c>
      <c r="S1628" s="39" t="s">
        <v>8570</v>
      </c>
      <c r="AK1628" s="39" t="str">
        <f>("2025/04/16")</f>
        <v>2025/04/16</v>
      </c>
      <c r="AL1628" s="39" t="str">
        <f>("2025/04/16")</f>
        <v>2025/04/16</v>
      </c>
    </row>
    <row r="1629" spans="1:38" x14ac:dyDescent="0.25">
      <c r="A1629" s="39" t="str">
        <f>("1506080170")</f>
        <v>1506080170</v>
      </c>
      <c r="C1629" s="39"/>
      <c r="D1629" s="39" t="s">
        <v>9159</v>
      </c>
      <c r="E1629" s="371" t="str">
        <f t="shared" si="141"/>
        <v>かただ　せいる</v>
      </c>
      <c r="F1629" s="39" t="s">
        <v>2033</v>
      </c>
      <c r="G1629" s="39" t="s">
        <v>7828</v>
      </c>
      <c r="H1629" s="39" t="str">
        <f>("2015/06/08")</f>
        <v>2015/06/08</v>
      </c>
      <c r="I1629" s="39">
        <v>4</v>
      </c>
      <c r="J1629" s="39" t="s">
        <v>1478</v>
      </c>
      <c r="K1629" s="39" t="s">
        <v>2122</v>
      </c>
      <c r="L1629" s="39" t="s">
        <v>7830</v>
      </c>
      <c r="M1629" s="39" t="s">
        <v>7831</v>
      </c>
      <c r="N1629" s="39" t="str">
        <f>("0130442")</f>
        <v>0130442</v>
      </c>
      <c r="P1629" s="39" t="s">
        <v>13096</v>
      </c>
      <c r="Q1629" s="39" t="s">
        <v>8568</v>
      </c>
      <c r="R1629" s="39" t="s">
        <v>8569</v>
      </c>
      <c r="S1629" s="39" t="s">
        <v>8570</v>
      </c>
      <c r="AK1629" s="39" t="str">
        <f>("2025/05/12")</f>
        <v>2025/05/12</v>
      </c>
      <c r="AL1629" s="39" t="str">
        <f>("2025/05/12")</f>
        <v>2025/05/12</v>
      </c>
    </row>
    <row r="1630" spans="1:38" x14ac:dyDescent="0.25">
      <c r="A1630" s="39" t="str">
        <f>("1506080173")</f>
        <v>1506080173</v>
      </c>
      <c r="C1630" s="39"/>
      <c r="D1630" s="39" t="s">
        <v>9160</v>
      </c>
      <c r="E1630" s="371" t="str">
        <f t="shared" si="141"/>
        <v>あべ　ゆうだい</v>
      </c>
      <c r="F1630" s="39" t="s">
        <v>2243</v>
      </c>
      <c r="G1630" s="39" t="s">
        <v>7828</v>
      </c>
      <c r="H1630" s="39" t="str">
        <f>("2015/06/08")</f>
        <v>2015/06/08</v>
      </c>
      <c r="I1630" s="39">
        <v>4</v>
      </c>
      <c r="J1630" s="39" t="s">
        <v>1478</v>
      </c>
      <c r="K1630" s="39" t="s">
        <v>2122</v>
      </c>
      <c r="L1630" s="39" t="s">
        <v>7830</v>
      </c>
      <c r="M1630" s="39" t="s">
        <v>7831</v>
      </c>
      <c r="N1630" s="39" t="str">
        <f>("0130565")</f>
        <v>0130565</v>
      </c>
      <c r="P1630" s="39" t="s">
        <v>13097</v>
      </c>
      <c r="Q1630" s="39" t="s">
        <v>8568</v>
      </c>
      <c r="R1630" s="39" t="s">
        <v>8569</v>
      </c>
      <c r="S1630" s="39" t="s">
        <v>8570</v>
      </c>
      <c r="AK1630" s="39" t="str">
        <f>("2025/05/29")</f>
        <v>2025/05/29</v>
      </c>
      <c r="AL1630" s="39" t="str">
        <f>("2025/05/29")</f>
        <v>2025/05/29</v>
      </c>
    </row>
    <row r="1631" spans="1:38" x14ac:dyDescent="0.25">
      <c r="A1631" s="39" t="str">
        <f>("1506090118")</f>
        <v>1506090118</v>
      </c>
      <c r="C1631" s="39"/>
      <c r="D1631" s="39" t="s">
        <v>9161</v>
      </c>
      <c r="E1631" s="371" t="str">
        <f t="shared" si="141"/>
        <v>ひの　れんと</v>
      </c>
      <c r="F1631" s="39" t="s">
        <v>2477</v>
      </c>
      <c r="G1631" s="39" t="s">
        <v>7828</v>
      </c>
      <c r="H1631" s="39" t="str">
        <f>("2015/06/09")</f>
        <v>2015/06/09</v>
      </c>
      <c r="I1631" s="39">
        <v>4</v>
      </c>
      <c r="J1631" s="39" t="s">
        <v>1478</v>
      </c>
      <c r="K1631" s="39" t="s">
        <v>2122</v>
      </c>
      <c r="L1631" s="39" t="s">
        <v>7830</v>
      </c>
      <c r="M1631" s="39" t="s">
        <v>7831</v>
      </c>
      <c r="N1631" s="39" t="str">
        <f>("0129541")</f>
        <v>0129541</v>
      </c>
      <c r="P1631" s="39" t="s">
        <v>13098</v>
      </c>
      <c r="Q1631" s="39" t="s">
        <v>8568</v>
      </c>
      <c r="R1631" s="39" t="s">
        <v>8569</v>
      </c>
      <c r="S1631" s="39" t="s">
        <v>8570</v>
      </c>
      <c r="AK1631" s="39" t="str">
        <f>("2025/03/27")</f>
        <v>2025/03/27</v>
      </c>
      <c r="AL1631" s="39" t="str">
        <f>("2025/04/01")</f>
        <v>2025/04/01</v>
      </c>
    </row>
    <row r="1632" spans="1:38" x14ac:dyDescent="0.25">
      <c r="A1632" s="39" t="str">
        <f>("1506090195")</f>
        <v>1506090195</v>
      </c>
      <c r="C1632" s="39"/>
      <c r="D1632" s="39" t="s">
        <v>9162</v>
      </c>
      <c r="E1632" s="371" t="str">
        <f t="shared" si="141"/>
        <v>まつもと　よしき</v>
      </c>
      <c r="F1632" s="39" t="s">
        <v>2350</v>
      </c>
      <c r="G1632" s="39" t="s">
        <v>7828</v>
      </c>
      <c r="H1632" s="39" t="str">
        <f>("2015/06/09")</f>
        <v>2015/06/09</v>
      </c>
      <c r="I1632" s="39">
        <v>4</v>
      </c>
      <c r="J1632" s="39" t="s">
        <v>1478</v>
      </c>
      <c r="K1632" s="39" t="s">
        <v>2122</v>
      </c>
      <c r="L1632" s="39" t="s">
        <v>7830</v>
      </c>
      <c r="M1632" s="39" t="s">
        <v>7831</v>
      </c>
      <c r="N1632" s="39" t="str">
        <f>("0360032")</f>
        <v>0360032</v>
      </c>
      <c r="P1632" s="39" t="s">
        <v>13099</v>
      </c>
      <c r="Q1632" s="39" t="s">
        <v>8568</v>
      </c>
      <c r="R1632" s="39" t="s">
        <v>8569</v>
      </c>
      <c r="S1632" s="39" t="s">
        <v>8570</v>
      </c>
      <c r="AK1632" s="39" t="str">
        <f>("2025/09/03")</f>
        <v>2025/09/03</v>
      </c>
      <c r="AL1632" s="39" t="str">
        <f>("2025/09/03")</f>
        <v>2025/09/03</v>
      </c>
    </row>
    <row r="1633" spans="1:38" x14ac:dyDescent="0.25">
      <c r="A1633" s="39" t="str">
        <f>("1506100030")</f>
        <v>1506100030</v>
      </c>
      <c r="B1633" s="39" t="s">
        <v>9163</v>
      </c>
      <c r="C1633" s="39"/>
      <c r="D1633" s="39" t="s">
        <v>6292</v>
      </c>
      <c r="E1633" s="371" t="str">
        <f t="shared" si="141"/>
        <v>たかはし　やすひと</v>
      </c>
      <c r="F1633" s="39" t="s">
        <v>5621</v>
      </c>
      <c r="G1633" s="39" t="s">
        <v>7828</v>
      </c>
      <c r="H1633" s="39" t="str">
        <f>("2015/06/10")</f>
        <v>2015/06/10</v>
      </c>
      <c r="I1633" s="39">
        <v>4</v>
      </c>
      <c r="J1633" s="39" t="s">
        <v>1478</v>
      </c>
      <c r="K1633" s="39" t="s">
        <v>2122</v>
      </c>
      <c r="L1633" s="39" t="s">
        <v>7830</v>
      </c>
      <c r="M1633" s="39" t="s">
        <v>7831</v>
      </c>
      <c r="N1633" s="39" t="str">
        <f>("1110654")</f>
        <v>1110654</v>
      </c>
      <c r="P1633" s="39" t="s">
        <v>13100</v>
      </c>
      <c r="Q1633" s="39" t="s">
        <v>8568</v>
      </c>
      <c r="R1633" s="39" t="s">
        <v>8569</v>
      </c>
      <c r="S1633" s="39" t="s">
        <v>8570</v>
      </c>
      <c r="AA1633" s="39" t="s">
        <v>2122</v>
      </c>
      <c r="AB1633" s="39" t="s">
        <v>7830</v>
      </c>
      <c r="AC1633" s="39" t="s">
        <v>7831</v>
      </c>
      <c r="AD1633" s="39" t="str">
        <f>("0130756")</f>
        <v>0130756</v>
      </c>
      <c r="AE1633" s="39" t="s">
        <v>5617</v>
      </c>
      <c r="AK1633" s="39" t="str">
        <f>("2025/03/03")</f>
        <v>2025/03/03</v>
      </c>
      <c r="AL1633" s="39" t="str">
        <f>("2025/04/01")</f>
        <v>2025/04/01</v>
      </c>
    </row>
    <row r="1634" spans="1:38" x14ac:dyDescent="0.25">
      <c r="A1634" s="39" t="str">
        <f>("1506100077")</f>
        <v>1506100077</v>
      </c>
      <c r="C1634" s="39"/>
      <c r="D1634" s="39" t="s">
        <v>6142</v>
      </c>
      <c r="E1634" s="371" t="str">
        <f t="shared" si="141"/>
        <v>みうら　こうき</v>
      </c>
      <c r="F1634" s="39" t="s">
        <v>2033</v>
      </c>
      <c r="G1634" s="39" t="s">
        <v>7828</v>
      </c>
      <c r="H1634" s="39" t="str">
        <f>("2015/06/10")</f>
        <v>2015/06/10</v>
      </c>
      <c r="I1634" s="39">
        <v>4</v>
      </c>
      <c r="J1634" s="39" t="s">
        <v>1478</v>
      </c>
      <c r="K1634" s="39" t="s">
        <v>2122</v>
      </c>
      <c r="L1634" s="39" t="s">
        <v>7830</v>
      </c>
      <c r="M1634" s="39" t="s">
        <v>7831</v>
      </c>
      <c r="N1634" s="39" t="str">
        <f>("0130442")</f>
        <v>0130442</v>
      </c>
      <c r="P1634" s="39" t="s">
        <v>13101</v>
      </c>
      <c r="Q1634" s="39" t="s">
        <v>8568</v>
      </c>
      <c r="R1634" s="39" t="s">
        <v>8569</v>
      </c>
      <c r="S1634" s="39" t="s">
        <v>8570</v>
      </c>
      <c r="AA1634" s="39" t="s">
        <v>2122</v>
      </c>
      <c r="AB1634" s="39" t="s">
        <v>7830</v>
      </c>
      <c r="AC1634" s="39" t="s">
        <v>7831</v>
      </c>
      <c r="AD1634" s="39" t="str">
        <f>("0456892")</f>
        <v>0456892</v>
      </c>
      <c r="AE1634" s="39" t="s">
        <v>2615</v>
      </c>
      <c r="AK1634" s="39" t="str">
        <f>("2025/05/12")</f>
        <v>2025/05/12</v>
      </c>
      <c r="AL1634" s="39" t="str">
        <f>("2025/05/12")</f>
        <v>2025/05/12</v>
      </c>
    </row>
    <row r="1635" spans="1:38" x14ac:dyDescent="0.25">
      <c r="A1635" s="39" t="str">
        <f>("1506100115")</f>
        <v>1506100115</v>
      </c>
      <c r="C1635" s="39"/>
      <c r="D1635" s="39" t="s">
        <v>9164</v>
      </c>
      <c r="E1635" s="371" t="str">
        <f t="shared" si="141"/>
        <v>みやざき　こうせい</v>
      </c>
      <c r="F1635" s="39" t="s">
        <v>2531</v>
      </c>
      <c r="G1635" s="39" t="s">
        <v>7828</v>
      </c>
      <c r="H1635" s="39" t="str">
        <f>("2015/06/10")</f>
        <v>2015/06/10</v>
      </c>
      <c r="I1635" s="39">
        <v>4</v>
      </c>
      <c r="J1635" s="39" t="s">
        <v>1478</v>
      </c>
      <c r="K1635" s="39" t="s">
        <v>2122</v>
      </c>
      <c r="L1635" s="39" t="s">
        <v>7830</v>
      </c>
      <c r="M1635" s="39" t="s">
        <v>7831</v>
      </c>
      <c r="N1635" s="39" t="str">
        <f>("0130419")</f>
        <v>0130419</v>
      </c>
      <c r="P1635" s="39" t="s">
        <v>13102</v>
      </c>
      <c r="Q1635" s="39" t="s">
        <v>8568</v>
      </c>
      <c r="R1635" s="39" t="s">
        <v>8569</v>
      </c>
      <c r="S1635" s="39" t="s">
        <v>8570</v>
      </c>
      <c r="AK1635" s="39" t="str">
        <f>("2025/03/17")</f>
        <v>2025/03/17</v>
      </c>
      <c r="AL1635" s="39" t="str">
        <f>("2025/04/01")</f>
        <v>2025/04/01</v>
      </c>
    </row>
    <row r="1636" spans="1:38" x14ac:dyDescent="0.25">
      <c r="A1636" s="39" t="str">
        <f>("1506100219")</f>
        <v>1506100219</v>
      </c>
      <c r="C1636" s="39"/>
      <c r="D1636" s="39" t="s">
        <v>9165</v>
      </c>
      <c r="E1636" s="371" t="str">
        <f t="shared" si="141"/>
        <v>たかはし　ひろと</v>
      </c>
      <c r="F1636" s="39" t="s">
        <v>1014</v>
      </c>
      <c r="G1636" s="39" t="s">
        <v>7828</v>
      </c>
      <c r="H1636" s="39" t="str">
        <f>("2015/06/10")</f>
        <v>2015/06/10</v>
      </c>
      <c r="I1636" s="39">
        <v>4</v>
      </c>
      <c r="J1636" s="39" t="s">
        <v>1478</v>
      </c>
      <c r="K1636" s="39" t="s">
        <v>2122</v>
      </c>
      <c r="L1636" s="39" t="s">
        <v>7830</v>
      </c>
      <c r="M1636" s="39" t="s">
        <v>7831</v>
      </c>
      <c r="N1636" s="39" t="str">
        <f>("0513313")</f>
        <v>0513313</v>
      </c>
      <c r="P1636" s="39" t="s">
        <v>13103</v>
      </c>
      <c r="Q1636" s="39" t="s">
        <v>8568</v>
      </c>
      <c r="R1636" s="39" t="s">
        <v>8569</v>
      </c>
      <c r="S1636" s="39" t="s">
        <v>8570</v>
      </c>
      <c r="AK1636" s="39" t="str">
        <f>("2025/08/12")</f>
        <v>2025/08/12</v>
      </c>
      <c r="AL1636" s="39" t="str">
        <f>("2025/08/12")</f>
        <v>2025/08/12</v>
      </c>
    </row>
    <row r="1637" spans="1:38" x14ac:dyDescent="0.25">
      <c r="A1637" s="39" t="str">
        <f>("1506110181")</f>
        <v>1506110181</v>
      </c>
      <c r="B1637" s="39" t="s">
        <v>9166</v>
      </c>
      <c r="C1637" s="39"/>
      <c r="D1637" s="39" t="s">
        <v>9167</v>
      </c>
      <c r="E1637" s="371" t="str">
        <f t="shared" si="141"/>
        <v>ふくだ　よしろう</v>
      </c>
      <c r="F1637" s="39" t="s">
        <v>1344</v>
      </c>
      <c r="G1637" s="39" t="s">
        <v>7828</v>
      </c>
      <c r="H1637" s="39" t="str">
        <f>("2015/06/11")</f>
        <v>2015/06/11</v>
      </c>
      <c r="I1637" s="39">
        <v>4</v>
      </c>
      <c r="J1637" s="39" t="s">
        <v>1478</v>
      </c>
      <c r="K1637" s="39" t="s">
        <v>2122</v>
      </c>
      <c r="L1637" s="39" t="s">
        <v>7830</v>
      </c>
      <c r="M1637" s="39" t="s">
        <v>7831</v>
      </c>
      <c r="N1637" s="39" t="str">
        <f>("0130587")</f>
        <v>0130587</v>
      </c>
      <c r="P1637" s="39" t="s">
        <v>13104</v>
      </c>
      <c r="Q1637" s="39" t="s">
        <v>8568</v>
      </c>
      <c r="R1637" s="39" t="s">
        <v>8569</v>
      </c>
      <c r="S1637" s="39" t="s">
        <v>8570</v>
      </c>
      <c r="AK1637" s="39" t="str">
        <f>("2025/03/21")</f>
        <v>2025/03/21</v>
      </c>
      <c r="AL1637" s="39" t="str">
        <f t="shared" ref="AL1637:AL1648" si="143">("2025/04/01")</f>
        <v>2025/04/01</v>
      </c>
    </row>
    <row r="1638" spans="1:38" x14ac:dyDescent="0.25">
      <c r="A1638" s="39" t="str">
        <f>("1506120039")</f>
        <v>1506120039</v>
      </c>
      <c r="B1638" s="39" t="s">
        <v>9168</v>
      </c>
      <c r="C1638" s="39"/>
      <c r="D1638" s="39" t="s">
        <v>9169</v>
      </c>
      <c r="E1638" s="371" t="str">
        <f t="shared" si="141"/>
        <v>いまむら　はな</v>
      </c>
      <c r="F1638" s="39" t="s">
        <v>2587</v>
      </c>
      <c r="G1638" s="39" t="s">
        <v>7828</v>
      </c>
      <c r="H1638" s="39" t="str">
        <f>("2015/06/12")</f>
        <v>2015/06/12</v>
      </c>
      <c r="I1638" s="39">
        <v>4</v>
      </c>
      <c r="J1638" s="39" t="s">
        <v>1480</v>
      </c>
      <c r="K1638" s="39" t="s">
        <v>2122</v>
      </c>
      <c r="L1638" s="39" t="s">
        <v>7830</v>
      </c>
      <c r="M1638" s="39" t="s">
        <v>7831</v>
      </c>
      <c r="N1638" s="39" t="str">
        <f>("0387334")</f>
        <v>0387334</v>
      </c>
      <c r="P1638" s="39" t="s">
        <v>13105</v>
      </c>
      <c r="Q1638" s="39" t="s">
        <v>8568</v>
      </c>
      <c r="R1638" s="39" t="s">
        <v>8569</v>
      </c>
      <c r="S1638" s="39" t="s">
        <v>8570</v>
      </c>
      <c r="AK1638" s="39" t="str">
        <f>("2025/03/27")</f>
        <v>2025/03/27</v>
      </c>
      <c r="AL1638" s="39" t="str">
        <f t="shared" si="143"/>
        <v>2025/04/01</v>
      </c>
    </row>
    <row r="1639" spans="1:38" x14ac:dyDescent="0.25">
      <c r="A1639" s="39" t="str">
        <f>("1506120142")</f>
        <v>1506120142</v>
      </c>
      <c r="C1639" s="39"/>
      <c r="D1639" s="39" t="s">
        <v>9170</v>
      </c>
      <c r="E1639" s="371" t="str">
        <f t="shared" si="141"/>
        <v>ひらい　みなと</v>
      </c>
      <c r="F1639" s="39" t="s">
        <v>2243</v>
      </c>
      <c r="G1639" s="39" t="s">
        <v>7828</v>
      </c>
      <c r="H1639" s="39" t="str">
        <f>("2015/06/12")</f>
        <v>2015/06/12</v>
      </c>
      <c r="I1639" s="39">
        <v>4</v>
      </c>
      <c r="J1639" s="39" t="s">
        <v>1478</v>
      </c>
      <c r="K1639" s="39" t="s">
        <v>2122</v>
      </c>
      <c r="L1639" s="39" t="s">
        <v>7830</v>
      </c>
      <c r="M1639" s="39" t="s">
        <v>7831</v>
      </c>
      <c r="N1639" s="39" t="str">
        <f>("0130565")</f>
        <v>0130565</v>
      </c>
      <c r="P1639" s="39" t="s">
        <v>13106</v>
      </c>
      <c r="Q1639" s="39" t="s">
        <v>8568</v>
      </c>
      <c r="R1639" s="39" t="s">
        <v>8569</v>
      </c>
      <c r="S1639" s="39" t="s">
        <v>8570</v>
      </c>
      <c r="AK1639" s="39" t="str">
        <f>("2025/03/17")</f>
        <v>2025/03/17</v>
      </c>
      <c r="AL1639" s="39" t="str">
        <f t="shared" si="143"/>
        <v>2025/04/01</v>
      </c>
    </row>
    <row r="1640" spans="1:38" x14ac:dyDescent="0.25">
      <c r="A1640" s="39" t="str">
        <f>("1506130001")</f>
        <v>1506130001</v>
      </c>
      <c r="C1640" s="39"/>
      <c r="D1640" s="39" t="s">
        <v>5870</v>
      </c>
      <c r="E1640" s="371" t="str">
        <f t="shared" si="141"/>
        <v>さとう　かいり</v>
      </c>
      <c r="F1640" s="39" t="s">
        <v>2533</v>
      </c>
      <c r="G1640" s="39" t="s">
        <v>7828</v>
      </c>
      <c r="H1640" s="39" t="str">
        <f>("2015/06/13")</f>
        <v>2015/06/13</v>
      </c>
      <c r="I1640" s="39">
        <v>4</v>
      </c>
      <c r="J1640" s="39" t="s">
        <v>1478</v>
      </c>
      <c r="K1640" s="39" t="s">
        <v>2122</v>
      </c>
      <c r="L1640" s="39" t="s">
        <v>7830</v>
      </c>
      <c r="M1640" s="39" t="s">
        <v>7831</v>
      </c>
      <c r="N1640" s="39" t="str">
        <f>("0130497")</f>
        <v>0130497</v>
      </c>
      <c r="P1640" s="39" t="s">
        <v>12875</v>
      </c>
      <c r="Q1640" s="39" t="s">
        <v>8568</v>
      </c>
      <c r="R1640" s="39" t="s">
        <v>8569</v>
      </c>
      <c r="S1640" s="39" t="s">
        <v>8570</v>
      </c>
      <c r="AK1640" s="39" t="str">
        <f>("2025/03/17")</f>
        <v>2025/03/17</v>
      </c>
      <c r="AL1640" s="39" t="str">
        <f t="shared" si="143"/>
        <v>2025/04/01</v>
      </c>
    </row>
    <row r="1641" spans="1:38" x14ac:dyDescent="0.25">
      <c r="A1641" s="39" t="str">
        <f>("1506130010")</f>
        <v>1506130010</v>
      </c>
      <c r="B1641" s="39" t="s">
        <v>9171</v>
      </c>
      <c r="C1641" s="39"/>
      <c r="D1641" s="39" t="s">
        <v>9172</v>
      </c>
      <c r="E1641" s="371" t="str">
        <f t="shared" si="141"/>
        <v>かわの　つばさ</v>
      </c>
      <c r="F1641" s="39" t="s">
        <v>2325</v>
      </c>
      <c r="G1641" s="39" t="s">
        <v>7828</v>
      </c>
      <c r="H1641" s="39" t="str">
        <f>("2015/06/13")</f>
        <v>2015/06/13</v>
      </c>
      <c r="I1641" s="39">
        <v>4</v>
      </c>
      <c r="J1641" s="39" t="s">
        <v>1478</v>
      </c>
      <c r="K1641" s="39" t="s">
        <v>2122</v>
      </c>
      <c r="L1641" s="39" t="s">
        <v>7830</v>
      </c>
      <c r="M1641" s="39" t="s">
        <v>7831</v>
      </c>
      <c r="N1641" s="39" t="str">
        <f>("0155034")</f>
        <v>0155034</v>
      </c>
      <c r="P1641" s="39" t="s">
        <v>13107</v>
      </c>
      <c r="Q1641" s="39" t="s">
        <v>8568</v>
      </c>
      <c r="R1641" s="39" t="s">
        <v>8569</v>
      </c>
      <c r="S1641" s="39" t="s">
        <v>8570</v>
      </c>
      <c r="AK1641" s="39" t="str">
        <f>("2025/03/17")</f>
        <v>2025/03/17</v>
      </c>
      <c r="AL1641" s="39" t="str">
        <f t="shared" si="143"/>
        <v>2025/04/01</v>
      </c>
    </row>
    <row r="1642" spans="1:38" x14ac:dyDescent="0.25">
      <c r="A1642" s="39" t="str">
        <f>("1506130075")</f>
        <v>1506130075</v>
      </c>
      <c r="C1642" s="39"/>
      <c r="D1642" s="39" t="s">
        <v>9173</v>
      </c>
      <c r="E1642" s="371" t="str">
        <f t="shared" si="141"/>
        <v>よしが　たお</v>
      </c>
      <c r="F1642" s="39" t="s">
        <v>2619</v>
      </c>
      <c r="G1642" s="39" t="s">
        <v>7828</v>
      </c>
      <c r="H1642" s="39" t="str">
        <f>("2015/06/13")</f>
        <v>2015/06/13</v>
      </c>
      <c r="I1642" s="39">
        <v>4</v>
      </c>
      <c r="J1642" s="39" t="s">
        <v>1478</v>
      </c>
      <c r="K1642" s="39" t="s">
        <v>2122</v>
      </c>
      <c r="L1642" s="39" t="s">
        <v>7830</v>
      </c>
      <c r="M1642" s="39" t="s">
        <v>7831</v>
      </c>
      <c r="N1642" s="39" t="str">
        <f>("0472823")</f>
        <v>0472823</v>
      </c>
      <c r="P1642" s="39" t="s">
        <v>13108</v>
      </c>
      <c r="Q1642" s="39" t="s">
        <v>8568</v>
      </c>
      <c r="R1642" s="39" t="s">
        <v>8569</v>
      </c>
      <c r="S1642" s="39" t="s">
        <v>8570</v>
      </c>
      <c r="AK1642" s="39" t="str">
        <f>("2025/03/17")</f>
        <v>2025/03/17</v>
      </c>
      <c r="AL1642" s="39" t="str">
        <f t="shared" si="143"/>
        <v>2025/04/01</v>
      </c>
    </row>
    <row r="1643" spans="1:38" x14ac:dyDescent="0.25">
      <c r="A1643" s="39" t="str">
        <f>("1506140034")</f>
        <v>1506140034</v>
      </c>
      <c r="C1643" s="39"/>
      <c r="D1643" s="39" t="s">
        <v>9174</v>
      </c>
      <c r="E1643" s="371" t="str">
        <f t="shared" si="141"/>
        <v>うらた　とうご</v>
      </c>
      <c r="F1643" s="39" t="s">
        <v>2137</v>
      </c>
      <c r="G1643" s="39" t="s">
        <v>7828</v>
      </c>
      <c r="H1643" s="39" t="str">
        <f>("2015/06/14")</f>
        <v>2015/06/14</v>
      </c>
      <c r="I1643" s="39">
        <v>4</v>
      </c>
      <c r="J1643" s="39" t="s">
        <v>1478</v>
      </c>
      <c r="K1643" s="39" t="s">
        <v>2122</v>
      </c>
      <c r="L1643" s="39" t="s">
        <v>7830</v>
      </c>
      <c r="M1643" s="39" t="s">
        <v>7831</v>
      </c>
      <c r="N1643" s="39" t="str">
        <f>("0130510")</f>
        <v>0130510</v>
      </c>
      <c r="P1643" s="39" t="s">
        <v>13109</v>
      </c>
      <c r="Q1643" s="39" t="s">
        <v>8568</v>
      </c>
      <c r="R1643" s="39" t="s">
        <v>8569</v>
      </c>
      <c r="S1643" s="39" t="s">
        <v>8570</v>
      </c>
      <c r="AK1643" s="39" t="str">
        <f>("2025/03/21")</f>
        <v>2025/03/21</v>
      </c>
      <c r="AL1643" s="39" t="str">
        <f t="shared" si="143"/>
        <v>2025/04/01</v>
      </c>
    </row>
    <row r="1644" spans="1:38" x14ac:dyDescent="0.25">
      <c r="A1644" s="39" t="str">
        <f>("1506140100")</f>
        <v>1506140100</v>
      </c>
      <c r="C1644" s="39"/>
      <c r="D1644" s="39" t="s">
        <v>9175</v>
      </c>
      <c r="E1644" s="371" t="str">
        <f t="shared" si="141"/>
        <v>かい　たかひろ</v>
      </c>
      <c r="F1644" s="39" t="s">
        <v>2323</v>
      </c>
      <c r="G1644" s="39" t="s">
        <v>7828</v>
      </c>
      <c r="H1644" s="39" t="str">
        <f>("2015/06/14")</f>
        <v>2015/06/14</v>
      </c>
      <c r="I1644" s="39">
        <v>4</v>
      </c>
      <c r="J1644" s="39" t="s">
        <v>1478</v>
      </c>
      <c r="K1644" s="39" t="s">
        <v>2122</v>
      </c>
      <c r="L1644" s="39" t="s">
        <v>7830</v>
      </c>
      <c r="M1644" s="39" t="s">
        <v>7831</v>
      </c>
      <c r="N1644" s="39" t="str">
        <f>("0472722")</f>
        <v>0472722</v>
      </c>
      <c r="P1644" s="39" t="s">
        <v>13110</v>
      </c>
      <c r="Q1644" s="39" t="s">
        <v>8568</v>
      </c>
      <c r="R1644" s="39" t="s">
        <v>8569</v>
      </c>
      <c r="S1644" s="39" t="s">
        <v>8570</v>
      </c>
      <c r="AK1644" s="39" t="str">
        <f>("2025/03/17")</f>
        <v>2025/03/17</v>
      </c>
      <c r="AL1644" s="39" t="str">
        <f t="shared" si="143"/>
        <v>2025/04/01</v>
      </c>
    </row>
    <row r="1645" spans="1:38" x14ac:dyDescent="0.25">
      <c r="A1645" s="39" t="str">
        <f>("1506150016")</f>
        <v>1506150016</v>
      </c>
      <c r="C1645" s="39"/>
      <c r="D1645" s="39" t="s">
        <v>9176</v>
      </c>
      <c r="E1645" s="371" t="str">
        <f t="shared" si="141"/>
        <v>さとう　はるま</v>
      </c>
      <c r="F1645" s="39" t="s">
        <v>2137</v>
      </c>
      <c r="G1645" s="39" t="s">
        <v>7828</v>
      </c>
      <c r="H1645" s="39" t="str">
        <f>("2015/06/15")</f>
        <v>2015/06/15</v>
      </c>
      <c r="I1645" s="39">
        <v>4</v>
      </c>
      <c r="J1645" s="39" t="s">
        <v>1478</v>
      </c>
      <c r="K1645" s="39" t="s">
        <v>2122</v>
      </c>
      <c r="L1645" s="39" t="s">
        <v>7830</v>
      </c>
      <c r="M1645" s="39" t="s">
        <v>7831</v>
      </c>
      <c r="N1645" s="39" t="str">
        <f>("0130510")</f>
        <v>0130510</v>
      </c>
      <c r="P1645" s="39" t="s">
        <v>11707</v>
      </c>
      <c r="Q1645" s="39" t="s">
        <v>8568</v>
      </c>
      <c r="R1645" s="39" t="s">
        <v>8569</v>
      </c>
      <c r="S1645" s="39" t="s">
        <v>8570</v>
      </c>
      <c r="AK1645" s="39" t="str">
        <f>("2025/03/21")</f>
        <v>2025/03/21</v>
      </c>
      <c r="AL1645" s="39" t="str">
        <f t="shared" si="143"/>
        <v>2025/04/01</v>
      </c>
    </row>
    <row r="1646" spans="1:38" x14ac:dyDescent="0.25">
      <c r="A1646" s="39" t="str">
        <f>("1506160036")</f>
        <v>1506160036</v>
      </c>
      <c r="C1646" s="39"/>
      <c r="D1646" s="39" t="s">
        <v>6159</v>
      </c>
      <c r="E1646" s="371" t="str">
        <f t="shared" si="141"/>
        <v>みなみ　さくたろう</v>
      </c>
      <c r="F1646" s="39" t="s">
        <v>1446</v>
      </c>
      <c r="G1646" s="39" t="s">
        <v>7828</v>
      </c>
      <c r="H1646" s="39" t="str">
        <f>("2013/06/16")</f>
        <v>2013/06/16</v>
      </c>
      <c r="I1646" s="39">
        <v>6</v>
      </c>
      <c r="J1646" s="39" t="s">
        <v>1478</v>
      </c>
      <c r="K1646" s="39" t="s">
        <v>2122</v>
      </c>
      <c r="L1646" s="39" t="s">
        <v>7830</v>
      </c>
      <c r="M1646" s="39" t="s">
        <v>7831</v>
      </c>
      <c r="N1646" s="39" t="str">
        <f>("0478807")</f>
        <v>0478807</v>
      </c>
      <c r="P1646" s="39" t="s">
        <v>13111</v>
      </c>
      <c r="Q1646" s="39" t="s">
        <v>8568</v>
      </c>
      <c r="R1646" s="39" t="s">
        <v>8569</v>
      </c>
      <c r="S1646" s="39" t="s">
        <v>8570</v>
      </c>
      <c r="AK1646" s="39" t="str">
        <f>("2025/03/21")</f>
        <v>2025/03/21</v>
      </c>
      <c r="AL1646" s="39" t="str">
        <f t="shared" si="143"/>
        <v>2025/04/01</v>
      </c>
    </row>
    <row r="1647" spans="1:38" x14ac:dyDescent="0.25">
      <c r="A1647" s="39" t="str">
        <f>("1506160057")</f>
        <v>1506160057</v>
      </c>
      <c r="C1647" s="39"/>
      <c r="D1647" s="39" t="s">
        <v>9177</v>
      </c>
      <c r="E1647" s="371" t="str">
        <f t="shared" si="141"/>
        <v>おがた　はると</v>
      </c>
      <c r="F1647" s="39" t="s">
        <v>1968</v>
      </c>
      <c r="G1647" s="39" t="s">
        <v>7828</v>
      </c>
      <c r="H1647" s="39" t="str">
        <f>("2015/06/16")</f>
        <v>2015/06/16</v>
      </c>
      <c r="I1647" s="39">
        <v>4</v>
      </c>
      <c r="J1647" s="39" t="s">
        <v>1478</v>
      </c>
      <c r="K1647" s="39" t="s">
        <v>2122</v>
      </c>
      <c r="L1647" s="39" t="s">
        <v>7830</v>
      </c>
      <c r="M1647" s="39" t="s">
        <v>7831</v>
      </c>
      <c r="N1647" s="39" t="str">
        <f>("0129507")</f>
        <v>0129507</v>
      </c>
      <c r="P1647" s="39" t="s">
        <v>13112</v>
      </c>
      <c r="Q1647" s="39" t="s">
        <v>8568</v>
      </c>
      <c r="R1647" s="39" t="s">
        <v>8569</v>
      </c>
      <c r="S1647" s="39" t="s">
        <v>8570</v>
      </c>
      <c r="AK1647" s="39" t="str">
        <f>("2025/03/17")</f>
        <v>2025/03/17</v>
      </c>
      <c r="AL1647" s="39" t="str">
        <f t="shared" si="143"/>
        <v>2025/04/01</v>
      </c>
    </row>
    <row r="1648" spans="1:38" x14ac:dyDescent="0.25">
      <c r="A1648" s="39" t="str">
        <f>("1506160117")</f>
        <v>1506160117</v>
      </c>
      <c r="C1648" s="39"/>
      <c r="D1648" s="39" t="s">
        <v>9178</v>
      </c>
      <c r="E1648" s="371" t="str">
        <f t="shared" si="141"/>
        <v>ふじまる　りょうご</v>
      </c>
      <c r="F1648" s="39" t="s">
        <v>3867</v>
      </c>
      <c r="G1648" s="39" t="s">
        <v>7828</v>
      </c>
      <c r="H1648" s="39" t="str">
        <f>("2015/06/16")</f>
        <v>2015/06/16</v>
      </c>
      <c r="I1648" s="39">
        <v>4</v>
      </c>
      <c r="J1648" s="39" t="s">
        <v>1478</v>
      </c>
      <c r="K1648" s="39" t="s">
        <v>2122</v>
      </c>
      <c r="L1648" s="39" t="s">
        <v>7830</v>
      </c>
      <c r="M1648" s="39" t="s">
        <v>7831</v>
      </c>
      <c r="N1648" s="39" t="str">
        <f>("0129990")</f>
        <v>0129990</v>
      </c>
      <c r="P1648" s="39" t="s">
        <v>13113</v>
      </c>
      <c r="Q1648" s="39" t="s">
        <v>8568</v>
      </c>
      <c r="R1648" s="39" t="s">
        <v>8569</v>
      </c>
      <c r="S1648" s="39" t="s">
        <v>8570</v>
      </c>
      <c r="AK1648" s="39" t="str">
        <f>("2025/04/01")</f>
        <v>2025/04/01</v>
      </c>
      <c r="AL1648" s="39" t="str">
        <f t="shared" si="143"/>
        <v>2025/04/01</v>
      </c>
    </row>
    <row r="1649" spans="1:39" x14ac:dyDescent="0.25">
      <c r="A1649" s="39" t="str">
        <f>("1506160123")</f>
        <v>1506160123</v>
      </c>
      <c r="C1649" s="39"/>
      <c r="D1649" s="39" t="s">
        <v>9179</v>
      </c>
      <c r="E1649" s="371" t="str">
        <f t="shared" si="141"/>
        <v>いとう　くらのすけ</v>
      </c>
      <c r="F1649" s="39" t="s">
        <v>2022</v>
      </c>
      <c r="G1649" s="39" t="s">
        <v>7828</v>
      </c>
      <c r="H1649" s="39" t="str">
        <f>("2015/06/16")</f>
        <v>2015/06/16</v>
      </c>
      <c r="I1649" s="39">
        <v>4</v>
      </c>
      <c r="J1649" s="39" t="s">
        <v>1478</v>
      </c>
      <c r="K1649" s="39" t="s">
        <v>2122</v>
      </c>
      <c r="L1649" s="39" t="s">
        <v>7830</v>
      </c>
      <c r="M1649" s="39" t="s">
        <v>7831</v>
      </c>
      <c r="N1649" s="39" t="str">
        <f>("0130329")</f>
        <v>0130329</v>
      </c>
      <c r="P1649" s="39" t="s">
        <v>13114</v>
      </c>
      <c r="Q1649" s="39" t="s">
        <v>8568</v>
      </c>
      <c r="R1649" s="39" t="s">
        <v>8569</v>
      </c>
      <c r="S1649" s="39" t="s">
        <v>8570</v>
      </c>
      <c r="AA1649" s="39" t="s">
        <v>2122</v>
      </c>
      <c r="AB1649" s="39" t="s">
        <v>7830</v>
      </c>
      <c r="AC1649" s="39" t="s">
        <v>7831</v>
      </c>
      <c r="AD1649" s="39" t="str">
        <f>("0472823")</f>
        <v>0472823</v>
      </c>
      <c r="AE1649" s="39" t="s">
        <v>2619</v>
      </c>
      <c r="AK1649" s="39" t="str">
        <f>("2025/04/10")</f>
        <v>2025/04/10</v>
      </c>
      <c r="AL1649" s="39" t="str">
        <f>("2025/04/10")</f>
        <v>2025/04/10</v>
      </c>
    </row>
    <row r="1650" spans="1:39" x14ac:dyDescent="0.25">
      <c r="A1650" s="39" t="str">
        <f>("1506170177")</f>
        <v>1506170177</v>
      </c>
      <c r="C1650" s="39"/>
      <c r="D1650" s="39" t="s">
        <v>9180</v>
      </c>
      <c r="E1650" s="371" t="str">
        <f t="shared" si="141"/>
        <v>もりもと　いつき</v>
      </c>
      <c r="F1650" s="39" t="s">
        <v>838</v>
      </c>
      <c r="G1650" s="39" t="s">
        <v>7828</v>
      </c>
      <c r="H1650" s="39" t="str">
        <f>("2015/06/17")</f>
        <v>2015/06/17</v>
      </c>
      <c r="I1650" s="39">
        <v>4</v>
      </c>
      <c r="J1650" s="39" t="s">
        <v>1478</v>
      </c>
      <c r="K1650" s="39" t="s">
        <v>2122</v>
      </c>
      <c r="L1650" s="39" t="s">
        <v>7830</v>
      </c>
      <c r="M1650" s="39" t="s">
        <v>7831</v>
      </c>
      <c r="N1650" s="39" t="str">
        <f>("0360021")</f>
        <v>0360021</v>
      </c>
      <c r="P1650" s="39" t="s">
        <v>13115</v>
      </c>
      <c r="Q1650" s="39" t="s">
        <v>8568</v>
      </c>
      <c r="R1650" s="39" t="s">
        <v>8569</v>
      </c>
      <c r="S1650" s="39" t="s">
        <v>8570</v>
      </c>
      <c r="AK1650" s="39" t="str">
        <f>("2025/04/10")</f>
        <v>2025/04/10</v>
      </c>
      <c r="AL1650" s="39" t="str">
        <f>("2025/04/10")</f>
        <v>2025/04/10</v>
      </c>
    </row>
    <row r="1651" spans="1:39" x14ac:dyDescent="0.25">
      <c r="A1651" s="39" t="str">
        <f>("1506170204")</f>
        <v>1506170204</v>
      </c>
      <c r="C1651" s="39"/>
      <c r="D1651" s="39" t="s">
        <v>9181</v>
      </c>
      <c r="E1651" s="371" t="str">
        <f t="shared" si="141"/>
        <v>あきずき　めい</v>
      </c>
      <c r="F1651" s="39" t="s">
        <v>2821</v>
      </c>
      <c r="G1651" s="39" t="s">
        <v>7828</v>
      </c>
      <c r="H1651" s="39" t="str">
        <f>("2015/06/17")</f>
        <v>2015/06/17</v>
      </c>
      <c r="I1651" s="39">
        <v>4</v>
      </c>
      <c r="J1651" s="39" t="s">
        <v>9182</v>
      </c>
      <c r="K1651" s="39" t="s">
        <v>2122</v>
      </c>
      <c r="L1651" s="39" t="s">
        <v>7830</v>
      </c>
      <c r="M1651" s="39" t="s">
        <v>7831</v>
      </c>
      <c r="N1651" s="39" t="str">
        <f>("0237631")</f>
        <v>0237631</v>
      </c>
      <c r="P1651" s="39" t="s">
        <v>13116</v>
      </c>
      <c r="Q1651" s="39" t="s">
        <v>8568</v>
      </c>
      <c r="R1651" s="39" t="s">
        <v>8569</v>
      </c>
      <c r="S1651" s="39" t="s">
        <v>8570</v>
      </c>
      <c r="AK1651" s="39" t="str">
        <f>("2025/07/24")</f>
        <v>2025/07/24</v>
      </c>
      <c r="AL1651" s="39" t="str">
        <f>("2025/07/24")</f>
        <v>2025/07/24</v>
      </c>
    </row>
    <row r="1652" spans="1:39" x14ac:dyDescent="0.25">
      <c r="A1652" s="39" t="str">
        <f>("1506180217")</f>
        <v>1506180217</v>
      </c>
      <c r="C1652" s="39"/>
      <c r="D1652" s="39" t="s">
        <v>9183</v>
      </c>
      <c r="E1652" s="371" t="str">
        <f t="shared" si="141"/>
        <v>みよし　つかさ</v>
      </c>
      <c r="F1652" s="39" t="s">
        <v>413</v>
      </c>
      <c r="G1652" s="39" t="s">
        <v>7828</v>
      </c>
      <c r="H1652" s="39" t="str">
        <f>("2015/06/18")</f>
        <v>2015/06/18</v>
      </c>
      <c r="I1652" s="39">
        <v>4</v>
      </c>
      <c r="J1652" s="39" t="s">
        <v>1478</v>
      </c>
      <c r="K1652" s="39" t="s">
        <v>2122</v>
      </c>
      <c r="L1652" s="39" t="s">
        <v>7830</v>
      </c>
      <c r="M1652" s="39" t="s">
        <v>7831</v>
      </c>
      <c r="N1652" s="39" t="str">
        <f>("0436902")</f>
        <v>0436902</v>
      </c>
      <c r="P1652" s="39" t="s">
        <v>13117</v>
      </c>
      <c r="Q1652" s="39" t="s">
        <v>8568</v>
      </c>
      <c r="R1652" s="39" t="s">
        <v>8569</v>
      </c>
      <c r="S1652" s="39" t="s">
        <v>8570</v>
      </c>
      <c r="AK1652" s="39" t="str">
        <f>("2025/06/28")</f>
        <v>2025/06/28</v>
      </c>
      <c r="AL1652" s="39" t="str">
        <f>("2025/06/28")</f>
        <v>2025/06/28</v>
      </c>
    </row>
    <row r="1653" spans="1:39" x14ac:dyDescent="0.25">
      <c r="A1653" s="39" t="str">
        <f>("1506190062")</f>
        <v>1506190062</v>
      </c>
      <c r="B1653" s="39" t="s">
        <v>9184</v>
      </c>
      <c r="C1653" s="39"/>
      <c r="D1653" s="39" t="s">
        <v>9185</v>
      </c>
      <c r="E1653" s="371" t="str">
        <f t="shared" si="141"/>
        <v>おかもと　さくと</v>
      </c>
      <c r="F1653" s="39" t="s">
        <v>5619</v>
      </c>
      <c r="G1653" s="39" t="s">
        <v>7828</v>
      </c>
      <c r="H1653" s="39" t="str">
        <f>("2015/06/19")</f>
        <v>2015/06/19</v>
      </c>
      <c r="I1653" s="39">
        <v>4</v>
      </c>
      <c r="J1653" s="39" t="s">
        <v>1478</v>
      </c>
      <c r="K1653" s="39" t="s">
        <v>2122</v>
      </c>
      <c r="L1653" s="39" t="s">
        <v>7830</v>
      </c>
      <c r="M1653" s="39" t="s">
        <v>7831</v>
      </c>
      <c r="N1653" s="39" t="str">
        <f>("1089004")</f>
        <v>1089004</v>
      </c>
      <c r="P1653" s="39" t="s">
        <v>13118</v>
      </c>
      <c r="Q1653" s="39" t="s">
        <v>8568</v>
      </c>
      <c r="R1653" s="39" t="s">
        <v>8569</v>
      </c>
      <c r="S1653" s="39" t="s">
        <v>8570</v>
      </c>
      <c r="AA1653" s="39" t="s">
        <v>2122</v>
      </c>
      <c r="AB1653" s="39" t="s">
        <v>7830</v>
      </c>
      <c r="AC1653" s="39" t="s">
        <v>7831</v>
      </c>
      <c r="AD1653" s="39" t="str">
        <f>("0130598")</f>
        <v>0130598</v>
      </c>
      <c r="AE1653" s="39" t="s">
        <v>1330</v>
      </c>
      <c r="AK1653" s="39" t="str">
        <f>("2025/05/27")</f>
        <v>2025/05/27</v>
      </c>
      <c r="AL1653" s="39" t="str">
        <f>("2025/05/27")</f>
        <v>2025/05/27</v>
      </c>
    </row>
    <row r="1654" spans="1:39" x14ac:dyDescent="0.25">
      <c r="A1654" s="39" t="str">
        <f>("1506190087")</f>
        <v>1506190087</v>
      </c>
      <c r="B1654" s="39" t="s">
        <v>9186</v>
      </c>
      <c r="C1654" s="39"/>
      <c r="D1654" s="39" t="s">
        <v>5702</v>
      </c>
      <c r="E1654" s="371" t="str">
        <f t="shared" si="141"/>
        <v>やの　ひろと</v>
      </c>
      <c r="F1654" s="39" t="s">
        <v>2485</v>
      </c>
      <c r="G1654" s="39" t="s">
        <v>7828</v>
      </c>
      <c r="H1654" s="39" t="str">
        <f>("2015/06/19")</f>
        <v>2015/06/19</v>
      </c>
      <c r="I1654" s="39">
        <v>4</v>
      </c>
      <c r="J1654" s="39" t="s">
        <v>1478</v>
      </c>
      <c r="K1654" s="39" t="s">
        <v>2122</v>
      </c>
      <c r="L1654" s="39" t="s">
        <v>7830</v>
      </c>
      <c r="M1654" s="39" t="s">
        <v>7831</v>
      </c>
      <c r="N1654" s="39" t="str">
        <f>("0129754")</f>
        <v>0129754</v>
      </c>
      <c r="P1654" s="39" t="s">
        <v>13119</v>
      </c>
      <c r="Q1654" s="39" t="s">
        <v>8568</v>
      </c>
      <c r="R1654" s="39" t="s">
        <v>8569</v>
      </c>
      <c r="S1654" s="39" t="s">
        <v>8570</v>
      </c>
      <c r="AK1654" s="39" t="str">
        <f>("2025/03/24")</f>
        <v>2025/03/24</v>
      </c>
      <c r="AL1654" s="39" t="str">
        <f>("2025/04/01")</f>
        <v>2025/04/01</v>
      </c>
    </row>
    <row r="1655" spans="1:39" x14ac:dyDescent="0.25">
      <c r="A1655" s="39" t="str">
        <f>("1506200029")</f>
        <v>1506200029</v>
      </c>
      <c r="B1655" s="39" t="s">
        <v>9187</v>
      </c>
      <c r="C1655" s="39"/>
      <c r="D1655" s="39" t="s">
        <v>9188</v>
      </c>
      <c r="E1655" s="371" t="str">
        <f t="shared" si="141"/>
        <v>よしみつ　そうた</v>
      </c>
      <c r="F1655" s="39" t="s">
        <v>928</v>
      </c>
      <c r="G1655" s="39" t="s">
        <v>7828</v>
      </c>
      <c r="H1655" s="39" t="str">
        <f>("2015/06/20")</f>
        <v>2015/06/20</v>
      </c>
      <c r="I1655" s="39">
        <v>4</v>
      </c>
      <c r="J1655" s="39" t="s">
        <v>1478</v>
      </c>
      <c r="K1655" s="39" t="s">
        <v>2122</v>
      </c>
      <c r="L1655" s="39" t="s">
        <v>7830</v>
      </c>
      <c r="M1655" s="39" t="s">
        <v>7831</v>
      </c>
      <c r="N1655" s="39" t="str">
        <f>("0130532")</f>
        <v>0130532</v>
      </c>
      <c r="P1655" s="39" t="s">
        <v>13120</v>
      </c>
      <c r="Q1655" s="39" t="s">
        <v>8568</v>
      </c>
      <c r="R1655" s="39" t="s">
        <v>8569</v>
      </c>
      <c r="S1655" s="39" t="s">
        <v>8570</v>
      </c>
      <c r="AK1655" s="39" t="str">
        <f>("2025/03/17")</f>
        <v>2025/03/17</v>
      </c>
      <c r="AL1655" s="39" t="str">
        <f>("2025/04/01")</f>
        <v>2025/04/01</v>
      </c>
    </row>
    <row r="1656" spans="1:39" x14ac:dyDescent="0.25">
      <c r="A1656" s="39" t="str">
        <f>("1506200091")</f>
        <v>1506200091</v>
      </c>
      <c r="C1656" s="39"/>
      <c r="D1656" s="39" t="s">
        <v>9189</v>
      </c>
      <c r="E1656" s="371" t="str">
        <f t="shared" si="141"/>
        <v>さとう　ふうた</v>
      </c>
      <c r="F1656" s="39" t="s">
        <v>2619</v>
      </c>
      <c r="G1656" s="39" t="s">
        <v>7828</v>
      </c>
      <c r="H1656" s="39" t="str">
        <f>("2015/06/20")</f>
        <v>2015/06/20</v>
      </c>
      <c r="I1656" s="39">
        <v>4</v>
      </c>
      <c r="J1656" s="39" t="s">
        <v>1478</v>
      </c>
      <c r="K1656" s="39" t="s">
        <v>2122</v>
      </c>
      <c r="L1656" s="39" t="s">
        <v>7830</v>
      </c>
      <c r="M1656" s="39" t="s">
        <v>7831</v>
      </c>
      <c r="N1656" s="39" t="str">
        <f>("0472823")</f>
        <v>0472823</v>
      </c>
      <c r="P1656" s="39" t="s">
        <v>13121</v>
      </c>
      <c r="Q1656" s="39" t="s">
        <v>8568</v>
      </c>
      <c r="R1656" s="39" t="s">
        <v>8569</v>
      </c>
      <c r="S1656" s="39" t="s">
        <v>8570</v>
      </c>
      <c r="AK1656" s="39" t="str">
        <f>("2025/03/17")</f>
        <v>2025/03/17</v>
      </c>
      <c r="AL1656" s="39" t="str">
        <f>("2025/04/01")</f>
        <v>2025/04/01</v>
      </c>
    </row>
    <row r="1657" spans="1:39" x14ac:dyDescent="0.25">
      <c r="A1657" s="39" t="str">
        <f>("1506220126")</f>
        <v>1506220126</v>
      </c>
      <c r="C1657" s="39"/>
      <c r="D1657" s="39" t="s">
        <v>9190</v>
      </c>
      <c r="E1657" s="371" t="str">
        <f t="shared" si="141"/>
        <v>しげた　はるひと</v>
      </c>
      <c r="F1657" s="39" t="s">
        <v>2477</v>
      </c>
      <c r="G1657" s="39" t="s">
        <v>7876</v>
      </c>
      <c r="H1657" s="39" t="str">
        <f>("2015/06/22")</f>
        <v>2015/06/22</v>
      </c>
      <c r="I1657" s="39">
        <v>4</v>
      </c>
      <c r="J1657" s="39" t="s">
        <v>1478</v>
      </c>
      <c r="K1657" s="39" t="s">
        <v>2122</v>
      </c>
      <c r="L1657" s="39" t="s">
        <v>7830</v>
      </c>
      <c r="M1657" s="39" t="s">
        <v>7831</v>
      </c>
      <c r="N1657" s="39" t="str">
        <f>("0129541")</f>
        <v>0129541</v>
      </c>
      <c r="P1657" s="39" t="s">
        <v>13122</v>
      </c>
      <c r="Q1657" s="39" t="s">
        <v>8568</v>
      </c>
      <c r="R1657" s="39" t="s">
        <v>8569</v>
      </c>
      <c r="S1657" s="39" t="s">
        <v>8570</v>
      </c>
      <c r="AK1657" s="39" t="str">
        <f>("2025/03/27")</f>
        <v>2025/03/27</v>
      </c>
      <c r="AL1657" s="39" t="str">
        <f>("2025/04/01")</f>
        <v>2025/04/01</v>
      </c>
      <c r="AM1657" s="39" t="str">
        <f>("2025/09/22")</f>
        <v>2025/09/22</v>
      </c>
    </row>
    <row r="1658" spans="1:39" x14ac:dyDescent="0.25">
      <c r="A1658" s="39" t="str">
        <f>("1506220180")</f>
        <v>1506220180</v>
      </c>
      <c r="C1658" s="39"/>
      <c r="D1658" s="39" t="s">
        <v>9191</v>
      </c>
      <c r="E1658" s="371" t="str">
        <f t="shared" si="141"/>
        <v>とくまる　かいしゅう</v>
      </c>
      <c r="F1658" s="39" t="s">
        <v>2587</v>
      </c>
      <c r="G1658" s="39" t="s">
        <v>7828</v>
      </c>
      <c r="H1658" s="39" t="str">
        <f>("2015/06/22")</f>
        <v>2015/06/22</v>
      </c>
      <c r="I1658" s="39">
        <v>4</v>
      </c>
      <c r="J1658" s="39" t="s">
        <v>1478</v>
      </c>
      <c r="K1658" s="39" t="s">
        <v>2122</v>
      </c>
      <c r="L1658" s="39" t="s">
        <v>7830</v>
      </c>
      <c r="M1658" s="39" t="s">
        <v>7831</v>
      </c>
      <c r="N1658" s="39" t="str">
        <f>("0387334")</f>
        <v>0387334</v>
      </c>
      <c r="P1658" s="39" t="s">
        <v>13123</v>
      </c>
      <c r="Q1658" s="39" t="s">
        <v>8568</v>
      </c>
      <c r="R1658" s="39" t="s">
        <v>8569</v>
      </c>
      <c r="S1658" s="39" t="s">
        <v>8570</v>
      </c>
      <c r="AK1658" s="39" t="str">
        <f>("2025/04/10")</f>
        <v>2025/04/10</v>
      </c>
      <c r="AL1658" s="39" t="str">
        <f>("2025/04/10")</f>
        <v>2025/04/10</v>
      </c>
    </row>
    <row r="1659" spans="1:39" x14ac:dyDescent="0.25">
      <c r="A1659" s="39" t="str">
        <f>("1506220202")</f>
        <v>1506220202</v>
      </c>
      <c r="C1659" s="39"/>
      <c r="D1659" s="39" t="s">
        <v>9192</v>
      </c>
      <c r="E1659" s="371" t="str">
        <f t="shared" si="141"/>
        <v>ふじかわ　ゆうり</v>
      </c>
      <c r="F1659" s="39" t="s">
        <v>1207</v>
      </c>
      <c r="G1659" s="39" t="s">
        <v>7828</v>
      </c>
      <c r="H1659" s="39" t="str">
        <f>("2015/06/22")</f>
        <v>2015/06/22</v>
      </c>
      <c r="I1659" s="39">
        <v>4</v>
      </c>
      <c r="J1659" s="39" t="s">
        <v>1478</v>
      </c>
      <c r="K1659" s="39" t="s">
        <v>2122</v>
      </c>
      <c r="L1659" s="39" t="s">
        <v>7830</v>
      </c>
      <c r="M1659" s="39" t="s">
        <v>7831</v>
      </c>
      <c r="N1659" s="39" t="str">
        <f>("0381608")</f>
        <v>0381608</v>
      </c>
      <c r="P1659" s="39" t="s">
        <v>13124</v>
      </c>
      <c r="Q1659" s="39" t="s">
        <v>8568</v>
      </c>
      <c r="R1659" s="39" t="s">
        <v>8569</v>
      </c>
      <c r="S1659" s="39" t="s">
        <v>8570</v>
      </c>
      <c r="AK1659" s="39" t="str">
        <f>("2025/10/17")</f>
        <v>2025/10/17</v>
      </c>
      <c r="AL1659" s="39" t="str">
        <f>("2025/10/17")</f>
        <v>2025/10/17</v>
      </c>
    </row>
    <row r="1660" spans="1:39" x14ac:dyDescent="0.25">
      <c r="A1660" s="39" t="str">
        <f>("1506230029")</f>
        <v>1506230029</v>
      </c>
      <c r="C1660" s="39"/>
      <c r="D1660" s="39" t="s">
        <v>9193</v>
      </c>
      <c r="E1660" s="371" t="str">
        <f t="shared" si="141"/>
        <v>しげいし　ゆうと</v>
      </c>
      <c r="F1660" s="39" t="s">
        <v>2575</v>
      </c>
      <c r="G1660" s="39" t="s">
        <v>7828</v>
      </c>
      <c r="H1660" s="39" t="str">
        <f>("2015/06/23")</f>
        <v>2015/06/23</v>
      </c>
      <c r="I1660" s="39">
        <v>4</v>
      </c>
      <c r="J1660" s="39" t="s">
        <v>1478</v>
      </c>
      <c r="K1660" s="39" t="s">
        <v>2122</v>
      </c>
      <c r="L1660" s="39" t="s">
        <v>7830</v>
      </c>
      <c r="M1660" s="39" t="s">
        <v>7831</v>
      </c>
      <c r="N1660" s="39" t="str">
        <f>("0303040")</f>
        <v>0303040</v>
      </c>
      <c r="P1660" s="39" t="s">
        <v>13125</v>
      </c>
      <c r="Q1660" s="39" t="s">
        <v>8568</v>
      </c>
      <c r="R1660" s="39" t="s">
        <v>8569</v>
      </c>
      <c r="S1660" s="39" t="s">
        <v>8570</v>
      </c>
      <c r="AK1660" s="39" t="str">
        <f>("2025/03/17")</f>
        <v>2025/03/17</v>
      </c>
      <c r="AL1660" s="39" t="str">
        <f>("2025/04/01")</f>
        <v>2025/04/01</v>
      </c>
    </row>
    <row r="1661" spans="1:39" x14ac:dyDescent="0.25">
      <c r="A1661" s="39" t="str">
        <f>("1506240010")</f>
        <v>1506240010</v>
      </c>
      <c r="C1661" s="39"/>
      <c r="D1661" s="39" t="s">
        <v>9194</v>
      </c>
      <c r="E1661" s="371" t="str">
        <f t="shared" si="141"/>
        <v>しゅれすた　かるしぶ</v>
      </c>
      <c r="F1661" s="39" t="s">
        <v>1912</v>
      </c>
      <c r="G1661" s="39" t="s">
        <v>7828</v>
      </c>
      <c r="H1661" s="39" t="str">
        <f>("2015/06/24")</f>
        <v>2015/06/24</v>
      </c>
      <c r="I1661" s="39">
        <v>4</v>
      </c>
      <c r="J1661" s="39" t="s">
        <v>1478</v>
      </c>
      <c r="K1661" s="39" t="s">
        <v>2122</v>
      </c>
      <c r="L1661" s="39" t="s">
        <v>7830</v>
      </c>
      <c r="M1661" s="39" t="s">
        <v>7831</v>
      </c>
      <c r="N1661" s="39" t="str">
        <f>("0130363")</f>
        <v>0130363</v>
      </c>
      <c r="P1661" s="39" t="s">
        <v>13126</v>
      </c>
      <c r="Q1661" s="39" t="s">
        <v>8568</v>
      </c>
      <c r="R1661" s="39" t="s">
        <v>9195</v>
      </c>
      <c r="S1661" s="39" t="s">
        <v>9196</v>
      </c>
      <c r="AK1661" s="39" t="str">
        <f>("2025/11/18")</f>
        <v>2025/11/18</v>
      </c>
      <c r="AL1661" s="39" t="str">
        <f>("2025/11/18")</f>
        <v>2025/11/18</v>
      </c>
    </row>
    <row r="1662" spans="1:39" x14ac:dyDescent="0.25">
      <c r="A1662" s="39" t="str">
        <f>("1506240050")</f>
        <v>1506240050</v>
      </c>
      <c r="C1662" s="39"/>
      <c r="D1662" s="39" t="s">
        <v>6073</v>
      </c>
      <c r="E1662" s="371" t="str">
        <f t="shared" si="141"/>
        <v>かくや　いつき</v>
      </c>
      <c r="F1662" s="39" t="s">
        <v>1977</v>
      </c>
      <c r="G1662" s="39" t="s">
        <v>7828</v>
      </c>
      <c r="H1662" s="39" t="str">
        <f>("2015/06/24")</f>
        <v>2015/06/24</v>
      </c>
      <c r="I1662" s="39">
        <v>4</v>
      </c>
      <c r="J1662" s="39" t="s">
        <v>1478</v>
      </c>
      <c r="K1662" s="39" t="s">
        <v>2122</v>
      </c>
      <c r="L1662" s="39" t="s">
        <v>7830</v>
      </c>
      <c r="M1662" s="39" t="s">
        <v>7831</v>
      </c>
      <c r="N1662" s="39" t="str">
        <f>("0395254")</f>
        <v>0395254</v>
      </c>
      <c r="P1662" s="39" t="s">
        <v>13127</v>
      </c>
      <c r="Q1662" s="39" t="s">
        <v>8568</v>
      </c>
      <c r="R1662" s="39" t="s">
        <v>8569</v>
      </c>
      <c r="S1662" s="39" t="s">
        <v>8570</v>
      </c>
      <c r="AK1662" s="39" t="str">
        <f>("2025/03/17")</f>
        <v>2025/03/17</v>
      </c>
      <c r="AL1662" s="39" t="str">
        <f>("2025/04/01")</f>
        <v>2025/04/01</v>
      </c>
    </row>
    <row r="1663" spans="1:39" x14ac:dyDescent="0.25">
      <c r="A1663" s="39" t="str">
        <f>("1506240115")</f>
        <v>1506240115</v>
      </c>
      <c r="B1663" s="39" t="s">
        <v>9197</v>
      </c>
      <c r="C1663" s="39"/>
      <c r="D1663" s="39" t="s">
        <v>9198</v>
      </c>
      <c r="E1663" s="371" t="str">
        <f t="shared" si="141"/>
        <v>やまだ　えいと</v>
      </c>
      <c r="F1663" s="39" t="s">
        <v>1330</v>
      </c>
      <c r="G1663" s="39" t="s">
        <v>7828</v>
      </c>
      <c r="H1663" s="39" t="str">
        <f>("2015/06/24")</f>
        <v>2015/06/24</v>
      </c>
      <c r="I1663" s="39">
        <v>4</v>
      </c>
      <c r="J1663" s="39" t="s">
        <v>1478</v>
      </c>
      <c r="K1663" s="39" t="s">
        <v>2122</v>
      </c>
      <c r="L1663" s="39" t="s">
        <v>7830</v>
      </c>
      <c r="M1663" s="39" t="s">
        <v>7831</v>
      </c>
      <c r="N1663" s="39" t="str">
        <f>("0130598")</f>
        <v>0130598</v>
      </c>
      <c r="P1663" s="39" t="s">
        <v>13128</v>
      </c>
      <c r="Q1663" s="39" t="s">
        <v>8568</v>
      </c>
      <c r="R1663" s="39" t="s">
        <v>8569</v>
      </c>
      <c r="S1663" s="39" t="s">
        <v>8570</v>
      </c>
      <c r="AK1663" s="39" t="str">
        <f>("2025/03/17")</f>
        <v>2025/03/17</v>
      </c>
      <c r="AL1663" s="39" t="str">
        <f>("2025/04/01")</f>
        <v>2025/04/01</v>
      </c>
    </row>
    <row r="1664" spans="1:39" x14ac:dyDescent="0.25">
      <c r="A1664" s="39" t="str">
        <f>("1506240202")</f>
        <v>1506240202</v>
      </c>
      <c r="C1664" s="39"/>
      <c r="D1664" s="39" t="s">
        <v>9199</v>
      </c>
      <c r="E1664" s="371" t="str">
        <f t="shared" si="141"/>
        <v>さとう　きらと</v>
      </c>
      <c r="F1664" s="39" t="s">
        <v>2587</v>
      </c>
      <c r="G1664" s="39" t="s">
        <v>7828</v>
      </c>
      <c r="H1664" s="39" t="str">
        <f>("2015/06/24")</f>
        <v>2015/06/24</v>
      </c>
      <c r="I1664" s="39">
        <v>4</v>
      </c>
      <c r="J1664" s="39" t="s">
        <v>1478</v>
      </c>
      <c r="K1664" s="39" t="s">
        <v>2122</v>
      </c>
      <c r="L1664" s="39" t="s">
        <v>7830</v>
      </c>
      <c r="M1664" s="39" t="s">
        <v>7831</v>
      </c>
      <c r="N1664" s="39" t="str">
        <f>("0387334")</f>
        <v>0387334</v>
      </c>
      <c r="P1664" s="39" t="s">
        <v>13129</v>
      </c>
      <c r="Q1664" s="39" t="s">
        <v>8568</v>
      </c>
      <c r="R1664" s="39" t="s">
        <v>8569</v>
      </c>
      <c r="S1664" s="39" t="s">
        <v>8570</v>
      </c>
      <c r="AK1664" s="39" t="str">
        <f>("2025/10/09")</f>
        <v>2025/10/09</v>
      </c>
      <c r="AL1664" s="39" t="str">
        <f>("2025/10/09")</f>
        <v>2025/10/09</v>
      </c>
    </row>
    <row r="1665" spans="1:38" x14ac:dyDescent="0.25">
      <c r="A1665" s="39" t="str">
        <f>("1506250037")</f>
        <v>1506250037</v>
      </c>
      <c r="C1665" s="39"/>
      <c r="D1665" s="39" t="s">
        <v>9200</v>
      </c>
      <c r="E1665" s="371" t="str">
        <f t="shared" si="141"/>
        <v>ひえだ　りくと</v>
      </c>
      <c r="F1665" s="39" t="s">
        <v>2139</v>
      </c>
      <c r="G1665" s="39" t="s">
        <v>7828</v>
      </c>
      <c r="H1665" s="39" t="str">
        <f>("2015/06/25")</f>
        <v>2015/06/25</v>
      </c>
      <c r="I1665" s="39">
        <v>4</v>
      </c>
      <c r="J1665" s="39" t="s">
        <v>1478</v>
      </c>
      <c r="K1665" s="39" t="s">
        <v>2122</v>
      </c>
      <c r="L1665" s="39" t="s">
        <v>7830</v>
      </c>
      <c r="M1665" s="39" t="s">
        <v>7831</v>
      </c>
      <c r="N1665" s="39" t="str">
        <f>("0129798")</f>
        <v>0129798</v>
      </c>
      <c r="P1665" s="39" t="s">
        <v>13130</v>
      </c>
      <c r="Q1665" s="39" t="s">
        <v>8568</v>
      </c>
      <c r="R1665" s="39" t="s">
        <v>8569</v>
      </c>
      <c r="S1665" s="39" t="s">
        <v>8570</v>
      </c>
      <c r="AK1665" s="39" t="str">
        <f>("2025/03/27")</f>
        <v>2025/03/27</v>
      </c>
      <c r="AL1665" s="39" t="str">
        <f>("2025/04/01")</f>
        <v>2025/04/01</v>
      </c>
    </row>
    <row r="1666" spans="1:38" x14ac:dyDescent="0.25">
      <c r="A1666" s="39" t="str">
        <f>("1506250198")</f>
        <v>1506250198</v>
      </c>
      <c r="C1666" s="39"/>
      <c r="D1666" s="39" t="s">
        <v>9201</v>
      </c>
      <c r="E1666" s="371" t="str">
        <f t="shared" si="141"/>
        <v>いけだ　るいと</v>
      </c>
      <c r="F1666" s="39" t="s">
        <v>2587</v>
      </c>
      <c r="G1666" s="39" t="s">
        <v>7828</v>
      </c>
      <c r="H1666" s="39" t="str">
        <f>("2015/06/25")</f>
        <v>2015/06/25</v>
      </c>
      <c r="I1666" s="39">
        <v>4</v>
      </c>
      <c r="J1666" s="39" t="s">
        <v>1478</v>
      </c>
      <c r="K1666" s="39" t="s">
        <v>2122</v>
      </c>
      <c r="L1666" s="39" t="s">
        <v>7830</v>
      </c>
      <c r="M1666" s="39" t="s">
        <v>7831</v>
      </c>
      <c r="N1666" s="39" t="str">
        <f>("0387334")</f>
        <v>0387334</v>
      </c>
      <c r="P1666" s="39" t="s">
        <v>13131</v>
      </c>
      <c r="Q1666" s="39" t="s">
        <v>8568</v>
      </c>
      <c r="R1666" s="39" t="s">
        <v>8569</v>
      </c>
      <c r="S1666" s="39" t="s">
        <v>8570</v>
      </c>
      <c r="AK1666" s="39" t="str">
        <f>("2025/04/10")</f>
        <v>2025/04/10</v>
      </c>
      <c r="AL1666" s="39" t="str">
        <f>("2025/04/10")</f>
        <v>2025/04/10</v>
      </c>
    </row>
    <row r="1667" spans="1:38" x14ac:dyDescent="0.25">
      <c r="A1667" s="39" t="str">
        <f>("1506260126")</f>
        <v>1506260126</v>
      </c>
      <c r="C1667" s="39"/>
      <c r="D1667" s="39" t="s">
        <v>9202</v>
      </c>
      <c r="E1667" s="371" t="str">
        <f t="shared" ref="E1667:E1730" si="144">PHONETIC(P1667)</f>
        <v>いのまた　なお</v>
      </c>
      <c r="F1667" s="39" t="s">
        <v>2587</v>
      </c>
      <c r="G1667" s="39" t="s">
        <v>7828</v>
      </c>
      <c r="H1667" s="39" t="str">
        <f>("2015/06/26")</f>
        <v>2015/06/26</v>
      </c>
      <c r="I1667" s="39">
        <v>4</v>
      </c>
      <c r="J1667" s="39" t="s">
        <v>1480</v>
      </c>
      <c r="K1667" s="39" t="s">
        <v>2122</v>
      </c>
      <c r="L1667" s="39" t="s">
        <v>7830</v>
      </c>
      <c r="M1667" s="39" t="s">
        <v>7831</v>
      </c>
      <c r="N1667" s="39" t="str">
        <f>("0387334")</f>
        <v>0387334</v>
      </c>
      <c r="P1667" s="39" t="s">
        <v>13132</v>
      </c>
      <c r="Q1667" s="39" t="s">
        <v>8568</v>
      </c>
      <c r="R1667" s="39" t="s">
        <v>8569</v>
      </c>
      <c r="S1667" s="39" t="s">
        <v>8570</v>
      </c>
      <c r="AK1667" s="39" t="str">
        <f>("2025/03/27")</f>
        <v>2025/03/27</v>
      </c>
      <c r="AL1667" s="39" t="str">
        <f>("2025/04/01")</f>
        <v>2025/04/01</v>
      </c>
    </row>
    <row r="1668" spans="1:38" x14ac:dyDescent="0.25">
      <c r="A1668" s="39" t="str">
        <f>("1506260172")</f>
        <v>1506260172</v>
      </c>
      <c r="B1668" s="39" t="s">
        <v>9203</v>
      </c>
      <c r="C1668" s="39"/>
      <c r="D1668" s="39" t="s">
        <v>9204</v>
      </c>
      <c r="E1668" s="371" t="str">
        <f t="shared" si="144"/>
        <v>ひらの　せら</v>
      </c>
      <c r="F1668" s="39" t="s">
        <v>8050</v>
      </c>
      <c r="G1668" s="39" t="s">
        <v>7828</v>
      </c>
      <c r="H1668" s="39" t="str">
        <f>("2015/06/26")</f>
        <v>2015/06/26</v>
      </c>
      <c r="I1668" s="39">
        <v>4</v>
      </c>
      <c r="J1668" s="39" t="s">
        <v>1480</v>
      </c>
      <c r="K1668" s="39" t="s">
        <v>2122</v>
      </c>
      <c r="L1668" s="39" t="s">
        <v>7830</v>
      </c>
      <c r="M1668" s="39" t="s">
        <v>7831</v>
      </c>
      <c r="N1668" s="39" t="str">
        <f>("0130015")</f>
        <v>0130015</v>
      </c>
      <c r="P1668" s="39" t="s">
        <v>13133</v>
      </c>
      <c r="Q1668" s="39" t="s">
        <v>8568</v>
      </c>
      <c r="R1668" s="39" t="s">
        <v>8569</v>
      </c>
      <c r="S1668" s="39" t="s">
        <v>8570</v>
      </c>
      <c r="AK1668" s="39" t="str">
        <f>("2025/03/17")</f>
        <v>2025/03/17</v>
      </c>
      <c r="AL1668" s="39" t="str">
        <f>("2025/04/01")</f>
        <v>2025/04/01</v>
      </c>
    </row>
    <row r="1669" spans="1:38" x14ac:dyDescent="0.25">
      <c r="A1669" s="39" t="str">
        <f>("1506260182")</f>
        <v>1506260182</v>
      </c>
      <c r="C1669" s="39"/>
      <c r="D1669" s="39" t="s">
        <v>9205</v>
      </c>
      <c r="E1669" s="371" t="str">
        <f t="shared" si="144"/>
        <v>さがら　みずき</v>
      </c>
      <c r="F1669" s="39" t="s">
        <v>3866</v>
      </c>
      <c r="G1669" s="39" t="s">
        <v>7828</v>
      </c>
      <c r="H1669" s="39" t="str">
        <f>("2015/06/26")</f>
        <v>2015/06/26</v>
      </c>
      <c r="I1669" s="39">
        <v>4</v>
      </c>
      <c r="J1669" s="39" t="s">
        <v>1478</v>
      </c>
      <c r="K1669" s="39" t="s">
        <v>2122</v>
      </c>
      <c r="L1669" s="39" t="s">
        <v>7830</v>
      </c>
      <c r="M1669" s="39" t="s">
        <v>7831</v>
      </c>
      <c r="N1669" s="39" t="str">
        <f>("0129675")</f>
        <v>0129675</v>
      </c>
      <c r="P1669" s="39" t="s">
        <v>12274</v>
      </c>
      <c r="Q1669" s="39" t="s">
        <v>8568</v>
      </c>
      <c r="R1669" s="39" t="s">
        <v>8569</v>
      </c>
      <c r="S1669" s="39" t="s">
        <v>8570</v>
      </c>
      <c r="AK1669" s="39" t="str">
        <f>("2025/04/01")</f>
        <v>2025/04/01</v>
      </c>
      <c r="AL1669" s="39" t="str">
        <f>("2025/04/01")</f>
        <v>2025/04/01</v>
      </c>
    </row>
    <row r="1670" spans="1:38" x14ac:dyDescent="0.25">
      <c r="A1670" s="39" t="str">
        <f>("1506260188")</f>
        <v>1506260188</v>
      </c>
      <c r="C1670" s="39"/>
      <c r="D1670" s="39" t="s">
        <v>9206</v>
      </c>
      <c r="E1670" s="371" t="str">
        <f t="shared" si="144"/>
        <v>やまだ　まさゆみ</v>
      </c>
      <c r="F1670" s="39" t="s">
        <v>1481</v>
      </c>
      <c r="G1670" s="39" t="s">
        <v>7828</v>
      </c>
      <c r="H1670" s="39" t="str">
        <f>("2015/06/26")</f>
        <v>2015/06/26</v>
      </c>
      <c r="I1670" s="39">
        <v>4</v>
      </c>
      <c r="J1670" s="39" t="s">
        <v>1478</v>
      </c>
      <c r="K1670" s="39" t="s">
        <v>2122</v>
      </c>
      <c r="L1670" s="39" t="s">
        <v>7830</v>
      </c>
      <c r="M1670" s="39" t="s">
        <v>7831</v>
      </c>
      <c r="N1670" s="39" t="str">
        <f>("0129866")</f>
        <v>0129866</v>
      </c>
      <c r="P1670" s="39" t="s">
        <v>13134</v>
      </c>
      <c r="Q1670" s="39" t="s">
        <v>8568</v>
      </c>
      <c r="R1670" s="39" t="s">
        <v>8569</v>
      </c>
      <c r="S1670" s="39" t="s">
        <v>8570</v>
      </c>
      <c r="AK1670" s="39" t="str">
        <f>("2025/04/10")</f>
        <v>2025/04/10</v>
      </c>
      <c r="AL1670" s="39" t="str">
        <f>("2025/04/10")</f>
        <v>2025/04/10</v>
      </c>
    </row>
    <row r="1671" spans="1:38" x14ac:dyDescent="0.25">
      <c r="A1671" s="39" t="str">
        <f>("1506280030")</f>
        <v>1506280030</v>
      </c>
      <c r="C1671" s="39"/>
      <c r="D1671" s="39" t="s">
        <v>5838</v>
      </c>
      <c r="E1671" s="371" t="str">
        <f t="shared" si="144"/>
        <v>くどう　ひさし</v>
      </c>
      <c r="F1671" s="39" t="s">
        <v>5616</v>
      </c>
      <c r="G1671" s="39" t="s">
        <v>7828</v>
      </c>
      <c r="H1671" s="39" t="str">
        <f>("2015/06/28")</f>
        <v>2015/06/28</v>
      </c>
      <c r="I1671" s="39">
        <v>4</v>
      </c>
      <c r="J1671" s="39" t="s">
        <v>1478</v>
      </c>
      <c r="K1671" s="39" t="s">
        <v>2122</v>
      </c>
      <c r="L1671" s="39" t="s">
        <v>7830</v>
      </c>
      <c r="M1671" s="39" t="s">
        <v>7831</v>
      </c>
      <c r="N1671" s="39" t="str">
        <f>("0130385")</f>
        <v>0130385</v>
      </c>
      <c r="P1671" s="39" t="s">
        <v>13135</v>
      </c>
      <c r="Q1671" s="39" t="s">
        <v>8568</v>
      </c>
      <c r="R1671" s="39" t="s">
        <v>8569</v>
      </c>
      <c r="S1671" s="39" t="s">
        <v>8570</v>
      </c>
      <c r="AK1671" s="39" t="str">
        <f>("2025/03/17")</f>
        <v>2025/03/17</v>
      </c>
      <c r="AL1671" s="39" t="str">
        <f t="shared" ref="AL1671:AL1679" si="145">("2025/04/01")</f>
        <v>2025/04/01</v>
      </c>
    </row>
    <row r="1672" spans="1:38" x14ac:dyDescent="0.25">
      <c r="A1672" s="39" t="str">
        <f>("1506280040")</f>
        <v>1506280040</v>
      </c>
      <c r="C1672" s="39"/>
      <c r="D1672" s="39" t="s">
        <v>9207</v>
      </c>
      <c r="E1672" s="371" t="str">
        <f t="shared" si="144"/>
        <v>おわたり　ゆいと</v>
      </c>
      <c r="F1672" s="39" t="s">
        <v>2138</v>
      </c>
      <c r="G1672" s="39" t="s">
        <v>7828</v>
      </c>
      <c r="H1672" s="39" t="str">
        <f>("2015/06/28")</f>
        <v>2015/06/28</v>
      </c>
      <c r="I1672" s="39">
        <v>4</v>
      </c>
      <c r="J1672" s="39" t="s">
        <v>1478</v>
      </c>
      <c r="K1672" s="39" t="s">
        <v>2122</v>
      </c>
      <c r="L1672" s="39" t="s">
        <v>7830</v>
      </c>
      <c r="M1672" s="39" t="s">
        <v>7831</v>
      </c>
      <c r="N1672" s="39" t="str">
        <f>("0130082")</f>
        <v>0130082</v>
      </c>
      <c r="P1672" s="39" t="s">
        <v>13136</v>
      </c>
      <c r="Q1672" s="39" t="s">
        <v>8568</v>
      </c>
      <c r="R1672" s="39" t="s">
        <v>8569</v>
      </c>
      <c r="S1672" s="39" t="s">
        <v>8570</v>
      </c>
      <c r="AK1672" s="39" t="str">
        <f>("2025/03/17")</f>
        <v>2025/03/17</v>
      </c>
      <c r="AL1672" s="39" t="str">
        <f t="shared" si="145"/>
        <v>2025/04/01</v>
      </c>
    </row>
    <row r="1673" spans="1:38" x14ac:dyDescent="0.25">
      <c r="A1673" s="39" t="str">
        <f>("1506300171")</f>
        <v>1506300171</v>
      </c>
      <c r="C1673" s="39"/>
      <c r="D1673" s="39" t="s">
        <v>9208</v>
      </c>
      <c r="E1673" s="371" t="str">
        <f t="shared" si="144"/>
        <v>さかもと　ほまれ</v>
      </c>
      <c r="F1673" s="39" t="s">
        <v>2033</v>
      </c>
      <c r="G1673" s="39" t="s">
        <v>7828</v>
      </c>
      <c r="H1673" s="39" t="str">
        <f>("2015/06/30")</f>
        <v>2015/06/30</v>
      </c>
      <c r="I1673" s="39">
        <v>4</v>
      </c>
      <c r="J1673" s="39" t="s">
        <v>1478</v>
      </c>
      <c r="K1673" s="39" t="s">
        <v>2122</v>
      </c>
      <c r="L1673" s="39" t="s">
        <v>7830</v>
      </c>
      <c r="M1673" s="39" t="s">
        <v>7831</v>
      </c>
      <c r="N1673" s="39" t="str">
        <f>("0130442")</f>
        <v>0130442</v>
      </c>
      <c r="P1673" s="39" t="s">
        <v>13137</v>
      </c>
      <c r="Q1673" s="39" t="s">
        <v>8568</v>
      </c>
      <c r="R1673" s="39" t="s">
        <v>8569</v>
      </c>
      <c r="S1673" s="39" t="s">
        <v>8570</v>
      </c>
      <c r="AK1673" s="39" t="str">
        <f>("2025/04/04")</f>
        <v>2025/04/04</v>
      </c>
      <c r="AL1673" s="39" t="str">
        <f t="shared" si="145"/>
        <v>2025/04/01</v>
      </c>
    </row>
    <row r="1674" spans="1:38" x14ac:dyDescent="0.25">
      <c r="A1674" s="39" t="str">
        <f>("1507010099")</f>
        <v>1507010099</v>
      </c>
      <c r="C1674" s="39"/>
      <c r="D1674" s="39" t="s">
        <v>9209</v>
      </c>
      <c r="E1674" s="371" t="str">
        <f t="shared" si="144"/>
        <v>いわた　かなた</v>
      </c>
      <c r="F1674" s="39" t="s">
        <v>2533</v>
      </c>
      <c r="G1674" s="39" t="s">
        <v>7828</v>
      </c>
      <c r="H1674" s="39" t="str">
        <f>("2015/07/01")</f>
        <v>2015/07/01</v>
      </c>
      <c r="I1674" s="39">
        <v>4</v>
      </c>
      <c r="J1674" s="39" t="s">
        <v>1478</v>
      </c>
      <c r="K1674" s="39" t="s">
        <v>2122</v>
      </c>
      <c r="L1674" s="39" t="s">
        <v>7830</v>
      </c>
      <c r="M1674" s="39" t="s">
        <v>7831</v>
      </c>
      <c r="N1674" s="39" t="str">
        <f>("0130497")</f>
        <v>0130497</v>
      </c>
      <c r="P1674" s="39" t="s">
        <v>13138</v>
      </c>
      <c r="Q1674" s="39" t="s">
        <v>8568</v>
      </c>
      <c r="R1674" s="39" t="s">
        <v>8569</v>
      </c>
      <c r="S1674" s="39" t="s">
        <v>8570</v>
      </c>
      <c r="AK1674" s="39" t="str">
        <f>("2025/03/17")</f>
        <v>2025/03/17</v>
      </c>
      <c r="AL1674" s="39" t="str">
        <f t="shared" si="145"/>
        <v>2025/04/01</v>
      </c>
    </row>
    <row r="1675" spans="1:38" x14ac:dyDescent="0.25">
      <c r="A1675" s="39" t="str">
        <f>("1507020002")</f>
        <v>1507020002</v>
      </c>
      <c r="C1675" s="39"/>
      <c r="D1675" s="39" t="s">
        <v>9210</v>
      </c>
      <c r="E1675" s="371" t="str">
        <f t="shared" si="144"/>
        <v>いわもと　ゆうき</v>
      </c>
      <c r="F1675" s="39" t="s">
        <v>2138</v>
      </c>
      <c r="G1675" s="39" t="s">
        <v>7828</v>
      </c>
      <c r="H1675" s="39" t="str">
        <f>("2015/07/02")</f>
        <v>2015/07/02</v>
      </c>
      <c r="I1675" s="39">
        <v>4</v>
      </c>
      <c r="J1675" s="39" t="s">
        <v>1478</v>
      </c>
      <c r="K1675" s="39" t="s">
        <v>2122</v>
      </c>
      <c r="L1675" s="39" t="s">
        <v>7830</v>
      </c>
      <c r="M1675" s="39" t="s">
        <v>7831</v>
      </c>
      <c r="N1675" s="39" t="str">
        <f>("0130082")</f>
        <v>0130082</v>
      </c>
      <c r="P1675" s="39" t="s">
        <v>13139</v>
      </c>
      <c r="Q1675" s="39" t="s">
        <v>8568</v>
      </c>
      <c r="R1675" s="39" t="s">
        <v>8569</v>
      </c>
      <c r="S1675" s="39" t="s">
        <v>8570</v>
      </c>
      <c r="AA1675" s="39" t="s">
        <v>2122</v>
      </c>
      <c r="AB1675" s="39" t="s">
        <v>7830</v>
      </c>
      <c r="AC1675" s="39" t="s">
        <v>7831</v>
      </c>
      <c r="AD1675" s="39" t="str">
        <f>("0237620")</f>
        <v>0237620</v>
      </c>
      <c r="AE1675" s="39" t="s">
        <v>2574</v>
      </c>
      <c r="AK1675" s="39" t="str">
        <f>("2025/03/17")</f>
        <v>2025/03/17</v>
      </c>
      <c r="AL1675" s="39" t="str">
        <f t="shared" si="145"/>
        <v>2025/04/01</v>
      </c>
    </row>
    <row r="1676" spans="1:38" x14ac:dyDescent="0.25">
      <c r="A1676" s="39" t="str">
        <f>("1507020019")</f>
        <v>1507020019</v>
      </c>
      <c r="B1676" s="39" t="s">
        <v>9211</v>
      </c>
      <c r="C1676" s="39"/>
      <c r="D1676" s="39" t="s">
        <v>9212</v>
      </c>
      <c r="E1676" s="371" t="str">
        <f t="shared" si="144"/>
        <v>かわの　はるき</v>
      </c>
      <c r="F1676" s="39" t="s">
        <v>2574</v>
      </c>
      <c r="G1676" s="39" t="s">
        <v>7828</v>
      </c>
      <c r="H1676" s="39" t="str">
        <f>("2015/07/02")</f>
        <v>2015/07/02</v>
      </c>
      <c r="I1676" s="39">
        <v>4</v>
      </c>
      <c r="J1676" s="39" t="s">
        <v>1478</v>
      </c>
      <c r="K1676" s="39" t="s">
        <v>2122</v>
      </c>
      <c r="L1676" s="39" t="s">
        <v>7830</v>
      </c>
      <c r="M1676" s="39" t="s">
        <v>7831</v>
      </c>
      <c r="N1676" s="39" t="str">
        <f>("0237620")</f>
        <v>0237620</v>
      </c>
      <c r="P1676" s="39" t="s">
        <v>13140</v>
      </c>
      <c r="Q1676" s="39" t="s">
        <v>8568</v>
      </c>
      <c r="R1676" s="39" t="s">
        <v>8569</v>
      </c>
      <c r="S1676" s="39" t="s">
        <v>8570</v>
      </c>
      <c r="AK1676" s="39" t="str">
        <f>("2025/03/17")</f>
        <v>2025/03/17</v>
      </c>
      <c r="AL1676" s="39" t="str">
        <f t="shared" si="145"/>
        <v>2025/04/01</v>
      </c>
    </row>
    <row r="1677" spans="1:38" x14ac:dyDescent="0.25">
      <c r="A1677" s="39" t="str">
        <f>("1507020023")</f>
        <v>1507020023</v>
      </c>
      <c r="B1677" s="39" t="s">
        <v>9213</v>
      </c>
      <c r="C1677" s="39"/>
      <c r="D1677" s="39" t="s">
        <v>9214</v>
      </c>
      <c r="E1677" s="371" t="str">
        <f t="shared" si="144"/>
        <v>ふじわら　ゆの</v>
      </c>
      <c r="F1677" s="39" t="s">
        <v>2584</v>
      </c>
      <c r="G1677" s="39" t="s">
        <v>7828</v>
      </c>
      <c r="H1677" s="39" t="str">
        <f>("2015/07/02")</f>
        <v>2015/07/02</v>
      </c>
      <c r="I1677" s="39">
        <v>4</v>
      </c>
      <c r="J1677" s="39" t="s">
        <v>1478</v>
      </c>
      <c r="K1677" s="39" t="s">
        <v>2122</v>
      </c>
      <c r="L1677" s="39" t="s">
        <v>7830</v>
      </c>
      <c r="M1677" s="39" t="s">
        <v>7831</v>
      </c>
      <c r="N1677" s="39" t="str">
        <f>("0374071")</f>
        <v>0374071</v>
      </c>
      <c r="P1677" s="39" t="s">
        <v>13141</v>
      </c>
      <c r="Q1677" s="39" t="s">
        <v>8568</v>
      </c>
      <c r="R1677" s="39" t="s">
        <v>8569</v>
      </c>
      <c r="S1677" s="39" t="s">
        <v>8570</v>
      </c>
      <c r="AK1677" s="39" t="str">
        <f>("2025/03/17")</f>
        <v>2025/03/17</v>
      </c>
      <c r="AL1677" s="39" t="str">
        <f t="shared" si="145"/>
        <v>2025/04/01</v>
      </c>
    </row>
    <row r="1678" spans="1:38" x14ac:dyDescent="0.25">
      <c r="A1678" s="39" t="str">
        <f>("1507020055")</f>
        <v>1507020055</v>
      </c>
      <c r="C1678" s="39"/>
      <c r="D1678" s="39" t="s">
        <v>9215</v>
      </c>
      <c r="E1678" s="371" t="str">
        <f t="shared" si="144"/>
        <v>おぜき　そうま</v>
      </c>
      <c r="F1678" s="39" t="s">
        <v>1968</v>
      </c>
      <c r="G1678" s="39" t="s">
        <v>7828</v>
      </c>
      <c r="H1678" s="39" t="str">
        <f>("2015/07/02")</f>
        <v>2015/07/02</v>
      </c>
      <c r="I1678" s="39">
        <v>4</v>
      </c>
      <c r="J1678" s="39" t="s">
        <v>1478</v>
      </c>
      <c r="K1678" s="39" t="s">
        <v>2122</v>
      </c>
      <c r="L1678" s="39" t="s">
        <v>7830</v>
      </c>
      <c r="M1678" s="39" t="s">
        <v>7831</v>
      </c>
      <c r="N1678" s="39" t="str">
        <f>("0129507")</f>
        <v>0129507</v>
      </c>
      <c r="P1678" s="39" t="s">
        <v>13142</v>
      </c>
      <c r="Q1678" s="39" t="s">
        <v>8568</v>
      </c>
      <c r="R1678" s="39" t="s">
        <v>8569</v>
      </c>
      <c r="S1678" s="39" t="s">
        <v>8570</v>
      </c>
      <c r="AK1678" s="39" t="str">
        <f>("2025/03/17")</f>
        <v>2025/03/17</v>
      </c>
      <c r="AL1678" s="39" t="str">
        <f t="shared" si="145"/>
        <v>2025/04/01</v>
      </c>
    </row>
    <row r="1679" spans="1:38" x14ac:dyDescent="0.25">
      <c r="A1679" s="39" t="str">
        <f>("1507030045")</f>
        <v>1507030045</v>
      </c>
      <c r="C1679" s="39"/>
      <c r="D1679" s="39" t="s">
        <v>9216</v>
      </c>
      <c r="E1679" s="371" t="str">
        <f t="shared" si="144"/>
        <v>いのうえ　いつき</v>
      </c>
      <c r="F1679" s="39" t="s">
        <v>1446</v>
      </c>
      <c r="G1679" s="39" t="s">
        <v>7828</v>
      </c>
      <c r="H1679" s="39" t="str">
        <f>("2015/07/03")</f>
        <v>2015/07/03</v>
      </c>
      <c r="I1679" s="39">
        <v>4</v>
      </c>
      <c r="J1679" s="39" t="s">
        <v>1478</v>
      </c>
      <c r="K1679" s="39" t="s">
        <v>2122</v>
      </c>
      <c r="L1679" s="39" t="s">
        <v>7830</v>
      </c>
      <c r="M1679" s="39" t="s">
        <v>7831</v>
      </c>
      <c r="N1679" s="39" t="str">
        <f>("0478807")</f>
        <v>0478807</v>
      </c>
      <c r="P1679" s="39" t="s">
        <v>13143</v>
      </c>
      <c r="Q1679" s="39" t="s">
        <v>8568</v>
      </c>
      <c r="R1679" s="39" t="s">
        <v>8569</v>
      </c>
      <c r="S1679" s="39" t="s">
        <v>8570</v>
      </c>
      <c r="AK1679" s="39" t="str">
        <f>("2025/03/21")</f>
        <v>2025/03/21</v>
      </c>
      <c r="AL1679" s="39" t="str">
        <f t="shared" si="145"/>
        <v>2025/04/01</v>
      </c>
    </row>
    <row r="1680" spans="1:38" x14ac:dyDescent="0.25">
      <c r="A1680" s="39" t="str">
        <f>("1507040151")</f>
        <v>1507040151</v>
      </c>
      <c r="C1680" s="39"/>
      <c r="D1680" s="39" t="s">
        <v>9217</v>
      </c>
      <c r="E1680" s="371" t="str">
        <f t="shared" si="144"/>
        <v>あかみね　めぶき</v>
      </c>
      <c r="F1680" s="39" t="s">
        <v>1207</v>
      </c>
      <c r="G1680" s="39" t="s">
        <v>7828</v>
      </c>
      <c r="H1680" s="39" t="str">
        <f>("2015/07/04")</f>
        <v>2015/07/04</v>
      </c>
      <c r="I1680" s="39">
        <v>4</v>
      </c>
      <c r="J1680" s="39" t="s">
        <v>1478</v>
      </c>
      <c r="K1680" s="39" t="s">
        <v>2122</v>
      </c>
      <c r="L1680" s="39" t="s">
        <v>7830</v>
      </c>
      <c r="M1680" s="39" t="s">
        <v>7831</v>
      </c>
      <c r="N1680" s="39" t="str">
        <f>("0381608")</f>
        <v>0381608</v>
      </c>
      <c r="P1680" s="39" t="s">
        <v>13144</v>
      </c>
      <c r="Q1680" s="39" t="s">
        <v>8568</v>
      </c>
      <c r="R1680" s="39" t="s">
        <v>8569</v>
      </c>
      <c r="S1680" s="39" t="s">
        <v>8570</v>
      </c>
      <c r="AK1680" s="39" t="str">
        <f>("2025/10/17")</f>
        <v>2025/10/17</v>
      </c>
      <c r="AL1680" s="39" t="str">
        <f>("2025/10/17")</f>
        <v>2025/10/17</v>
      </c>
    </row>
    <row r="1681" spans="1:39" x14ac:dyDescent="0.25">
      <c r="A1681" s="39" t="str">
        <f>("1507050027")</f>
        <v>1507050027</v>
      </c>
      <c r="B1681" s="39" t="s">
        <v>9218</v>
      </c>
      <c r="C1681" s="39"/>
      <c r="D1681" s="39" t="s">
        <v>6276</v>
      </c>
      <c r="E1681" s="371" t="str">
        <f t="shared" si="144"/>
        <v>いしかけ　みお</v>
      </c>
      <c r="F1681" s="39" t="s">
        <v>5620</v>
      </c>
      <c r="G1681" s="39" t="s">
        <v>7828</v>
      </c>
      <c r="H1681" s="39" t="str">
        <f>("2015/07/05")</f>
        <v>2015/07/05</v>
      </c>
      <c r="I1681" s="39">
        <v>4</v>
      </c>
      <c r="J1681" s="39" t="s">
        <v>1480</v>
      </c>
      <c r="K1681" s="39" t="s">
        <v>2122</v>
      </c>
      <c r="L1681" s="39" t="s">
        <v>7830</v>
      </c>
      <c r="M1681" s="39" t="s">
        <v>7831</v>
      </c>
      <c r="N1681" s="39" t="str">
        <f>("1101553")</f>
        <v>1101553</v>
      </c>
      <c r="P1681" s="39" t="s">
        <v>13145</v>
      </c>
      <c r="Q1681" s="39" t="s">
        <v>8568</v>
      </c>
      <c r="R1681" s="39" t="s">
        <v>8569</v>
      </c>
      <c r="S1681" s="39" t="s">
        <v>8570</v>
      </c>
      <c r="AK1681" s="39" t="str">
        <f>("2025/03/19")</f>
        <v>2025/03/19</v>
      </c>
      <c r="AL1681" s="39" t="str">
        <f t="shared" ref="AL1681:AL1686" si="146">("2025/04/01")</f>
        <v>2025/04/01</v>
      </c>
    </row>
    <row r="1682" spans="1:39" x14ac:dyDescent="0.25">
      <c r="A1682" s="39" t="str">
        <f>("1507060116")</f>
        <v>1507060116</v>
      </c>
      <c r="C1682" s="39"/>
      <c r="D1682" s="39" t="s">
        <v>9219</v>
      </c>
      <c r="E1682" s="371" t="str">
        <f t="shared" si="144"/>
        <v>もりた　あつし</v>
      </c>
      <c r="F1682" s="39" t="s">
        <v>686</v>
      </c>
      <c r="G1682" s="39" t="s">
        <v>7828</v>
      </c>
      <c r="H1682" s="39" t="str">
        <f>("2015/07/06")</f>
        <v>2015/07/06</v>
      </c>
      <c r="I1682" s="39">
        <v>4</v>
      </c>
      <c r="J1682" s="39" t="s">
        <v>1478</v>
      </c>
      <c r="K1682" s="39" t="s">
        <v>2122</v>
      </c>
      <c r="L1682" s="39" t="s">
        <v>7830</v>
      </c>
      <c r="M1682" s="39" t="s">
        <v>7831</v>
      </c>
      <c r="N1682" s="39" t="str">
        <f>("0130745")</f>
        <v>0130745</v>
      </c>
      <c r="P1682" s="39" t="s">
        <v>13146</v>
      </c>
      <c r="Q1682" s="39" t="s">
        <v>8568</v>
      </c>
      <c r="R1682" s="39" t="s">
        <v>8569</v>
      </c>
      <c r="S1682" s="39" t="s">
        <v>8570</v>
      </c>
      <c r="AK1682" s="39" t="str">
        <f>("2025/03/17")</f>
        <v>2025/03/17</v>
      </c>
      <c r="AL1682" s="39" t="str">
        <f t="shared" si="146"/>
        <v>2025/04/01</v>
      </c>
    </row>
    <row r="1683" spans="1:39" x14ac:dyDescent="0.25">
      <c r="A1683" s="39" t="str">
        <f>("1507060142")</f>
        <v>1507060142</v>
      </c>
      <c r="C1683" s="39"/>
      <c r="D1683" s="39" t="s">
        <v>5732</v>
      </c>
      <c r="E1683" s="371" t="str">
        <f t="shared" si="144"/>
        <v>えとう　おうか</v>
      </c>
      <c r="F1683" s="39" t="s">
        <v>2496</v>
      </c>
      <c r="G1683" s="39" t="s">
        <v>7828</v>
      </c>
      <c r="H1683" s="39" t="str">
        <f>("2015/07/06")</f>
        <v>2015/07/06</v>
      </c>
      <c r="I1683" s="39">
        <v>4</v>
      </c>
      <c r="J1683" s="39" t="s">
        <v>1480</v>
      </c>
      <c r="K1683" s="39" t="s">
        <v>2122</v>
      </c>
      <c r="L1683" s="39" t="s">
        <v>7830</v>
      </c>
      <c r="M1683" s="39" t="s">
        <v>7831</v>
      </c>
      <c r="N1683" s="39" t="str">
        <f>("0129855")</f>
        <v>0129855</v>
      </c>
      <c r="P1683" s="39" t="s">
        <v>13147</v>
      </c>
      <c r="Q1683" s="39" t="s">
        <v>8568</v>
      </c>
      <c r="R1683" s="39" t="s">
        <v>8569</v>
      </c>
      <c r="S1683" s="39" t="s">
        <v>8570</v>
      </c>
      <c r="AK1683" s="39" t="str">
        <f>("2025/03/24")</f>
        <v>2025/03/24</v>
      </c>
      <c r="AL1683" s="39" t="str">
        <f t="shared" si="146"/>
        <v>2025/04/01</v>
      </c>
    </row>
    <row r="1684" spans="1:39" x14ac:dyDescent="0.25">
      <c r="A1684" s="39" t="str">
        <f>("1507070006")</f>
        <v>1507070006</v>
      </c>
      <c r="C1684" s="39"/>
      <c r="D1684" s="39" t="s">
        <v>9220</v>
      </c>
      <c r="E1684" s="371" t="str">
        <f t="shared" si="144"/>
        <v>やまもと　こうた</v>
      </c>
      <c r="F1684" s="39" t="s">
        <v>2299</v>
      </c>
      <c r="G1684" s="39" t="s">
        <v>7828</v>
      </c>
      <c r="H1684" s="39" t="str">
        <f>("2015/07/07")</f>
        <v>2015/07/07</v>
      </c>
      <c r="I1684" s="39">
        <v>4</v>
      </c>
      <c r="J1684" s="39" t="s">
        <v>1478</v>
      </c>
      <c r="K1684" s="39" t="s">
        <v>2122</v>
      </c>
      <c r="L1684" s="39" t="s">
        <v>7830</v>
      </c>
      <c r="M1684" s="39" t="s">
        <v>7831</v>
      </c>
      <c r="N1684" s="39" t="str">
        <f>("1066647")</f>
        <v>1066647</v>
      </c>
      <c r="P1684" s="39" t="s">
        <v>13148</v>
      </c>
      <c r="Q1684" s="39" t="s">
        <v>8568</v>
      </c>
      <c r="R1684" s="39" t="s">
        <v>8569</v>
      </c>
      <c r="S1684" s="39" t="s">
        <v>8570</v>
      </c>
      <c r="AK1684" s="39" t="str">
        <f>("2025/03/21")</f>
        <v>2025/03/21</v>
      </c>
      <c r="AL1684" s="39" t="str">
        <f t="shared" si="146"/>
        <v>2025/04/01</v>
      </c>
    </row>
    <row r="1685" spans="1:39" x14ac:dyDescent="0.25">
      <c r="A1685" s="39" t="str">
        <f>("1507070065")</f>
        <v>1507070065</v>
      </c>
      <c r="B1685" s="39" t="s">
        <v>9221</v>
      </c>
      <c r="C1685" s="39"/>
      <c r="D1685" s="39" t="s">
        <v>9222</v>
      </c>
      <c r="E1685" s="371" t="str">
        <f t="shared" si="144"/>
        <v>しだら　せな</v>
      </c>
      <c r="F1685" s="39" t="s">
        <v>8050</v>
      </c>
      <c r="G1685" s="39" t="s">
        <v>7876</v>
      </c>
      <c r="H1685" s="39" t="str">
        <f>("2015/07/07")</f>
        <v>2015/07/07</v>
      </c>
      <c r="I1685" s="39">
        <v>4</v>
      </c>
      <c r="J1685" s="39" t="s">
        <v>1478</v>
      </c>
      <c r="K1685" s="39" t="s">
        <v>2122</v>
      </c>
      <c r="L1685" s="39" t="s">
        <v>7830</v>
      </c>
      <c r="M1685" s="39" t="s">
        <v>7831</v>
      </c>
      <c r="N1685" s="39" t="str">
        <f>("0130015")</f>
        <v>0130015</v>
      </c>
      <c r="P1685" s="39" t="s">
        <v>13149</v>
      </c>
      <c r="Q1685" s="39" t="s">
        <v>8568</v>
      </c>
      <c r="R1685" s="39" t="s">
        <v>8569</v>
      </c>
      <c r="S1685" s="39" t="s">
        <v>8570</v>
      </c>
      <c r="AK1685" s="39" t="str">
        <f>("2025/03/17")</f>
        <v>2025/03/17</v>
      </c>
      <c r="AL1685" s="39" t="str">
        <f t="shared" si="146"/>
        <v>2025/04/01</v>
      </c>
      <c r="AM1685" s="39" t="str">
        <f>("2025/09/24")</f>
        <v>2025/09/24</v>
      </c>
    </row>
    <row r="1686" spans="1:39" x14ac:dyDescent="0.25">
      <c r="A1686" s="39" t="str">
        <f>("1507070222")</f>
        <v>1507070222</v>
      </c>
      <c r="C1686" s="39"/>
      <c r="D1686" s="39" t="s">
        <v>9223</v>
      </c>
      <c r="E1686" s="371" t="str">
        <f t="shared" si="144"/>
        <v>かねさき　ゆうしん</v>
      </c>
      <c r="F1686" s="39" t="s">
        <v>520</v>
      </c>
      <c r="G1686" s="39" t="s">
        <v>7876</v>
      </c>
      <c r="H1686" s="39" t="str">
        <f>("2015/07/07")</f>
        <v>2015/07/07</v>
      </c>
      <c r="I1686" s="39">
        <v>4</v>
      </c>
      <c r="J1686" s="39" t="s">
        <v>1478</v>
      </c>
      <c r="K1686" s="39" t="s">
        <v>2122</v>
      </c>
      <c r="L1686" s="39" t="s">
        <v>7830</v>
      </c>
      <c r="M1686" s="39" t="s">
        <v>7831</v>
      </c>
      <c r="N1686" s="39" t="str">
        <f>("0129765")</f>
        <v>0129765</v>
      </c>
      <c r="P1686" s="39" t="s">
        <v>13150</v>
      </c>
      <c r="Q1686" s="39" t="s">
        <v>8568</v>
      </c>
      <c r="R1686" s="39" t="s">
        <v>8569</v>
      </c>
      <c r="S1686" s="39" t="s">
        <v>8570</v>
      </c>
      <c r="AK1686" s="39" t="str">
        <f>("2025/03/25")</f>
        <v>2025/03/25</v>
      </c>
      <c r="AL1686" s="39" t="str">
        <f t="shared" si="146"/>
        <v>2025/04/01</v>
      </c>
      <c r="AM1686" s="39" t="str">
        <f>("2025/09/12")</f>
        <v>2025/09/12</v>
      </c>
    </row>
    <row r="1687" spans="1:39" x14ac:dyDescent="0.25">
      <c r="A1687" s="39" t="str">
        <f>("1507070274")</f>
        <v>1507070274</v>
      </c>
      <c r="C1687" s="39"/>
      <c r="D1687" s="39" t="s">
        <v>9224</v>
      </c>
      <c r="E1687" s="371" t="str">
        <f t="shared" si="144"/>
        <v>かねさき　ゆうま</v>
      </c>
      <c r="F1687" s="39" t="s">
        <v>1446</v>
      </c>
      <c r="G1687" s="39" t="s">
        <v>7828</v>
      </c>
      <c r="H1687" s="39" t="str">
        <f>("2015/07/07")</f>
        <v>2015/07/07</v>
      </c>
      <c r="I1687" s="39">
        <v>4</v>
      </c>
      <c r="J1687" s="39" t="s">
        <v>1478</v>
      </c>
      <c r="K1687" s="39" t="s">
        <v>2122</v>
      </c>
      <c r="L1687" s="39" t="s">
        <v>7830</v>
      </c>
      <c r="M1687" s="39" t="s">
        <v>7831</v>
      </c>
      <c r="N1687" s="39" t="str">
        <f>("0478807")</f>
        <v>0478807</v>
      </c>
      <c r="P1687" s="39" t="s">
        <v>13151</v>
      </c>
      <c r="Q1687" s="39" t="s">
        <v>8568</v>
      </c>
      <c r="R1687" s="39" t="s">
        <v>8569</v>
      </c>
      <c r="S1687" s="39" t="s">
        <v>8570</v>
      </c>
      <c r="AK1687" s="39" t="str">
        <f>("2025/09/12")</f>
        <v>2025/09/12</v>
      </c>
      <c r="AL1687" s="39" t="str">
        <f>("2025/09/12")</f>
        <v>2025/09/12</v>
      </c>
    </row>
    <row r="1688" spans="1:39" x14ac:dyDescent="0.25">
      <c r="A1688" s="39" t="str">
        <f>("1507090027")</f>
        <v>1507090027</v>
      </c>
      <c r="B1688" s="39" t="s">
        <v>9225</v>
      </c>
      <c r="C1688" s="39"/>
      <c r="D1688" s="39" t="s">
        <v>9226</v>
      </c>
      <c r="E1688" s="371" t="str">
        <f t="shared" si="144"/>
        <v>まるお　れん</v>
      </c>
      <c r="F1688" s="39" t="s">
        <v>2156</v>
      </c>
      <c r="G1688" s="39" t="s">
        <v>7828</v>
      </c>
      <c r="H1688" s="39" t="str">
        <f>("2015/07/09")</f>
        <v>2015/07/09</v>
      </c>
      <c r="I1688" s="39">
        <v>4</v>
      </c>
      <c r="J1688" s="39" t="s">
        <v>1478</v>
      </c>
      <c r="K1688" s="39" t="s">
        <v>2122</v>
      </c>
      <c r="L1688" s="39" t="s">
        <v>7830</v>
      </c>
      <c r="M1688" s="39" t="s">
        <v>7831</v>
      </c>
      <c r="N1688" s="39" t="str">
        <f>("0493040")</f>
        <v>0493040</v>
      </c>
      <c r="P1688" s="39" t="s">
        <v>13152</v>
      </c>
      <c r="Q1688" s="39" t="s">
        <v>8568</v>
      </c>
      <c r="R1688" s="39" t="s">
        <v>8569</v>
      </c>
      <c r="S1688" s="39" t="s">
        <v>8570</v>
      </c>
      <c r="AK1688" s="39" t="str">
        <f>("2025/03/17")</f>
        <v>2025/03/17</v>
      </c>
      <c r="AL1688" s="39" t="str">
        <f>("2025/04/01")</f>
        <v>2025/04/01</v>
      </c>
    </row>
    <row r="1689" spans="1:39" x14ac:dyDescent="0.25">
      <c r="A1689" s="39" t="str">
        <f>("1507090093")</f>
        <v>1507090093</v>
      </c>
      <c r="C1689" s="39"/>
      <c r="D1689" s="39" t="s">
        <v>9227</v>
      </c>
      <c r="E1689" s="371" t="str">
        <f t="shared" si="144"/>
        <v>おおいし　かいと</v>
      </c>
      <c r="F1689" s="39" t="s">
        <v>2533</v>
      </c>
      <c r="G1689" s="39" t="s">
        <v>7828</v>
      </c>
      <c r="H1689" s="39" t="str">
        <f>("2015/07/09")</f>
        <v>2015/07/09</v>
      </c>
      <c r="I1689" s="39">
        <v>4</v>
      </c>
      <c r="J1689" s="39" t="s">
        <v>1478</v>
      </c>
      <c r="K1689" s="39" t="s">
        <v>2122</v>
      </c>
      <c r="L1689" s="39" t="s">
        <v>7830</v>
      </c>
      <c r="M1689" s="39" t="s">
        <v>7831</v>
      </c>
      <c r="N1689" s="39" t="str">
        <f>("0130497")</f>
        <v>0130497</v>
      </c>
      <c r="P1689" s="39" t="s">
        <v>13153</v>
      </c>
      <c r="Q1689" s="39" t="s">
        <v>8568</v>
      </c>
      <c r="R1689" s="39" t="s">
        <v>8569</v>
      </c>
      <c r="S1689" s="39" t="s">
        <v>8570</v>
      </c>
      <c r="AK1689" s="39" t="str">
        <f>("2025/03/17")</f>
        <v>2025/03/17</v>
      </c>
      <c r="AL1689" s="39" t="str">
        <f>("2025/04/01")</f>
        <v>2025/04/01</v>
      </c>
    </row>
    <row r="1690" spans="1:39" x14ac:dyDescent="0.25">
      <c r="A1690" s="39" t="str">
        <f>("1507100138")</f>
        <v>1507100138</v>
      </c>
      <c r="C1690" s="39"/>
      <c r="D1690" s="39" t="s">
        <v>5734</v>
      </c>
      <c r="E1690" s="371" t="str">
        <f t="shared" si="144"/>
        <v>なかたに　ひなた</v>
      </c>
      <c r="F1690" s="39" t="s">
        <v>2496</v>
      </c>
      <c r="G1690" s="39" t="s">
        <v>7828</v>
      </c>
      <c r="H1690" s="39" t="str">
        <f>("2015/07/10")</f>
        <v>2015/07/10</v>
      </c>
      <c r="I1690" s="39">
        <v>4</v>
      </c>
      <c r="J1690" s="39" t="s">
        <v>1478</v>
      </c>
      <c r="K1690" s="39" t="s">
        <v>2122</v>
      </c>
      <c r="L1690" s="39" t="s">
        <v>7830</v>
      </c>
      <c r="M1690" s="39" t="s">
        <v>7831</v>
      </c>
      <c r="N1690" s="39" t="str">
        <f>("0129855")</f>
        <v>0129855</v>
      </c>
      <c r="P1690" s="39" t="s">
        <v>13154</v>
      </c>
      <c r="Q1690" s="39" t="s">
        <v>8568</v>
      </c>
      <c r="R1690" s="39" t="s">
        <v>8569</v>
      </c>
      <c r="S1690" s="39" t="s">
        <v>8570</v>
      </c>
      <c r="AK1690" s="39" t="str">
        <f>("2025/03/24")</f>
        <v>2025/03/24</v>
      </c>
      <c r="AL1690" s="39" t="str">
        <f>("2025/04/01")</f>
        <v>2025/04/01</v>
      </c>
    </row>
    <row r="1691" spans="1:39" x14ac:dyDescent="0.25">
      <c r="A1691" s="39" t="str">
        <f>("1507100146")</f>
        <v>1507100146</v>
      </c>
      <c r="B1691" s="39" t="s">
        <v>9228</v>
      </c>
      <c r="C1691" s="39"/>
      <c r="D1691" s="39" t="s">
        <v>9229</v>
      </c>
      <c r="E1691" s="371" t="str">
        <f t="shared" si="144"/>
        <v>やまだ　まさと</v>
      </c>
      <c r="F1691" s="39" t="s">
        <v>2516</v>
      </c>
      <c r="G1691" s="39" t="s">
        <v>7828</v>
      </c>
      <c r="H1691" s="39" t="str">
        <f>("2015/07/10")</f>
        <v>2015/07/10</v>
      </c>
      <c r="I1691" s="39">
        <v>4</v>
      </c>
      <c r="J1691" s="39" t="s">
        <v>1478</v>
      </c>
      <c r="K1691" s="39" t="s">
        <v>2122</v>
      </c>
      <c r="L1691" s="39" t="s">
        <v>7830</v>
      </c>
      <c r="M1691" s="39" t="s">
        <v>7831</v>
      </c>
      <c r="N1691" s="39" t="str">
        <f>("0130116")</f>
        <v>0130116</v>
      </c>
      <c r="P1691" s="39" t="s">
        <v>13155</v>
      </c>
      <c r="Q1691" s="39" t="s">
        <v>8568</v>
      </c>
      <c r="R1691" s="39" t="s">
        <v>8569</v>
      </c>
      <c r="S1691" s="39" t="s">
        <v>8570</v>
      </c>
      <c r="AK1691" s="39" t="str">
        <f>("2025/03/25")</f>
        <v>2025/03/25</v>
      </c>
      <c r="AL1691" s="39" t="str">
        <f>("2025/04/01")</f>
        <v>2025/04/01</v>
      </c>
    </row>
    <row r="1692" spans="1:39" x14ac:dyDescent="0.25">
      <c r="A1692" s="39" t="str">
        <f>("1507100200")</f>
        <v>1507100200</v>
      </c>
      <c r="C1692" s="39"/>
      <c r="D1692" s="39" t="s">
        <v>9230</v>
      </c>
      <c r="E1692" s="371" t="str">
        <f t="shared" si="144"/>
        <v>いそがい　たいせい</v>
      </c>
      <c r="F1692" s="39" t="s">
        <v>2587</v>
      </c>
      <c r="G1692" s="39" t="s">
        <v>7828</v>
      </c>
      <c r="H1692" s="39" t="str">
        <f>("2015/07/10")</f>
        <v>2015/07/10</v>
      </c>
      <c r="I1692" s="39">
        <v>4</v>
      </c>
      <c r="J1692" s="39" t="s">
        <v>1478</v>
      </c>
      <c r="K1692" s="39" t="s">
        <v>2122</v>
      </c>
      <c r="L1692" s="39" t="s">
        <v>7830</v>
      </c>
      <c r="M1692" s="39" t="s">
        <v>7831</v>
      </c>
      <c r="N1692" s="39" t="str">
        <f>("0387334")</f>
        <v>0387334</v>
      </c>
      <c r="P1692" s="39" t="s">
        <v>13156</v>
      </c>
      <c r="Q1692" s="39" t="s">
        <v>8568</v>
      </c>
      <c r="R1692" s="39" t="s">
        <v>8569</v>
      </c>
      <c r="S1692" s="39" t="s">
        <v>8570</v>
      </c>
      <c r="AK1692" s="39" t="str">
        <f>("2025/04/10")</f>
        <v>2025/04/10</v>
      </c>
      <c r="AL1692" s="39" t="str">
        <f>("2025/04/10")</f>
        <v>2025/04/10</v>
      </c>
    </row>
    <row r="1693" spans="1:39" x14ac:dyDescent="0.25">
      <c r="A1693" s="39" t="str">
        <f>("1507120078")</f>
        <v>1507120078</v>
      </c>
      <c r="C1693" s="39"/>
      <c r="D1693" s="39" t="s">
        <v>9231</v>
      </c>
      <c r="E1693" s="371" t="str">
        <f t="shared" si="144"/>
        <v>うえだ　そうま</v>
      </c>
      <c r="F1693" s="39" t="s">
        <v>8485</v>
      </c>
      <c r="G1693" s="39" t="s">
        <v>7828</v>
      </c>
      <c r="H1693" s="39" t="str">
        <f>("2015/07/12")</f>
        <v>2015/07/12</v>
      </c>
      <c r="I1693" s="39">
        <v>4</v>
      </c>
      <c r="J1693" s="39" t="s">
        <v>1478</v>
      </c>
      <c r="K1693" s="39" t="s">
        <v>2122</v>
      </c>
      <c r="L1693" s="39" t="s">
        <v>7830</v>
      </c>
      <c r="M1693" s="39" t="s">
        <v>7831</v>
      </c>
      <c r="N1693" s="39" t="str">
        <f>("0130666")</f>
        <v>0130666</v>
      </c>
      <c r="P1693" s="39" t="s">
        <v>13157</v>
      </c>
      <c r="Q1693" s="39" t="s">
        <v>8568</v>
      </c>
      <c r="R1693" s="39" t="s">
        <v>8569</v>
      </c>
      <c r="S1693" s="39" t="s">
        <v>8570</v>
      </c>
      <c r="AK1693" s="39" t="str">
        <f>("2025/03/24")</f>
        <v>2025/03/24</v>
      </c>
      <c r="AL1693" s="39" t="str">
        <f>("2025/04/01")</f>
        <v>2025/04/01</v>
      </c>
    </row>
    <row r="1694" spans="1:39" x14ac:dyDescent="0.25">
      <c r="A1694" s="39" t="str">
        <f>("1507140011")</f>
        <v>1507140011</v>
      </c>
      <c r="B1694" s="39" t="s">
        <v>9232</v>
      </c>
      <c r="C1694" s="39"/>
      <c r="D1694" s="39" t="s">
        <v>9233</v>
      </c>
      <c r="E1694" s="371" t="str">
        <f t="shared" si="144"/>
        <v>えがみ　あおい</v>
      </c>
      <c r="F1694" s="39" t="s">
        <v>1912</v>
      </c>
      <c r="G1694" s="39" t="s">
        <v>7828</v>
      </c>
      <c r="H1694" s="39" t="str">
        <f>("2015/07/14")</f>
        <v>2015/07/14</v>
      </c>
      <c r="I1694" s="39">
        <v>4</v>
      </c>
      <c r="J1694" s="39" t="s">
        <v>1478</v>
      </c>
      <c r="K1694" s="39" t="s">
        <v>2122</v>
      </c>
      <c r="L1694" s="39" t="s">
        <v>7830</v>
      </c>
      <c r="M1694" s="39" t="s">
        <v>7831</v>
      </c>
      <c r="N1694" s="39" t="str">
        <f>("0130363")</f>
        <v>0130363</v>
      </c>
      <c r="P1694" s="39" t="s">
        <v>13158</v>
      </c>
      <c r="Q1694" s="39" t="s">
        <v>8568</v>
      </c>
      <c r="R1694" s="39" t="s">
        <v>8569</v>
      </c>
      <c r="S1694" s="39" t="s">
        <v>8570</v>
      </c>
      <c r="AK1694" s="39" t="str">
        <f>("2025/03/17")</f>
        <v>2025/03/17</v>
      </c>
      <c r="AL1694" s="39" t="str">
        <f>("2025/04/01")</f>
        <v>2025/04/01</v>
      </c>
    </row>
    <row r="1695" spans="1:39" x14ac:dyDescent="0.25">
      <c r="A1695" s="39" t="str">
        <f>("1507140016")</f>
        <v>1507140016</v>
      </c>
      <c r="B1695" s="39" t="s">
        <v>9234</v>
      </c>
      <c r="C1695" s="39"/>
      <c r="D1695" s="39" t="s">
        <v>9235</v>
      </c>
      <c r="E1695" s="371" t="str">
        <f t="shared" si="144"/>
        <v>りょうざん　てるよし</v>
      </c>
      <c r="F1695" s="39" t="s">
        <v>5615</v>
      </c>
      <c r="G1695" s="39" t="s">
        <v>7828</v>
      </c>
      <c r="H1695" s="39" t="str">
        <f>("2015/07/14")</f>
        <v>2015/07/14</v>
      </c>
      <c r="I1695" s="39">
        <v>4</v>
      </c>
      <c r="J1695" s="39" t="s">
        <v>1478</v>
      </c>
      <c r="K1695" s="39" t="s">
        <v>2122</v>
      </c>
      <c r="L1695" s="39" t="s">
        <v>7830</v>
      </c>
      <c r="M1695" s="39" t="s">
        <v>7831</v>
      </c>
      <c r="N1695" s="39" t="str">
        <f>("0129642")</f>
        <v>0129642</v>
      </c>
      <c r="P1695" s="39" t="s">
        <v>13159</v>
      </c>
      <c r="Q1695" s="39" t="s">
        <v>8568</v>
      </c>
      <c r="R1695" s="39" t="s">
        <v>8569</v>
      </c>
      <c r="S1695" s="39" t="s">
        <v>8570</v>
      </c>
      <c r="AK1695" s="39" t="str">
        <f>("2025/03/24")</f>
        <v>2025/03/24</v>
      </c>
      <c r="AL1695" s="39" t="str">
        <f>("2025/04/01")</f>
        <v>2025/04/01</v>
      </c>
    </row>
    <row r="1696" spans="1:39" x14ac:dyDescent="0.25">
      <c r="A1696" s="39" t="str">
        <f>("1507150028")</f>
        <v>1507150028</v>
      </c>
      <c r="C1696" s="39"/>
      <c r="D1696" s="39" t="s">
        <v>9236</v>
      </c>
      <c r="E1696" s="371" t="str">
        <f t="shared" si="144"/>
        <v>ほんだ　はる</v>
      </c>
      <c r="F1696" s="39" t="s">
        <v>2575</v>
      </c>
      <c r="G1696" s="39" t="s">
        <v>7828</v>
      </c>
      <c r="H1696" s="39" t="str">
        <f>("2015/07/15")</f>
        <v>2015/07/15</v>
      </c>
      <c r="I1696" s="39">
        <v>4</v>
      </c>
      <c r="J1696" s="39" t="s">
        <v>1478</v>
      </c>
      <c r="K1696" s="39" t="s">
        <v>2122</v>
      </c>
      <c r="L1696" s="39" t="s">
        <v>7830</v>
      </c>
      <c r="M1696" s="39" t="s">
        <v>7831</v>
      </c>
      <c r="N1696" s="39" t="str">
        <f>("0303040")</f>
        <v>0303040</v>
      </c>
      <c r="P1696" s="39" t="s">
        <v>13160</v>
      </c>
      <c r="Q1696" s="39" t="s">
        <v>8568</v>
      </c>
      <c r="R1696" s="39" t="s">
        <v>8569</v>
      </c>
      <c r="S1696" s="39" t="s">
        <v>8570</v>
      </c>
      <c r="AK1696" s="39" t="str">
        <f>("2025/03/17")</f>
        <v>2025/03/17</v>
      </c>
      <c r="AL1696" s="39" t="str">
        <f>("2025/04/01")</f>
        <v>2025/04/01</v>
      </c>
    </row>
    <row r="1697" spans="1:38" x14ac:dyDescent="0.25">
      <c r="A1697" s="39" t="str">
        <f>("1507150047")</f>
        <v>1507150047</v>
      </c>
      <c r="C1697" s="39"/>
      <c r="D1697" s="39" t="s">
        <v>5833</v>
      </c>
      <c r="E1697" s="371" t="str">
        <f t="shared" si="144"/>
        <v>あさり　かなと</v>
      </c>
      <c r="F1697" s="39" t="s">
        <v>5616</v>
      </c>
      <c r="G1697" s="39" t="s">
        <v>7828</v>
      </c>
      <c r="H1697" s="39" t="str">
        <f>("2015/07/15")</f>
        <v>2015/07/15</v>
      </c>
      <c r="I1697" s="39">
        <v>4</v>
      </c>
      <c r="J1697" s="39" t="s">
        <v>1478</v>
      </c>
      <c r="K1697" s="39" t="s">
        <v>2122</v>
      </c>
      <c r="L1697" s="39" t="s">
        <v>7830</v>
      </c>
      <c r="M1697" s="39" t="s">
        <v>7831</v>
      </c>
      <c r="N1697" s="39" t="str">
        <f>("0130385")</f>
        <v>0130385</v>
      </c>
      <c r="P1697" s="39" t="s">
        <v>13161</v>
      </c>
      <c r="Q1697" s="39" t="s">
        <v>8568</v>
      </c>
      <c r="R1697" s="39" t="s">
        <v>8569</v>
      </c>
      <c r="S1697" s="39" t="s">
        <v>8570</v>
      </c>
      <c r="AK1697" s="39" t="str">
        <f>("2025/03/17")</f>
        <v>2025/03/17</v>
      </c>
      <c r="AL1697" s="39" t="str">
        <f>("2025/04/01")</f>
        <v>2025/04/01</v>
      </c>
    </row>
    <row r="1698" spans="1:38" x14ac:dyDescent="0.25">
      <c r="A1698" s="39" t="str">
        <f>("1507150113")</f>
        <v>1507150113</v>
      </c>
      <c r="C1698" s="39"/>
      <c r="D1698" s="39" t="s">
        <v>9237</v>
      </c>
      <c r="E1698" s="371" t="str">
        <f t="shared" si="144"/>
        <v>いまに　ゆうひ</v>
      </c>
      <c r="F1698" s="39" t="s">
        <v>1239</v>
      </c>
      <c r="G1698" s="39" t="s">
        <v>7828</v>
      </c>
      <c r="H1698" s="39" t="str">
        <f>("2015/07/15")</f>
        <v>2015/07/15</v>
      </c>
      <c r="I1698" s="39">
        <v>4</v>
      </c>
      <c r="J1698" s="39" t="s">
        <v>1478</v>
      </c>
      <c r="K1698" s="39" t="s">
        <v>2122</v>
      </c>
      <c r="L1698" s="39" t="s">
        <v>7830</v>
      </c>
      <c r="M1698" s="39" t="s">
        <v>7831</v>
      </c>
      <c r="N1698" s="39" t="str">
        <f>("0129585")</f>
        <v>0129585</v>
      </c>
      <c r="P1698" s="39" t="s">
        <v>13162</v>
      </c>
      <c r="Q1698" s="39" t="s">
        <v>8568</v>
      </c>
      <c r="R1698" s="39" t="s">
        <v>8569</v>
      </c>
      <c r="S1698" s="39" t="s">
        <v>8570</v>
      </c>
      <c r="AA1698" s="39" t="s">
        <v>2122</v>
      </c>
      <c r="AB1698" s="39" t="s">
        <v>7830</v>
      </c>
      <c r="AC1698" s="39" t="s">
        <v>7831</v>
      </c>
      <c r="AD1698" s="39" t="str">
        <f>("0129563")</f>
        <v>0129563</v>
      </c>
      <c r="AE1698" s="39" t="s">
        <v>2274</v>
      </c>
      <c r="AK1698" s="39" t="str">
        <f>("2025/09/17")</f>
        <v>2025/09/17</v>
      </c>
      <c r="AL1698" s="39" t="str">
        <f>("2025/09/17")</f>
        <v>2025/09/17</v>
      </c>
    </row>
    <row r="1699" spans="1:38" x14ac:dyDescent="0.25">
      <c r="A1699" s="39" t="str">
        <f>("1507150224")</f>
        <v>1507150224</v>
      </c>
      <c r="C1699" s="39"/>
      <c r="D1699" s="39" t="s">
        <v>9238</v>
      </c>
      <c r="E1699" s="371" t="str">
        <f t="shared" si="144"/>
        <v>なかはら　けいのすけ</v>
      </c>
      <c r="F1699" s="39" t="s">
        <v>2619</v>
      </c>
      <c r="G1699" s="39" t="s">
        <v>7828</v>
      </c>
      <c r="H1699" s="39" t="str">
        <f>("2015/07/15")</f>
        <v>2015/07/15</v>
      </c>
      <c r="I1699" s="39">
        <v>4</v>
      </c>
      <c r="J1699" s="39" t="s">
        <v>1478</v>
      </c>
      <c r="K1699" s="39" t="s">
        <v>2122</v>
      </c>
      <c r="L1699" s="39" t="s">
        <v>7830</v>
      </c>
      <c r="M1699" s="39" t="s">
        <v>7831</v>
      </c>
      <c r="N1699" s="39" t="str">
        <f>("0472823")</f>
        <v>0472823</v>
      </c>
      <c r="P1699" s="39" t="s">
        <v>13163</v>
      </c>
      <c r="Q1699" s="39" t="s">
        <v>8568</v>
      </c>
      <c r="R1699" s="39" t="s">
        <v>8569</v>
      </c>
      <c r="S1699" s="39" t="s">
        <v>8570</v>
      </c>
      <c r="AK1699" s="39" t="str">
        <f>("2025/07/30")</f>
        <v>2025/07/30</v>
      </c>
      <c r="AL1699" s="39" t="str">
        <f>("2025/07/30")</f>
        <v>2025/07/30</v>
      </c>
    </row>
    <row r="1700" spans="1:38" x14ac:dyDescent="0.25">
      <c r="A1700" s="39" t="str">
        <f>("1507160023")</f>
        <v>1507160023</v>
      </c>
      <c r="C1700" s="39"/>
      <c r="D1700" s="39" t="s">
        <v>9239</v>
      </c>
      <c r="E1700" s="371" t="str">
        <f t="shared" si="144"/>
        <v>ふじい　ひろむ</v>
      </c>
      <c r="F1700" s="39" t="s">
        <v>2349</v>
      </c>
      <c r="G1700" s="39" t="s">
        <v>7828</v>
      </c>
      <c r="H1700" s="39" t="str">
        <f>("2015/07/16")</f>
        <v>2015/07/16</v>
      </c>
      <c r="I1700" s="39">
        <v>4</v>
      </c>
      <c r="J1700" s="39" t="s">
        <v>1478</v>
      </c>
      <c r="K1700" s="39" t="s">
        <v>2122</v>
      </c>
      <c r="L1700" s="39" t="s">
        <v>7830</v>
      </c>
      <c r="M1700" s="39" t="s">
        <v>7831</v>
      </c>
      <c r="N1700" s="39" t="str">
        <f>("0292081")</f>
        <v>0292081</v>
      </c>
      <c r="P1700" s="39" t="s">
        <v>13164</v>
      </c>
      <c r="Q1700" s="39" t="s">
        <v>8568</v>
      </c>
      <c r="R1700" s="39" t="s">
        <v>8569</v>
      </c>
      <c r="S1700" s="39" t="s">
        <v>8570</v>
      </c>
      <c r="AK1700" s="39" t="str">
        <f>("2025/03/24")</f>
        <v>2025/03/24</v>
      </c>
      <c r="AL1700" s="39" t="str">
        <f t="shared" ref="AL1700:AL1707" si="147">("2025/04/01")</f>
        <v>2025/04/01</v>
      </c>
    </row>
    <row r="1701" spans="1:38" x14ac:dyDescent="0.25">
      <c r="A1701" s="39" t="str">
        <f>("1507170012")</f>
        <v>1507170012</v>
      </c>
      <c r="C1701" s="39"/>
      <c r="D1701" s="39" t="s">
        <v>5875</v>
      </c>
      <c r="E1701" s="371" t="str">
        <f t="shared" si="144"/>
        <v>たなか　るい</v>
      </c>
      <c r="F1701" s="39" t="s">
        <v>1692</v>
      </c>
      <c r="G1701" s="39" t="s">
        <v>7828</v>
      </c>
      <c r="H1701" s="39" t="str">
        <f>("2015/07/17")</f>
        <v>2015/07/17</v>
      </c>
      <c r="I1701" s="39">
        <v>4</v>
      </c>
      <c r="J1701" s="39" t="s">
        <v>1478</v>
      </c>
      <c r="K1701" s="39" t="s">
        <v>2122</v>
      </c>
      <c r="L1701" s="39" t="s">
        <v>7830</v>
      </c>
      <c r="M1701" s="39" t="s">
        <v>7831</v>
      </c>
      <c r="N1701" s="39" t="str">
        <f>("1052299")</f>
        <v>1052299</v>
      </c>
      <c r="P1701" s="39" t="s">
        <v>12565</v>
      </c>
      <c r="Q1701" s="39" t="s">
        <v>8568</v>
      </c>
      <c r="R1701" s="39" t="s">
        <v>8569</v>
      </c>
      <c r="S1701" s="39" t="s">
        <v>8570</v>
      </c>
      <c r="AK1701" s="39" t="str">
        <f>("2025/03/17")</f>
        <v>2025/03/17</v>
      </c>
      <c r="AL1701" s="39" t="str">
        <f t="shared" si="147"/>
        <v>2025/04/01</v>
      </c>
    </row>
    <row r="1702" spans="1:38" x14ac:dyDescent="0.25">
      <c r="A1702" s="39" t="str">
        <f>("1507170187")</f>
        <v>1507170187</v>
      </c>
      <c r="C1702" s="39"/>
      <c r="D1702" s="39" t="s">
        <v>9240</v>
      </c>
      <c r="E1702" s="371" t="str">
        <f t="shared" si="144"/>
        <v>すが　はると</v>
      </c>
      <c r="F1702" s="39" t="s">
        <v>8050</v>
      </c>
      <c r="G1702" s="39" t="s">
        <v>7828</v>
      </c>
      <c r="H1702" s="39" t="str">
        <f>("2015/07/17")</f>
        <v>2015/07/17</v>
      </c>
      <c r="I1702" s="39">
        <v>4</v>
      </c>
      <c r="J1702" s="39" t="s">
        <v>1478</v>
      </c>
      <c r="K1702" s="39" t="s">
        <v>2122</v>
      </c>
      <c r="L1702" s="39" t="s">
        <v>7830</v>
      </c>
      <c r="M1702" s="39" t="s">
        <v>7831</v>
      </c>
      <c r="N1702" s="39" t="str">
        <f>("0130015")</f>
        <v>0130015</v>
      </c>
      <c r="P1702" s="39" t="s">
        <v>13165</v>
      </c>
      <c r="Q1702" s="39" t="s">
        <v>8568</v>
      </c>
      <c r="R1702" s="39" t="s">
        <v>8569</v>
      </c>
      <c r="S1702" s="39" t="s">
        <v>8570</v>
      </c>
      <c r="AK1702" s="39" t="str">
        <f>("2025/03/17")</f>
        <v>2025/03/17</v>
      </c>
      <c r="AL1702" s="39" t="str">
        <f t="shared" si="147"/>
        <v>2025/04/01</v>
      </c>
    </row>
    <row r="1703" spans="1:38" x14ac:dyDescent="0.25">
      <c r="A1703" s="39" t="str">
        <f>("1507170195")</f>
        <v>1507170195</v>
      </c>
      <c r="C1703" s="39"/>
      <c r="D1703" s="39" t="s">
        <v>9241</v>
      </c>
      <c r="E1703" s="371" t="str">
        <f t="shared" si="144"/>
        <v>いけだ　あらた</v>
      </c>
      <c r="F1703" s="39" t="s">
        <v>2023</v>
      </c>
      <c r="G1703" s="39" t="s">
        <v>7828</v>
      </c>
      <c r="H1703" s="39" t="str">
        <f>("2015/07/17")</f>
        <v>2015/07/17</v>
      </c>
      <c r="I1703" s="39">
        <v>4</v>
      </c>
      <c r="J1703" s="39" t="s">
        <v>1478</v>
      </c>
      <c r="K1703" s="39" t="s">
        <v>2122</v>
      </c>
      <c r="L1703" s="39" t="s">
        <v>7830</v>
      </c>
      <c r="M1703" s="39" t="s">
        <v>7831</v>
      </c>
      <c r="N1703" s="39" t="str">
        <f>("0129967")</f>
        <v>0129967</v>
      </c>
      <c r="P1703" s="39" t="s">
        <v>13166</v>
      </c>
      <c r="Q1703" s="39" t="s">
        <v>8568</v>
      </c>
      <c r="R1703" s="39" t="s">
        <v>8569</v>
      </c>
      <c r="S1703" s="39" t="s">
        <v>8570</v>
      </c>
      <c r="AK1703" s="39" t="str">
        <f>("2025/03/27")</f>
        <v>2025/03/27</v>
      </c>
      <c r="AL1703" s="39" t="str">
        <f t="shared" si="147"/>
        <v>2025/04/01</v>
      </c>
    </row>
    <row r="1704" spans="1:38" x14ac:dyDescent="0.25">
      <c r="A1704" s="39" t="str">
        <f>("1507180015")</f>
        <v>1507180015</v>
      </c>
      <c r="B1704" s="39" t="s">
        <v>9242</v>
      </c>
      <c r="C1704" s="39"/>
      <c r="D1704" s="39" t="s">
        <v>9243</v>
      </c>
      <c r="E1704" s="371" t="str">
        <f t="shared" si="144"/>
        <v>つだ　そうあ</v>
      </c>
      <c r="F1704" s="39" t="s">
        <v>2516</v>
      </c>
      <c r="G1704" s="39" t="s">
        <v>7828</v>
      </c>
      <c r="H1704" s="39" t="str">
        <f>("2015/07/18")</f>
        <v>2015/07/18</v>
      </c>
      <c r="I1704" s="39">
        <v>4</v>
      </c>
      <c r="J1704" s="39" t="s">
        <v>1478</v>
      </c>
      <c r="K1704" s="39" t="s">
        <v>2122</v>
      </c>
      <c r="L1704" s="39" t="s">
        <v>7830</v>
      </c>
      <c r="M1704" s="39" t="s">
        <v>7831</v>
      </c>
      <c r="N1704" s="39" t="str">
        <f>("0130116")</f>
        <v>0130116</v>
      </c>
      <c r="P1704" s="39" t="s">
        <v>13167</v>
      </c>
      <c r="Q1704" s="39" t="s">
        <v>8568</v>
      </c>
      <c r="R1704" s="39" t="s">
        <v>8569</v>
      </c>
      <c r="S1704" s="39" t="s">
        <v>8570</v>
      </c>
      <c r="AK1704" s="39" t="str">
        <f>("2025/03/25")</f>
        <v>2025/03/25</v>
      </c>
      <c r="AL1704" s="39" t="str">
        <f t="shared" si="147"/>
        <v>2025/04/01</v>
      </c>
    </row>
    <row r="1705" spans="1:38" x14ac:dyDescent="0.25">
      <c r="A1705" s="39" t="str">
        <f>("1507180058")</f>
        <v>1507180058</v>
      </c>
      <c r="C1705" s="39"/>
      <c r="D1705" s="39" t="s">
        <v>9244</v>
      </c>
      <c r="E1705" s="371" t="str">
        <f t="shared" si="144"/>
        <v>そめや　はるま</v>
      </c>
      <c r="F1705" s="39" t="s">
        <v>2022</v>
      </c>
      <c r="G1705" s="39" t="s">
        <v>7828</v>
      </c>
      <c r="H1705" s="39" t="str">
        <f>("2015/07/18")</f>
        <v>2015/07/18</v>
      </c>
      <c r="I1705" s="39">
        <v>4</v>
      </c>
      <c r="J1705" s="39" t="s">
        <v>1478</v>
      </c>
      <c r="K1705" s="39" t="s">
        <v>2122</v>
      </c>
      <c r="L1705" s="39" t="s">
        <v>7830</v>
      </c>
      <c r="M1705" s="39" t="s">
        <v>7831</v>
      </c>
      <c r="N1705" s="39" t="str">
        <f>("0130329")</f>
        <v>0130329</v>
      </c>
      <c r="P1705" s="39" t="s">
        <v>13168</v>
      </c>
      <c r="Q1705" s="39" t="s">
        <v>8568</v>
      </c>
      <c r="R1705" s="39" t="s">
        <v>8569</v>
      </c>
      <c r="S1705" s="39" t="s">
        <v>8570</v>
      </c>
      <c r="AK1705" s="39" t="str">
        <f>("2025/03/17")</f>
        <v>2025/03/17</v>
      </c>
      <c r="AL1705" s="39" t="str">
        <f t="shared" si="147"/>
        <v>2025/04/01</v>
      </c>
    </row>
    <row r="1706" spans="1:38" x14ac:dyDescent="0.25">
      <c r="A1706" s="39" t="str">
        <f>("1507200025")</f>
        <v>1507200025</v>
      </c>
      <c r="C1706" s="39"/>
      <c r="D1706" s="39" t="s">
        <v>9245</v>
      </c>
      <c r="E1706" s="371" t="str">
        <f t="shared" si="144"/>
        <v>たけはら　ななみ</v>
      </c>
      <c r="F1706" s="39" t="s">
        <v>8135</v>
      </c>
      <c r="G1706" s="39" t="s">
        <v>7828</v>
      </c>
      <c r="H1706" s="39" t="str">
        <f>("2015/07/20")</f>
        <v>2015/07/20</v>
      </c>
      <c r="I1706" s="39">
        <v>4</v>
      </c>
      <c r="J1706" s="39" t="s">
        <v>1480</v>
      </c>
      <c r="K1706" s="39" t="s">
        <v>2122</v>
      </c>
      <c r="L1706" s="39" t="s">
        <v>7830</v>
      </c>
      <c r="M1706" s="39" t="s">
        <v>7831</v>
      </c>
      <c r="N1706" s="39" t="str">
        <f>("0475567")</f>
        <v>0475567</v>
      </c>
      <c r="P1706" s="39" t="s">
        <v>13169</v>
      </c>
      <c r="Q1706" s="39" t="s">
        <v>8568</v>
      </c>
      <c r="R1706" s="39" t="s">
        <v>8569</v>
      </c>
      <c r="S1706" s="39" t="s">
        <v>8570</v>
      </c>
      <c r="AK1706" s="39" t="str">
        <f>("2025/03/24")</f>
        <v>2025/03/24</v>
      </c>
      <c r="AL1706" s="39" t="str">
        <f t="shared" si="147"/>
        <v>2025/04/01</v>
      </c>
    </row>
    <row r="1707" spans="1:38" x14ac:dyDescent="0.25">
      <c r="A1707" s="39" t="str">
        <f>("1507210098")</f>
        <v>1507210098</v>
      </c>
      <c r="C1707" s="39"/>
      <c r="D1707" s="39" t="s">
        <v>9246</v>
      </c>
      <c r="E1707" s="371" t="str">
        <f t="shared" si="144"/>
        <v>いわぶち　しゅん</v>
      </c>
      <c r="F1707" s="39" t="s">
        <v>2619</v>
      </c>
      <c r="G1707" s="39" t="s">
        <v>7828</v>
      </c>
      <c r="H1707" s="39" t="str">
        <f>("2015/07/21")</f>
        <v>2015/07/21</v>
      </c>
      <c r="I1707" s="39">
        <v>4</v>
      </c>
      <c r="J1707" s="39" t="s">
        <v>1478</v>
      </c>
      <c r="K1707" s="39" t="s">
        <v>2122</v>
      </c>
      <c r="L1707" s="39" t="s">
        <v>7830</v>
      </c>
      <c r="M1707" s="39" t="s">
        <v>7831</v>
      </c>
      <c r="N1707" s="39" t="str">
        <f>("0472823")</f>
        <v>0472823</v>
      </c>
      <c r="P1707" s="39" t="s">
        <v>13170</v>
      </c>
      <c r="Q1707" s="39" t="s">
        <v>8568</v>
      </c>
      <c r="R1707" s="39" t="s">
        <v>8569</v>
      </c>
      <c r="S1707" s="39" t="s">
        <v>8570</v>
      </c>
      <c r="AK1707" s="39" t="str">
        <f>("2025/03/17")</f>
        <v>2025/03/17</v>
      </c>
      <c r="AL1707" s="39" t="str">
        <f t="shared" si="147"/>
        <v>2025/04/01</v>
      </c>
    </row>
    <row r="1708" spans="1:38" x14ac:dyDescent="0.25">
      <c r="A1708" s="39" t="str">
        <f>("1507210189")</f>
        <v>1507210189</v>
      </c>
      <c r="C1708" s="39"/>
      <c r="D1708" s="39" t="s">
        <v>9247</v>
      </c>
      <c r="E1708" s="371" t="str">
        <f t="shared" si="144"/>
        <v>えとう　ちづる</v>
      </c>
      <c r="F1708" s="39" t="s">
        <v>2544</v>
      </c>
      <c r="G1708" s="39" t="s">
        <v>7828</v>
      </c>
      <c r="H1708" s="39" t="str">
        <f>("2015/07/21")</f>
        <v>2015/07/21</v>
      </c>
      <c r="I1708" s="39">
        <v>4</v>
      </c>
      <c r="J1708" s="39" t="s">
        <v>1478</v>
      </c>
      <c r="K1708" s="39" t="s">
        <v>2122</v>
      </c>
      <c r="L1708" s="39" t="s">
        <v>7830</v>
      </c>
      <c r="M1708" s="39" t="s">
        <v>7831</v>
      </c>
      <c r="N1708" s="39" t="str">
        <f>("0130644")</f>
        <v>0130644</v>
      </c>
      <c r="P1708" s="39" t="s">
        <v>13171</v>
      </c>
      <c r="Q1708" s="39" t="s">
        <v>8568</v>
      </c>
      <c r="R1708" s="39" t="s">
        <v>8569</v>
      </c>
      <c r="S1708" s="39" t="s">
        <v>8570</v>
      </c>
      <c r="AK1708" s="39" t="str">
        <f>("2025/04/14")</f>
        <v>2025/04/14</v>
      </c>
      <c r="AL1708" s="39" t="str">
        <f>("2025/04/14")</f>
        <v>2025/04/14</v>
      </c>
    </row>
    <row r="1709" spans="1:38" x14ac:dyDescent="0.25">
      <c r="A1709" s="39" t="str">
        <f>("1507210207")</f>
        <v>1507210207</v>
      </c>
      <c r="C1709" s="39"/>
      <c r="D1709" s="39" t="s">
        <v>9248</v>
      </c>
      <c r="E1709" s="371" t="str">
        <f t="shared" si="144"/>
        <v>さしはら　ゆいと</v>
      </c>
      <c r="F1709" s="39" t="s">
        <v>829</v>
      </c>
      <c r="G1709" s="39" t="s">
        <v>7828</v>
      </c>
      <c r="H1709" s="39" t="str">
        <f>("2015/07/21")</f>
        <v>2015/07/21</v>
      </c>
      <c r="I1709" s="39">
        <v>4</v>
      </c>
      <c r="J1709" s="39" t="s">
        <v>1478</v>
      </c>
      <c r="K1709" s="39" t="s">
        <v>2122</v>
      </c>
      <c r="L1709" s="39" t="s">
        <v>7830</v>
      </c>
      <c r="M1709" s="39" t="s">
        <v>7831</v>
      </c>
      <c r="N1709" s="39" t="str">
        <f>("0426631")</f>
        <v>0426631</v>
      </c>
      <c r="P1709" s="39" t="s">
        <v>13172</v>
      </c>
      <c r="Q1709" s="39" t="s">
        <v>8568</v>
      </c>
      <c r="R1709" s="39" t="s">
        <v>8569</v>
      </c>
      <c r="S1709" s="39" t="s">
        <v>8570</v>
      </c>
      <c r="AK1709" s="39" t="str">
        <f>("2025/09/09")</f>
        <v>2025/09/09</v>
      </c>
      <c r="AL1709" s="39" t="str">
        <f>("2025/09/09")</f>
        <v>2025/09/09</v>
      </c>
    </row>
    <row r="1710" spans="1:38" x14ac:dyDescent="0.25">
      <c r="A1710" s="39" t="str">
        <f>("1507220016")</f>
        <v>1507220016</v>
      </c>
      <c r="B1710" s="39" t="s">
        <v>9249</v>
      </c>
      <c r="C1710" s="39"/>
      <c r="D1710" s="39" t="s">
        <v>9250</v>
      </c>
      <c r="E1710" s="371" t="str">
        <f t="shared" si="144"/>
        <v>たまだ　いっせい</v>
      </c>
      <c r="F1710" s="39" t="s">
        <v>1912</v>
      </c>
      <c r="G1710" s="39" t="s">
        <v>7828</v>
      </c>
      <c r="H1710" s="39" t="str">
        <f>("2015/07/22")</f>
        <v>2015/07/22</v>
      </c>
      <c r="I1710" s="39">
        <v>4</v>
      </c>
      <c r="J1710" s="39" t="s">
        <v>1478</v>
      </c>
      <c r="K1710" s="39" t="s">
        <v>2122</v>
      </c>
      <c r="L1710" s="39" t="s">
        <v>7830</v>
      </c>
      <c r="M1710" s="39" t="s">
        <v>7831</v>
      </c>
      <c r="N1710" s="39" t="str">
        <f>("0130363")</f>
        <v>0130363</v>
      </c>
      <c r="P1710" s="39" t="s">
        <v>13173</v>
      </c>
      <c r="Q1710" s="39" t="s">
        <v>8568</v>
      </c>
      <c r="R1710" s="39" t="s">
        <v>8569</v>
      </c>
      <c r="S1710" s="39" t="s">
        <v>8570</v>
      </c>
      <c r="AK1710" s="39" t="str">
        <f>("2025/03/17")</f>
        <v>2025/03/17</v>
      </c>
      <c r="AL1710" s="39" t="str">
        <f>("2025/04/01")</f>
        <v>2025/04/01</v>
      </c>
    </row>
    <row r="1711" spans="1:38" x14ac:dyDescent="0.25">
      <c r="A1711" s="39" t="str">
        <f>("1507220050")</f>
        <v>1507220050</v>
      </c>
      <c r="C1711" s="39"/>
      <c r="D1711" s="39" t="s">
        <v>9251</v>
      </c>
      <c r="E1711" s="371" t="str">
        <f t="shared" si="144"/>
        <v>なか　かのん</v>
      </c>
      <c r="F1711" s="39" t="s">
        <v>7864</v>
      </c>
      <c r="G1711" s="39" t="s">
        <v>7828</v>
      </c>
      <c r="H1711" s="39" t="str">
        <f>("2015/07/22")</f>
        <v>2015/07/22</v>
      </c>
      <c r="I1711" s="39">
        <v>4</v>
      </c>
      <c r="J1711" s="39" t="s">
        <v>1478</v>
      </c>
      <c r="K1711" s="39" t="s">
        <v>2122</v>
      </c>
      <c r="L1711" s="39" t="s">
        <v>7830</v>
      </c>
      <c r="M1711" s="39" t="s">
        <v>7831</v>
      </c>
      <c r="N1711" s="39" t="str">
        <f>("1039801")</f>
        <v>1039801</v>
      </c>
      <c r="P1711" s="39" t="s">
        <v>13174</v>
      </c>
      <c r="Q1711" s="39" t="s">
        <v>8568</v>
      </c>
      <c r="R1711" s="39" t="s">
        <v>8569</v>
      </c>
      <c r="S1711" s="39" t="s">
        <v>8570</v>
      </c>
      <c r="AK1711" s="39" t="str">
        <f>("2025/03/24")</f>
        <v>2025/03/24</v>
      </c>
      <c r="AL1711" s="39" t="str">
        <f>("2025/04/01")</f>
        <v>2025/04/01</v>
      </c>
    </row>
    <row r="1712" spans="1:38" x14ac:dyDescent="0.25">
      <c r="A1712" s="39" t="str">
        <f>("1507220085")</f>
        <v>1507220085</v>
      </c>
      <c r="C1712" s="39"/>
      <c r="D1712" s="39" t="s">
        <v>5866</v>
      </c>
      <c r="E1712" s="371" t="str">
        <f t="shared" si="144"/>
        <v>たにぐち　かいと</v>
      </c>
      <c r="F1712" s="39" t="s">
        <v>2324</v>
      </c>
      <c r="G1712" s="39" t="s">
        <v>7828</v>
      </c>
      <c r="H1712" s="39" t="str">
        <f>("2015/07/22")</f>
        <v>2015/07/22</v>
      </c>
      <c r="I1712" s="39">
        <v>4</v>
      </c>
      <c r="J1712" s="39" t="s">
        <v>1478</v>
      </c>
      <c r="K1712" s="39" t="s">
        <v>2122</v>
      </c>
      <c r="L1712" s="39" t="s">
        <v>7830</v>
      </c>
      <c r="M1712" s="39" t="s">
        <v>7831</v>
      </c>
      <c r="N1712" s="39" t="str">
        <f>("0130486")</f>
        <v>0130486</v>
      </c>
      <c r="P1712" s="39" t="s">
        <v>13175</v>
      </c>
      <c r="Q1712" s="39" t="s">
        <v>8568</v>
      </c>
      <c r="R1712" s="39" t="s">
        <v>8569</v>
      </c>
      <c r="S1712" s="39" t="s">
        <v>8570</v>
      </c>
      <c r="AK1712" s="39" t="str">
        <f>("2025/03/24")</f>
        <v>2025/03/24</v>
      </c>
      <c r="AL1712" s="39" t="str">
        <f>("2025/04/01")</f>
        <v>2025/04/01</v>
      </c>
    </row>
    <row r="1713" spans="1:38" x14ac:dyDescent="0.25">
      <c r="A1713" s="39" t="str">
        <f>("1507240151")</f>
        <v>1507240151</v>
      </c>
      <c r="C1713" s="39"/>
      <c r="D1713" s="39" t="s">
        <v>9252</v>
      </c>
      <c r="E1713" s="371" t="str">
        <f t="shared" si="144"/>
        <v>ひらやま　はるき</v>
      </c>
      <c r="F1713" s="39" t="s">
        <v>2422</v>
      </c>
      <c r="G1713" s="39" t="s">
        <v>7828</v>
      </c>
      <c r="H1713" s="39" t="str">
        <f>("2015/07/24")</f>
        <v>2015/07/24</v>
      </c>
      <c r="I1713" s="39">
        <v>4</v>
      </c>
      <c r="J1713" s="39" t="s">
        <v>1478</v>
      </c>
      <c r="K1713" s="39" t="s">
        <v>2122</v>
      </c>
      <c r="L1713" s="39" t="s">
        <v>7830</v>
      </c>
      <c r="M1713" s="39" t="s">
        <v>7831</v>
      </c>
      <c r="N1713" s="39" t="str">
        <f>("0130699")</f>
        <v>0130699</v>
      </c>
      <c r="P1713" s="39" t="s">
        <v>13176</v>
      </c>
      <c r="Q1713" s="39" t="s">
        <v>8568</v>
      </c>
      <c r="R1713" s="39" t="s">
        <v>8569</v>
      </c>
      <c r="S1713" s="39" t="s">
        <v>8570</v>
      </c>
      <c r="AA1713" s="39" t="s">
        <v>2035</v>
      </c>
      <c r="AB1713" s="39" t="s">
        <v>7830</v>
      </c>
      <c r="AC1713" s="39" t="s">
        <v>7831</v>
      </c>
      <c r="AD1713" s="39" t="str">
        <f>("0428048")</f>
        <v>0428048</v>
      </c>
      <c r="AE1713" s="39" t="s">
        <v>8914</v>
      </c>
      <c r="AK1713" s="39" t="str">
        <f>("2025/11/14")</f>
        <v>2025/11/14</v>
      </c>
      <c r="AL1713" s="39" t="str">
        <f>("2025/11/14")</f>
        <v>2025/11/14</v>
      </c>
    </row>
    <row r="1714" spans="1:38" x14ac:dyDescent="0.25">
      <c r="A1714" s="39" t="str">
        <f>("1507260101")</f>
        <v>1507260101</v>
      </c>
      <c r="C1714" s="39"/>
      <c r="D1714" s="39" t="s">
        <v>9253</v>
      </c>
      <c r="E1714" s="371" t="str">
        <f t="shared" si="144"/>
        <v>きくち　けんすけ</v>
      </c>
      <c r="F1714" s="39" t="s">
        <v>2477</v>
      </c>
      <c r="G1714" s="39" t="s">
        <v>7828</v>
      </c>
      <c r="H1714" s="39" t="str">
        <f>("2015/07/26")</f>
        <v>2015/07/26</v>
      </c>
      <c r="I1714" s="39">
        <v>4</v>
      </c>
      <c r="J1714" s="39" t="s">
        <v>1478</v>
      </c>
      <c r="K1714" s="39" t="s">
        <v>2122</v>
      </c>
      <c r="L1714" s="39" t="s">
        <v>7830</v>
      </c>
      <c r="M1714" s="39" t="s">
        <v>7831</v>
      </c>
      <c r="N1714" s="39" t="str">
        <f>("0129541")</f>
        <v>0129541</v>
      </c>
      <c r="P1714" s="39" t="s">
        <v>13177</v>
      </c>
      <c r="Q1714" s="39" t="s">
        <v>8568</v>
      </c>
      <c r="R1714" s="39" t="s">
        <v>8569</v>
      </c>
      <c r="S1714" s="39" t="s">
        <v>8570</v>
      </c>
      <c r="AK1714" s="39" t="str">
        <f>("2025/03/27")</f>
        <v>2025/03/27</v>
      </c>
      <c r="AL1714" s="39" t="str">
        <f>("2025/04/01")</f>
        <v>2025/04/01</v>
      </c>
    </row>
    <row r="1715" spans="1:38" x14ac:dyDescent="0.25">
      <c r="A1715" s="39" t="str">
        <f>("1507270185")</f>
        <v>1507270185</v>
      </c>
      <c r="C1715" s="39"/>
      <c r="D1715" s="39" t="s">
        <v>9254</v>
      </c>
      <c r="E1715" s="371" t="str">
        <f t="shared" si="144"/>
        <v>いわさき　とうり</v>
      </c>
      <c r="F1715" s="39" t="s">
        <v>2544</v>
      </c>
      <c r="G1715" s="39" t="s">
        <v>7828</v>
      </c>
      <c r="H1715" s="39" t="str">
        <f>("2015/07/27")</f>
        <v>2015/07/27</v>
      </c>
      <c r="I1715" s="39">
        <v>4</v>
      </c>
      <c r="J1715" s="39" t="s">
        <v>1478</v>
      </c>
      <c r="K1715" s="39" t="s">
        <v>2122</v>
      </c>
      <c r="L1715" s="39" t="s">
        <v>7830</v>
      </c>
      <c r="M1715" s="39" t="s">
        <v>7831</v>
      </c>
      <c r="N1715" s="39" t="str">
        <f>("0130644")</f>
        <v>0130644</v>
      </c>
      <c r="P1715" s="39" t="s">
        <v>13178</v>
      </c>
      <c r="Q1715" s="39" t="s">
        <v>8568</v>
      </c>
      <c r="R1715" s="39" t="s">
        <v>8569</v>
      </c>
      <c r="S1715" s="39" t="s">
        <v>8570</v>
      </c>
      <c r="AK1715" s="39" t="str">
        <f>("2025/04/10")</f>
        <v>2025/04/10</v>
      </c>
      <c r="AL1715" s="39" t="str">
        <f>("2025/04/10")</f>
        <v>2025/04/10</v>
      </c>
    </row>
    <row r="1716" spans="1:38" x14ac:dyDescent="0.25">
      <c r="A1716" s="39" t="str">
        <f>("1507280010")</f>
        <v>1507280010</v>
      </c>
      <c r="C1716" s="39"/>
      <c r="D1716" s="39" t="s">
        <v>9255</v>
      </c>
      <c r="E1716" s="371" t="str">
        <f t="shared" si="144"/>
        <v>はやし　さくと</v>
      </c>
      <c r="F1716" s="39" t="s">
        <v>2573</v>
      </c>
      <c r="G1716" s="39" t="s">
        <v>7828</v>
      </c>
      <c r="H1716" s="39" t="str">
        <f>("2015/07/28")</f>
        <v>2015/07/28</v>
      </c>
      <c r="I1716" s="39">
        <v>4</v>
      </c>
      <c r="J1716" s="39" t="s">
        <v>1478</v>
      </c>
      <c r="K1716" s="39" t="s">
        <v>2122</v>
      </c>
      <c r="L1716" s="39" t="s">
        <v>7830</v>
      </c>
      <c r="M1716" s="39" t="s">
        <v>7831</v>
      </c>
      <c r="N1716" s="39" t="str">
        <f>("0230982")</f>
        <v>0230982</v>
      </c>
      <c r="P1716" s="39" t="s">
        <v>13179</v>
      </c>
      <c r="Q1716" s="39" t="s">
        <v>8568</v>
      </c>
      <c r="R1716" s="39" t="s">
        <v>8569</v>
      </c>
      <c r="S1716" s="39" t="s">
        <v>8570</v>
      </c>
      <c r="AK1716" s="39" t="str">
        <f>("2025/03/17")</f>
        <v>2025/03/17</v>
      </c>
      <c r="AL1716" s="39" t="str">
        <f>("2025/04/01")</f>
        <v>2025/04/01</v>
      </c>
    </row>
    <row r="1717" spans="1:38" x14ac:dyDescent="0.25">
      <c r="A1717" s="39" t="str">
        <f>("1507280076")</f>
        <v>1507280076</v>
      </c>
      <c r="C1717" s="39"/>
      <c r="D1717" s="39" t="s">
        <v>9256</v>
      </c>
      <c r="E1717" s="371" t="str">
        <f t="shared" si="144"/>
        <v>いのうえ　にと</v>
      </c>
      <c r="F1717" s="39" t="s">
        <v>928</v>
      </c>
      <c r="G1717" s="39" t="s">
        <v>7828</v>
      </c>
      <c r="H1717" s="39" t="str">
        <f>("2015/07/28")</f>
        <v>2015/07/28</v>
      </c>
      <c r="I1717" s="39">
        <v>4</v>
      </c>
      <c r="J1717" s="39" t="s">
        <v>1478</v>
      </c>
      <c r="K1717" s="39" t="s">
        <v>2122</v>
      </c>
      <c r="L1717" s="39" t="s">
        <v>7830</v>
      </c>
      <c r="M1717" s="39" t="s">
        <v>7831</v>
      </c>
      <c r="N1717" s="39" t="str">
        <f>("0130532")</f>
        <v>0130532</v>
      </c>
      <c r="P1717" s="39" t="s">
        <v>13180</v>
      </c>
      <c r="Q1717" s="39" t="s">
        <v>8568</v>
      </c>
      <c r="R1717" s="39" t="s">
        <v>8569</v>
      </c>
      <c r="S1717" s="39" t="s">
        <v>8570</v>
      </c>
      <c r="AK1717" s="39" t="str">
        <f>("2025/03/17")</f>
        <v>2025/03/17</v>
      </c>
      <c r="AL1717" s="39" t="str">
        <f>("2025/04/01")</f>
        <v>2025/04/01</v>
      </c>
    </row>
    <row r="1718" spans="1:38" x14ac:dyDescent="0.25">
      <c r="A1718" s="39" t="str">
        <f>("1507280124")</f>
        <v>1507280124</v>
      </c>
      <c r="C1718" s="39"/>
      <c r="D1718" s="39" t="s">
        <v>9257</v>
      </c>
      <c r="E1718" s="371" t="str">
        <f t="shared" si="144"/>
        <v>なかの　えいと</v>
      </c>
      <c r="F1718" s="39" t="s">
        <v>520</v>
      </c>
      <c r="G1718" s="39" t="s">
        <v>7828</v>
      </c>
      <c r="H1718" s="39" t="str">
        <f>("2015/07/28")</f>
        <v>2015/07/28</v>
      </c>
      <c r="I1718" s="39">
        <v>4</v>
      </c>
      <c r="J1718" s="39" t="s">
        <v>1478</v>
      </c>
      <c r="K1718" s="39" t="s">
        <v>2122</v>
      </c>
      <c r="L1718" s="39" t="s">
        <v>7830</v>
      </c>
      <c r="M1718" s="39" t="s">
        <v>7831</v>
      </c>
      <c r="N1718" s="39" t="str">
        <f>("0129765")</f>
        <v>0129765</v>
      </c>
      <c r="P1718" s="39" t="s">
        <v>13181</v>
      </c>
      <c r="Q1718" s="39" t="s">
        <v>8568</v>
      </c>
      <c r="R1718" s="39" t="s">
        <v>8569</v>
      </c>
      <c r="S1718" s="39" t="s">
        <v>8570</v>
      </c>
      <c r="AK1718" s="39" t="str">
        <f>("2025/03/17")</f>
        <v>2025/03/17</v>
      </c>
      <c r="AL1718" s="39" t="str">
        <f>("2025/04/01")</f>
        <v>2025/04/01</v>
      </c>
    </row>
    <row r="1719" spans="1:38" x14ac:dyDescent="0.25">
      <c r="A1719" s="39" t="str">
        <f>("1507280179")</f>
        <v>1507280179</v>
      </c>
      <c r="C1719" s="39"/>
      <c r="D1719" s="39" t="s">
        <v>9258</v>
      </c>
      <c r="E1719" s="371" t="str">
        <f t="shared" si="144"/>
        <v>みやけ　あれん</v>
      </c>
      <c r="F1719" s="39" t="s">
        <v>1207</v>
      </c>
      <c r="G1719" s="39" t="s">
        <v>7828</v>
      </c>
      <c r="H1719" s="39" t="str">
        <f>("2015/07/28")</f>
        <v>2015/07/28</v>
      </c>
      <c r="I1719" s="39">
        <v>4</v>
      </c>
      <c r="J1719" s="39" t="s">
        <v>1478</v>
      </c>
      <c r="K1719" s="39" t="s">
        <v>2122</v>
      </c>
      <c r="L1719" s="39" t="s">
        <v>7830</v>
      </c>
      <c r="M1719" s="39" t="s">
        <v>7831</v>
      </c>
      <c r="N1719" s="39" t="str">
        <f>("0381608")</f>
        <v>0381608</v>
      </c>
      <c r="P1719" s="39" t="s">
        <v>13182</v>
      </c>
      <c r="Q1719" s="39" t="s">
        <v>8568</v>
      </c>
      <c r="R1719" s="39" t="s">
        <v>8569</v>
      </c>
      <c r="S1719" s="39" t="s">
        <v>8570</v>
      </c>
      <c r="AK1719" s="39" t="str">
        <f>("2025/04/23")</f>
        <v>2025/04/23</v>
      </c>
      <c r="AL1719" s="39" t="str">
        <f>("2025/04/23")</f>
        <v>2025/04/23</v>
      </c>
    </row>
    <row r="1720" spans="1:38" x14ac:dyDescent="0.25">
      <c r="A1720" s="39" t="str">
        <f>("1507290105")</f>
        <v>1507290105</v>
      </c>
      <c r="C1720" s="39"/>
      <c r="D1720" s="39" t="s">
        <v>9259</v>
      </c>
      <c r="E1720" s="371" t="str">
        <f t="shared" si="144"/>
        <v>ながた　りゅうと</v>
      </c>
      <c r="F1720" s="39" t="s">
        <v>8032</v>
      </c>
      <c r="G1720" s="39" t="s">
        <v>7828</v>
      </c>
      <c r="H1720" s="39" t="str">
        <f>("2015/07/29")</f>
        <v>2015/07/29</v>
      </c>
      <c r="I1720" s="39">
        <v>4</v>
      </c>
      <c r="J1720" s="39" t="s">
        <v>1478</v>
      </c>
      <c r="K1720" s="39" t="s">
        <v>2122</v>
      </c>
      <c r="L1720" s="39" t="s">
        <v>7830</v>
      </c>
      <c r="M1720" s="39" t="s">
        <v>7831</v>
      </c>
      <c r="N1720" s="39" t="str">
        <f>("0452911")</f>
        <v>0452911</v>
      </c>
      <c r="P1720" s="39" t="s">
        <v>13183</v>
      </c>
      <c r="Q1720" s="39" t="s">
        <v>8568</v>
      </c>
      <c r="R1720" s="39" t="s">
        <v>8569</v>
      </c>
      <c r="S1720" s="39" t="s">
        <v>8570</v>
      </c>
      <c r="AK1720" s="39" t="str">
        <f>("2025/04/10")</f>
        <v>2025/04/10</v>
      </c>
      <c r="AL1720" s="39" t="str">
        <f>("2025/04/01")</f>
        <v>2025/04/01</v>
      </c>
    </row>
    <row r="1721" spans="1:38" x14ac:dyDescent="0.25">
      <c r="A1721" s="39" t="str">
        <f>("1507290130")</f>
        <v>1507290130</v>
      </c>
      <c r="C1721" s="39"/>
      <c r="D1721" s="39" t="s">
        <v>9260</v>
      </c>
      <c r="E1721" s="371" t="str">
        <f t="shared" si="144"/>
        <v>ふじわら　はると</v>
      </c>
      <c r="F1721" s="39" t="s">
        <v>1082</v>
      </c>
      <c r="G1721" s="39" t="s">
        <v>7828</v>
      </c>
      <c r="H1721" s="39" t="str">
        <f>("2015/07/29")</f>
        <v>2015/07/29</v>
      </c>
      <c r="I1721" s="39">
        <v>4</v>
      </c>
      <c r="J1721" s="39" t="s">
        <v>1478</v>
      </c>
      <c r="K1721" s="39" t="s">
        <v>2122</v>
      </c>
      <c r="L1721" s="39" t="s">
        <v>7830</v>
      </c>
      <c r="M1721" s="39" t="s">
        <v>7831</v>
      </c>
      <c r="N1721" s="39" t="str">
        <f>("0450009")</f>
        <v>0450009</v>
      </c>
      <c r="P1721" s="39" t="s">
        <v>13184</v>
      </c>
      <c r="Q1721" s="39" t="s">
        <v>8568</v>
      </c>
      <c r="R1721" s="39" t="s">
        <v>8569</v>
      </c>
      <c r="S1721" s="39" t="s">
        <v>8570</v>
      </c>
      <c r="AK1721" s="39" t="str">
        <f>("2025/03/17")</f>
        <v>2025/03/17</v>
      </c>
      <c r="AL1721" s="39" t="str">
        <f>("2025/04/01")</f>
        <v>2025/04/01</v>
      </c>
    </row>
    <row r="1722" spans="1:38" x14ac:dyDescent="0.25">
      <c r="A1722" s="39" t="str">
        <f>("1508010071")</f>
        <v>1508010071</v>
      </c>
      <c r="C1722" s="39"/>
      <c r="D1722" s="39" t="s">
        <v>9261</v>
      </c>
      <c r="E1722" s="371" t="str">
        <f t="shared" si="144"/>
        <v>あんどう　いくと</v>
      </c>
      <c r="F1722" s="39" t="s">
        <v>1917</v>
      </c>
      <c r="G1722" s="39" t="s">
        <v>7828</v>
      </c>
      <c r="H1722" s="39" t="str">
        <f>("2015/08/01")</f>
        <v>2015/08/01</v>
      </c>
      <c r="I1722" s="39">
        <v>4</v>
      </c>
      <c r="J1722" s="39" t="s">
        <v>1478</v>
      </c>
      <c r="K1722" s="39" t="s">
        <v>2122</v>
      </c>
      <c r="L1722" s="39" t="s">
        <v>7830</v>
      </c>
      <c r="M1722" s="39" t="s">
        <v>7831</v>
      </c>
      <c r="N1722" s="39" t="str">
        <f>("1032161")</f>
        <v>1032161</v>
      </c>
      <c r="P1722" s="39" t="s">
        <v>13185</v>
      </c>
      <c r="Q1722" s="39" t="s">
        <v>8568</v>
      </c>
      <c r="R1722" s="39" t="s">
        <v>8569</v>
      </c>
      <c r="S1722" s="39" t="s">
        <v>8570</v>
      </c>
      <c r="AK1722" s="39" t="str">
        <f>("2025/03/21")</f>
        <v>2025/03/21</v>
      </c>
      <c r="AL1722" s="39" t="str">
        <f>("2025/04/01")</f>
        <v>2025/04/01</v>
      </c>
    </row>
    <row r="1723" spans="1:38" x14ac:dyDescent="0.25">
      <c r="A1723" s="39" t="str">
        <f>("1508010110")</f>
        <v>1508010110</v>
      </c>
      <c r="C1723" s="39"/>
      <c r="D1723" s="39" t="s">
        <v>9262</v>
      </c>
      <c r="E1723" s="371" t="str">
        <f t="shared" si="144"/>
        <v>せき　とくと</v>
      </c>
      <c r="F1723" s="39" t="s">
        <v>5621</v>
      </c>
      <c r="G1723" s="39" t="s">
        <v>7828</v>
      </c>
      <c r="H1723" s="39" t="str">
        <f>("2015/08/01")</f>
        <v>2015/08/01</v>
      </c>
      <c r="I1723" s="39">
        <v>4</v>
      </c>
      <c r="J1723" s="39" t="s">
        <v>1478</v>
      </c>
      <c r="K1723" s="39" t="s">
        <v>2122</v>
      </c>
      <c r="L1723" s="39" t="s">
        <v>7830</v>
      </c>
      <c r="M1723" s="39" t="s">
        <v>7831</v>
      </c>
      <c r="N1723" s="39" t="str">
        <f>("1110654")</f>
        <v>1110654</v>
      </c>
      <c r="P1723" s="39" t="s">
        <v>13186</v>
      </c>
      <c r="Q1723" s="39" t="s">
        <v>8568</v>
      </c>
      <c r="R1723" s="39" t="s">
        <v>8569</v>
      </c>
      <c r="S1723" s="39" t="s">
        <v>8570</v>
      </c>
      <c r="AK1723" s="39" t="str">
        <f>("2025/03/03")</f>
        <v>2025/03/03</v>
      </c>
      <c r="AL1723" s="39" t="str">
        <f>("2025/04/01")</f>
        <v>2025/04/01</v>
      </c>
    </row>
    <row r="1724" spans="1:38" x14ac:dyDescent="0.25">
      <c r="A1724" s="39" t="str">
        <f>("1508020128")</f>
        <v>1508020128</v>
      </c>
      <c r="C1724" s="39"/>
      <c r="D1724" s="39" t="s">
        <v>9263</v>
      </c>
      <c r="E1724" s="371" t="str">
        <f t="shared" si="144"/>
        <v>すぎた　かなで</v>
      </c>
      <c r="F1724" s="39" t="s">
        <v>2256</v>
      </c>
      <c r="G1724" s="39" t="s">
        <v>7828</v>
      </c>
      <c r="H1724" s="39" t="str">
        <f>("2015/08/02")</f>
        <v>2015/08/02</v>
      </c>
      <c r="I1724" s="39">
        <v>4</v>
      </c>
      <c r="J1724" s="39" t="s">
        <v>1480</v>
      </c>
      <c r="K1724" s="39" t="s">
        <v>2122</v>
      </c>
      <c r="L1724" s="39" t="s">
        <v>7830</v>
      </c>
      <c r="M1724" s="39" t="s">
        <v>7831</v>
      </c>
      <c r="N1724" s="39" t="str">
        <f>("0449119")</f>
        <v>0449119</v>
      </c>
      <c r="P1724" s="39" t="s">
        <v>13187</v>
      </c>
      <c r="Q1724" s="39" t="s">
        <v>8568</v>
      </c>
      <c r="R1724" s="39" t="s">
        <v>8569</v>
      </c>
      <c r="S1724" s="39" t="s">
        <v>8570</v>
      </c>
      <c r="AK1724" s="39" t="str">
        <f>("2025/05/07")</f>
        <v>2025/05/07</v>
      </c>
      <c r="AL1724" s="39" t="str">
        <f>("2025/05/07")</f>
        <v>2025/05/07</v>
      </c>
    </row>
    <row r="1725" spans="1:38" x14ac:dyDescent="0.25">
      <c r="A1725" s="39" t="str">
        <f>("1508030137")</f>
        <v>1508030137</v>
      </c>
      <c r="B1725" s="39" t="s">
        <v>9264</v>
      </c>
      <c r="C1725" s="39"/>
      <c r="D1725" s="39" t="s">
        <v>9265</v>
      </c>
      <c r="E1725" s="371" t="str">
        <f t="shared" si="144"/>
        <v>しいやま　はると</v>
      </c>
      <c r="F1725" s="39" t="s">
        <v>2594</v>
      </c>
      <c r="G1725" s="39" t="s">
        <v>7828</v>
      </c>
      <c r="H1725" s="39" t="str">
        <f>("2015/08/03")</f>
        <v>2015/08/03</v>
      </c>
      <c r="I1725" s="39">
        <v>4</v>
      </c>
      <c r="J1725" s="39" t="s">
        <v>1478</v>
      </c>
      <c r="K1725" s="39" t="s">
        <v>2122</v>
      </c>
      <c r="L1725" s="39" t="s">
        <v>7830</v>
      </c>
      <c r="M1725" s="39" t="s">
        <v>7831</v>
      </c>
      <c r="N1725" s="39" t="str">
        <f>("0424583")</f>
        <v>0424583</v>
      </c>
      <c r="P1725" s="39" t="s">
        <v>13188</v>
      </c>
      <c r="Q1725" s="39" t="s">
        <v>8568</v>
      </c>
      <c r="R1725" s="39" t="s">
        <v>8569</v>
      </c>
      <c r="S1725" s="39" t="s">
        <v>8570</v>
      </c>
      <c r="AK1725" s="39" t="str">
        <f>("2025/03/17")</f>
        <v>2025/03/17</v>
      </c>
      <c r="AL1725" s="39" t="str">
        <f>("2025/04/01")</f>
        <v>2025/04/01</v>
      </c>
    </row>
    <row r="1726" spans="1:38" x14ac:dyDescent="0.25">
      <c r="A1726" s="39" t="str">
        <f>("1508030202")</f>
        <v>1508030202</v>
      </c>
      <c r="C1726" s="39"/>
      <c r="D1726" s="39" t="s">
        <v>9266</v>
      </c>
      <c r="E1726" s="371" t="str">
        <f t="shared" si="144"/>
        <v>たかはし　えいと</v>
      </c>
      <c r="F1726" s="39" t="s">
        <v>2033</v>
      </c>
      <c r="G1726" s="39" t="s">
        <v>7828</v>
      </c>
      <c r="H1726" s="39" t="str">
        <f>("2015/08/03")</f>
        <v>2015/08/03</v>
      </c>
      <c r="I1726" s="39">
        <v>4</v>
      </c>
      <c r="J1726" s="39" t="s">
        <v>1478</v>
      </c>
      <c r="K1726" s="39" t="s">
        <v>2122</v>
      </c>
      <c r="L1726" s="39" t="s">
        <v>7830</v>
      </c>
      <c r="M1726" s="39" t="s">
        <v>7831</v>
      </c>
      <c r="N1726" s="39" t="str">
        <f>("0130442")</f>
        <v>0130442</v>
      </c>
      <c r="P1726" s="39" t="s">
        <v>11781</v>
      </c>
      <c r="Q1726" s="39" t="s">
        <v>8568</v>
      </c>
      <c r="R1726" s="39" t="s">
        <v>8569</v>
      </c>
      <c r="S1726" s="39" t="s">
        <v>8570</v>
      </c>
      <c r="AK1726" s="39" t="str">
        <f>("2025/04/14")</f>
        <v>2025/04/14</v>
      </c>
      <c r="AL1726" s="39" t="str">
        <f>("2025/04/14")</f>
        <v>2025/04/14</v>
      </c>
    </row>
    <row r="1727" spans="1:38" x14ac:dyDescent="0.25">
      <c r="A1727" s="39" t="str">
        <f>("1508040041")</f>
        <v>1508040041</v>
      </c>
      <c r="C1727" s="39"/>
      <c r="D1727" s="39" t="s">
        <v>9267</v>
      </c>
      <c r="E1727" s="371" t="str">
        <f t="shared" si="144"/>
        <v>しゅとう　ゆうり</v>
      </c>
      <c r="F1727" s="39" t="s">
        <v>2821</v>
      </c>
      <c r="G1727" s="39" t="s">
        <v>7828</v>
      </c>
      <c r="H1727" s="39" t="str">
        <f>("2015/08/04")</f>
        <v>2015/08/04</v>
      </c>
      <c r="I1727" s="39">
        <v>4</v>
      </c>
      <c r="J1727" s="39" t="s">
        <v>1478</v>
      </c>
      <c r="K1727" s="39" t="s">
        <v>2122</v>
      </c>
      <c r="L1727" s="39" t="s">
        <v>7830</v>
      </c>
      <c r="M1727" s="39" t="s">
        <v>7831</v>
      </c>
      <c r="N1727" s="39" t="str">
        <f>("0237631")</f>
        <v>0237631</v>
      </c>
      <c r="P1727" s="39" t="s">
        <v>13189</v>
      </c>
      <c r="Q1727" s="39" t="s">
        <v>8568</v>
      </c>
      <c r="R1727" s="39" t="s">
        <v>8569</v>
      </c>
      <c r="S1727" s="39" t="s">
        <v>8570</v>
      </c>
      <c r="AK1727" s="39" t="str">
        <f>("2025/03/17")</f>
        <v>2025/03/17</v>
      </c>
      <c r="AL1727" s="39" t="str">
        <f>("2025/04/01")</f>
        <v>2025/04/01</v>
      </c>
    </row>
    <row r="1728" spans="1:38" x14ac:dyDescent="0.25">
      <c r="A1728" s="39" t="str">
        <f>("1508040063")</f>
        <v>1508040063</v>
      </c>
      <c r="B1728" s="39" t="s">
        <v>9268</v>
      </c>
      <c r="C1728" s="39"/>
      <c r="D1728" s="39" t="s">
        <v>5901</v>
      </c>
      <c r="E1728" s="371" t="str">
        <f t="shared" si="144"/>
        <v>そのだ　あお</v>
      </c>
      <c r="F1728" s="39" t="s">
        <v>5619</v>
      </c>
      <c r="G1728" s="39" t="s">
        <v>7828</v>
      </c>
      <c r="H1728" s="39" t="str">
        <f>("2015/08/04")</f>
        <v>2015/08/04</v>
      </c>
      <c r="I1728" s="39">
        <v>4</v>
      </c>
      <c r="J1728" s="39" t="s">
        <v>1478</v>
      </c>
      <c r="K1728" s="39" t="s">
        <v>2122</v>
      </c>
      <c r="L1728" s="39" t="s">
        <v>7830</v>
      </c>
      <c r="M1728" s="39" t="s">
        <v>7831</v>
      </c>
      <c r="N1728" s="39" t="str">
        <f>("1089004")</f>
        <v>1089004</v>
      </c>
      <c r="P1728" s="39" t="s">
        <v>13070</v>
      </c>
      <c r="Q1728" s="39" t="s">
        <v>8568</v>
      </c>
      <c r="R1728" s="39" t="s">
        <v>8569</v>
      </c>
      <c r="S1728" s="39" t="s">
        <v>8570</v>
      </c>
      <c r="AA1728" s="39" t="s">
        <v>2122</v>
      </c>
      <c r="AB1728" s="39" t="s">
        <v>7830</v>
      </c>
      <c r="AC1728" s="39" t="s">
        <v>7831</v>
      </c>
      <c r="AD1728" s="39" t="str">
        <f>("0130598")</f>
        <v>0130598</v>
      </c>
      <c r="AE1728" s="39" t="s">
        <v>1330</v>
      </c>
      <c r="AK1728" s="39" t="str">
        <f>("2025/05/27")</f>
        <v>2025/05/27</v>
      </c>
      <c r="AL1728" s="39" t="str">
        <f>("2025/05/27")</f>
        <v>2025/05/27</v>
      </c>
    </row>
    <row r="1729" spans="1:38" x14ac:dyDescent="0.25">
      <c r="A1729" s="39" t="str">
        <f>("1508040076")</f>
        <v>1508040076</v>
      </c>
      <c r="C1729" s="39"/>
      <c r="D1729" s="39" t="s">
        <v>9269</v>
      </c>
      <c r="E1729" s="371" t="str">
        <f t="shared" si="144"/>
        <v>ふるしょう　りきと</v>
      </c>
      <c r="F1729" s="39" t="s">
        <v>2575</v>
      </c>
      <c r="G1729" s="39" t="s">
        <v>7828</v>
      </c>
      <c r="H1729" s="39" t="str">
        <f>("2015/08/04")</f>
        <v>2015/08/04</v>
      </c>
      <c r="I1729" s="39">
        <v>4</v>
      </c>
      <c r="J1729" s="39" t="s">
        <v>1478</v>
      </c>
      <c r="K1729" s="39" t="s">
        <v>2122</v>
      </c>
      <c r="L1729" s="39" t="s">
        <v>7830</v>
      </c>
      <c r="M1729" s="39" t="s">
        <v>7831</v>
      </c>
      <c r="N1729" s="39" t="str">
        <f>("0303040")</f>
        <v>0303040</v>
      </c>
      <c r="P1729" s="39" t="s">
        <v>13190</v>
      </c>
      <c r="Q1729" s="39" t="s">
        <v>8568</v>
      </c>
      <c r="R1729" s="39" t="s">
        <v>8569</v>
      </c>
      <c r="S1729" s="39" t="s">
        <v>8570</v>
      </c>
      <c r="AK1729" s="39" t="str">
        <f>("2025/03/17")</f>
        <v>2025/03/17</v>
      </c>
      <c r="AL1729" s="39" t="str">
        <f>("2025/04/01")</f>
        <v>2025/04/01</v>
      </c>
    </row>
    <row r="1730" spans="1:38" x14ac:dyDescent="0.25">
      <c r="A1730" s="39" t="str">
        <f>("1508040124")</f>
        <v>1508040124</v>
      </c>
      <c r="C1730" s="39"/>
      <c r="D1730" s="39" t="s">
        <v>5784</v>
      </c>
      <c r="E1730" s="371" t="str">
        <f t="shared" si="144"/>
        <v>きむら　えいた</v>
      </c>
      <c r="F1730" s="39" t="s">
        <v>2514</v>
      </c>
      <c r="G1730" s="39" t="s">
        <v>7828</v>
      </c>
      <c r="H1730" s="39" t="str">
        <f>("2015/08/04")</f>
        <v>2015/08/04</v>
      </c>
      <c r="I1730" s="39">
        <v>4</v>
      </c>
      <c r="J1730" s="39" t="s">
        <v>1478</v>
      </c>
      <c r="K1730" s="39" t="s">
        <v>2122</v>
      </c>
      <c r="L1730" s="39" t="s">
        <v>7830</v>
      </c>
      <c r="M1730" s="39" t="s">
        <v>7831</v>
      </c>
      <c r="N1730" s="39" t="str">
        <f>("0130093")</f>
        <v>0130093</v>
      </c>
      <c r="P1730" s="39" t="s">
        <v>13191</v>
      </c>
      <c r="Q1730" s="39" t="s">
        <v>8568</v>
      </c>
      <c r="R1730" s="39" t="s">
        <v>8569</v>
      </c>
      <c r="S1730" s="39" t="s">
        <v>8570</v>
      </c>
      <c r="AK1730" s="39" t="str">
        <f>("2025/04/01")</f>
        <v>2025/04/01</v>
      </c>
      <c r="AL1730" s="39" t="str">
        <f>("2025/04/01")</f>
        <v>2025/04/01</v>
      </c>
    </row>
    <row r="1731" spans="1:38" x14ac:dyDescent="0.25">
      <c r="A1731" s="39" t="str">
        <f>("1508060035")</f>
        <v>1508060035</v>
      </c>
      <c r="C1731" s="39"/>
      <c r="D1731" s="39" t="s">
        <v>5872</v>
      </c>
      <c r="E1731" s="371" t="str">
        <f t="shared" ref="E1731:E1794" si="148">PHONETIC(P1731)</f>
        <v>ながい　きよと</v>
      </c>
      <c r="F1731" s="39" t="s">
        <v>2533</v>
      </c>
      <c r="G1731" s="39" t="s">
        <v>7828</v>
      </c>
      <c r="H1731" s="39" t="str">
        <f>("2015/08/06")</f>
        <v>2015/08/06</v>
      </c>
      <c r="I1731" s="39">
        <v>4</v>
      </c>
      <c r="J1731" s="39" t="s">
        <v>1478</v>
      </c>
      <c r="K1731" s="39" t="s">
        <v>2122</v>
      </c>
      <c r="L1731" s="39" t="s">
        <v>7830</v>
      </c>
      <c r="M1731" s="39" t="s">
        <v>7831</v>
      </c>
      <c r="N1731" s="39" t="str">
        <f>("0130497")</f>
        <v>0130497</v>
      </c>
      <c r="P1731" s="39" t="s">
        <v>13192</v>
      </c>
      <c r="Q1731" s="39" t="s">
        <v>8568</v>
      </c>
      <c r="R1731" s="39" t="s">
        <v>8569</v>
      </c>
      <c r="S1731" s="39" t="s">
        <v>8570</v>
      </c>
      <c r="AK1731" s="39" t="str">
        <f>("2025/03/17")</f>
        <v>2025/03/17</v>
      </c>
      <c r="AL1731" s="39" t="str">
        <f>("2025/04/01")</f>
        <v>2025/04/01</v>
      </c>
    </row>
    <row r="1732" spans="1:38" x14ac:dyDescent="0.25">
      <c r="A1732" s="39" t="str">
        <f>("1508060090")</f>
        <v>1508060090</v>
      </c>
      <c r="C1732" s="39"/>
      <c r="D1732" s="39" t="s">
        <v>9270</v>
      </c>
      <c r="E1732" s="371" t="str">
        <f t="shared" si="148"/>
        <v>ときえだ　ゆう</v>
      </c>
      <c r="F1732" s="39" t="s">
        <v>2619</v>
      </c>
      <c r="G1732" s="39" t="s">
        <v>7828</v>
      </c>
      <c r="H1732" s="39" t="str">
        <f>("2015/08/06")</f>
        <v>2015/08/06</v>
      </c>
      <c r="I1732" s="39">
        <v>4</v>
      </c>
      <c r="J1732" s="39" t="s">
        <v>1478</v>
      </c>
      <c r="K1732" s="39" t="s">
        <v>2122</v>
      </c>
      <c r="L1732" s="39" t="s">
        <v>7830</v>
      </c>
      <c r="M1732" s="39" t="s">
        <v>7831</v>
      </c>
      <c r="N1732" s="39" t="str">
        <f>("0472823")</f>
        <v>0472823</v>
      </c>
      <c r="P1732" s="39" t="s">
        <v>13193</v>
      </c>
      <c r="Q1732" s="39" t="s">
        <v>8568</v>
      </c>
      <c r="R1732" s="39" t="s">
        <v>8569</v>
      </c>
      <c r="S1732" s="39" t="s">
        <v>8570</v>
      </c>
      <c r="AK1732" s="39" t="str">
        <f>("2025/03/17")</f>
        <v>2025/03/17</v>
      </c>
      <c r="AL1732" s="39" t="str">
        <f>("2025/04/01")</f>
        <v>2025/04/01</v>
      </c>
    </row>
    <row r="1733" spans="1:38" x14ac:dyDescent="0.25">
      <c r="A1733" s="39" t="str">
        <f>("1508070213")</f>
        <v>1508070213</v>
      </c>
      <c r="C1733" s="39"/>
      <c r="D1733" s="39" t="s">
        <v>9271</v>
      </c>
      <c r="E1733" s="371" t="str">
        <f t="shared" si="148"/>
        <v>こばやし　かなと</v>
      </c>
      <c r="F1733" s="39" t="s">
        <v>829</v>
      </c>
      <c r="G1733" s="39" t="s">
        <v>7828</v>
      </c>
      <c r="H1733" s="39" t="str">
        <f>("2015/08/07")</f>
        <v>2015/08/07</v>
      </c>
      <c r="I1733" s="39">
        <v>4</v>
      </c>
      <c r="J1733" s="39" t="s">
        <v>1478</v>
      </c>
      <c r="K1733" s="39" t="s">
        <v>2122</v>
      </c>
      <c r="L1733" s="39" t="s">
        <v>7830</v>
      </c>
      <c r="M1733" s="39" t="s">
        <v>7831</v>
      </c>
      <c r="N1733" s="39" t="str">
        <f>("0426631")</f>
        <v>0426631</v>
      </c>
      <c r="P1733" s="39" t="s">
        <v>13194</v>
      </c>
      <c r="Q1733" s="39" t="s">
        <v>8568</v>
      </c>
      <c r="R1733" s="39" t="s">
        <v>8569</v>
      </c>
      <c r="S1733" s="39" t="s">
        <v>8570</v>
      </c>
      <c r="AK1733" s="39" t="str">
        <f>("2025/09/09")</f>
        <v>2025/09/09</v>
      </c>
      <c r="AL1733" s="39" t="str">
        <f>("2025/09/09")</f>
        <v>2025/09/09</v>
      </c>
    </row>
    <row r="1734" spans="1:38" x14ac:dyDescent="0.25">
      <c r="A1734" s="39" t="str">
        <f>("1508080163")</f>
        <v>1508080163</v>
      </c>
      <c r="C1734" s="39"/>
      <c r="D1734" s="39" t="s">
        <v>9272</v>
      </c>
      <c r="E1734" s="371" t="str">
        <f t="shared" si="148"/>
        <v>たかはし　えいと</v>
      </c>
      <c r="F1734" s="39" t="s">
        <v>5619</v>
      </c>
      <c r="G1734" s="39" t="s">
        <v>7828</v>
      </c>
      <c r="H1734" s="39" t="str">
        <f>("2015/08/08")</f>
        <v>2015/08/08</v>
      </c>
      <c r="I1734" s="39">
        <v>4</v>
      </c>
      <c r="J1734" s="39" t="s">
        <v>1478</v>
      </c>
      <c r="K1734" s="39" t="s">
        <v>2122</v>
      </c>
      <c r="L1734" s="39" t="s">
        <v>7830</v>
      </c>
      <c r="M1734" s="39" t="s">
        <v>7831</v>
      </c>
      <c r="N1734" s="39" t="str">
        <f>("1089004")</f>
        <v>1089004</v>
      </c>
      <c r="P1734" s="39" t="s">
        <v>11781</v>
      </c>
      <c r="Q1734" s="39" t="s">
        <v>8568</v>
      </c>
      <c r="R1734" s="39" t="s">
        <v>8569</v>
      </c>
      <c r="S1734" s="39" t="s">
        <v>8570</v>
      </c>
      <c r="AK1734" s="39" t="str">
        <f>("2025/04/10")</f>
        <v>2025/04/10</v>
      </c>
      <c r="AL1734" s="39" t="str">
        <f>("2025/04/10")</f>
        <v>2025/04/10</v>
      </c>
    </row>
    <row r="1735" spans="1:38" x14ac:dyDescent="0.25">
      <c r="A1735" s="39" t="str">
        <f>("1508090102")</f>
        <v>1508090102</v>
      </c>
      <c r="C1735" s="39"/>
      <c r="D1735" s="39" t="s">
        <v>9273</v>
      </c>
      <c r="E1735" s="371" t="str">
        <f t="shared" si="148"/>
        <v>おぎの　たいよう</v>
      </c>
      <c r="F1735" s="39" t="s">
        <v>1082</v>
      </c>
      <c r="G1735" s="39" t="s">
        <v>7828</v>
      </c>
      <c r="H1735" s="39" t="str">
        <f>("2015/08/09")</f>
        <v>2015/08/09</v>
      </c>
      <c r="I1735" s="39">
        <v>4</v>
      </c>
      <c r="J1735" s="39" t="s">
        <v>1478</v>
      </c>
      <c r="K1735" s="39" t="s">
        <v>2122</v>
      </c>
      <c r="L1735" s="39" t="s">
        <v>7830</v>
      </c>
      <c r="M1735" s="39" t="s">
        <v>7831</v>
      </c>
      <c r="N1735" s="39" t="str">
        <f>("0450009")</f>
        <v>0450009</v>
      </c>
      <c r="P1735" s="39" t="s">
        <v>13195</v>
      </c>
      <c r="Q1735" s="39" t="s">
        <v>8568</v>
      </c>
      <c r="R1735" s="39" t="s">
        <v>8569</v>
      </c>
      <c r="S1735" s="39" t="s">
        <v>8570</v>
      </c>
      <c r="AK1735" s="39" t="str">
        <f>("2025/03/17")</f>
        <v>2025/03/17</v>
      </c>
      <c r="AL1735" s="39" t="str">
        <f>("2025/04/01")</f>
        <v>2025/04/01</v>
      </c>
    </row>
    <row r="1736" spans="1:38" x14ac:dyDescent="0.25">
      <c r="A1736" s="39" t="str">
        <f>("1508100020")</f>
        <v>1508100020</v>
      </c>
      <c r="C1736" s="39"/>
      <c r="D1736" s="39" t="s">
        <v>9274</v>
      </c>
      <c r="E1736" s="371" t="str">
        <f t="shared" si="148"/>
        <v>いとう　あお</v>
      </c>
      <c r="F1736" s="39" t="s">
        <v>2349</v>
      </c>
      <c r="G1736" s="39" t="s">
        <v>7828</v>
      </c>
      <c r="H1736" s="39" t="str">
        <f>("2015/08/10")</f>
        <v>2015/08/10</v>
      </c>
      <c r="I1736" s="39">
        <v>4</v>
      </c>
      <c r="J1736" s="39" t="s">
        <v>1478</v>
      </c>
      <c r="K1736" s="39" t="s">
        <v>2122</v>
      </c>
      <c r="L1736" s="39" t="s">
        <v>7830</v>
      </c>
      <c r="M1736" s="39" t="s">
        <v>7831</v>
      </c>
      <c r="N1736" s="39" t="str">
        <f>("0292081")</f>
        <v>0292081</v>
      </c>
      <c r="P1736" s="39" t="s">
        <v>13196</v>
      </c>
      <c r="Q1736" s="39" t="s">
        <v>8568</v>
      </c>
      <c r="R1736" s="39" t="s">
        <v>8569</v>
      </c>
      <c r="S1736" s="39" t="s">
        <v>8570</v>
      </c>
      <c r="AK1736" s="39" t="str">
        <f>("2025/03/24")</f>
        <v>2025/03/24</v>
      </c>
      <c r="AL1736" s="39" t="str">
        <f>("2025/04/01")</f>
        <v>2025/04/01</v>
      </c>
    </row>
    <row r="1737" spans="1:38" x14ac:dyDescent="0.25">
      <c r="A1737" s="39" t="str">
        <f>("1508100136")</f>
        <v>1508100136</v>
      </c>
      <c r="C1737" s="39"/>
      <c r="D1737" s="39" t="s">
        <v>9275</v>
      </c>
      <c r="E1737" s="371" t="str">
        <f t="shared" si="148"/>
        <v>やまもと　そうし</v>
      </c>
      <c r="F1737" s="39" t="s">
        <v>1239</v>
      </c>
      <c r="G1737" s="39" t="s">
        <v>7828</v>
      </c>
      <c r="H1737" s="39" t="str">
        <f>("2015/08/10")</f>
        <v>2015/08/10</v>
      </c>
      <c r="I1737" s="39">
        <v>4</v>
      </c>
      <c r="J1737" s="39" t="s">
        <v>1478</v>
      </c>
      <c r="K1737" s="39" t="s">
        <v>2122</v>
      </c>
      <c r="L1737" s="39" t="s">
        <v>7830</v>
      </c>
      <c r="M1737" s="39" t="s">
        <v>7831</v>
      </c>
      <c r="N1737" s="39" t="str">
        <f>("0129585")</f>
        <v>0129585</v>
      </c>
      <c r="P1737" s="39" t="s">
        <v>13197</v>
      </c>
      <c r="Q1737" s="39" t="s">
        <v>8568</v>
      </c>
      <c r="R1737" s="39" t="s">
        <v>8569</v>
      </c>
      <c r="S1737" s="39" t="s">
        <v>8570</v>
      </c>
      <c r="AK1737" s="39" t="str">
        <f>("2025/03/17")</f>
        <v>2025/03/17</v>
      </c>
      <c r="AL1737" s="39" t="str">
        <f>("2025/04/01")</f>
        <v>2025/04/01</v>
      </c>
    </row>
    <row r="1738" spans="1:38" x14ac:dyDescent="0.25">
      <c r="A1738" s="39" t="str">
        <f>("1508110142")</f>
        <v>1508110142</v>
      </c>
      <c r="C1738" s="39"/>
      <c r="D1738" s="39" t="s">
        <v>9276</v>
      </c>
      <c r="E1738" s="371" t="str">
        <f t="shared" si="148"/>
        <v>えら　はやと</v>
      </c>
      <c r="F1738" s="39" t="s">
        <v>1917</v>
      </c>
      <c r="G1738" s="39" t="s">
        <v>7828</v>
      </c>
      <c r="H1738" s="39" t="str">
        <f>("2015/08/11")</f>
        <v>2015/08/11</v>
      </c>
      <c r="I1738" s="39">
        <v>4</v>
      </c>
      <c r="J1738" s="39" t="s">
        <v>1478</v>
      </c>
      <c r="K1738" s="39" t="s">
        <v>2122</v>
      </c>
      <c r="L1738" s="39" t="s">
        <v>7830</v>
      </c>
      <c r="M1738" s="39" t="s">
        <v>7831</v>
      </c>
      <c r="N1738" s="39" t="str">
        <f>("1032161")</f>
        <v>1032161</v>
      </c>
      <c r="P1738" s="39" t="s">
        <v>13198</v>
      </c>
      <c r="Q1738" s="39" t="s">
        <v>8568</v>
      </c>
      <c r="R1738" s="39" t="s">
        <v>8569</v>
      </c>
      <c r="S1738" s="39" t="s">
        <v>8570</v>
      </c>
      <c r="AK1738" s="39" t="str">
        <f>("2025/03/21")</f>
        <v>2025/03/21</v>
      </c>
      <c r="AL1738" s="39" t="str">
        <f>("2025/04/01")</f>
        <v>2025/04/01</v>
      </c>
    </row>
    <row r="1739" spans="1:38" x14ac:dyDescent="0.25">
      <c r="A1739" s="39" t="str">
        <f>("1508110154")</f>
        <v>1508110154</v>
      </c>
      <c r="C1739" s="39"/>
      <c r="D1739" s="39" t="s">
        <v>9277</v>
      </c>
      <c r="E1739" s="371" t="str">
        <f t="shared" si="148"/>
        <v>おおえ　あんり</v>
      </c>
      <c r="F1739" s="39" t="s">
        <v>2023</v>
      </c>
      <c r="G1739" s="39" t="s">
        <v>7828</v>
      </c>
      <c r="H1739" s="39" t="str">
        <f>("2015/08/11")</f>
        <v>2015/08/11</v>
      </c>
      <c r="I1739" s="39">
        <v>4</v>
      </c>
      <c r="J1739" s="39" t="s">
        <v>1480</v>
      </c>
      <c r="K1739" s="39" t="s">
        <v>2122</v>
      </c>
      <c r="L1739" s="39" t="s">
        <v>7830</v>
      </c>
      <c r="M1739" s="39" t="s">
        <v>7831</v>
      </c>
      <c r="N1739" s="39" t="str">
        <f>("0129967")</f>
        <v>0129967</v>
      </c>
      <c r="P1739" s="39" t="s">
        <v>13199</v>
      </c>
      <c r="Q1739" s="39" t="s">
        <v>8568</v>
      </c>
      <c r="R1739" s="39" t="s">
        <v>8569</v>
      </c>
      <c r="S1739" s="39" t="s">
        <v>8570</v>
      </c>
      <c r="AK1739" s="39" t="str">
        <f>("2025/03/17")</f>
        <v>2025/03/17</v>
      </c>
      <c r="AL1739" s="39" t="str">
        <f>("2025/04/01")</f>
        <v>2025/04/01</v>
      </c>
    </row>
    <row r="1740" spans="1:38" x14ac:dyDescent="0.25">
      <c r="A1740" s="39" t="str">
        <f>("1508110213")</f>
        <v>1508110213</v>
      </c>
      <c r="C1740" s="39"/>
      <c r="D1740" s="39" t="s">
        <v>9278</v>
      </c>
      <c r="E1740" s="371" t="str">
        <f t="shared" si="148"/>
        <v>もり　あいこ</v>
      </c>
      <c r="F1740" s="39" t="s">
        <v>1692</v>
      </c>
      <c r="G1740" s="39" t="s">
        <v>7828</v>
      </c>
      <c r="H1740" s="39" t="str">
        <f>("2015/08/11")</f>
        <v>2015/08/11</v>
      </c>
      <c r="I1740" s="39">
        <v>4</v>
      </c>
      <c r="J1740" s="39" t="s">
        <v>1480</v>
      </c>
      <c r="K1740" s="39" t="s">
        <v>2122</v>
      </c>
      <c r="L1740" s="39" t="s">
        <v>7830</v>
      </c>
      <c r="M1740" s="39" t="s">
        <v>7831</v>
      </c>
      <c r="N1740" s="39" t="str">
        <f>("1052299")</f>
        <v>1052299</v>
      </c>
      <c r="P1740" s="39" t="s">
        <v>13200</v>
      </c>
      <c r="Q1740" s="39" t="s">
        <v>8568</v>
      </c>
      <c r="R1740" s="39" t="s">
        <v>8569</v>
      </c>
      <c r="S1740" s="39" t="s">
        <v>8570</v>
      </c>
      <c r="AK1740" s="39" t="str">
        <f>("2025/04/22")</f>
        <v>2025/04/22</v>
      </c>
      <c r="AL1740" s="39" t="str">
        <f>("2025/04/22")</f>
        <v>2025/04/22</v>
      </c>
    </row>
    <row r="1741" spans="1:38" x14ac:dyDescent="0.25">
      <c r="A1741" s="39" t="str">
        <f>("1508130151")</f>
        <v>1508130151</v>
      </c>
      <c r="C1741" s="39"/>
      <c r="D1741" s="39" t="s">
        <v>9279</v>
      </c>
      <c r="E1741" s="371" t="str">
        <f t="shared" si="148"/>
        <v>おおつ　りお</v>
      </c>
      <c r="F1741" s="39" t="s">
        <v>829</v>
      </c>
      <c r="G1741" s="39" t="s">
        <v>7828</v>
      </c>
      <c r="H1741" s="39" t="str">
        <f>("2015/08/13")</f>
        <v>2015/08/13</v>
      </c>
      <c r="I1741" s="39">
        <v>4</v>
      </c>
      <c r="J1741" s="39" t="s">
        <v>1478</v>
      </c>
      <c r="K1741" s="39" t="s">
        <v>2122</v>
      </c>
      <c r="L1741" s="39" t="s">
        <v>7830</v>
      </c>
      <c r="M1741" s="39" t="s">
        <v>7831</v>
      </c>
      <c r="N1741" s="39" t="str">
        <f>("0426631")</f>
        <v>0426631</v>
      </c>
      <c r="P1741" s="39" t="s">
        <v>13201</v>
      </c>
      <c r="Q1741" s="39" t="s">
        <v>8568</v>
      </c>
      <c r="R1741" s="39" t="s">
        <v>8569</v>
      </c>
      <c r="S1741" s="39" t="s">
        <v>8570</v>
      </c>
      <c r="AK1741" s="39" t="str">
        <f>("2025/03/21")</f>
        <v>2025/03/21</v>
      </c>
      <c r="AL1741" s="39" t="str">
        <f t="shared" ref="AL1741:AL1747" si="149">("2025/04/01")</f>
        <v>2025/04/01</v>
      </c>
    </row>
    <row r="1742" spans="1:38" x14ac:dyDescent="0.25">
      <c r="A1742" s="39" t="str">
        <f>("1508140086")</f>
        <v>1508140086</v>
      </c>
      <c r="C1742" s="39"/>
      <c r="D1742" s="39" t="s">
        <v>9280</v>
      </c>
      <c r="E1742" s="371" t="str">
        <f t="shared" si="148"/>
        <v>あかみね　たつのすけ</v>
      </c>
      <c r="F1742" s="39" t="s">
        <v>2533</v>
      </c>
      <c r="G1742" s="39" t="s">
        <v>7828</v>
      </c>
      <c r="H1742" s="39" t="str">
        <f>("2015/08/14")</f>
        <v>2015/08/14</v>
      </c>
      <c r="I1742" s="39">
        <v>4</v>
      </c>
      <c r="J1742" s="39" t="s">
        <v>1478</v>
      </c>
      <c r="K1742" s="39" t="s">
        <v>2122</v>
      </c>
      <c r="L1742" s="39" t="s">
        <v>7830</v>
      </c>
      <c r="M1742" s="39" t="s">
        <v>7831</v>
      </c>
      <c r="N1742" s="39" t="str">
        <f>("0130497")</f>
        <v>0130497</v>
      </c>
      <c r="P1742" s="39" t="s">
        <v>13202</v>
      </c>
      <c r="Q1742" s="39" t="s">
        <v>8568</v>
      </c>
      <c r="R1742" s="39" t="s">
        <v>8569</v>
      </c>
      <c r="S1742" s="39" t="s">
        <v>8570</v>
      </c>
      <c r="AK1742" s="39" t="str">
        <f>("2025/03/17")</f>
        <v>2025/03/17</v>
      </c>
      <c r="AL1742" s="39" t="str">
        <f t="shared" si="149"/>
        <v>2025/04/01</v>
      </c>
    </row>
    <row r="1743" spans="1:38" x14ac:dyDescent="0.25">
      <c r="A1743" s="39" t="str">
        <f>("1508140102")</f>
        <v>1508140102</v>
      </c>
      <c r="C1743" s="39"/>
      <c r="D1743" s="39" t="s">
        <v>9281</v>
      </c>
      <c r="E1743" s="371" t="str">
        <f t="shared" si="148"/>
        <v>ひらまつ　あさひ</v>
      </c>
      <c r="F1743" s="39" t="s">
        <v>2531</v>
      </c>
      <c r="G1743" s="39" t="s">
        <v>7828</v>
      </c>
      <c r="H1743" s="39" t="str">
        <f>("2015/08/14")</f>
        <v>2015/08/14</v>
      </c>
      <c r="I1743" s="39">
        <v>4</v>
      </c>
      <c r="J1743" s="39" t="s">
        <v>1478</v>
      </c>
      <c r="K1743" s="39" t="s">
        <v>2122</v>
      </c>
      <c r="L1743" s="39" t="s">
        <v>7830</v>
      </c>
      <c r="M1743" s="39" t="s">
        <v>7831</v>
      </c>
      <c r="N1743" s="39" t="str">
        <f>("0130419")</f>
        <v>0130419</v>
      </c>
      <c r="P1743" s="39" t="s">
        <v>13203</v>
      </c>
      <c r="Q1743" s="39" t="s">
        <v>8568</v>
      </c>
      <c r="R1743" s="39" t="s">
        <v>8569</v>
      </c>
      <c r="S1743" s="39" t="s">
        <v>8570</v>
      </c>
      <c r="AK1743" s="39" t="str">
        <f>("2025/03/17")</f>
        <v>2025/03/17</v>
      </c>
      <c r="AL1743" s="39" t="str">
        <f t="shared" si="149"/>
        <v>2025/04/01</v>
      </c>
    </row>
    <row r="1744" spans="1:38" x14ac:dyDescent="0.25">
      <c r="A1744" s="39" t="str">
        <f>("1508140106")</f>
        <v>1508140106</v>
      </c>
      <c r="C1744" s="39"/>
      <c r="D1744" s="39" t="s">
        <v>9282</v>
      </c>
      <c r="E1744" s="371" t="str">
        <f t="shared" si="148"/>
        <v>ひろせ　はると</v>
      </c>
      <c r="F1744" s="39" t="s">
        <v>413</v>
      </c>
      <c r="G1744" s="39" t="s">
        <v>7828</v>
      </c>
      <c r="H1744" s="39" t="str">
        <f>("2015/08/14")</f>
        <v>2015/08/14</v>
      </c>
      <c r="I1744" s="39">
        <v>4</v>
      </c>
      <c r="J1744" s="39" t="s">
        <v>1478</v>
      </c>
      <c r="K1744" s="39" t="s">
        <v>2122</v>
      </c>
      <c r="L1744" s="39" t="s">
        <v>7830</v>
      </c>
      <c r="M1744" s="39" t="s">
        <v>7831</v>
      </c>
      <c r="N1744" s="39" t="str">
        <f>("0436902")</f>
        <v>0436902</v>
      </c>
      <c r="P1744" s="39" t="s">
        <v>13204</v>
      </c>
      <c r="Q1744" s="39" t="s">
        <v>8568</v>
      </c>
      <c r="R1744" s="39" t="s">
        <v>8569</v>
      </c>
      <c r="S1744" s="39" t="s">
        <v>8570</v>
      </c>
      <c r="AK1744" s="39" t="str">
        <f>("2025/03/24")</f>
        <v>2025/03/24</v>
      </c>
      <c r="AL1744" s="39" t="str">
        <f t="shared" si="149"/>
        <v>2025/04/01</v>
      </c>
    </row>
    <row r="1745" spans="1:38" x14ac:dyDescent="0.25">
      <c r="A1745" s="39" t="str">
        <f>("1508140110")</f>
        <v>1508140110</v>
      </c>
      <c r="B1745" s="39" t="s">
        <v>9283</v>
      </c>
      <c r="C1745" s="39"/>
      <c r="D1745" s="39" t="s">
        <v>9284</v>
      </c>
      <c r="E1745" s="371" t="str">
        <f t="shared" si="148"/>
        <v>まえだ　そらと</v>
      </c>
      <c r="F1745" s="39" t="s">
        <v>2516</v>
      </c>
      <c r="G1745" s="39" t="s">
        <v>7828</v>
      </c>
      <c r="H1745" s="39" t="str">
        <f>("2015/08/14")</f>
        <v>2015/08/14</v>
      </c>
      <c r="I1745" s="39">
        <v>4</v>
      </c>
      <c r="J1745" s="39" t="s">
        <v>1478</v>
      </c>
      <c r="K1745" s="39" t="s">
        <v>2122</v>
      </c>
      <c r="L1745" s="39" t="s">
        <v>7830</v>
      </c>
      <c r="M1745" s="39" t="s">
        <v>7831</v>
      </c>
      <c r="N1745" s="39" t="str">
        <f>("0130116")</f>
        <v>0130116</v>
      </c>
      <c r="P1745" s="39" t="s">
        <v>13205</v>
      </c>
      <c r="Q1745" s="39" t="s">
        <v>8568</v>
      </c>
      <c r="R1745" s="39" t="s">
        <v>8569</v>
      </c>
      <c r="S1745" s="39" t="s">
        <v>8570</v>
      </c>
      <c r="AK1745" s="39" t="str">
        <f>("2025/03/25")</f>
        <v>2025/03/25</v>
      </c>
      <c r="AL1745" s="39" t="str">
        <f t="shared" si="149"/>
        <v>2025/04/01</v>
      </c>
    </row>
    <row r="1746" spans="1:38" x14ac:dyDescent="0.25">
      <c r="A1746" s="39" t="str">
        <f>("1508160085")</f>
        <v>1508160085</v>
      </c>
      <c r="C1746" s="39"/>
      <c r="D1746" s="39" t="s">
        <v>9285</v>
      </c>
      <c r="E1746" s="371" t="str">
        <f t="shared" si="148"/>
        <v>おばた　たくみ</v>
      </c>
      <c r="F1746" s="39" t="s">
        <v>2477</v>
      </c>
      <c r="G1746" s="39" t="s">
        <v>7828</v>
      </c>
      <c r="H1746" s="39" t="str">
        <f>("2015/08/16")</f>
        <v>2015/08/16</v>
      </c>
      <c r="I1746" s="39">
        <v>4</v>
      </c>
      <c r="J1746" s="39" t="s">
        <v>1478</v>
      </c>
      <c r="K1746" s="39" t="s">
        <v>2122</v>
      </c>
      <c r="L1746" s="39" t="s">
        <v>7830</v>
      </c>
      <c r="M1746" s="39" t="s">
        <v>7831</v>
      </c>
      <c r="N1746" s="39" t="str">
        <f>("0129541")</f>
        <v>0129541</v>
      </c>
      <c r="P1746" s="39" t="s">
        <v>13206</v>
      </c>
      <c r="Q1746" s="39" t="s">
        <v>8568</v>
      </c>
      <c r="R1746" s="39" t="s">
        <v>8569</v>
      </c>
      <c r="S1746" s="39" t="s">
        <v>8570</v>
      </c>
      <c r="AK1746" s="39" t="str">
        <f>("2025/03/27")</f>
        <v>2025/03/27</v>
      </c>
      <c r="AL1746" s="39" t="str">
        <f t="shared" si="149"/>
        <v>2025/04/01</v>
      </c>
    </row>
    <row r="1747" spans="1:38" x14ac:dyDescent="0.25">
      <c r="A1747" s="39" t="str">
        <f>("1508160118")</f>
        <v>1508160118</v>
      </c>
      <c r="C1747" s="39"/>
      <c r="D1747" s="39" t="s">
        <v>9286</v>
      </c>
      <c r="E1747" s="371" t="str">
        <f t="shared" si="148"/>
        <v>こだま　なつは</v>
      </c>
      <c r="F1747" s="39" t="s">
        <v>2557</v>
      </c>
      <c r="G1747" s="39" t="s">
        <v>7828</v>
      </c>
      <c r="H1747" s="39" t="str">
        <f>("2015/08/16")</f>
        <v>2015/08/16</v>
      </c>
      <c r="I1747" s="39">
        <v>4</v>
      </c>
      <c r="J1747" s="39" t="s">
        <v>1480</v>
      </c>
      <c r="K1747" s="39" t="s">
        <v>2122</v>
      </c>
      <c r="L1747" s="39" t="s">
        <v>7830</v>
      </c>
      <c r="M1747" s="39" t="s">
        <v>7831</v>
      </c>
      <c r="N1747" s="39" t="str">
        <f>("0130723")</f>
        <v>0130723</v>
      </c>
      <c r="P1747" s="39" t="s">
        <v>13207</v>
      </c>
      <c r="Q1747" s="39" t="s">
        <v>8568</v>
      </c>
      <c r="R1747" s="39" t="s">
        <v>8569</v>
      </c>
      <c r="S1747" s="39" t="s">
        <v>8570</v>
      </c>
      <c r="AK1747" s="39" t="str">
        <f>("2025/03/17")</f>
        <v>2025/03/17</v>
      </c>
      <c r="AL1747" s="39" t="str">
        <f t="shared" si="149"/>
        <v>2025/04/01</v>
      </c>
    </row>
    <row r="1748" spans="1:38" x14ac:dyDescent="0.25">
      <c r="A1748" s="39" t="str">
        <f>("1508160134")</f>
        <v>1508160134</v>
      </c>
      <c r="C1748" s="39"/>
      <c r="D1748" s="39" t="s">
        <v>9287</v>
      </c>
      <c r="E1748" s="371" t="str">
        <f t="shared" si="148"/>
        <v>とみやま　あおと</v>
      </c>
      <c r="F1748" s="39" t="s">
        <v>2024</v>
      </c>
      <c r="G1748" s="39" t="s">
        <v>7828</v>
      </c>
      <c r="H1748" s="39" t="str">
        <f>("2015/08/16")</f>
        <v>2015/08/16</v>
      </c>
      <c r="I1748" s="39">
        <v>4</v>
      </c>
      <c r="J1748" s="39" t="s">
        <v>1478</v>
      </c>
      <c r="K1748" s="39" t="s">
        <v>2122</v>
      </c>
      <c r="L1748" s="39" t="s">
        <v>7830</v>
      </c>
      <c r="M1748" s="39" t="s">
        <v>7831</v>
      </c>
      <c r="N1748" s="39" t="str">
        <f>("0130475")</f>
        <v>0130475</v>
      </c>
      <c r="P1748" s="39" t="s">
        <v>13208</v>
      </c>
      <c r="Q1748" s="39" t="s">
        <v>8568</v>
      </c>
      <c r="R1748" s="39" t="s">
        <v>8569</v>
      </c>
      <c r="S1748" s="39" t="s">
        <v>8570</v>
      </c>
      <c r="AK1748" s="39" t="str">
        <f>("2025/04/22")</f>
        <v>2025/04/22</v>
      </c>
      <c r="AL1748" s="39" t="str">
        <f>("2025/04/22")</f>
        <v>2025/04/22</v>
      </c>
    </row>
    <row r="1749" spans="1:38" x14ac:dyDescent="0.25">
      <c r="A1749" s="39" t="str">
        <f>("1508170199")</f>
        <v>1508170199</v>
      </c>
      <c r="C1749" s="39"/>
      <c r="D1749" s="39" t="s">
        <v>9288</v>
      </c>
      <c r="E1749" s="371" t="str">
        <f t="shared" si="148"/>
        <v>さかもと　しん</v>
      </c>
      <c r="F1749" s="39" t="s">
        <v>2587</v>
      </c>
      <c r="G1749" s="39" t="s">
        <v>7828</v>
      </c>
      <c r="H1749" s="39" t="str">
        <f>("2015/08/17")</f>
        <v>2015/08/17</v>
      </c>
      <c r="I1749" s="39">
        <v>4</v>
      </c>
      <c r="J1749" s="39" t="s">
        <v>1478</v>
      </c>
      <c r="K1749" s="39" t="s">
        <v>2122</v>
      </c>
      <c r="L1749" s="39" t="s">
        <v>7830</v>
      </c>
      <c r="M1749" s="39" t="s">
        <v>7831</v>
      </c>
      <c r="N1749" s="39" t="str">
        <f>("0387334")</f>
        <v>0387334</v>
      </c>
      <c r="P1749" s="39" t="s">
        <v>13209</v>
      </c>
      <c r="Q1749" s="39" t="s">
        <v>8568</v>
      </c>
      <c r="R1749" s="39" t="s">
        <v>8569</v>
      </c>
      <c r="S1749" s="39" t="s">
        <v>8570</v>
      </c>
      <c r="AK1749" s="39" t="str">
        <f>("2025/07/17")</f>
        <v>2025/07/17</v>
      </c>
      <c r="AL1749" s="39" t="str">
        <f>("2025/07/17")</f>
        <v>2025/07/17</v>
      </c>
    </row>
    <row r="1750" spans="1:38" x14ac:dyDescent="0.25">
      <c r="A1750" s="39" t="str">
        <f>("1508190101")</f>
        <v>1508190101</v>
      </c>
      <c r="C1750" s="39"/>
      <c r="D1750" s="39" t="s">
        <v>9289</v>
      </c>
      <c r="E1750" s="371" t="str">
        <f t="shared" si="148"/>
        <v>すえまつ　かなた</v>
      </c>
      <c r="F1750" s="39" t="s">
        <v>1239</v>
      </c>
      <c r="G1750" s="39" t="s">
        <v>7828</v>
      </c>
      <c r="H1750" s="39" t="str">
        <f>("2015/08/19")</f>
        <v>2015/08/19</v>
      </c>
      <c r="I1750" s="39">
        <v>4</v>
      </c>
      <c r="J1750" s="39" t="s">
        <v>1478</v>
      </c>
      <c r="K1750" s="39" t="s">
        <v>2122</v>
      </c>
      <c r="L1750" s="39" t="s">
        <v>7830</v>
      </c>
      <c r="M1750" s="39" t="s">
        <v>7831</v>
      </c>
      <c r="N1750" s="39" t="str">
        <f>("0129585")</f>
        <v>0129585</v>
      </c>
      <c r="P1750" s="39" t="s">
        <v>13210</v>
      </c>
      <c r="Q1750" s="39" t="s">
        <v>8568</v>
      </c>
      <c r="R1750" s="39" t="s">
        <v>8569</v>
      </c>
      <c r="S1750" s="39" t="s">
        <v>8570</v>
      </c>
      <c r="AK1750" s="39" t="str">
        <f>("2025/03/17")</f>
        <v>2025/03/17</v>
      </c>
      <c r="AL1750" s="39" t="str">
        <f t="shared" ref="AL1750:AL1755" si="150">("2025/04/01")</f>
        <v>2025/04/01</v>
      </c>
    </row>
    <row r="1751" spans="1:38" x14ac:dyDescent="0.25">
      <c r="A1751" s="39" t="str">
        <f>("1508190159")</f>
        <v>1508190159</v>
      </c>
      <c r="B1751" s="39" t="s">
        <v>9290</v>
      </c>
      <c r="C1751" s="39"/>
      <c r="D1751" s="39" t="s">
        <v>9291</v>
      </c>
      <c r="E1751" s="371" t="str">
        <f t="shared" si="148"/>
        <v>ひぐち　たいが</v>
      </c>
      <c r="F1751" s="39" t="s">
        <v>2188</v>
      </c>
      <c r="G1751" s="39" t="s">
        <v>7828</v>
      </c>
      <c r="H1751" s="39" t="str">
        <f>("2015/08/19")</f>
        <v>2015/08/19</v>
      </c>
      <c r="I1751" s="39">
        <v>4</v>
      </c>
      <c r="J1751" s="39" t="s">
        <v>1478</v>
      </c>
      <c r="K1751" s="39" t="s">
        <v>2122</v>
      </c>
      <c r="L1751" s="39" t="s">
        <v>7830</v>
      </c>
      <c r="M1751" s="39" t="s">
        <v>7831</v>
      </c>
      <c r="N1751" s="39" t="str">
        <f>("0129596")</f>
        <v>0129596</v>
      </c>
      <c r="P1751" s="39" t="s">
        <v>13211</v>
      </c>
      <c r="Q1751" s="39" t="s">
        <v>8568</v>
      </c>
      <c r="R1751" s="39" t="s">
        <v>8569</v>
      </c>
      <c r="S1751" s="39" t="s">
        <v>8570</v>
      </c>
      <c r="AK1751" s="39" t="str">
        <f>("2025/03/17")</f>
        <v>2025/03/17</v>
      </c>
      <c r="AL1751" s="39" t="str">
        <f t="shared" si="150"/>
        <v>2025/04/01</v>
      </c>
    </row>
    <row r="1752" spans="1:38" x14ac:dyDescent="0.25">
      <c r="A1752" s="39" t="str">
        <f>("1508190164")</f>
        <v>1508190164</v>
      </c>
      <c r="C1752" s="39"/>
      <c r="D1752" s="39" t="s">
        <v>9292</v>
      </c>
      <c r="E1752" s="371" t="str">
        <f t="shared" si="148"/>
        <v>あきづき　そうた</v>
      </c>
      <c r="F1752" s="39" t="s">
        <v>5619</v>
      </c>
      <c r="G1752" s="39" t="s">
        <v>7828</v>
      </c>
      <c r="H1752" s="39" t="str">
        <f>("2015/08/19")</f>
        <v>2015/08/19</v>
      </c>
      <c r="I1752" s="39">
        <v>4</v>
      </c>
      <c r="J1752" s="39" t="s">
        <v>1478</v>
      </c>
      <c r="K1752" s="39" t="s">
        <v>2122</v>
      </c>
      <c r="L1752" s="39" t="s">
        <v>7830</v>
      </c>
      <c r="M1752" s="39" t="s">
        <v>7831</v>
      </c>
      <c r="N1752" s="39" t="str">
        <f>("1089004")</f>
        <v>1089004</v>
      </c>
      <c r="P1752" s="39" t="s">
        <v>13212</v>
      </c>
      <c r="Q1752" s="39" t="s">
        <v>8568</v>
      </c>
      <c r="R1752" s="39" t="s">
        <v>8569</v>
      </c>
      <c r="S1752" s="39" t="s">
        <v>8570</v>
      </c>
      <c r="AK1752" s="39" t="str">
        <f>("2025/03/27")</f>
        <v>2025/03/27</v>
      </c>
      <c r="AL1752" s="39" t="str">
        <f t="shared" si="150"/>
        <v>2025/04/01</v>
      </c>
    </row>
    <row r="1753" spans="1:38" x14ac:dyDescent="0.25">
      <c r="A1753" s="39" t="str">
        <f>("1508200002")</f>
        <v>1508200002</v>
      </c>
      <c r="C1753" s="39"/>
      <c r="D1753" s="39" t="s">
        <v>5757</v>
      </c>
      <c r="E1753" s="371" t="str">
        <f t="shared" si="148"/>
        <v>きど　しゅん</v>
      </c>
      <c r="F1753" s="39" t="s">
        <v>2023</v>
      </c>
      <c r="G1753" s="39" t="s">
        <v>7828</v>
      </c>
      <c r="H1753" s="39" t="str">
        <f>("2015/08/20")</f>
        <v>2015/08/20</v>
      </c>
      <c r="I1753" s="39">
        <v>4</v>
      </c>
      <c r="J1753" s="39" t="s">
        <v>1478</v>
      </c>
      <c r="K1753" s="39" t="s">
        <v>2122</v>
      </c>
      <c r="L1753" s="39" t="s">
        <v>7830</v>
      </c>
      <c r="M1753" s="39" t="s">
        <v>7831</v>
      </c>
      <c r="N1753" s="39" t="str">
        <f>("0129967")</f>
        <v>0129967</v>
      </c>
      <c r="P1753" s="39" t="s">
        <v>13213</v>
      </c>
      <c r="Q1753" s="39" t="s">
        <v>8568</v>
      </c>
      <c r="R1753" s="39" t="s">
        <v>8569</v>
      </c>
      <c r="S1753" s="39" t="s">
        <v>8570</v>
      </c>
      <c r="AK1753" s="39" t="str">
        <f>("2025/03/17")</f>
        <v>2025/03/17</v>
      </c>
      <c r="AL1753" s="39" t="str">
        <f t="shared" si="150"/>
        <v>2025/04/01</v>
      </c>
    </row>
    <row r="1754" spans="1:38" x14ac:dyDescent="0.25">
      <c r="A1754" s="39" t="str">
        <f>("1508210059")</f>
        <v>1508210059</v>
      </c>
      <c r="C1754" s="39"/>
      <c r="D1754" s="39" t="s">
        <v>9293</v>
      </c>
      <c r="E1754" s="371" t="str">
        <f t="shared" si="148"/>
        <v>ひろた　けいし</v>
      </c>
      <c r="F1754" s="39" t="s">
        <v>1190</v>
      </c>
      <c r="G1754" s="39" t="s">
        <v>7828</v>
      </c>
      <c r="H1754" s="39" t="str">
        <f>("2015/08/21")</f>
        <v>2015/08/21</v>
      </c>
      <c r="I1754" s="39">
        <v>4</v>
      </c>
      <c r="J1754" s="39" t="s">
        <v>1478</v>
      </c>
      <c r="K1754" s="39" t="s">
        <v>2122</v>
      </c>
      <c r="L1754" s="39" t="s">
        <v>7830</v>
      </c>
      <c r="M1754" s="39" t="s">
        <v>7831</v>
      </c>
      <c r="N1754" s="39" t="str">
        <f>("0130554")</f>
        <v>0130554</v>
      </c>
      <c r="P1754" s="39" t="s">
        <v>13214</v>
      </c>
      <c r="Q1754" s="39" t="s">
        <v>8568</v>
      </c>
      <c r="R1754" s="39" t="s">
        <v>8569</v>
      </c>
      <c r="S1754" s="39" t="s">
        <v>8570</v>
      </c>
      <c r="AK1754" s="39" t="str">
        <f>("2025/03/17")</f>
        <v>2025/03/17</v>
      </c>
      <c r="AL1754" s="39" t="str">
        <f t="shared" si="150"/>
        <v>2025/04/01</v>
      </c>
    </row>
    <row r="1755" spans="1:38" x14ac:dyDescent="0.25">
      <c r="A1755" s="39" t="str">
        <f>("1508210064")</f>
        <v>1508210064</v>
      </c>
      <c r="C1755" s="39"/>
      <c r="D1755" s="39" t="s">
        <v>9294</v>
      </c>
      <c r="E1755" s="371" t="str">
        <f t="shared" si="148"/>
        <v>とさか　こうた</v>
      </c>
      <c r="F1755" s="39" t="s">
        <v>2530</v>
      </c>
      <c r="G1755" s="39" t="s">
        <v>7828</v>
      </c>
      <c r="H1755" s="39" t="str">
        <f>("2015/08/21")</f>
        <v>2015/08/21</v>
      </c>
      <c r="I1755" s="39">
        <v>4</v>
      </c>
      <c r="J1755" s="39" t="s">
        <v>1478</v>
      </c>
      <c r="K1755" s="39" t="s">
        <v>2122</v>
      </c>
      <c r="L1755" s="39" t="s">
        <v>7830</v>
      </c>
      <c r="M1755" s="39" t="s">
        <v>7831</v>
      </c>
      <c r="N1755" s="39" t="str">
        <f>("0338756")</f>
        <v>0338756</v>
      </c>
      <c r="P1755" s="39" t="s">
        <v>13215</v>
      </c>
      <c r="Q1755" s="39" t="s">
        <v>8568</v>
      </c>
      <c r="R1755" s="39" t="s">
        <v>8569</v>
      </c>
      <c r="S1755" s="39" t="s">
        <v>8570</v>
      </c>
      <c r="AK1755" s="39" t="str">
        <f>("2025/04/01")</f>
        <v>2025/04/01</v>
      </c>
      <c r="AL1755" s="39" t="str">
        <f t="shared" si="150"/>
        <v>2025/04/01</v>
      </c>
    </row>
    <row r="1756" spans="1:38" x14ac:dyDescent="0.25">
      <c r="A1756" s="39" t="str">
        <f>("1508210185")</f>
        <v>1508210185</v>
      </c>
      <c r="C1756" s="39"/>
      <c r="D1756" s="39" t="s">
        <v>9295</v>
      </c>
      <c r="E1756" s="371" t="str">
        <f t="shared" si="148"/>
        <v>おの　りょうき</v>
      </c>
      <c r="F1756" s="39" t="s">
        <v>829</v>
      </c>
      <c r="G1756" s="39" t="s">
        <v>7828</v>
      </c>
      <c r="H1756" s="39" t="str">
        <f>("2015/08/21")</f>
        <v>2015/08/21</v>
      </c>
      <c r="I1756" s="39">
        <v>4</v>
      </c>
      <c r="J1756" s="39" t="s">
        <v>1478</v>
      </c>
      <c r="K1756" s="39" t="s">
        <v>2122</v>
      </c>
      <c r="L1756" s="39" t="s">
        <v>7830</v>
      </c>
      <c r="M1756" s="39" t="s">
        <v>7831</v>
      </c>
      <c r="N1756" s="39" t="str">
        <f>("0426631")</f>
        <v>0426631</v>
      </c>
      <c r="P1756" s="39" t="s">
        <v>13216</v>
      </c>
      <c r="Q1756" s="39" t="s">
        <v>8568</v>
      </c>
      <c r="R1756" s="39" t="s">
        <v>8569</v>
      </c>
      <c r="S1756" s="39" t="s">
        <v>8570</v>
      </c>
      <c r="AK1756" s="39" t="str">
        <f>("2025/09/09")</f>
        <v>2025/09/09</v>
      </c>
      <c r="AL1756" s="39" t="str">
        <f>("2025/09/09")</f>
        <v>2025/09/09</v>
      </c>
    </row>
    <row r="1757" spans="1:38" x14ac:dyDescent="0.25">
      <c r="A1757" s="39" t="str">
        <f>("1508220105")</f>
        <v>1508220105</v>
      </c>
      <c r="C1757" s="39"/>
      <c r="D1757" s="39" t="s">
        <v>9296</v>
      </c>
      <c r="E1757" s="371" t="str">
        <f t="shared" si="148"/>
        <v>はらだ　こうせい</v>
      </c>
      <c r="F1757" s="39" t="s">
        <v>413</v>
      </c>
      <c r="G1757" s="39" t="s">
        <v>7828</v>
      </c>
      <c r="H1757" s="39" t="str">
        <f>("2015/08/22")</f>
        <v>2015/08/22</v>
      </c>
      <c r="I1757" s="39">
        <v>4</v>
      </c>
      <c r="J1757" s="39" t="s">
        <v>1478</v>
      </c>
      <c r="K1757" s="39" t="s">
        <v>2122</v>
      </c>
      <c r="L1757" s="39" t="s">
        <v>7830</v>
      </c>
      <c r="M1757" s="39" t="s">
        <v>7831</v>
      </c>
      <c r="N1757" s="39" t="str">
        <f>("0436902")</f>
        <v>0436902</v>
      </c>
      <c r="P1757" s="39" t="s">
        <v>13217</v>
      </c>
      <c r="Q1757" s="39" t="s">
        <v>8568</v>
      </c>
      <c r="R1757" s="39" t="s">
        <v>8569</v>
      </c>
      <c r="S1757" s="39" t="s">
        <v>8570</v>
      </c>
      <c r="AK1757" s="39" t="str">
        <f>("2025/03/24")</f>
        <v>2025/03/24</v>
      </c>
      <c r="AL1757" s="39" t="str">
        <f>("2025/04/01")</f>
        <v>2025/04/01</v>
      </c>
    </row>
    <row r="1758" spans="1:38" x14ac:dyDescent="0.25">
      <c r="A1758" s="39" t="str">
        <f>("1508220119")</f>
        <v>1508220119</v>
      </c>
      <c r="C1758" s="39"/>
      <c r="D1758" s="39" t="s">
        <v>5868</v>
      </c>
      <c r="E1758" s="371" t="str">
        <f t="shared" si="148"/>
        <v>しが　りひと</v>
      </c>
      <c r="F1758" s="39" t="s">
        <v>2324</v>
      </c>
      <c r="G1758" s="39" t="s">
        <v>7828</v>
      </c>
      <c r="H1758" s="39" t="str">
        <f>("2015/08/22")</f>
        <v>2015/08/22</v>
      </c>
      <c r="I1758" s="39">
        <v>4</v>
      </c>
      <c r="J1758" s="39" t="s">
        <v>1478</v>
      </c>
      <c r="K1758" s="39" t="s">
        <v>2122</v>
      </c>
      <c r="L1758" s="39" t="s">
        <v>7830</v>
      </c>
      <c r="M1758" s="39" t="s">
        <v>7831</v>
      </c>
      <c r="N1758" s="39" t="str">
        <f>("0130486")</f>
        <v>0130486</v>
      </c>
      <c r="P1758" s="39" t="s">
        <v>13218</v>
      </c>
      <c r="Q1758" s="39" t="s">
        <v>8568</v>
      </c>
      <c r="R1758" s="39" t="s">
        <v>8569</v>
      </c>
      <c r="S1758" s="39" t="s">
        <v>8570</v>
      </c>
      <c r="AK1758" s="39" t="str">
        <f>("2025/03/24")</f>
        <v>2025/03/24</v>
      </c>
      <c r="AL1758" s="39" t="str">
        <f>("2025/04/01")</f>
        <v>2025/04/01</v>
      </c>
    </row>
    <row r="1759" spans="1:38" x14ac:dyDescent="0.25">
      <c r="A1759" s="39" t="str">
        <f>("1508230148")</f>
        <v>1508230148</v>
      </c>
      <c r="C1759" s="39"/>
      <c r="D1759" s="39" t="s">
        <v>9297</v>
      </c>
      <c r="E1759" s="371" t="str">
        <f t="shared" si="148"/>
        <v>とくなが　はるき</v>
      </c>
      <c r="F1759" s="39" t="s">
        <v>2531</v>
      </c>
      <c r="G1759" s="39" t="s">
        <v>7828</v>
      </c>
      <c r="H1759" s="39" t="str">
        <f>("2015/08/23")</f>
        <v>2015/08/23</v>
      </c>
      <c r="I1759" s="39">
        <v>5</v>
      </c>
      <c r="J1759" s="39" t="s">
        <v>1478</v>
      </c>
      <c r="K1759" s="39" t="s">
        <v>2122</v>
      </c>
      <c r="L1759" s="39" t="s">
        <v>7830</v>
      </c>
      <c r="M1759" s="39" t="s">
        <v>7831</v>
      </c>
      <c r="N1759" s="39" t="str">
        <f>("0130419")</f>
        <v>0130419</v>
      </c>
      <c r="P1759" s="39" t="s">
        <v>13219</v>
      </c>
      <c r="Q1759" s="39" t="s">
        <v>8568</v>
      </c>
      <c r="R1759" s="39" t="s">
        <v>8569</v>
      </c>
      <c r="S1759" s="39" t="s">
        <v>8570</v>
      </c>
      <c r="AK1759" s="39" t="str">
        <f>("2025/10/21")</f>
        <v>2025/10/21</v>
      </c>
      <c r="AL1759" s="39" t="str">
        <f>("2025/10/21")</f>
        <v>2025/10/21</v>
      </c>
    </row>
    <row r="1760" spans="1:38" x14ac:dyDescent="0.25">
      <c r="A1760" s="39" t="str">
        <f>("1508240015")</f>
        <v>1508240015</v>
      </c>
      <c r="C1760" s="39"/>
      <c r="D1760" s="39" t="s">
        <v>9298</v>
      </c>
      <c r="E1760" s="371" t="str">
        <f t="shared" si="148"/>
        <v>やまもと　あきと</v>
      </c>
      <c r="F1760" s="39" t="s">
        <v>2139</v>
      </c>
      <c r="G1760" s="39" t="s">
        <v>7828</v>
      </c>
      <c r="H1760" s="39" t="str">
        <f>("2015/08/24")</f>
        <v>2015/08/24</v>
      </c>
      <c r="I1760" s="39">
        <v>4</v>
      </c>
      <c r="J1760" s="39" t="s">
        <v>1478</v>
      </c>
      <c r="K1760" s="39" t="s">
        <v>2122</v>
      </c>
      <c r="L1760" s="39" t="s">
        <v>7830</v>
      </c>
      <c r="M1760" s="39" t="s">
        <v>7831</v>
      </c>
      <c r="N1760" s="39" t="str">
        <f>("0129798")</f>
        <v>0129798</v>
      </c>
      <c r="P1760" s="39" t="s">
        <v>13220</v>
      </c>
      <c r="Q1760" s="39" t="s">
        <v>8568</v>
      </c>
      <c r="R1760" s="39" t="s">
        <v>8569</v>
      </c>
      <c r="S1760" s="39" t="s">
        <v>8570</v>
      </c>
      <c r="AK1760" s="39" t="str">
        <f>("2025/03/27")</f>
        <v>2025/03/27</v>
      </c>
      <c r="AL1760" s="39" t="str">
        <f t="shared" ref="AL1760:AL1766" si="151">("2025/04/01")</f>
        <v>2025/04/01</v>
      </c>
    </row>
    <row r="1761" spans="1:39" x14ac:dyDescent="0.25">
      <c r="A1761" s="39" t="str">
        <f>("1508250006")</f>
        <v>1508250006</v>
      </c>
      <c r="C1761" s="39"/>
      <c r="D1761" s="39" t="s">
        <v>6257</v>
      </c>
      <c r="E1761" s="371" t="str">
        <f t="shared" si="148"/>
        <v>なかはら　たいよう</v>
      </c>
      <c r="F1761" s="39" t="s">
        <v>3104</v>
      </c>
      <c r="G1761" s="39" t="s">
        <v>7828</v>
      </c>
      <c r="H1761" s="39" t="str">
        <f>("2015/08/25")</f>
        <v>2015/08/25</v>
      </c>
      <c r="I1761" s="39">
        <v>4</v>
      </c>
      <c r="J1761" s="39" t="s">
        <v>1478</v>
      </c>
      <c r="K1761" s="39" t="s">
        <v>2122</v>
      </c>
      <c r="L1761" s="39" t="s">
        <v>7830</v>
      </c>
      <c r="M1761" s="39" t="s">
        <v>7831</v>
      </c>
      <c r="N1761" s="39" t="str">
        <f>("1076189")</f>
        <v>1076189</v>
      </c>
      <c r="P1761" s="39" t="s">
        <v>13221</v>
      </c>
      <c r="Q1761" s="39" t="s">
        <v>8568</v>
      </c>
      <c r="R1761" s="39" t="s">
        <v>8569</v>
      </c>
      <c r="S1761" s="39" t="s">
        <v>8570</v>
      </c>
      <c r="AK1761" s="39" t="str">
        <f>("2025/03/24")</f>
        <v>2025/03/24</v>
      </c>
      <c r="AL1761" s="39" t="str">
        <f t="shared" si="151"/>
        <v>2025/04/01</v>
      </c>
    </row>
    <row r="1762" spans="1:39" x14ac:dyDescent="0.25">
      <c r="A1762" s="39" t="str">
        <f>("1508250083")</f>
        <v>1508250083</v>
      </c>
      <c r="C1762" s="39"/>
      <c r="D1762" s="39" t="s">
        <v>5749</v>
      </c>
      <c r="E1762" s="371" t="str">
        <f t="shared" si="148"/>
        <v>よしおか　たいせい</v>
      </c>
      <c r="F1762" s="39" t="s">
        <v>2505</v>
      </c>
      <c r="G1762" s="39" t="s">
        <v>7828</v>
      </c>
      <c r="H1762" s="39" t="str">
        <f>("2015/08/25")</f>
        <v>2015/08/25</v>
      </c>
      <c r="I1762" s="39">
        <v>4</v>
      </c>
      <c r="J1762" s="39" t="s">
        <v>1478</v>
      </c>
      <c r="K1762" s="39" t="s">
        <v>2122</v>
      </c>
      <c r="L1762" s="39" t="s">
        <v>7830</v>
      </c>
      <c r="M1762" s="39" t="s">
        <v>7831</v>
      </c>
      <c r="N1762" s="39" t="str">
        <f>("0129923")</f>
        <v>0129923</v>
      </c>
      <c r="P1762" s="39" t="s">
        <v>13222</v>
      </c>
      <c r="Q1762" s="39" t="s">
        <v>8568</v>
      </c>
      <c r="R1762" s="39" t="s">
        <v>8569</v>
      </c>
      <c r="S1762" s="39" t="s">
        <v>8570</v>
      </c>
      <c r="AK1762" s="39" t="str">
        <f>("2025/03/17")</f>
        <v>2025/03/17</v>
      </c>
      <c r="AL1762" s="39" t="str">
        <f t="shared" si="151"/>
        <v>2025/04/01</v>
      </c>
    </row>
    <row r="1763" spans="1:39" x14ac:dyDescent="0.25">
      <c r="A1763" s="39" t="str">
        <f>("1508250099")</f>
        <v>1508250099</v>
      </c>
      <c r="C1763" s="39"/>
      <c r="D1763" s="39" t="s">
        <v>9299</v>
      </c>
      <c r="E1763" s="371" t="str">
        <f t="shared" si="148"/>
        <v>おした　はやて</v>
      </c>
      <c r="F1763" s="39" t="s">
        <v>2556</v>
      </c>
      <c r="G1763" s="39" t="s">
        <v>7828</v>
      </c>
      <c r="H1763" s="39" t="str">
        <f>("2015/08/25")</f>
        <v>2015/08/25</v>
      </c>
      <c r="I1763" s="39">
        <v>4</v>
      </c>
      <c r="J1763" s="39" t="s">
        <v>1478</v>
      </c>
      <c r="K1763" s="39" t="s">
        <v>2122</v>
      </c>
      <c r="L1763" s="39" t="s">
        <v>7830</v>
      </c>
      <c r="M1763" s="39" t="s">
        <v>7831</v>
      </c>
      <c r="N1763" s="39" t="str">
        <f>("0130712")</f>
        <v>0130712</v>
      </c>
      <c r="P1763" s="39" t="s">
        <v>13223</v>
      </c>
      <c r="Q1763" s="39" t="s">
        <v>8568</v>
      </c>
      <c r="R1763" s="39" t="s">
        <v>8569</v>
      </c>
      <c r="S1763" s="39" t="s">
        <v>8570</v>
      </c>
      <c r="AK1763" s="39" t="str">
        <f>("2025/03/27")</f>
        <v>2025/03/27</v>
      </c>
      <c r="AL1763" s="39" t="str">
        <f t="shared" si="151"/>
        <v>2025/04/01</v>
      </c>
    </row>
    <row r="1764" spans="1:39" x14ac:dyDescent="0.25">
      <c r="A1764" s="39" t="str">
        <f>("1508250144")</f>
        <v>1508250144</v>
      </c>
      <c r="C1764" s="39"/>
      <c r="D1764" s="39" t="s">
        <v>9300</v>
      </c>
      <c r="E1764" s="371" t="str">
        <f t="shared" si="148"/>
        <v>おおた　いつき</v>
      </c>
      <c r="F1764" s="39" t="s">
        <v>2243</v>
      </c>
      <c r="G1764" s="39" t="s">
        <v>7876</v>
      </c>
      <c r="H1764" s="39" t="str">
        <f>("2015/08/25")</f>
        <v>2015/08/25</v>
      </c>
      <c r="I1764" s="39">
        <v>4</v>
      </c>
      <c r="J1764" s="39" t="s">
        <v>1478</v>
      </c>
      <c r="K1764" s="39" t="s">
        <v>2122</v>
      </c>
      <c r="L1764" s="39" t="s">
        <v>7830</v>
      </c>
      <c r="M1764" s="39" t="s">
        <v>7831</v>
      </c>
      <c r="N1764" s="39" t="str">
        <f>("0130565")</f>
        <v>0130565</v>
      </c>
      <c r="P1764" s="39" t="s">
        <v>13224</v>
      </c>
      <c r="Q1764" s="39" t="s">
        <v>8568</v>
      </c>
      <c r="R1764" s="39" t="s">
        <v>8569</v>
      </c>
      <c r="S1764" s="39" t="s">
        <v>8570</v>
      </c>
      <c r="AK1764" s="39" t="str">
        <f>("2025/03/17")</f>
        <v>2025/03/17</v>
      </c>
      <c r="AL1764" s="39" t="str">
        <f t="shared" si="151"/>
        <v>2025/04/01</v>
      </c>
      <c r="AM1764" s="39" t="str">
        <f>("2025/04/01")</f>
        <v>2025/04/01</v>
      </c>
    </row>
    <row r="1765" spans="1:39" x14ac:dyDescent="0.25">
      <c r="A1765" s="39" t="str">
        <f>("1508270131")</f>
        <v>1508270131</v>
      </c>
      <c r="C1765" s="39"/>
      <c r="D1765" s="39" t="s">
        <v>9301</v>
      </c>
      <c r="E1765" s="371" t="str">
        <f t="shared" si="148"/>
        <v>かわの　ゆづき</v>
      </c>
      <c r="F1765" s="39" t="s">
        <v>1239</v>
      </c>
      <c r="G1765" s="39" t="s">
        <v>7828</v>
      </c>
      <c r="H1765" s="39" t="str">
        <f>("2015/08/27")</f>
        <v>2015/08/27</v>
      </c>
      <c r="I1765" s="39">
        <v>4</v>
      </c>
      <c r="J1765" s="39" t="s">
        <v>1478</v>
      </c>
      <c r="K1765" s="39" t="s">
        <v>2122</v>
      </c>
      <c r="L1765" s="39" t="s">
        <v>7830</v>
      </c>
      <c r="M1765" s="39" t="s">
        <v>7831</v>
      </c>
      <c r="N1765" s="39" t="str">
        <f>("0129585")</f>
        <v>0129585</v>
      </c>
      <c r="P1765" s="39" t="s">
        <v>13225</v>
      </c>
      <c r="Q1765" s="39" t="s">
        <v>8568</v>
      </c>
      <c r="R1765" s="39" t="s">
        <v>8569</v>
      </c>
      <c r="S1765" s="39" t="s">
        <v>8570</v>
      </c>
      <c r="AK1765" s="39" t="str">
        <f>("2025/03/17")</f>
        <v>2025/03/17</v>
      </c>
      <c r="AL1765" s="39" t="str">
        <f t="shared" si="151"/>
        <v>2025/04/01</v>
      </c>
    </row>
    <row r="1766" spans="1:39" x14ac:dyDescent="0.25">
      <c r="A1766" s="39" t="str">
        <f>("1508270162")</f>
        <v>1508270162</v>
      </c>
      <c r="C1766" s="39"/>
      <c r="D1766" s="39" t="s">
        <v>9302</v>
      </c>
      <c r="E1766" s="371" t="str">
        <f t="shared" si="148"/>
        <v>つるはら　きょうすけ</v>
      </c>
      <c r="F1766" s="39" t="s">
        <v>2033</v>
      </c>
      <c r="G1766" s="39" t="s">
        <v>7828</v>
      </c>
      <c r="H1766" s="39" t="str">
        <f>("2015/08/27")</f>
        <v>2015/08/27</v>
      </c>
      <c r="I1766" s="39">
        <v>4</v>
      </c>
      <c r="J1766" s="39" t="s">
        <v>1478</v>
      </c>
      <c r="K1766" s="39" t="s">
        <v>2122</v>
      </c>
      <c r="L1766" s="39" t="s">
        <v>7830</v>
      </c>
      <c r="M1766" s="39" t="s">
        <v>7831</v>
      </c>
      <c r="N1766" s="39" t="str">
        <f>("0130442")</f>
        <v>0130442</v>
      </c>
      <c r="P1766" s="39" t="s">
        <v>13226</v>
      </c>
      <c r="Q1766" s="39" t="s">
        <v>8568</v>
      </c>
      <c r="R1766" s="39" t="s">
        <v>8569</v>
      </c>
      <c r="S1766" s="39" t="s">
        <v>8570</v>
      </c>
      <c r="AK1766" s="39" t="str">
        <f>("2025/04/04")</f>
        <v>2025/04/04</v>
      </c>
      <c r="AL1766" s="39" t="str">
        <f t="shared" si="151"/>
        <v>2025/04/01</v>
      </c>
      <c r="AM1766" s="39" t="str">
        <f>("2025/05/20")</f>
        <v>2025/05/20</v>
      </c>
    </row>
    <row r="1767" spans="1:39" x14ac:dyDescent="0.25">
      <c r="A1767" s="39" t="str">
        <f>("1508270178")</f>
        <v>1508270178</v>
      </c>
      <c r="C1767" s="39"/>
      <c r="D1767" s="39" t="s">
        <v>9303</v>
      </c>
      <c r="E1767" s="371" t="str">
        <f t="shared" si="148"/>
        <v>あそう　ゆうた</v>
      </c>
      <c r="F1767" s="39" t="s">
        <v>7864</v>
      </c>
      <c r="G1767" s="39" t="s">
        <v>7828</v>
      </c>
      <c r="H1767" s="39" t="str">
        <f>("2015/08/27")</f>
        <v>2015/08/27</v>
      </c>
      <c r="I1767" s="39">
        <v>4</v>
      </c>
      <c r="J1767" s="39" t="s">
        <v>1478</v>
      </c>
      <c r="K1767" s="39" t="s">
        <v>2122</v>
      </c>
      <c r="L1767" s="39" t="s">
        <v>7830</v>
      </c>
      <c r="M1767" s="39" t="s">
        <v>7831</v>
      </c>
      <c r="N1767" s="39" t="str">
        <f>("1039801")</f>
        <v>1039801</v>
      </c>
      <c r="P1767" s="39" t="s">
        <v>13227</v>
      </c>
      <c r="Q1767" s="39" t="s">
        <v>8568</v>
      </c>
      <c r="R1767" s="39" t="s">
        <v>8569</v>
      </c>
      <c r="S1767" s="39" t="s">
        <v>8570</v>
      </c>
      <c r="AK1767" s="39" t="str">
        <f>("2025/07/30")</f>
        <v>2025/07/30</v>
      </c>
      <c r="AL1767" s="39" t="str">
        <f>("2025/07/30")</f>
        <v>2025/07/30</v>
      </c>
    </row>
    <row r="1768" spans="1:39" x14ac:dyDescent="0.25">
      <c r="A1768" s="39" t="str">
        <f>("1508270183")</f>
        <v>1508270183</v>
      </c>
      <c r="C1768" s="39"/>
      <c r="D1768" s="39" t="s">
        <v>9304</v>
      </c>
      <c r="E1768" s="371" t="str">
        <f t="shared" si="148"/>
        <v>おおや　はると</v>
      </c>
      <c r="F1768" s="39" t="s">
        <v>5617</v>
      </c>
      <c r="G1768" s="39" t="s">
        <v>7828</v>
      </c>
      <c r="H1768" s="39" t="str">
        <f>("2015/08/27")</f>
        <v>2015/08/27</v>
      </c>
      <c r="I1768" s="39">
        <v>4</v>
      </c>
      <c r="J1768" s="39" t="s">
        <v>1478</v>
      </c>
      <c r="K1768" s="39" t="s">
        <v>2122</v>
      </c>
      <c r="L1768" s="39" t="s">
        <v>7830</v>
      </c>
      <c r="M1768" s="39" t="s">
        <v>7831</v>
      </c>
      <c r="N1768" s="39" t="str">
        <f>("0130756")</f>
        <v>0130756</v>
      </c>
      <c r="P1768" s="39" t="s">
        <v>13228</v>
      </c>
      <c r="Q1768" s="39" t="s">
        <v>8568</v>
      </c>
      <c r="R1768" s="39" t="s">
        <v>8569</v>
      </c>
      <c r="S1768" s="39" t="s">
        <v>8570</v>
      </c>
      <c r="AK1768" s="39" t="str">
        <f>("2025/09/24")</f>
        <v>2025/09/24</v>
      </c>
      <c r="AL1768" s="39" t="str">
        <f>("2025/09/24")</f>
        <v>2025/09/24</v>
      </c>
    </row>
    <row r="1769" spans="1:39" x14ac:dyDescent="0.25">
      <c r="A1769" s="39" t="str">
        <f>("1508290044")</f>
        <v>1508290044</v>
      </c>
      <c r="C1769" s="39"/>
      <c r="D1769" s="39" t="s">
        <v>9305</v>
      </c>
      <c r="E1769" s="371" t="str">
        <f t="shared" si="148"/>
        <v>ごとう　ふうあ</v>
      </c>
      <c r="F1769" s="39" t="s">
        <v>7864</v>
      </c>
      <c r="G1769" s="39" t="s">
        <v>7828</v>
      </c>
      <c r="H1769" s="39" t="str">
        <f>("2015/08/29")</f>
        <v>2015/08/29</v>
      </c>
      <c r="I1769" s="39">
        <v>4</v>
      </c>
      <c r="J1769" s="39" t="s">
        <v>1478</v>
      </c>
      <c r="K1769" s="39" t="s">
        <v>2122</v>
      </c>
      <c r="L1769" s="39" t="s">
        <v>7830</v>
      </c>
      <c r="M1769" s="39" t="s">
        <v>7831</v>
      </c>
      <c r="N1769" s="39" t="str">
        <f>("1039801")</f>
        <v>1039801</v>
      </c>
      <c r="P1769" s="39" t="s">
        <v>13229</v>
      </c>
      <c r="Q1769" s="39" t="s">
        <v>8568</v>
      </c>
      <c r="R1769" s="39" t="s">
        <v>8569</v>
      </c>
      <c r="S1769" s="39" t="s">
        <v>8570</v>
      </c>
      <c r="AK1769" s="39" t="str">
        <f>("2025/03/24")</f>
        <v>2025/03/24</v>
      </c>
      <c r="AL1769" s="39" t="str">
        <f>("2025/04/01")</f>
        <v>2025/04/01</v>
      </c>
    </row>
    <row r="1770" spans="1:39" x14ac:dyDescent="0.25">
      <c r="A1770" s="39" t="str">
        <f>("1508290063")</f>
        <v>1508290063</v>
      </c>
      <c r="C1770" s="39"/>
      <c r="D1770" s="39" t="s">
        <v>9306</v>
      </c>
      <c r="E1770" s="371" t="str">
        <f t="shared" si="148"/>
        <v>としね　こうき</v>
      </c>
      <c r="F1770" s="39" t="s">
        <v>2530</v>
      </c>
      <c r="G1770" s="39" t="s">
        <v>7828</v>
      </c>
      <c r="H1770" s="39" t="str">
        <f>("2015/08/29")</f>
        <v>2015/08/29</v>
      </c>
      <c r="I1770" s="39">
        <v>4</v>
      </c>
      <c r="J1770" s="39" t="s">
        <v>1478</v>
      </c>
      <c r="K1770" s="39" t="s">
        <v>2122</v>
      </c>
      <c r="L1770" s="39" t="s">
        <v>7830</v>
      </c>
      <c r="M1770" s="39" t="s">
        <v>7831</v>
      </c>
      <c r="N1770" s="39" t="str">
        <f>("0338756")</f>
        <v>0338756</v>
      </c>
      <c r="P1770" s="39" t="s">
        <v>13230</v>
      </c>
      <c r="Q1770" s="39" t="s">
        <v>8568</v>
      </c>
      <c r="R1770" s="39" t="s">
        <v>8569</v>
      </c>
      <c r="S1770" s="39" t="s">
        <v>8570</v>
      </c>
      <c r="AK1770" s="39" t="str">
        <f>("2025/04/01")</f>
        <v>2025/04/01</v>
      </c>
      <c r="AL1770" s="39" t="str">
        <f>("2025/04/01")</f>
        <v>2025/04/01</v>
      </c>
    </row>
    <row r="1771" spans="1:39" x14ac:dyDescent="0.25">
      <c r="A1771" s="39" t="str">
        <f>("1508290084")</f>
        <v>1508290084</v>
      </c>
      <c r="C1771" s="39"/>
      <c r="D1771" s="39" t="s">
        <v>9307</v>
      </c>
      <c r="E1771" s="371" t="str">
        <f t="shared" si="148"/>
        <v>しゅとう　こうせい</v>
      </c>
      <c r="F1771" s="39" t="s">
        <v>2533</v>
      </c>
      <c r="G1771" s="39" t="s">
        <v>7828</v>
      </c>
      <c r="H1771" s="39" t="str">
        <f>("2015/08/29")</f>
        <v>2015/08/29</v>
      </c>
      <c r="I1771" s="39">
        <v>4</v>
      </c>
      <c r="J1771" s="39" t="s">
        <v>1478</v>
      </c>
      <c r="K1771" s="39" t="s">
        <v>2122</v>
      </c>
      <c r="L1771" s="39" t="s">
        <v>7830</v>
      </c>
      <c r="M1771" s="39" t="s">
        <v>7831</v>
      </c>
      <c r="N1771" s="39" t="str">
        <f>("0130497")</f>
        <v>0130497</v>
      </c>
      <c r="P1771" s="39" t="s">
        <v>13231</v>
      </c>
      <c r="Q1771" s="39" t="s">
        <v>8568</v>
      </c>
      <c r="R1771" s="39" t="s">
        <v>8569</v>
      </c>
      <c r="S1771" s="39" t="s">
        <v>8570</v>
      </c>
      <c r="AK1771" s="39" t="str">
        <f>("2025/03/17")</f>
        <v>2025/03/17</v>
      </c>
      <c r="AL1771" s="39" t="str">
        <f>("2025/04/01")</f>
        <v>2025/04/01</v>
      </c>
    </row>
    <row r="1772" spans="1:39" x14ac:dyDescent="0.25">
      <c r="A1772" s="39" t="str">
        <f>("1508310167")</f>
        <v>1508310167</v>
      </c>
      <c r="C1772" s="39"/>
      <c r="D1772" s="39" t="s">
        <v>9308</v>
      </c>
      <c r="E1772" s="371" t="str">
        <f t="shared" si="148"/>
        <v>うえむら　ゆうだい</v>
      </c>
      <c r="F1772" s="39" t="s">
        <v>2243</v>
      </c>
      <c r="G1772" s="39" t="s">
        <v>7828</v>
      </c>
      <c r="H1772" s="39" t="str">
        <f>("2015/08/31")</f>
        <v>2015/08/31</v>
      </c>
      <c r="I1772" s="39">
        <v>4</v>
      </c>
      <c r="J1772" s="39" t="s">
        <v>1478</v>
      </c>
      <c r="K1772" s="39" t="s">
        <v>2122</v>
      </c>
      <c r="L1772" s="39" t="s">
        <v>7830</v>
      </c>
      <c r="M1772" s="39" t="s">
        <v>7831</v>
      </c>
      <c r="N1772" s="39" t="str">
        <f>("0130565")</f>
        <v>0130565</v>
      </c>
      <c r="P1772" s="39" t="s">
        <v>13232</v>
      </c>
      <c r="Q1772" s="39" t="s">
        <v>8568</v>
      </c>
      <c r="R1772" s="39" t="s">
        <v>8569</v>
      </c>
      <c r="S1772" s="39" t="s">
        <v>8570</v>
      </c>
      <c r="AK1772" s="39" t="str">
        <f>("2025/05/29")</f>
        <v>2025/05/29</v>
      </c>
      <c r="AL1772" s="39" t="str">
        <f>("2025/05/29")</f>
        <v>2025/05/29</v>
      </c>
    </row>
    <row r="1773" spans="1:39" x14ac:dyDescent="0.25">
      <c r="A1773" s="39" t="str">
        <f>("1509010005")</f>
        <v>1509010005</v>
      </c>
      <c r="B1773" s="39" t="s">
        <v>9309</v>
      </c>
      <c r="C1773" s="39"/>
      <c r="D1773" s="39" t="s">
        <v>9310</v>
      </c>
      <c r="E1773" s="371" t="str">
        <f t="shared" si="148"/>
        <v>しらいし　ゆうすけ</v>
      </c>
      <c r="F1773" s="39" t="s">
        <v>1912</v>
      </c>
      <c r="G1773" s="39" t="s">
        <v>7828</v>
      </c>
      <c r="H1773" s="39" t="str">
        <f>("2015/09/01")</f>
        <v>2015/09/01</v>
      </c>
      <c r="I1773" s="39">
        <v>4</v>
      </c>
      <c r="J1773" s="39" t="s">
        <v>1478</v>
      </c>
      <c r="K1773" s="39" t="s">
        <v>2122</v>
      </c>
      <c r="L1773" s="39" t="s">
        <v>7830</v>
      </c>
      <c r="M1773" s="39" t="s">
        <v>7831</v>
      </c>
      <c r="N1773" s="39" t="str">
        <f>("0130363")</f>
        <v>0130363</v>
      </c>
      <c r="P1773" s="39" t="s">
        <v>13233</v>
      </c>
      <c r="Q1773" s="39" t="s">
        <v>8568</v>
      </c>
      <c r="R1773" s="39" t="s">
        <v>8569</v>
      </c>
      <c r="S1773" s="39" t="s">
        <v>8570</v>
      </c>
      <c r="AK1773" s="39" t="str">
        <f>("2025/03/17")</f>
        <v>2025/03/17</v>
      </c>
      <c r="AL1773" s="39" t="str">
        <f>("2025/04/01")</f>
        <v>2025/04/01</v>
      </c>
    </row>
    <row r="1774" spans="1:39" x14ac:dyDescent="0.25">
      <c r="A1774" s="39" t="str">
        <f>("1509010028")</f>
        <v>1509010028</v>
      </c>
      <c r="C1774" s="39"/>
      <c r="D1774" s="39" t="s">
        <v>9311</v>
      </c>
      <c r="E1774" s="371" t="str">
        <f t="shared" si="148"/>
        <v>まき　りちか</v>
      </c>
      <c r="F1774" s="39" t="s">
        <v>8032</v>
      </c>
      <c r="G1774" s="39" t="s">
        <v>7828</v>
      </c>
      <c r="H1774" s="39" t="str">
        <f>("2015/09/01")</f>
        <v>2015/09/01</v>
      </c>
      <c r="I1774" s="39">
        <v>4</v>
      </c>
      <c r="J1774" s="39" t="s">
        <v>1478</v>
      </c>
      <c r="K1774" s="39" t="s">
        <v>2122</v>
      </c>
      <c r="L1774" s="39" t="s">
        <v>7830</v>
      </c>
      <c r="M1774" s="39" t="s">
        <v>7831</v>
      </c>
      <c r="N1774" s="39" t="str">
        <f>("0452911")</f>
        <v>0452911</v>
      </c>
      <c r="P1774" s="39" t="s">
        <v>13234</v>
      </c>
      <c r="Q1774" s="39" t="s">
        <v>8568</v>
      </c>
      <c r="R1774" s="39" t="s">
        <v>8569</v>
      </c>
      <c r="S1774" s="39" t="s">
        <v>8570</v>
      </c>
      <c r="AK1774" s="39" t="str">
        <f>("2025/04/10")</f>
        <v>2025/04/10</v>
      </c>
      <c r="AL1774" s="39" t="str">
        <f>("2025/04/01")</f>
        <v>2025/04/01</v>
      </c>
    </row>
    <row r="1775" spans="1:39" x14ac:dyDescent="0.25">
      <c r="A1775" s="39" t="str">
        <f>("1509010090")</f>
        <v>1509010090</v>
      </c>
      <c r="C1775" s="39"/>
      <c r="D1775" s="39" t="s">
        <v>5711</v>
      </c>
      <c r="E1775" s="371" t="str">
        <f t="shared" si="148"/>
        <v>ながの　あおい</v>
      </c>
      <c r="F1775" s="39" t="s">
        <v>2139</v>
      </c>
      <c r="G1775" s="39" t="s">
        <v>7828</v>
      </c>
      <c r="H1775" s="39" t="str">
        <f>("2015/09/01")</f>
        <v>2015/09/01</v>
      </c>
      <c r="I1775" s="39">
        <v>4</v>
      </c>
      <c r="J1775" s="39" t="s">
        <v>1478</v>
      </c>
      <c r="K1775" s="39" t="s">
        <v>2122</v>
      </c>
      <c r="L1775" s="39" t="s">
        <v>7830</v>
      </c>
      <c r="M1775" s="39" t="s">
        <v>7831</v>
      </c>
      <c r="N1775" s="39" t="str">
        <f>("0129798")</f>
        <v>0129798</v>
      </c>
      <c r="P1775" s="39" t="s">
        <v>13235</v>
      </c>
      <c r="Q1775" s="39" t="s">
        <v>8568</v>
      </c>
      <c r="R1775" s="39" t="s">
        <v>8569</v>
      </c>
      <c r="S1775" s="39" t="s">
        <v>8570</v>
      </c>
      <c r="AK1775" s="39" t="str">
        <f>("2025/03/27")</f>
        <v>2025/03/27</v>
      </c>
      <c r="AL1775" s="39" t="str">
        <f>("2025/04/01")</f>
        <v>2025/04/01</v>
      </c>
    </row>
    <row r="1776" spans="1:39" x14ac:dyDescent="0.25">
      <c r="A1776" s="39" t="str">
        <f>("1509010091")</f>
        <v>1509010091</v>
      </c>
      <c r="C1776" s="39"/>
      <c r="D1776" s="39" t="s">
        <v>5715</v>
      </c>
      <c r="E1776" s="371" t="str">
        <f t="shared" si="148"/>
        <v>ながの　とうり</v>
      </c>
      <c r="F1776" s="39" t="s">
        <v>2139</v>
      </c>
      <c r="G1776" s="39" t="s">
        <v>7828</v>
      </c>
      <c r="H1776" s="39" t="str">
        <f>("2015/09/01")</f>
        <v>2015/09/01</v>
      </c>
      <c r="I1776" s="39">
        <v>4</v>
      </c>
      <c r="J1776" s="39" t="s">
        <v>1478</v>
      </c>
      <c r="K1776" s="39" t="s">
        <v>2122</v>
      </c>
      <c r="L1776" s="39" t="s">
        <v>7830</v>
      </c>
      <c r="M1776" s="39" t="s">
        <v>7831</v>
      </c>
      <c r="N1776" s="39" t="str">
        <f>("0129798")</f>
        <v>0129798</v>
      </c>
      <c r="P1776" s="39" t="s">
        <v>13236</v>
      </c>
      <c r="Q1776" s="39" t="s">
        <v>8568</v>
      </c>
      <c r="R1776" s="39" t="s">
        <v>8569</v>
      </c>
      <c r="S1776" s="39" t="s">
        <v>8570</v>
      </c>
      <c r="AK1776" s="39" t="str">
        <f>("2025/03/27")</f>
        <v>2025/03/27</v>
      </c>
      <c r="AL1776" s="39" t="str">
        <f>("2025/04/01")</f>
        <v>2025/04/01</v>
      </c>
    </row>
    <row r="1777" spans="1:39" x14ac:dyDescent="0.25">
      <c r="A1777" s="39" t="str">
        <f>("1509010211")</f>
        <v>1509010211</v>
      </c>
      <c r="C1777" s="39"/>
      <c r="D1777" s="39" t="s">
        <v>9312</v>
      </c>
      <c r="E1777" s="371" t="str">
        <f t="shared" si="148"/>
        <v>ほあし　あさひ</v>
      </c>
      <c r="F1777" s="39" t="s">
        <v>1692</v>
      </c>
      <c r="G1777" s="39" t="s">
        <v>7828</v>
      </c>
      <c r="H1777" s="39" t="str">
        <f>("2015/09/01")</f>
        <v>2015/09/01</v>
      </c>
      <c r="I1777" s="39">
        <v>4</v>
      </c>
      <c r="J1777" s="39" t="s">
        <v>1478</v>
      </c>
      <c r="K1777" s="39" t="s">
        <v>2122</v>
      </c>
      <c r="L1777" s="39" t="s">
        <v>7830</v>
      </c>
      <c r="M1777" s="39" t="s">
        <v>7831</v>
      </c>
      <c r="N1777" s="39" t="str">
        <f>("1052299")</f>
        <v>1052299</v>
      </c>
      <c r="P1777" s="39" t="s">
        <v>13237</v>
      </c>
      <c r="Q1777" s="39" t="s">
        <v>8568</v>
      </c>
      <c r="R1777" s="39" t="s">
        <v>8569</v>
      </c>
      <c r="S1777" s="39" t="s">
        <v>8570</v>
      </c>
      <c r="AK1777" s="39" t="str">
        <f>("2025/08/29")</f>
        <v>2025/08/29</v>
      </c>
      <c r="AL1777" s="39" t="str">
        <f>("2025/08/29")</f>
        <v>2025/08/29</v>
      </c>
    </row>
    <row r="1778" spans="1:39" x14ac:dyDescent="0.25">
      <c r="A1778" s="39" t="str">
        <f>("1509020111")</f>
        <v>1509020111</v>
      </c>
      <c r="C1778" s="39"/>
      <c r="D1778" s="39" t="s">
        <v>9313</v>
      </c>
      <c r="E1778" s="371" t="str">
        <f t="shared" si="148"/>
        <v>ひめの　るいく</v>
      </c>
      <c r="F1778" s="39" t="s">
        <v>1158</v>
      </c>
      <c r="G1778" s="39" t="s">
        <v>7828</v>
      </c>
      <c r="H1778" s="39" t="str">
        <f>("2015/09/02")</f>
        <v>2015/09/02</v>
      </c>
      <c r="I1778" s="39">
        <v>4</v>
      </c>
      <c r="J1778" s="39" t="s">
        <v>1478</v>
      </c>
      <c r="K1778" s="39" t="s">
        <v>2122</v>
      </c>
      <c r="L1778" s="39" t="s">
        <v>7830</v>
      </c>
      <c r="M1778" s="39" t="s">
        <v>7831</v>
      </c>
      <c r="N1778" s="39" t="str">
        <f>("0130318")</f>
        <v>0130318</v>
      </c>
      <c r="P1778" s="39" t="s">
        <v>13238</v>
      </c>
      <c r="Q1778" s="39" t="s">
        <v>8568</v>
      </c>
      <c r="R1778" s="39" t="s">
        <v>8569</v>
      </c>
      <c r="S1778" s="39" t="s">
        <v>8570</v>
      </c>
      <c r="AA1778" s="39" t="s">
        <v>2122</v>
      </c>
      <c r="AB1778" s="39" t="s">
        <v>7830</v>
      </c>
      <c r="AC1778" s="39" t="s">
        <v>7831</v>
      </c>
      <c r="AD1778" s="39" t="str">
        <f>("0436902")</f>
        <v>0436902</v>
      </c>
      <c r="AE1778" s="39" t="s">
        <v>413</v>
      </c>
      <c r="AK1778" s="39" t="str">
        <f>("2025/04/04")</f>
        <v>2025/04/04</v>
      </c>
      <c r="AL1778" s="39" t="str">
        <f>("2025/04/04")</f>
        <v>2025/04/04</v>
      </c>
    </row>
    <row r="1779" spans="1:39" x14ac:dyDescent="0.25">
      <c r="A1779" s="39" t="str">
        <f>("1509030049")</f>
        <v>1509030049</v>
      </c>
      <c r="B1779" s="39" t="s">
        <v>9314</v>
      </c>
      <c r="C1779" s="39"/>
      <c r="D1779" s="39" t="s">
        <v>9315</v>
      </c>
      <c r="E1779" s="371" t="str">
        <f t="shared" si="148"/>
        <v>もろとみ　たくま</v>
      </c>
      <c r="F1779" s="39" t="s">
        <v>1207</v>
      </c>
      <c r="G1779" s="39" t="s">
        <v>7828</v>
      </c>
      <c r="H1779" s="39" t="str">
        <f>("2015/09/03")</f>
        <v>2015/09/03</v>
      </c>
      <c r="I1779" s="39">
        <v>4</v>
      </c>
      <c r="J1779" s="39" t="s">
        <v>1478</v>
      </c>
      <c r="K1779" s="39" t="s">
        <v>2122</v>
      </c>
      <c r="L1779" s="39" t="s">
        <v>7830</v>
      </c>
      <c r="M1779" s="39" t="s">
        <v>7831</v>
      </c>
      <c r="N1779" s="39" t="str">
        <f>("0381608")</f>
        <v>0381608</v>
      </c>
      <c r="P1779" s="39" t="s">
        <v>13239</v>
      </c>
      <c r="Q1779" s="39" t="s">
        <v>8568</v>
      </c>
      <c r="R1779" s="39" t="s">
        <v>8569</v>
      </c>
      <c r="S1779" s="39" t="s">
        <v>8570</v>
      </c>
      <c r="AK1779" s="39" t="str">
        <f>("2025/03/21")</f>
        <v>2025/03/21</v>
      </c>
      <c r="AL1779" s="39" t="str">
        <f>("2025/04/01")</f>
        <v>2025/04/01</v>
      </c>
    </row>
    <row r="1780" spans="1:39" x14ac:dyDescent="0.25">
      <c r="A1780" s="39" t="str">
        <f>("1509030168")</f>
        <v>1509030168</v>
      </c>
      <c r="C1780" s="39"/>
      <c r="D1780" s="39" t="s">
        <v>9316</v>
      </c>
      <c r="E1780" s="371" t="str">
        <f t="shared" si="148"/>
        <v>おじろ　いち</v>
      </c>
      <c r="F1780" s="39" t="s">
        <v>2587</v>
      </c>
      <c r="G1780" s="39" t="s">
        <v>7828</v>
      </c>
      <c r="H1780" s="39" t="str">
        <f>("2015/09/03")</f>
        <v>2015/09/03</v>
      </c>
      <c r="I1780" s="39">
        <v>4</v>
      </c>
      <c r="J1780" s="39" t="s">
        <v>1478</v>
      </c>
      <c r="K1780" s="39" t="s">
        <v>2122</v>
      </c>
      <c r="L1780" s="39" t="s">
        <v>7830</v>
      </c>
      <c r="M1780" s="39" t="s">
        <v>7831</v>
      </c>
      <c r="N1780" s="39" t="str">
        <f>("0387334")</f>
        <v>0387334</v>
      </c>
      <c r="P1780" s="39" t="s">
        <v>13240</v>
      </c>
      <c r="Q1780" s="39" t="s">
        <v>8568</v>
      </c>
      <c r="R1780" s="39" t="s">
        <v>8569</v>
      </c>
      <c r="S1780" s="39" t="s">
        <v>8570</v>
      </c>
      <c r="AK1780" s="39" t="str">
        <f>("2025/04/10")</f>
        <v>2025/04/10</v>
      </c>
      <c r="AL1780" s="39" t="str">
        <f>("2025/04/10")</f>
        <v>2025/04/10</v>
      </c>
    </row>
    <row r="1781" spans="1:39" x14ac:dyDescent="0.25">
      <c r="A1781" s="39" t="str">
        <f>("1509040110")</f>
        <v>1509040110</v>
      </c>
      <c r="C1781" s="39"/>
      <c r="D1781" s="39" t="s">
        <v>5733</v>
      </c>
      <c r="E1781" s="371" t="str">
        <f t="shared" si="148"/>
        <v>はなき　いっしん</v>
      </c>
      <c r="F1781" s="39" t="s">
        <v>2496</v>
      </c>
      <c r="G1781" s="39" t="s">
        <v>7828</v>
      </c>
      <c r="H1781" s="39" t="str">
        <f>("2015/09/04")</f>
        <v>2015/09/04</v>
      </c>
      <c r="I1781" s="39">
        <v>4</v>
      </c>
      <c r="J1781" s="39" t="s">
        <v>1478</v>
      </c>
      <c r="K1781" s="39" t="s">
        <v>2122</v>
      </c>
      <c r="L1781" s="39" t="s">
        <v>7830</v>
      </c>
      <c r="M1781" s="39" t="s">
        <v>7831</v>
      </c>
      <c r="N1781" s="39" t="str">
        <f>("0129855")</f>
        <v>0129855</v>
      </c>
      <c r="P1781" s="39" t="s">
        <v>13241</v>
      </c>
      <c r="Q1781" s="39" t="s">
        <v>8568</v>
      </c>
      <c r="R1781" s="39" t="s">
        <v>8569</v>
      </c>
      <c r="S1781" s="39" t="s">
        <v>8570</v>
      </c>
      <c r="AK1781" s="39" t="str">
        <f>("2025/03/24")</f>
        <v>2025/03/24</v>
      </c>
      <c r="AL1781" s="39" t="str">
        <f>("2025/04/01")</f>
        <v>2025/04/01</v>
      </c>
    </row>
    <row r="1782" spans="1:39" x14ac:dyDescent="0.25">
      <c r="A1782" s="39" t="str">
        <f>("1509040113")</f>
        <v>1509040113</v>
      </c>
      <c r="C1782" s="39"/>
      <c r="D1782" s="39" t="s">
        <v>9317</v>
      </c>
      <c r="E1782" s="371" t="str">
        <f t="shared" si="148"/>
        <v>はたなか　ひなた</v>
      </c>
      <c r="F1782" s="39" t="s">
        <v>520</v>
      </c>
      <c r="G1782" s="39" t="s">
        <v>7828</v>
      </c>
      <c r="H1782" s="39" t="str">
        <f>("2015/09/04")</f>
        <v>2015/09/04</v>
      </c>
      <c r="I1782" s="39">
        <v>4</v>
      </c>
      <c r="J1782" s="39" t="s">
        <v>1478</v>
      </c>
      <c r="K1782" s="39" t="s">
        <v>2122</v>
      </c>
      <c r="L1782" s="39" t="s">
        <v>7830</v>
      </c>
      <c r="M1782" s="39" t="s">
        <v>7831</v>
      </c>
      <c r="N1782" s="39" t="str">
        <f>("0129765")</f>
        <v>0129765</v>
      </c>
      <c r="P1782" s="39" t="s">
        <v>13242</v>
      </c>
      <c r="Q1782" s="39" t="s">
        <v>8568</v>
      </c>
      <c r="R1782" s="39" t="s">
        <v>8569</v>
      </c>
      <c r="S1782" s="39" t="s">
        <v>8570</v>
      </c>
      <c r="AK1782" s="39" t="str">
        <f>("2025/03/17")</f>
        <v>2025/03/17</v>
      </c>
      <c r="AL1782" s="39" t="str">
        <f>("2025/04/01")</f>
        <v>2025/04/01</v>
      </c>
      <c r="AM1782" s="39" t="str">
        <f>("2025/03/24")</f>
        <v>2025/03/24</v>
      </c>
    </row>
    <row r="1783" spans="1:39" x14ac:dyDescent="0.25">
      <c r="A1783" s="39" t="str">
        <f>("1509040144")</f>
        <v>1509040144</v>
      </c>
      <c r="B1783" s="39" t="s">
        <v>9318</v>
      </c>
      <c r="C1783" s="39"/>
      <c r="D1783" s="39" t="s">
        <v>9319</v>
      </c>
      <c r="E1783" s="371" t="str">
        <f t="shared" si="148"/>
        <v>つる　かなで</v>
      </c>
      <c r="F1783" s="39" t="s">
        <v>1344</v>
      </c>
      <c r="G1783" s="39" t="s">
        <v>7828</v>
      </c>
      <c r="H1783" s="39" t="str">
        <f>("2015/09/04")</f>
        <v>2015/09/04</v>
      </c>
      <c r="I1783" s="39">
        <v>4</v>
      </c>
      <c r="J1783" s="39" t="s">
        <v>1478</v>
      </c>
      <c r="K1783" s="39" t="s">
        <v>2122</v>
      </c>
      <c r="L1783" s="39" t="s">
        <v>7830</v>
      </c>
      <c r="M1783" s="39" t="s">
        <v>7831</v>
      </c>
      <c r="N1783" s="39" t="str">
        <f>("0130587")</f>
        <v>0130587</v>
      </c>
      <c r="P1783" s="39" t="s">
        <v>13243</v>
      </c>
      <c r="Q1783" s="39" t="s">
        <v>8568</v>
      </c>
      <c r="R1783" s="39" t="s">
        <v>8569</v>
      </c>
      <c r="S1783" s="39" t="s">
        <v>8570</v>
      </c>
      <c r="AK1783" s="39" t="str">
        <f>("2025/03/21")</f>
        <v>2025/03/21</v>
      </c>
      <c r="AL1783" s="39" t="str">
        <f>("2025/04/01")</f>
        <v>2025/04/01</v>
      </c>
    </row>
    <row r="1784" spans="1:39" x14ac:dyDescent="0.25">
      <c r="A1784" s="39" t="str">
        <f>("1509040147")</f>
        <v>1509040147</v>
      </c>
      <c r="B1784" s="39" t="s">
        <v>9320</v>
      </c>
      <c r="C1784" s="39"/>
      <c r="D1784" s="39" t="s">
        <v>9321</v>
      </c>
      <c r="E1784" s="371" t="str">
        <f t="shared" si="148"/>
        <v>なかしま　さくた</v>
      </c>
      <c r="F1784" s="39" t="s">
        <v>2188</v>
      </c>
      <c r="G1784" s="39" t="s">
        <v>7828</v>
      </c>
      <c r="H1784" s="39" t="str">
        <f>("2015/09/04")</f>
        <v>2015/09/04</v>
      </c>
      <c r="I1784" s="39">
        <v>4</v>
      </c>
      <c r="J1784" s="39" t="s">
        <v>1478</v>
      </c>
      <c r="K1784" s="39" t="s">
        <v>2122</v>
      </c>
      <c r="L1784" s="39" t="s">
        <v>7830</v>
      </c>
      <c r="M1784" s="39" t="s">
        <v>7831</v>
      </c>
      <c r="N1784" s="39" t="str">
        <f>("0129596")</f>
        <v>0129596</v>
      </c>
      <c r="P1784" s="39" t="s">
        <v>13244</v>
      </c>
      <c r="Q1784" s="39" t="s">
        <v>8568</v>
      </c>
      <c r="R1784" s="39" t="s">
        <v>8569</v>
      </c>
      <c r="S1784" s="39" t="s">
        <v>8570</v>
      </c>
      <c r="AK1784" s="39" t="str">
        <f>("2025/03/17")</f>
        <v>2025/03/17</v>
      </c>
      <c r="AL1784" s="39" t="str">
        <f>("2025/04/01")</f>
        <v>2025/04/01</v>
      </c>
    </row>
    <row r="1785" spans="1:39" x14ac:dyDescent="0.25">
      <c r="A1785" s="39" t="str">
        <f>("1509050140")</f>
        <v>1509050140</v>
      </c>
      <c r="C1785" s="39"/>
      <c r="D1785" s="39" t="s">
        <v>9322</v>
      </c>
      <c r="E1785" s="371" t="str">
        <f t="shared" si="148"/>
        <v>なかがみ　はるき</v>
      </c>
      <c r="F1785" s="39" t="s">
        <v>1692</v>
      </c>
      <c r="G1785" s="39" t="s">
        <v>7828</v>
      </c>
      <c r="H1785" s="39" t="str">
        <f>("2015/09/05")</f>
        <v>2015/09/05</v>
      </c>
      <c r="I1785" s="39">
        <v>4</v>
      </c>
      <c r="J1785" s="39" t="s">
        <v>1478</v>
      </c>
      <c r="K1785" s="39" t="s">
        <v>2122</v>
      </c>
      <c r="L1785" s="39" t="s">
        <v>7830</v>
      </c>
      <c r="M1785" s="39" t="s">
        <v>7831</v>
      </c>
      <c r="N1785" s="39" t="str">
        <f>("1052299")</f>
        <v>1052299</v>
      </c>
      <c r="P1785" s="39" t="s">
        <v>13245</v>
      </c>
      <c r="Q1785" s="39" t="s">
        <v>8568</v>
      </c>
      <c r="R1785" s="39" t="s">
        <v>8569</v>
      </c>
      <c r="S1785" s="39" t="s">
        <v>8570</v>
      </c>
      <c r="AA1785" s="39" t="s">
        <v>2122</v>
      </c>
      <c r="AB1785" s="39" t="s">
        <v>7830</v>
      </c>
      <c r="AC1785" s="39" t="s">
        <v>7831</v>
      </c>
      <c r="AD1785" s="39" t="str">
        <f>("0129866")</f>
        <v>0129866</v>
      </c>
      <c r="AE1785" s="39" t="s">
        <v>1481</v>
      </c>
      <c r="AK1785" s="39" t="str">
        <f>("2025/08/29")</f>
        <v>2025/08/29</v>
      </c>
      <c r="AL1785" s="39" t="str">
        <f>("2025/08/29")</f>
        <v>2025/08/29</v>
      </c>
    </row>
    <row r="1786" spans="1:39" x14ac:dyDescent="0.25">
      <c r="A1786" s="39" t="str">
        <f>("1509060011")</f>
        <v>1509060011</v>
      </c>
      <c r="C1786" s="39"/>
      <c r="D1786" s="39" t="s">
        <v>9323</v>
      </c>
      <c r="E1786" s="371" t="str">
        <f t="shared" si="148"/>
        <v>あそう　みちた</v>
      </c>
      <c r="F1786" s="39" t="s">
        <v>1082</v>
      </c>
      <c r="G1786" s="39" t="s">
        <v>7828</v>
      </c>
      <c r="H1786" s="39" t="str">
        <f>("2015/09/06")</f>
        <v>2015/09/06</v>
      </c>
      <c r="I1786" s="39">
        <v>4</v>
      </c>
      <c r="J1786" s="39" t="s">
        <v>1478</v>
      </c>
      <c r="K1786" s="39" t="s">
        <v>2122</v>
      </c>
      <c r="L1786" s="39" t="s">
        <v>7830</v>
      </c>
      <c r="M1786" s="39" t="s">
        <v>7831</v>
      </c>
      <c r="N1786" s="39" t="str">
        <f>("0450009")</f>
        <v>0450009</v>
      </c>
      <c r="P1786" s="39" t="s">
        <v>13246</v>
      </c>
      <c r="Q1786" s="39" t="s">
        <v>8568</v>
      </c>
      <c r="R1786" s="39" t="s">
        <v>8569</v>
      </c>
      <c r="S1786" s="39" t="s">
        <v>8570</v>
      </c>
      <c r="AA1786" s="39" t="s">
        <v>2122</v>
      </c>
      <c r="AB1786" s="39" t="s">
        <v>7830</v>
      </c>
      <c r="AC1786" s="39" t="s">
        <v>7831</v>
      </c>
      <c r="AD1786" s="39" t="str">
        <f>("0129798")</f>
        <v>0129798</v>
      </c>
      <c r="AE1786" s="39" t="s">
        <v>2139</v>
      </c>
      <c r="AK1786" s="39" t="str">
        <f>("2025/07/10")</f>
        <v>2025/07/10</v>
      </c>
      <c r="AL1786" s="39" t="str">
        <f>("2025/07/10")</f>
        <v>2025/07/10</v>
      </c>
    </row>
    <row r="1787" spans="1:39" x14ac:dyDescent="0.25">
      <c r="A1787" s="39" t="str">
        <f>("1509060090")</f>
        <v>1509060090</v>
      </c>
      <c r="C1787" s="39"/>
      <c r="D1787" s="39" t="s">
        <v>9324</v>
      </c>
      <c r="E1787" s="371" t="str">
        <f t="shared" si="148"/>
        <v>やの　ゆい</v>
      </c>
      <c r="F1787" s="39" t="s">
        <v>2574</v>
      </c>
      <c r="G1787" s="39" t="s">
        <v>7828</v>
      </c>
      <c r="H1787" s="39" t="str">
        <f>("2015/09/06")</f>
        <v>2015/09/06</v>
      </c>
      <c r="I1787" s="39">
        <v>4</v>
      </c>
      <c r="J1787" s="39" t="s">
        <v>1478</v>
      </c>
      <c r="K1787" s="39" t="s">
        <v>2122</v>
      </c>
      <c r="L1787" s="39" t="s">
        <v>7830</v>
      </c>
      <c r="M1787" s="39" t="s">
        <v>7831</v>
      </c>
      <c r="N1787" s="39" t="str">
        <f>("0237620")</f>
        <v>0237620</v>
      </c>
      <c r="P1787" s="39" t="s">
        <v>13247</v>
      </c>
      <c r="Q1787" s="39" t="s">
        <v>8568</v>
      </c>
      <c r="R1787" s="39" t="s">
        <v>8569</v>
      </c>
      <c r="S1787" s="39" t="s">
        <v>8570</v>
      </c>
      <c r="AK1787" s="39" t="str">
        <f>("2025/03/17")</f>
        <v>2025/03/17</v>
      </c>
      <c r="AL1787" s="39" t="str">
        <f>("2025/04/01")</f>
        <v>2025/04/01</v>
      </c>
    </row>
    <row r="1788" spans="1:39" x14ac:dyDescent="0.25">
      <c r="A1788" s="39" t="str">
        <f>("1509060093")</f>
        <v>1509060093</v>
      </c>
      <c r="C1788" s="39"/>
      <c r="D1788" s="39" t="s">
        <v>9325</v>
      </c>
      <c r="E1788" s="371" t="str">
        <f t="shared" si="148"/>
        <v>ひろさき　きいち</v>
      </c>
      <c r="F1788" s="39" t="s">
        <v>2648</v>
      </c>
      <c r="G1788" s="39" t="s">
        <v>7828</v>
      </c>
      <c r="H1788" s="39" t="str">
        <f>("2015/09/06")</f>
        <v>2015/09/06</v>
      </c>
      <c r="I1788" s="39">
        <v>4</v>
      </c>
      <c r="J1788" s="39" t="s">
        <v>1478</v>
      </c>
      <c r="K1788" s="39" t="s">
        <v>2122</v>
      </c>
      <c r="L1788" s="39" t="s">
        <v>7830</v>
      </c>
      <c r="M1788" s="39" t="s">
        <v>7831</v>
      </c>
      <c r="N1788" s="39" t="str">
        <f>("1050097")</f>
        <v>1050097</v>
      </c>
      <c r="P1788" s="39" t="s">
        <v>13248</v>
      </c>
      <c r="Q1788" s="39" t="s">
        <v>8568</v>
      </c>
      <c r="R1788" s="39" t="s">
        <v>8569</v>
      </c>
      <c r="S1788" s="39" t="s">
        <v>8570</v>
      </c>
      <c r="AK1788" s="39" t="str">
        <f>("2025/03/25")</f>
        <v>2025/03/25</v>
      </c>
      <c r="AL1788" s="39" t="str">
        <f>("2025/04/01")</f>
        <v>2025/04/01</v>
      </c>
    </row>
    <row r="1789" spans="1:39" x14ac:dyDescent="0.25">
      <c r="A1789" s="39" t="str">
        <f>("1509060131")</f>
        <v>1509060131</v>
      </c>
      <c r="C1789" s="39"/>
      <c r="D1789" s="39" t="s">
        <v>9326</v>
      </c>
      <c r="E1789" s="371" t="str">
        <f t="shared" si="148"/>
        <v>おがわ　きっぺい</v>
      </c>
      <c r="F1789" s="39" t="s">
        <v>838</v>
      </c>
      <c r="G1789" s="39" t="s">
        <v>7828</v>
      </c>
      <c r="H1789" s="39" t="str">
        <f>("2015/09/06")</f>
        <v>2015/09/06</v>
      </c>
      <c r="I1789" s="39">
        <v>4</v>
      </c>
      <c r="J1789" s="39" t="s">
        <v>1478</v>
      </c>
      <c r="K1789" s="39" t="s">
        <v>2122</v>
      </c>
      <c r="L1789" s="39" t="s">
        <v>7830</v>
      </c>
      <c r="M1789" s="39" t="s">
        <v>7831</v>
      </c>
      <c r="N1789" s="39" t="str">
        <f>("0360021")</f>
        <v>0360021</v>
      </c>
      <c r="P1789" s="39" t="s">
        <v>13249</v>
      </c>
      <c r="Q1789" s="39" t="s">
        <v>8568</v>
      </c>
      <c r="R1789" s="39" t="s">
        <v>8569</v>
      </c>
      <c r="S1789" s="39" t="s">
        <v>8570</v>
      </c>
      <c r="AK1789" s="39" t="str">
        <f>("2025/04/10")</f>
        <v>2025/04/10</v>
      </c>
      <c r="AL1789" s="39" t="str">
        <f>("2025/04/10")</f>
        <v>2025/04/10</v>
      </c>
    </row>
    <row r="1790" spans="1:39" x14ac:dyDescent="0.25">
      <c r="A1790" s="39" t="str">
        <f>("1509070038")</f>
        <v>1509070038</v>
      </c>
      <c r="B1790" s="39" t="s">
        <v>9327</v>
      </c>
      <c r="C1790" s="39"/>
      <c r="D1790" s="39" t="s">
        <v>9328</v>
      </c>
      <c r="E1790" s="371" t="str">
        <f t="shared" si="148"/>
        <v>としみつ　しゅり</v>
      </c>
      <c r="F1790" s="39" t="s">
        <v>8050</v>
      </c>
      <c r="G1790" s="39" t="s">
        <v>7828</v>
      </c>
      <c r="H1790" s="39" t="str">
        <f>("2015/09/07")</f>
        <v>2015/09/07</v>
      </c>
      <c r="I1790" s="39">
        <v>4</v>
      </c>
      <c r="J1790" s="39" t="s">
        <v>1478</v>
      </c>
      <c r="K1790" s="39" t="s">
        <v>2122</v>
      </c>
      <c r="L1790" s="39" t="s">
        <v>7830</v>
      </c>
      <c r="M1790" s="39" t="s">
        <v>7831</v>
      </c>
      <c r="N1790" s="39" t="str">
        <f>("0130015")</f>
        <v>0130015</v>
      </c>
      <c r="P1790" s="39" t="s">
        <v>13250</v>
      </c>
      <c r="Q1790" s="39" t="s">
        <v>8568</v>
      </c>
      <c r="R1790" s="39" t="s">
        <v>8569</v>
      </c>
      <c r="S1790" s="39" t="s">
        <v>8570</v>
      </c>
      <c r="AK1790" s="39" t="str">
        <f>("2025/03/17")</f>
        <v>2025/03/17</v>
      </c>
      <c r="AL1790" s="39" t="str">
        <f t="shared" ref="AL1790:AL1795" si="152">("2025/04/01")</f>
        <v>2025/04/01</v>
      </c>
    </row>
    <row r="1791" spans="1:39" x14ac:dyDescent="0.25">
      <c r="A1791" s="39" t="str">
        <f>("1509070106")</f>
        <v>1509070106</v>
      </c>
      <c r="C1791" s="39"/>
      <c r="D1791" s="39" t="s">
        <v>9329</v>
      </c>
      <c r="E1791" s="371" t="str">
        <f t="shared" si="148"/>
        <v>いちはら　ゆらい</v>
      </c>
      <c r="F1791" s="39" t="s">
        <v>2323</v>
      </c>
      <c r="G1791" s="39" t="s">
        <v>7828</v>
      </c>
      <c r="H1791" s="39" t="str">
        <f>("2015/09/07")</f>
        <v>2015/09/07</v>
      </c>
      <c r="I1791" s="39">
        <v>4</v>
      </c>
      <c r="J1791" s="39" t="s">
        <v>1478</v>
      </c>
      <c r="K1791" s="39" t="s">
        <v>2122</v>
      </c>
      <c r="L1791" s="39" t="s">
        <v>7830</v>
      </c>
      <c r="M1791" s="39" t="s">
        <v>7831</v>
      </c>
      <c r="N1791" s="39" t="str">
        <f>("0472722")</f>
        <v>0472722</v>
      </c>
      <c r="P1791" s="39" t="s">
        <v>13251</v>
      </c>
      <c r="Q1791" s="39" t="s">
        <v>8568</v>
      </c>
      <c r="R1791" s="39" t="s">
        <v>8569</v>
      </c>
      <c r="S1791" s="39" t="s">
        <v>8570</v>
      </c>
      <c r="AK1791" s="39" t="str">
        <f>("2025/03/17")</f>
        <v>2025/03/17</v>
      </c>
      <c r="AL1791" s="39" t="str">
        <f t="shared" si="152"/>
        <v>2025/04/01</v>
      </c>
    </row>
    <row r="1792" spans="1:39" x14ac:dyDescent="0.25">
      <c r="A1792" s="39" t="str">
        <f>("1509070140")</f>
        <v>1509070140</v>
      </c>
      <c r="B1792" s="39" t="s">
        <v>9330</v>
      </c>
      <c r="C1792" s="39"/>
      <c r="D1792" s="39" t="s">
        <v>9331</v>
      </c>
      <c r="E1792" s="371" t="str">
        <f t="shared" si="148"/>
        <v>にしもと　ゆうま</v>
      </c>
      <c r="F1792" s="39" t="s">
        <v>1344</v>
      </c>
      <c r="G1792" s="39" t="s">
        <v>7828</v>
      </c>
      <c r="H1792" s="39" t="str">
        <f>("2015/09/07")</f>
        <v>2015/09/07</v>
      </c>
      <c r="I1792" s="39">
        <v>4</v>
      </c>
      <c r="J1792" s="39" t="s">
        <v>1478</v>
      </c>
      <c r="K1792" s="39" t="s">
        <v>2122</v>
      </c>
      <c r="L1792" s="39" t="s">
        <v>7830</v>
      </c>
      <c r="M1792" s="39" t="s">
        <v>7831</v>
      </c>
      <c r="N1792" s="39" t="str">
        <f>("0130587")</f>
        <v>0130587</v>
      </c>
      <c r="P1792" s="39" t="s">
        <v>13252</v>
      </c>
      <c r="Q1792" s="39" t="s">
        <v>8568</v>
      </c>
      <c r="R1792" s="39" t="s">
        <v>8569</v>
      </c>
      <c r="S1792" s="39" t="s">
        <v>8570</v>
      </c>
      <c r="AK1792" s="39" t="str">
        <f>("2025/03/21")</f>
        <v>2025/03/21</v>
      </c>
      <c r="AL1792" s="39" t="str">
        <f t="shared" si="152"/>
        <v>2025/04/01</v>
      </c>
    </row>
    <row r="1793" spans="1:39" x14ac:dyDescent="0.25">
      <c r="A1793" s="39" t="str">
        <f>("1509080138")</f>
        <v>1509080138</v>
      </c>
      <c r="C1793" s="39"/>
      <c r="D1793" s="39" t="s">
        <v>9332</v>
      </c>
      <c r="E1793" s="371" t="str">
        <f t="shared" si="148"/>
        <v>さくらぎ　いちと</v>
      </c>
      <c r="F1793" s="39" t="s">
        <v>2587</v>
      </c>
      <c r="G1793" s="39" t="s">
        <v>7828</v>
      </c>
      <c r="H1793" s="39" t="str">
        <f>("2015/09/08")</f>
        <v>2015/09/08</v>
      </c>
      <c r="I1793" s="39">
        <v>4</v>
      </c>
      <c r="J1793" s="39" t="s">
        <v>1478</v>
      </c>
      <c r="K1793" s="39" t="s">
        <v>2122</v>
      </c>
      <c r="L1793" s="39" t="s">
        <v>7830</v>
      </c>
      <c r="M1793" s="39" t="s">
        <v>7831</v>
      </c>
      <c r="N1793" s="39" t="str">
        <f>("0387334")</f>
        <v>0387334</v>
      </c>
      <c r="P1793" s="39" t="s">
        <v>13253</v>
      </c>
      <c r="Q1793" s="39" t="s">
        <v>8568</v>
      </c>
      <c r="R1793" s="39" t="s">
        <v>8569</v>
      </c>
      <c r="S1793" s="39" t="s">
        <v>8570</v>
      </c>
      <c r="AK1793" s="39" t="str">
        <f>("2025/03/27")</f>
        <v>2025/03/27</v>
      </c>
      <c r="AL1793" s="39" t="str">
        <f t="shared" si="152"/>
        <v>2025/04/01</v>
      </c>
    </row>
    <row r="1794" spans="1:39" x14ac:dyDescent="0.25">
      <c r="A1794" s="39" t="str">
        <f>("1509080146")</f>
        <v>1509080146</v>
      </c>
      <c r="C1794" s="39"/>
      <c r="D1794" s="39" t="s">
        <v>9333</v>
      </c>
      <c r="E1794" s="371" t="str">
        <f t="shared" si="148"/>
        <v>やの　あおと</v>
      </c>
      <c r="F1794" s="39" t="s">
        <v>1082</v>
      </c>
      <c r="G1794" s="39" t="s">
        <v>7828</v>
      </c>
      <c r="H1794" s="39" t="str">
        <f>("2015/09/08")</f>
        <v>2015/09/08</v>
      </c>
      <c r="I1794" s="39">
        <v>4</v>
      </c>
      <c r="J1794" s="39" t="s">
        <v>1478</v>
      </c>
      <c r="K1794" s="39" t="s">
        <v>2122</v>
      </c>
      <c r="L1794" s="39" t="s">
        <v>7830</v>
      </c>
      <c r="M1794" s="39" t="s">
        <v>7831</v>
      </c>
      <c r="N1794" s="39" t="str">
        <f>("0450009")</f>
        <v>0450009</v>
      </c>
      <c r="P1794" s="39" t="s">
        <v>13254</v>
      </c>
      <c r="Q1794" s="39" t="s">
        <v>8568</v>
      </c>
      <c r="R1794" s="39" t="s">
        <v>8569</v>
      </c>
      <c r="S1794" s="39" t="s">
        <v>8570</v>
      </c>
      <c r="AK1794" s="39" t="str">
        <f>("2025/03/17")</f>
        <v>2025/03/17</v>
      </c>
      <c r="AL1794" s="39" t="str">
        <f t="shared" si="152"/>
        <v>2025/04/01</v>
      </c>
    </row>
    <row r="1795" spans="1:39" x14ac:dyDescent="0.25">
      <c r="A1795" s="39" t="str">
        <f>("1509080198")</f>
        <v>1509080198</v>
      </c>
      <c r="C1795" s="39"/>
      <c r="D1795" s="39" t="s">
        <v>9334</v>
      </c>
      <c r="E1795" s="371" t="str">
        <f t="shared" ref="E1795:E1858" si="153">PHONETIC(P1795)</f>
        <v>よしみつ　ゆき</v>
      </c>
      <c r="F1795" s="39" t="s">
        <v>2033</v>
      </c>
      <c r="G1795" s="39" t="s">
        <v>7828</v>
      </c>
      <c r="H1795" s="39" t="str">
        <f>("2015/09/08")</f>
        <v>2015/09/08</v>
      </c>
      <c r="I1795" s="39">
        <v>4</v>
      </c>
      <c r="J1795" s="39" t="s">
        <v>1478</v>
      </c>
      <c r="K1795" s="39" t="s">
        <v>2122</v>
      </c>
      <c r="L1795" s="39" t="s">
        <v>7830</v>
      </c>
      <c r="M1795" s="39" t="s">
        <v>7831</v>
      </c>
      <c r="N1795" s="39" t="str">
        <f>("0130442")</f>
        <v>0130442</v>
      </c>
      <c r="P1795" s="39" t="s">
        <v>13255</v>
      </c>
      <c r="Q1795" s="39" t="s">
        <v>8568</v>
      </c>
      <c r="R1795" s="39" t="s">
        <v>8569</v>
      </c>
      <c r="S1795" s="39" t="s">
        <v>8570</v>
      </c>
      <c r="AK1795" s="39" t="str">
        <f>("2025/04/04")</f>
        <v>2025/04/04</v>
      </c>
      <c r="AL1795" s="39" t="str">
        <f t="shared" si="152"/>
        <v>2025/04/01</v>
      </c>
    </row>
    <row r="1796" spans="1:39" x14ac:dyDescent="0.25">
      <c r="A1796" s="39" t="str">
        <f>("1509080223")</f>
        <v>1509080223</v>
      </c>
      <c r="C1796" s="39"/>
      <c r="D1796" s="39" t="s">
        <v>9335</v>
      </c>
      <c r="E1796" s="371" t="str">
        <f t="shared" si="153"/>
        <v>しおつき　ふうか</v>
      </c>
      <c r="F1796" s="39" t="s">
        <v>2138</v>
      </c>
      <c r="G1796" s="39" t="s">
        <v>7828</v>
      </c>
      <c r="H1796" s="39" t="str">
        <f>("2015/09/08")</f>
        <v>2015/09/08</v>
      </c>
      <c r="I1796" s="39">
        <v>4</v>
      </c>
      <c r="J1796" s="39" t="s">
        <v>1480</v>
      </c>
      <c r="K1796" s="39" t="s">
        <v>2122</v>
      </c>
      <c r="L1796" s="39" t="s">
        <v>7830</v>
      </c>
      <c r="M1796" s="39" t="s">
        <v>7831</v>
      </c>
      <c r="N1796" s="39" t="str">
        <f>("0130082")</f>
        <v>0130082</v>
      </c>
      <c r="P1796" s="39" t="s">
        <v>13256</v>
      </c>
      <c r="Q1796" s="39" t="s">
        <v>8568</v>
      </c>
      <c r="R1796" s="39" t="s">
        <v>8569</v>
      </c>
      <c r="S1796" s="39" t="s">
        <v>8570</v>
      </c>
      <c r="AK1796" s="39" t="str">
        <f>("2025/06/03")</f>
        <v>2025/06/03</v>
      </c>
      <c r="AL1796" s="39" t="str">
        <f>("2025/06/03")</f>
        <v>2025/06/03</v>
      </c>
    </row>
    <row r="1797" spans="1:39" x14ac:dyDescent="0.25">
      <c r="A1797" s="39" t="str">
        <f>("1509090031")</f>
        <v>1509090031</v>
      </c>
      <c r="B1797" s="39" t="s">
        <v>9336</v>
      </c>
      <c r="C1797" s="39"/>
      <c r="D1797" s="39" t="s">
        <v>6278</v>
      </c>
      <c r="E1797" s="371" t="str">
        <f t="shared" si="153"/>
        <v>にしむら　そうま</v>
      </c>
      <c r="F1797" s="39" t="s">
        <v>5620</v>
      </c>
      <c r="G1797" s="39" t="s">
        <v>7876</v>
      </c>
      <c r="H1797" s="39" t="str">
        <f>("2015/09/09")</f>
        <v>2015/09/09</v>
      </c>
      <c r="I1797" s="39">
        <v>4</v>
      </c>
      <c r="J1797" s="39" t="s">
        <v>1478</v>
      </c>
      <c r="K1797" s="39" t="s">
        <v>2122</v>
      </c>
      <c r="L1797" s="39" t="s">
        <v>7830</v>
      </c>
      <c r="M1797" s="39" t="s">
        <v>7831</v>
      </c>
      <c r="N1797" s="39" t="str">
        <f>("1101553")</f>
        <v>1101553</v>
      </c>
      <c r="P1797" s="39" t="s">
        <v>13257</v>
      </c>
      <c r="Q1797" s="39" t="s">
        <v>8568</v>
      </c>
      <c r="R1797" s="39" t="s">
        <v>8569</v>
      </c>
      <c r="S1797" s="39" t="s">
        <v>8570</v>
      </c>
      <c r="AK1797" s="39" t="str">
        <f>("2025/03/19")</f>
        <v>2025/03/19</v>
      </c>
      <c r="AL1797" s="39" t="str">
        <f>("2025/04/01")</f>
        <v>2025/04/01</v>
      </c>
      <c r="AM1797" s="39" t="str">
        <f>("2025/12/01")</f>
        <v>2025/12/01</v>
      </c>
    </row>
    <row r="1798" spans="1:39" x14ac:dyDescent="0.25">
      <c r="A1798" s="39" t="str">
        <f>("1509100172")</f>
        <v>1509100172</v>
      </c>
      <c r="C1798" s="39"/>
      <c r="D1798" s="39" t="s">
        <v>9337</v>
      </c>
      <c r="E1798" s="371" t="str">
        <f t="shared" si="153"/>
        <v>おの　こうた</v>
      </c>
      <c r="F1798" s="39" t="s">
        <v>2137</v>
      </c>
      <c r="G1798" s="39" t="s">
        <v>7828</v>
      </c>
      <c r="H1798" s="39" t="str">
        <f>("2015/09/10")</f>
        <v>2015/09/10</v>
      </c>
      <c r="I1798" s="39">
        <v>4</v>
      </c>
      <c r="J1798" s="39" t="s">
        <v>1478</v>
      </c>
      <c r="K1798" s="39" t="s">
        <v>2122</v>
      </c>
      <c r="L1798" s="39" t="s">
        <v>7830</v>
      </c>
      <c r="M1798" s="39" t="s">
        <v>7831</v>
      </c>
      <c r="N1798" s="39" t="str">
        <f>("0130510")</f>
        <v>0130510</v>
      </c>
      <c r="P1798" s="39" t="s">
        <v>13258</v>
      </c>
      <c r="Q1798" s="39" t="s">
        <v>8568</v>
      </c>
      <c r="R1798" s="39" t="s">
        <v>8569</v>
      </c>
      <c r="S1798" s="39" t="s">
        <v>8570</v>
      </c>
      <c r="AK1798" s="39" t="str">
        <f>("2025/05/16")</f>
        <v>2025/05/16</v>
      </c>
      <c r="AL1798" s="39" t="str">
        <f>("2025/05/16")</f>
        <v>2025/05/16</v>
      </c>
    </row>
    <row r="1799" spans="1:39" x14ac:dyDescent="0.25">
      <c r="A1799" s="39" t="str">
        <f>("1509110135")</f>
        <v>1509110135</v>
      </c>
      <c r="C1799" s="39"/>
      <c r="D1799" s="39" t="s">
        <v>6264</v>
      </c>
      <c r="E1799" s="371" t="str">
        <f t="shared" si="153"/>
        <v>たかだ　あつと</v>
      </c>
      <c r="F1799" s="39" t="s">
        <v>5619</v>
      </c>
      <c r="G1799" s="39" t="s">
        <v>7828</v>
      </c>
      <c r="H1799" s="39" t="str">
        <f>("2015/09/11")</f>
        <v>2015/09/11</v>
      </c>
      <c r="I1799" s="39">
        <v>4</v>
      </c>
      <c r="J1799" s="39" t="s">
        <v>1478</v>
      </c>
      <c r="K1799" s="39" t="s">
        <v>2122</v>
      </c>
      <c r="L1799" s="39" t="s">
        <v>7830</v>
      </c>
      <c r="M1799" s="39" t="s">
        <v>7831</v>
      </c>
      <c r="N1799" s="39" t="str">
        <f>("1089004")</f>
        <v>1089004</v>
      </c>
      <c r="P1799" s="39" t="s">
        <v>13259</v>
      </c>
      <c r="Q1799" s="39" t="s">
        <v>8568</v>
      </c>
      <c r="R1799" s="39" t="s">
        <v>8569</v>
      </c>
      <c r="S1799" s="39" t="s">
        <v>8570</v>
      </c>
      <c r="AA1799" s="39" t="s">
        <v>2122</v>
      </c>
      <c r="AB1799" s="39" t="s">
        <v>7830</v>
      </c>
      <c r="AC1799" s="39" t="s">
        <v>7831</v>
      </c>
      <c r="AD1799" s="39" t="str">
        <f>("0426631")</f>
        <v>0426631</v>
      </c>
      <c r="AE1799" s="39" t="s">
        <v>829</v>
      </c>
      <c r="AK1799" s="39" t="str">
        <f>("2025/03/27")</f>
        <v>2025/03/27</v>
      </c>
      <c r="AL1799" s="39" t="str">
        <f t="shared" ref="AL1799:AL1804" si="154">("2025/04/01")</f>
        <v>2025/04/01</v>
      </c>
    </row>
    <row r="1800" spans="1:39" x14ac:dyDescent="0.25">
      <c r="A1800" s="39" t="str">
        <f>("1509130070")</f>
        <v>1509130070</v>
      </c>
      <c r="C1800" s="39"/>
      <c r="D1800" s="39" t="s">
        <v>9338</v>
      </c>
      <c r="E1800" s="371" t="str">
        <f t="shared" si="153"/>
        <v>なかしま　かい</v>
      </c>
      <c r="F1800" s="39" t="s">
        <v>3867</v>
      </c>
      <c r="G1800" s="39" t="s">
        <v>7828</v>
      </c>
      <c r="H1800" s="39" t="str">
        <f>("2015/09/13")</f>
        <v>2015/09/13</v>
      </c>
      <c r="I1800" s="39">
        <v>4</v>
      </c>
      <c r="J1800" s="39" t="s">
        <v>1478</v>
      </c>
      <c r="K1800" s="39" t="s">
        <v>2122</v>
      </c>
      <c r="L1800" s="39" t="s">
        <v>7830</v>
      </c>
      <c r="M1800" s="39" t="s">
        <v>7831</v>
      </c>
      <c r="N1800" s="39" t="str">
        <f>("0129990")</f>
        <v>0129990</v>
      </c>
      <c r="P1800" s="39" t="s">
        <v>13260</v>
      </c>
      <c r="Q1800" s="39" t="s">
        <v>8568</v>
      </c>
      <c r="R1800" s="39" t="s">
        <v>8569</v>
      </c>
      <c r="S1800" s="39" t="s">
        <v>8570</v>
      </c>
      <c r="AK1800" s="39" t="str">
        <f>("2025/04/01")</f>
        <v>2025/04/01</v>
      </c>
      <c r="AL1800" s="39" t="str">
        <f t="shared" si="154"/>
        <v>2025/04/01</v>
      </c>
    </row>
    <row r="1801" spans="1:39" x14ac:dyDescent="0.25">
      <c r="A1801" s="39" t="str">
        <f>("1509140176")</f>
        <v>1509140176</v>
      </c>
      <c r="C1801" s="39"/>
      <c r="D1801" s="39" t="s">
        <v>9339</v>
      </c>
      <c r="E1801" s="371" t="str">
        <f t="shared" si="153"/>
        <v>かい　ときちか</v>
      </c>
      <c r="F1801" s="39" t="s">
        <v>7843</v>
      </c>
      <c r="G1801" s="39" t="s">
        <v>7828</v>
      </c>
      <c r="H1801" s="39" t="str">
        <f>("2015/09/14")</f>
        <v>2015/09/14</v>
      </c>
      <c r="I1801" s="39">
        <v>4</v>
      </c>
      <c r="J1801" s="39" t="s">
        <v>1478</v>
      </c>
      <c r="K1801" s="39" t="s">
        <v>2122</v>
      </c>
      <c r="L1801" s="39" t="s">
        <v>7830</v>
      </c>
      <c r="M1801" s="39" t="s">
        <v>7831</v>
      </c>
      <c r="N1801" s="39" t="str">
        <f>("1117332")</f>
        <v>1117332</v>
      </c>
      <c r="P1801" s="39" t="s">
        <v>13261</v>
      </c>
      <c r="Q1801" s="39" t="s">
        <v>8568</v>
      </c>
      <c r="R1801" s="39" t="s">
        <v>8569</v>
      </c>
      <c r="S1801" s="39" t="s">
        <v>8570</v>
      </c>
      <c r="AK1801" s="39" t="str">
        <f>("2025/03/21")</f>
        <v>2025/03/21</v>
      </c>
      <c r="AL1801" s="39" t="str">
        <f t="shared" si="154"/>
        <v>2025/04/01</v>
      </c>
      <c r="AM1801" s="39" t="str">
        <f>("2025/10/14")</f>
        <v>2025/10/14</v>
      </c>
    </row>
    <row r="1802" spans="1:39" x14ac:dyDescent="0.25">
      <c r="A1802" s="39" t="str">
        <f>("1509150145")</f>
        <v>1509150145</v>
      </c>
      <c r="C1802" s="39"/>
      <c r="D1802" s="39" t="s">
        <v>9340</v>
      </c>
      <c r="E1802" s="371" t="str">
        <f t="shared" si="153"/>
        <v>さとう　はやと</v>
      </c>
      <c r="F1802" s="39" t="s">
        <v>2530</v>
      </c>
      <c r="G1802" s="39" t="s">
        <v>7828</v>
      </c>
      <c r="H1802" s="39" t="str">
        <f>("2015/09/15")</f>
        <v>2015/09/15</v>
      </c>
      <c r="I1802" s="39">
        <v>4</v>
      </c>
      <c r="J1802" s="39" t="s">
        <v>1478</v>
      </c>
      <c r="K1802" s="39" t="s">
        <v>2122</v>
      </c>
      <c r="L1802" s="39" t="s">
        <v>7830</v>
      </c>
      <c r="M1802" s="39" t="s">
        <v>7831</v>
      </c>
      <c r="N1802" s="39" t="str">
        <f>("0338756")</f>
        <v>0338756</v>
      </c>
      <c r="P1802" s="39" t="s">
        <v>13262</v>
      </c>
      <c r="Q1802" s="39" t="s">
        <v>8568</v>
      </c>
      <c r="R1802" s="39" t="s">
        <v>8569</v>
      </c>
      <c r="S1802" s="39" t="s">
        <v>8570</v>
      </c>
      <c r="AK1802" s="39" t="str">
        <f>("2025/04/01")</f>
        <v>2025/04/01</v>
      </c>
      <c r="AL1802" s="39" t="str">
        <f t="shared" si="154"/>
        <v>2025/04/01</v>
      </c>
      <c r="AM1802" s="39" t="str">
        <f>("2025/04/10")</f>
        <v>2025/04/10</v>
      </c>
    </row>
    <row r="1803" spans="1:39" x14ac:dyDescent="0.25">
      <c r="A1803" s="39" t="str">
        <f>("1509150146")</f>
        <v>1509150146</v>
      </c>
      <c r="B1803" s="39" t="s">
        <v>9341</v>
      </c>
      <c r="C1803" s="39"/>
      <c r="D1803" s="39" t="s">
        <v>9342</v>
      </c>
      <c r="E1803" s="371" t="str">
        <f t="shared" si="153"/>
        <v>いわた　たくみ</v>
      </c>
      <c r="F1803" s="39" t="s">
        <v>2594</v>
      </c>
      <c r="G1803" s="39" t="s">
        <v>7828</v>
      </c>
      <c r="H1803" s="39" t="str">
        <f>("2015/09/15")</f>
        <v>2015/09/15</v>
      </c>
      <c r="I1803" s="39">
        <v>4</v>
      </c>
      <c r="J1803" s="39" t="s">
        <v>1478</v>
      </c>
      <c r="K1803" s="39" t="s">
        <v>2122</v>
      </c>
      <c r="L1803" s="39" t="s">
        <v>7830</v>
      </c>
      <c r="M1803" s="39" t="s">
        <v>7831</v>
      </c>
      <c r="N1803" s="39" t="str">
        <f>("0424583")</f>
        <v>0424583</v>
      </c>
      <c r="P1803" s="39" t="s">
        <v>13263</v>
      </c>
      <c r="Q1803" s="39" t="s">
        <v>8568</v>
      </c>
      <c r="R1803" s="39" t="s">
        <v>8569</v>
      </c>
      <c r="S1803" s="39" t="s">
        <v>8570</v>
      </c>
      <c r="AK1803" s="39" t="str">
        <f>("2025/03/17")</f>
        <v>2025/03/17</v>
      </c>
      <c r="AL1803" s="39" t="str">
        <f t="shared" si="154"/>
        <v>2025/04/01</v>
      </c>
    </row>
    <row r="1804" spans="1:39" x14ac:dyDescent="0.25">
      <c r="A1804" s="39" t="str">
        <f>("1509150189")</f>
        <v>1509150189</v>
      </c>
      <c r="B1804" s="39" t="s">
        <v>9343</v>
      </c>
      <c r="C1804" s="39"/>
      <c r="D1804" s="39" t="s">
        <v>9344</v>
      </c>
      <c r="E1804" s="371" t="str">
        <f t="shared" si="153"/>
        <v>きたむら　そうた</v>
      </c>
      <c r="F1804" s="39" t="s">
        <v>1344</v>
      </c>
      <c r="G1804" s="39" t="s">
        <v>7828</v>
      </c>
      <c r="H1804" s="39" t="str">
        <f>("2015/09/15")</f>
        <v>2015/09/15</v>
      </c>
      <c r="I1804" s="39">
        <v>4</v>
      </c>
      <c r="J1804" s="39" t="s">
        <v>1478</v>
      </c>
      <c r="K1804" s="39" t="s">
        <v>2122</v>
      </c>
      <c r="L1804" s="39" t="s">
        <v>7830</v>
      </c>
      <c r="M1804" s="39" t="s">
        <v>7831</v>
      </c>
      <c r="N1804" s="39" t="str">
        <f>("0130587")</f>
        <v>0130587</v>
      </c>
      <c r="P1804" s="39" t="s">
        <v>13264</v>
      </c>
      <c r="Q1804" s="39" t="s">
        <v>8568</v>
      </c>
      <c r="R1804" s="39" t="s">
        <v>8569</v>
      </c>
      <c r="S1804" s="39" t="s">
        <v>8570</v>
      </c>
      <c r="AK1804" s="39" t="str">
        <f>("2025/03/21")</f>
        <v>2025/03/21</v>
      </c>
      <c r="AL1804" s="39" t="str">
        <f t="shared" si="154"/>
        <v>2025/04/01</v>
      </c>
    </row>
    <row r="1805" spans="1:39" x14ac:dyDescent="0.25">
      <c r="A1805" s="39" t="str">
        <f>("1509150228")</f>
        <v>1509150228</v>
      </c>
      <c r="C1805" s="39"/>
      <c r="D1805" s="39" t="s">
        <v>9345</v>
      </c>
      <c r="E1805" s="371" t="str">
        <f t="shared" si="153"/>
        <v>かわの　はると</v>
      </c>
      <c r="F1805" s="39" t="s">
        <v>2587</v>
      </c>
      <c r="G1805" s="39" t="s">
        <v>7828</v>
      </c>
      <c r="H1805" s="39" t="str">
        <f>("2015/09/15")</f>
        <v>2015/09/15</v>
      </c>
      <c r="I1805" s="39">
        <v>4</v>
      </c>
      <c r="J1805" s="39" t="s">
        <v>1478</v>
      </c>
      <c r="K1805" s="39" t="s">
        <v>2122</v>
      </c>
      <c r="L1805" s="39" t="s">
        <v>7830</v>
      </c>
      <c r="M1805" s="39" t="s">
        <v>7831</v>
      </c>
      <c r="N1805" s="39" t="str">
        <f>("0387334")</f>
        <v>0387334</v>
      </c>
      <c r="P1805" s="39" t="s">
        <v>13265</v>
      </c>
      <c r="Q1805" s="39" t="s">
        <v>8568</v>
      </c>
      <c r="R1805" s="39" t="s">
        <v>8569</v>
      </c>
      <c r="S1805" s="39" t="s">
        <v>8570</v>
      </c>
      <c r="AK1805" s="39" t="str">
        <f>("2025/07/17")</f>
        <v>2025/07/17</v>
      </c>
      <c r="AL1805" s="39" t="str">
        <f>("2025/07/17")</f>
        <v>2025/07/17</v>
      </c>
    </row>
    <row r="1806" spans="1:39" x14ac:dyDescent="0.25">
      <c r="A1806" s="39" t="str">
        <f>("1509160118")</f>
        <v>1509160118</v>
      </c>
      <c r="C1806" s="39"/>
      <c r="D1806" s="39" t="s">
        <v>9346</v>
      </c>
      <c r="E1806" s="371" t="str">
        <f t="shared" si="153"/>
        <v>いしはら　はるま</v>
      </c>
      <c r="F1806" s="39" t="s">
        <v>2619</v>
      </c>
      <c r="G1806" s="39" t="s">
        <v>7828</v>
      </c>
      <c r="H1806" s="39" t="str">
        <f>("2015/09/16")</f>
        <v>2015/09/16</v>
      </c>
      <c r="I1806" s="39">
        <v>4</v>
      </c>
      <c r="J1806" s="39" t="s">
        <v>1478</v>
      </c>
      <c r="K1806" s="39" t="s">
        <v>2122</v>
      </c>
      <c r="L1806" s="39" t="s">
        <v>7830</v>
      </c>
      <c r="M1806" s="39" t="s">
        <v>7831</v>
      </c>
      <c r="N1806" s="39" t="str">
        <f>("0472823")</f>
        <v>0472823</v>
      </c>
      <c r="P1806" s="39" t="s">
        <v>13266</v>
      </c>
      <c r="Q1806" s="39" t="s">
        <v>8568</v>
      </c>
      <c r="R1806" s="39" t="s">
        <v>8569</v>
      </c>
      <c r="S1806" s="39" t="s">
        <v>8570</v>
      </c>
      <c r="AK1806" s="39" t="str">
        <f>("2025/03/17")</f>
        <v>2025/03/17</v>
      </c>
      <c r="AL1806" s="39" t="str">
        <f>("2025/04/01")</f>
        <v>2025/04/01</v>
      </c>
    </row>
    <row r="1807" spans="1:39" x14ac:dyDescent="0.25">
      <c r="A1807" s="39" t="str">
        <f>("1509160222")</f>
        <v>1509160222</v>
      </c>
      <c r="C1807" s="39"/>
      <c r="D1807" s="39" t="s">
        <v>9347</v>
      </c>
      <c r="E1807" s="371" t="str">
        <f t="shared" si="153"/>
        <v>おおつ　ゆいと</v>
      </c>
      <c r="F1807" s="39" t="s">
        <v>2619</v>
      </c>
      <c r="G1807" s="39" t="s">
        <v>7828</v>
      </c>
      <c r="H1807" s="39" t="str">
        <f>("2015/09/16")</f>
        <v>2015/09/16</v>
      </c>
      <c r="I1807" s="39">
        <v>4</v>
      </c>
      <c r="J1807" s="39" t="s">
        <v>1478</v>
      </c>
      <c r="K1807" s="39" t="s">
        <v>2122</v>
      </c>
      <c r="L1807" s="39" t="s">
        <v>7830</v>
      </c>
      <c r="M1807" s="39" t="s">
        <v>7831</v>
      </c>
      <c r="N1807" s="39" t="str">
        <f>("0472823")</f>
        <v>0472823</v>
      </c>
      <c r="P1807" s="39" t="s">
        <v>13267</v>
      </c>
      <c r="Q1807" s="39" t="s">
        <v>8568</v>
      </c>
      <c r="R1807" s="39" t="s">
        <v>8569</v>
      </c>
      <c r="S1807" s="39" t="s">
        <v>8570</v>
      </c>
      <c r="AK1807" s="39" t="str">
        <f>("2025/07/30")</f>
        <v>2025/07/30</v>
      </c>
      <c r="AL1807" s="39" t="str">
        <f>("2025/07/30")</f>
        <v>2025/07/30</v>
      </c>
    </row>
    <row r="1808" spans="1:39" x14ac:dyDescent="0.25">
      <c r="A1808" s="39" t="str">
        <f>("1509170158")</f>
        <v>1509170158</v>
      </c>
      <c r="C1808" s="39"/>
      <c r="D1808" s="39" t="s">
        <v>9348</v>
      </c>
      <c r="E1808" s="371" t="str">
        <f t="shared" si="153"/>
        <v>やまさき　ゆうと</v>
      </c>
      <c r="F1808" s="39" t="s">
        <v>3866</v>
      </c>
      <c r="G1808" s="39" t="s">
        <v>7828</v>
      </c>
      <c r="H1808" s="39" t="str">
        <f>("2015/09/17")</f>
        <v>2015/09/17</v>
      </c>
      <c r="I1808" s="39">
        <v>4</v>
      </c>
      <c r="J1808" s="39" t="s">
        <v>1478</v>
      </c>
      <c r="K1808" s="39" t="s">
        <v>2122</v>
      </c>
      <c r="L1808" s="39" t="s">
        <v>7830</v>
      </c>
      <c r="M1808" s="39" t="s">
        <v>7831</v>
      </c>
      <c r="N1808" s="39" t="str">
        <f>("0129675")</f>
        <v>0129675</v>
      </c>
      <c r="P1808" s="39" t="s">
        <v>13268</v>
      </c>
      <c r="Q1808" s="39" t="s">
        <v>8568</v>
      </c>
      <c r="R1808" s="39" t="s">
        <v>8569</v>
      </c>
      <c r="S1808" s="39" t="s">
        <v>8570</v>
      </c>
      <c r="AK1808" s="39" t="str">
        <f>("2025/04/01")</f>
        <v>2025/04/01</v>
      </c>
      <c r="AL1808" s="39" t="str">
        <f>("2025/04/01")</f>
        <v>2025/04/01</v>
      </c>
    </row>
    <row r="1809" spans="1:38" x14ac:dyDescent="0.25">
      <c r="A1809" s="39" t="str">
        <f>("1509180126")</f>
        <v>1509180126</v>
      </c>
      <c r="C1809" s="39"/>
      <c r="D1809" s="39" t="s">
        <v>9349</v>
      </c>
      <c r="E1809" s="371" t="str">
        <f t="shared" si="153"/>
        <v>あべ　こうき</v>
      </c>
      <c r="F1809" s="39" t="s">
        <v>2587</v>
      </c>
      <c r="G1809" s="39" t="s">
        <v>7828</v>
      </c>
      <c r="H1809" s="39" t="str">
        <f>("2015/09/18")</f>
        <v>2015/09/18</v>
      </c>
      <c r="I1809" s="39">
        <v>4</v>
      </c>
      <c r="J1809" s="39" t="s">
        <v>1478</v>
      </c>
      <c r="K1809" s="39" t="s">
        <v>2122</v>
      </c>
      <c r="L1809" s="39" t="s">
        <v>7830</v>
      </c>
      <c r="M1809" s="39" t="s">
        <v>7831</v>
      </c>
      <c r="N1809" s="39" t="str">
        <f>("0387334")</f>
        <v>0387334</v>
      </c>
      <c r="P1809" s="39" t="s">
        <v>13269</v>
      </c>
      <c r="Q1809" s="39" t="s">
        <v>8568</v>
      </c>
      <c r="R1809" s="39" t="s">
        <v>8569</v>
      </c>
      <c r="S1809" s="39" t="s">
        <v>8570</v>
      </c>
      <c r="AK1809" s="39" t="str">
        <f>("2025/03/27")</f>
        <v>2025/03/27</v>
      </c>
      <c r="AL1809" s="39" t="str">
        <f>("2025/04/01")</f>
        <v>2025/04/01</v>
      </c>
    </row>
    <row r="1810" spans="1:38" x14ac:dyDescent="0.25">
      <c r="A1810" s="39" t="str">
        <f>("1509180223")</f>
        <v>1509180223</v>
      </c>
      <c r="C1810" s="39"/>
      <c r="D1810" s="39" t="s">
        <v>9350</v>
      </c>
      <c r="E1810" s="371" t="str">
        <f t="shared" si="153"/>
        <v>てらしま　えいた</v>
      </c>
      <c r="F1810" s="39" t="s">
        <v>2619</v>
      </c>
      <c r="G1810" s="39" t="s">
        <v>7828</v>
      </c>
      <c r="H1810" s="39" t="str">
        <f>("2015/09/18")</f>
        <v>2015/09/18</v>
      </c>
      <c r="I1810" s="39">
        <v>4</v>
      </c>
      <c r="J1810" s="39" t="s">
        <v>1478</v>
      </c>
      <c r="K1810" s="39" t="s">
        <v>2122</v>
      </c>
      <c r="L1810" s="39" t="s">
        <v>7830</v>
      </c>
      <c r="M1810" s="39" t="s">
        <v>7831</v>
      </c>
      <c r="N1810" s="39" t="str">
        <f>("0472823")</f>
        <v>0472823</v>
      </c>
      <c r="P1810" s="39" t="s">
        <v>13270</v>
      </c>
      <c r="Q1810" s="39" t="s">
        <v>8568</v>
      </c>
      <c r="R1810" s="39" t="s">
        <v>8569</v>
      </c>
      <c r="S1810" s="39" t="s">
        <v>8570</v>
      </c>
      <c r="AK1810" s="39" t="str">
        <f>("2025/07/30")</f>
        <v>2025/07/30</v>
      </c>
      <c r="AL1810" s="39" t="str">
        <f>("2025/07/30")</f>
        <v>2025/07/30</v>
      </c>
    </row>
    <row r="1811" spans="1:38" x14ac:dyDescent="0.25">
      <c r="A1811" s="39" t="str">
        <f>("1509190057")</f>
        <v>1509190057</v>
      </c>
      <c r="C1811" s="39"/>
      <c r="D1811" s="39" t="s">
        <v>9351</v>
      </c>
      <c r="E1811" s="371" t="str">
        <f t="shared" si="153"/>
        <v>かたぎり　とうは</v>
      </c>
      <c r="F1811" s="39" t="s">
        <v>2587</v>
      </c>
      <c r="G1811" s="39" t="s">
        <v>7828</v>
      </c>
      <c r="H1811" s="39" t="str">
        <f>("2015/09/19")</f>
        <v>2015/09/19</v>
      </c>
      <c r="I1811" s="39">
        <v>4</v>
      </c>
      <c r="J1811" s="39" t="s">
        <v>1478</v>
      </c>
      <c r="K1811" s="39" t="s">
        <v>2122</v>
      </c>
      <c r="L1811" s="39" t="s">
        <v>7830</v>
      </c>
      <c r="M1811" s="39" t="s">
        <v>7831</v>
      </c>
      <c r="N1811" s="39" t="str">
        <f>("0387334")</f>
        <v>0387334</v>
      </c>
      <c r="P1811" s="39" t="s">
        <v>13271</v>
      </c>
      <c r="Q1811" s="39" t="s">
        <v>8568</v>
      </c>
      <c r="R1811" s="39" t="s">
        <v>8569</v>
      </c>
      <c r="S1811" s="39" t="s">
        <v>8570</v>
      </c>
      <c r="AA1811" s="39" t="s">
        <v>2122</v>
      </c>
      <c r="AB1811" s="39" t="s">
        <v>7830</v>
      </c>
      <c r="AC1811" s="39" t="s">
        <v>7831</v>
      </c>
      <c r="AD1811" s="39" t="str">
        <f>("0130475")</f>
        <v>0130475</v>
      </c>
      <c r="AE1811" s="39" t="s">
        <v>2024</v>
      </c>
      <c r="AK1811" s="39" t="str">
        <f>("2025/04/10")</f>
        <v>2025/04/10</v>
      </c>
      <c r="AL1811" s="39" t="str">
        <f>("2025/04/10")</f>
        <v>2025/04/10</v>
      </c>
    </row>
    <row r="1812" spans="1:38" x14ac:dyDescent="0.25">
      <c r="A1812" s="39" t="str">
        <f>("1509190145")</f>
        <v>1509190145</v>
      </c>
      <c r="C1812" s="39"/>
      <c r="D1812" s="39" t="s">
        <v>9352</v>
      </c>
      <c r="E1812" s="371" t="str">
        <f t="shared" si="153"/>
        <v>たつかわ　みな</v>
      </c>
      <c r="F1812" s="39" t="s">
        <v>2573</v>
      </c>
      <c r="G1812" s="39" t="s">
        <v>7828</v>
      </c>
      <c r="H1812" s="39" t="str">
        <f>("2015/09/19")</f>
        <v>2015/09/19</v>
      </c>
      <c r="I1812" s="39">
        <v>4</v>
      </c>
      <c r="J1812" s="39" t="s">
        <v>1480</v>
      </c>
      <c r="K1812" s="39" t="s">
        <v>2122</v>
      </c>
      <c r="L1812" s="39" t="s">
        <v>7830</v>
      </c>
      <c r="M1812" s="39" t="s">
        <v>7831</v>
      </c>
      <c r="N1812" s="39" t="str">
        <f>("0230982")</f>
        <v>0230982</v>
      </c>
      <c r="P1812" s="39" t="s">
        <v>13272</v>
      </c>
      <c r="Q1812" s="39" t="s">
        <v>8568</v>
      </c>
      <c r="R1812" s="39" t="s">
        <v>8569</v>
      </c>
      <c r="S1812" s="39" t="s">
        <v>8570</v>
      </c>
      <c r="AK1812" s="39" t="str">
        <f>("2025/03/17")</f>
        <v>2025/03/17</v>
      </c>
      <c r="AL1812" s="39" t="str">
        <f t="shared" ref="AL1812:AL1818" si="155">("2025/04/01")</f>
        <v>2025/04/01</v>
      </c>
    </row>
    <row r="1813" spans="1:38" x14ac:dyDescent="0.25">
      <c r="A1813" s="39" t="str">
        <f>("1509210042")</f>
        <v>1509210042</v>
      </c>
      <c r="C1813" s="39"/>
      <c r="D1813" s="39" t="s">
        <v>5692</v>
      </c>
      <c r="E1813" s="371" t="str">
        <f t="shared" si="153"/>
        <v>こうの　れお</v>
      </c>
      <c r="F1813" s="39" t="s">
        <v>334</v>
      </c>
      <c r="G1813" s="39" t="s">
        <v>7828</v>
      </c>
      <c r="H1813" s="39" t="str">
        <f>("2015/09/21")</f>
        <v>2015/09/21</v>
      </c>
      <c r="I1813" s="39">
        <v>4</v>
      </c>
      <c r="J1813" s="39" t="s">
        <v>1478</v>
      </c>
      <c r="K1813" s="39" t="s">
        <v>2122</v>
      </c>
      <c r="L1813" s="39" t="s">
        <v>7830</v>
      </c>
      <c r="M1813" s="39" t="s">
        <v>7831</v>
      </c>
      <c r="N1813" s="39" t="str">
        <f>("0129664")</f>
        <v>0129664</v>
      </c>
      <c r="P1813" s="39" t="s">
        <v>13273</v>
      </c>
      <c r="Q1813" s="39" t="s">
        <v>8568</v>
      </c>
      <c r="R1813" s="39" t="s">
        <v>8569</v>
      </c>
      <c r="S1813" s="39" t="s">
        <v>8570</v>
      </c>
      <c r="AK1813" s="39" t="str">
        <f>("2025/03/17")</f>
        <v>2025/03/17</v>
      </c>
      <c r="AL1813" s="39" t="str">
        <f t="shared" si="155"/>
        <v>2025/04/01</v>
      </c>
    </row>
    <row r="1814" spans="1:38" x14ac:dyDescent="0.25">
      <c r="A1814" s="39" t="str">
        <f>("1509210146")</f>
        <v>1509210146</v>
      </c>
      <c r="C1814" s="39"/>
      <c r="D1814" s="39" t="s">
        <v>9353</v>
      </c>
      <c r="E1814" s="371" t="str">
        <f t="shared" si="153"/>
        <v>しゅとう　りゅうせい</v>
      </c>
      <c r="F1814" s="39" t="s">
        <v>829</v>
      </c>
      <c r="G1814" s="39" t="s">
        <v>7828</v>
      </c>
      <c r="H1814" s="39" t="str">
        <f>("2015/09/21")</f>
        <v>2015/09/21</v>
      </c>
      <c r="I1814" s="39">
        <v>4</v>
      </c>
      <c r="J1814" s="39" t="s">
        <v>1478</v>
      </c>
      <c r="K1814" s="39" t="s">
        <v>2122</v>
      </c>
      <c r="L1814" s="39" t="s">
        <v>7830</v>
      </c>
      <c r="M1814" s="39" t="s">
        <v>7831</v>
      </c>
      <c r="N1814" s="39" t="str">
        <f>("0426631")</f>
        <v>0426631</v>
      </c>
      <c r="P1814" s="39" t="s">
        <v>13274</v>
      </c>
      <c r="Q1814" s="39" t="s">
        <v>8568</v>
      </c>
      <c r="R1814" s="39" t="s">
        <v>8569</v>
      </c>
      <c r="S1814" s="39" t="s">
        <v>8570</v>
      </c>
      <c r="AK1814" s="39" t="str">
        <f>("2025/03/21")</f>
        <v>2025/03/21</v>
      </c>
      <c r="AL1814" s="39" t="str">
        <f t="shared" si="155"/>
        <v>2025/04/01</v>
      </c>
    </row>
    <row r="1815" spans="1:38" x14ac:dyDescent="0.25">
      <c r="A1815" s="39" t="str">
        <f>("1509220007")</f>
        <v>1509220007</v>
      </c>
      <c r="C1815" s="39"/>
      <c r="D1815" s="39" t="s">
        <v>9354</v>
      </c>
      <c r="E1815" s="371" t="str">
        <f t="shared" si="153"/>
        <v>ちはら　たくむ</v>
      </c>
      <c r="F1815" s="39" t="s">
        <v>2878</v>
      </c>
      <c r="G1815" s="39" t="s">
        <v>7828</v>
      </c>
      <c r="H1815" s="39" t="str">
        <f>("2015/09/22")</f>
        <v>2015/09/22</v>
      </c>
      <c r="I1815" s="39">
        <v>4</v>
      </c>
      <c r="J1815" s="39" t="s">
        <v>1478</v>
      </c>
      <c r="K1815" s="39" t="s">
        <v>2122</v>
      </c>
      <c r="L1815" s="39" t="s">
        <v>7830</v>
      </c>
      <c r="M1815" s="39" t="s">
        <v>7831</v>
      </c>
      <c r="N1815" s="39" t="str">
        <f>("0129484")</f>
        <v>0129484</v>
      </c>
      <c r="P1815" s="39" t="s">
        <v>13275</v>
      </c>
      <c r="Q1815" s="39" t="s">
        <v>8568</v>
      </c>
      <c r="R1815" s="39" t="s">
        <v>8569</v>
      </c>
      <c r="S1815" s="39" t="s">
        <v>8570</v>
      </c>
      <c r="AK1815" s="39" t="str">
        <f>("2025/03/17")</f>
        <v>2025/03/17</v>
      </c>
      <c r="AL1815" s="39" t="str">
        <f t="shared" si="155"/>
        <v>2025/04/01</v>
      </c>
    </row>
    <row r="1816" spans="1:38" x14ac:dyDescent="0.25">
      <c r="A1816" s="39" t="str">
        <f>("1509220020")</f>
        <v>1509220020</v>
      </c>
      <c r="C1816" s="39"/>
      <c r="D1816" s="39" t="s">
        <v>9355</v>
      </c>
      <c r="E1816" s="371" t="str">
        <f t="shared" si="153"/>
        <v>さとう　そうた</v>
      </c>
      <c r="F1816" s="39" t="s">
        <v>2575</v>
      </c>
      <c r="G1816" s="39" t="s">
        <v>7828</v>
      </c>
      <c r="H1816" s="39" t="str">
        <f>("2015/09/22")</f>
        <v>2015/09/22</v>
      </c>
      <c r="I1816" s="39">
        <v>4</v>
      </c>
      <c r="J1816" s="39" t="s">
        <v>1478</v>
      </c>
      <c r="K1816" s="39" t="s">
        <v>2122</v>
      </c>
      <c r="L1816" s="39" t="s">
        <v>7830</v>
      </c>
      <c r="M1816" s="39" t="s">
        <v>7831</v>
      </c>
      <c r="N1816" s="39" t="str">
        <f>("0303040")</f>
        <v>0303040</v>
      </c>
      <c r="P1816" s="39" t="s">
        <v>13276</v>
      </c>
      <c r="Q1816" s="39" t="s">
        <v>8568</v>
      </c>
      <c r="R1816" s="39" t="s">
        <v>8569</v>
      </c>
      <c r="S1816" s="39" t="s">
        <v>8570</v>
      </c>
      <c r="AK1816" s="39" t="str">
        <f>("2025/03/17")</f>
        <v>2025/03/17</v>
      </c>
      <c r="AL1816" s="39" t="str">
        <f t="shared" si="155"/>
        <v>2025/04/01</v>
      </c>
    </row>
    <row r="1817" spans="1:38" x14ac:dyDescent="0.25">
      <c r="A1817" s="39" t="str">
        <f>("1509220138")</f>
        <v>1509220138</v>
      </c>
      <c r="C1817" s="39"/>
      <c r="D1817" s="39" t="s">
        <v>9356</v>
      </c>
      <c r="E1817" s="371" t="str">
        <f t="shared" si="153"/>
        <v>ふくなが　そうたろう</v>
      </c>
      <c r="F1817" s="39" t="s">
        <v>520</v>
      </c>
      <c r="G1817" s="39" t="s">
        <v>7828</v>
      </c>
      <c r="H1817" s="39" t="str">
        <f>("2015/09/22")</f>
        <v>2015/09/22</v>
      </c>
      <c r="I1817" s="39">
        <v>4</v>
      </c>
      <c r="J1817" s="39" t="s">
        <v>1478</v>
      </c>
      <c r="K1817" s="39" t="s">
        <v>2122</v>
      </c>
      <c r="L1817" s="39" t="s">
        <v>7830</v>
      </c>
      <c r="M1817" s="39" t="s">
        <v>7831</v>
      </c>
      <c r="N1817" s="39" t="str">
        <f>("0129765")</f>
        <v>0129765</v>
      </c>
      <c r="P1817" s="39" t="s">
        <v>13277</v>
      </c>
      <c r="Q1817" s="39" t="s">
        <v>8568</v>
      </c>
      <c r="R1817" s="39" t="s">
        <v>8569</v>
      </c>
      <c r="S1817" s="39" t="s">
        <v>8570</v>
      </c>
      <c r="AK1817" s="39" t="str">
        <f>("2025/03/25")</f>
        <v>2025/03/25</v>
      </c>
      <c r="AL1817" s="39" t="str">
        <f t="shared" si="155"/>
        <v>2025/04/01</v>
      </c>
    </row>
    <row r="1818" spans="1:38" x14ac:dyDescent="0.25">
      <c r="A1818" s="39" t="str">
        <f>("1509230140")</f>
        <v>1509230140</v>
      </c>
      <c r="C1818" s="39"/>
      <c r="D1818" s="39" t="s">
        <v>9357</v>
      </c>
      <c r="E1818" s="371" t="str">
        <f t="shared" si="153"/>
        <v>いしかわ　あさひ</v>
      </c>
      <c r="F1818" s="39" t="s">
        <v>2557</v>
      </c>
      <c r="G1818" s="39" t="s">
        <v>7828</v>
      </c>
      <c r="H1818" s="39" t="str">
        <f>("2015/09/23")</f>
        <v>2015/09/23</v>
      </c>
      <c r="I1818" s="39">
        <v>4</v>
      </c>
      <c r="J1818" s="39" t="s">
        <v>1478</v>
      </c>
      <c r="K1818" s="39" t="s">
        <v>2122</v>
      </c>
      <c r="L1818" s="39" t="s">
        <v>7830</v>
      </c>
      <c r="M1818" s="39" t="s">
        <v>7831</v>
      </c>
      <c r="N1818" s="39" t="str">
        <f>("0130723")</f>
        <v>0130723</v>
      </c>
      <c r="P1818" s="39" t="s">
        <v>13278</v>
      </c>
      <c r="Q1818" s="39" t="s">
        <v>8568</v>
      </c>
      <c r="R1818" s="39" t="s">
        <v>8569</v>
      </c>
      <c r="S1818" s="39" t="s">
        <v>8570</v>
      </c>
      <c r="AK1818" s="39" t="str">
        <f>("2025/03/17")</f>
        <v>2025/03/17</v>
      </c>
      <c r="AL1818" s="39" t="str">
        <f t="shared" si="155"/>
        <v>2025/04/01</v>
      </c>
    </row>
    <row r="1819" spans="1:38" x14ac:dyDescent="0.25">
      <c r="A1819" s="39" t="str">
        <f>("1509230162")</f>
        <v>1509230162</v>
      </c>
      <c r="C1819" s="39"/>
      <c r="D1819" s="39" t="s">
        <v>9358</v>
      </c>
      <c r="E1819" s="371" t="str">
        <f t="shared" si="153"/>
        <v>のだ　いちと</v>
      </c>
      <c r="F1819" s="39" t="s">
        <v>686</v>
      </c>
      <c r="G1819" s="39" t="s">
        <v>7828</v>
      </c>
      <c r="H1819" s="39" t="str">
        <f>("2015/09/23")</f>
        <v>2015/09/23</v>
      </c>
      <c r="I1819" s="39">
        <v>4</v>
      </c>
      <c r="J1819" s="39" t="s">
        <v>1478</v>
      </c>
      <c r="K1819" s="39" t="s">
        <v>2122</v>
      </c>
      <c r="L1819" s="39" t="s">
        <v>7830</v>
      </c>
      <c r="M1819" s="39" t="s">
        <v>7831</v>
      </c>
      <c r="N1819" s="39" t="str">
        <f>("0130745")</f>
        <v>0130745</v>
      </c>
      <c r="P1819" s="39" t="s">
        <v>13279</v>
      </c>
      <c r="Q1819" s="39" t="s">
        <v>8568</v>
      </c>
      <c r="R1819" s="39" t="s">
        <v>8569</v>
      </c>
      <c r="S1819" s="39" t="s">
        <v>8570</v>
      </c>
      <c r="AK1819" s="39" t="str">
        <f>("2025/05/09")</f>
        <v>2025/05/09</v>
      </c>
      <c r="AL1819" s="39" t="str">
        <f>("2025/05/09")</f>
        <v>2025/05/09</v>
      </c>
    </row>
    <row r="1820" spans="1:38" x14ac:dyDescent="0.25">
      <c r="A1820" s="39" t="str">
        <f>("1509240105")</f>
        <v>1509240105</v>
      </c>
      <c r="C1820" s="39"/>
      <c r="D1820" s="39" t="s">
        <v>9359</v>
      </c>
      <c r="E1820" s="371" t="str">
        <f t="shared" si="153"/>
        <v>さとう　たいすけ</v>
      </c>
      <c r="F1820" s="39" t="s">
        <v>2821</v>
      </c>
      <c r="G1820" s="39" t="s">
        <v>7828</v>
      </c>
      <c r="H1820" s="39" t="str">
        <f>("2015/09/24")</f>
        <v>2015/09/24</v>
      </c>
      <c r="I1820" s="39">
        <v>4</v>
      </c>
      <c r="J1820" s="39" t="s">
        <v>1478</v>
      </c>
      <c r="K1820" s="39" t="s">
        <v>2122</v>
      </c>
      <c r="L1820" s="39" t="s">
        <v>7830</v>
      </c>
      <c r="M1820" s="39" t="s">
        <v>7831</v>
      </c>
      <c r="N1820" s="39" t="str">
        <f>("0237631")</f>
        <v>0237631</v>
      </c>
      <c r="P1820" s="39" t="s">
        <v>13280</v>
      </c>
      <c r="Q1820" s="39" t="s">
        <v>8568</v>
      </c>
      <c r="R1820" s="39" t="s">
        <v>8569</v>
      </c>
      <c r="S1820" s="39" t="s">
        <v>8570</v>
      </c>
      <c r="AK1820" s="39" t="str">
        <f>("2025/03/17")</f>
        <v>2025/03/17</v>
      </c>
      <c r="AL1820" s="39" t="str">
        <f>("2025/04/01")</f>
        <v>2025/04/01</v>
      </c>
    </row>
    <row r="1821" spans="1:38" x14ac:dyDescent="0.25">
      <c r="A1821" s="39" t="str">
        <f>("1509240186")</f>
        <v>1509240186</v>
      </c>
      <c r="C1821" s="39"/>
      <c r="D1821" s="39" t="s">
        <v>9360</v>
      </c>
      <c r="E1821" s="371" t="str">
        <f t="shared" si="153"/>
        <v>かわの　るい</v>
      </c>
      <c r="F1821" s="39" t="s">
        <v>2138</v>
      </c>
      <c r="G1821" s="39" t="s">
        <v>7828</v>
      </c>
      <c r="H1821" s="39" t="str">
        <f>("2015/09/24")</f>
        <v>2015/09/24</v>
      </c>
      <c r="I1821" s="39">
        <v>4</v>
      </c>
      <c r="J1821" s="39" t="s">
        <v>1478</v>
      </c>
      <c r="K1821" s="39" t="s">
        <v>2122</v>
      </c>
      <c r="L1821" s="39" t="s">
        <v>7830</v>
      </c>
      <c r="M1821" s="39" t="s">
        <v>7831</v>
      </c>
      <c r="N1821" s="39" t="str">
        <f>("0130082")</f>
        <v>0130082</v>
      </c>
      <c r="P1821" s="39" t="s">
        <v>13281</v>
      </c>
      <c r="Q1821" s="39" t="s">
        <v>8568</v>
      </c>
      <c r="R1821" s="39" t="s">
        <v>8569</v>
      </c>
      <c r="S1821" s="39" t="s">
        <v>8570</v>
      </c>
      <c r="AK1821" s="39" t="str">
        <f>("2025/06/03")</f>
        <v>2025/06/03</v>
      </c>
      <c r="AL1821" s="39" t="str">
        <f>("2025/06/03")</f>
        <v>2025/06/03</v>
      </c>
    </row>
    <row r="1822" spans="1:38" x14ac:dyDescent="0.25">
      <c r="A1822" s="39" t="str">
        <f>("1509250242")</f>
        <v>1509250242</v>
      </c>
      <c r="C1822" s="39"/>
      <c r="D1822" s="39" t="s">
        <v>9361</v>
      </c>
      <c r="E1822" s="371" t="str">
        <f t="shared" si="153"/>
        <v>みしろ　よう</v>
      </c>
      <c r="F1822" s="39" t="s">
        <v>1014</v>
      </c>
      <c r="G1822" s="39" t="s">
        <v>7828</v>
      </c>
      <c r="H1822" s="39" t="str">
        <f>("2015/09/25")</f>
        <v>2015/09/25</v>
      </c>
      <c r="I1822" s="39">
        <v>4</v>
      </c>
      <c r="J1822" s="39" t="s">
        <v>1478</v>
      </c>
      <c r="K1822" s="39" t="s">
        <v>2122</v>
      </c>
      <c r="L1822" s="39" t="s">
        <v>7830</v>
      </c>
      <c r="M1822" s="39" t="s">
        <v>7831</v>
      </c>
      <c r="N1822" s="39" t="str">
        <f>("0513313")</f>
        <v>0513313</v>
      </c>
      <c r="P1822" s="39" t="s">
        <v>13282</v>
      </c>
      <c r="Q1822" s="39" t="s">
        <v>8568</v>
      </c>
      <c r="R1822" s="39" t="s">
        <v>8569</v>
      </c>
      <c r="S1822" s="39" t="s">
        <v>8570</v>
      </c>
      <c r="AK1822" s="39" t="str">
        <f>("2025/12/08")</f>
        <v>2025/12/08</v>
      </c>
      <c r="AL1822" s="39" t="str">
        <f>("2025/12/08")</f>
        <v>2025/12/08</v>
      </c>
    </row>
    <row r="1823" spans="1:38" x14ac:dyDescent="0.25">
      <c r="A1823" s="39" t="str">
        <f>("1509260014")</f>
        <v>1509260014</v>
      </c>
      <c r="C1823" s="39"/>
      <c r="D1823" s="39" t="s">
        <v>9362</v>
      </c>
      <c r="E1823" s="371" t="str">
        <f t="shared" si="153"/>
        <v>ひらばる　けいしん</v>
      </c>
      <c r="F1823" s="39" t="s">
        <v>2648</v>
      </c>
      <c r="G1823" s="39" t="s">
        <v>7828</v>
      </c>
      <c r="H1823" s="39" t="str">
        <f>("2015/09/26")</f>
        <v>2015/09/26</v>
      </c>
      <c r="I1823" s="39">
        <v>4</v>
      </c>
      <c r="J1823" s="39" t="s">
        <v>1478</v>
      </c>
      <c r="K1823" s="39" t="s">
        <v>2122</v>
      </c>
      <c r="L1823" s="39" t="s">
        <v>7830</v>
      </c>
      <c r="M1823" s="39" t="s">
        <v>7831</v>
      </c>
      <c r="N1823" s="39" t="str">
        <f>("1050097")</f>
        <v>1050097</v>
      </c>
      <c r="P1823" s="39" t="s">
        <v>13283</v>
      </c>
      <c r="Q1823" s="39" t="s">
        <v>8568</v>
      </c>
      <c r="R1823" s="39" t="s">
        <v>8569</v>
      </c>
      <c r="S1823" s="39" t="s">
        <v>8570</v>
      </c>
      <c r="AA1823" s="39" t="s">
        <v>2122</v>
      </c>
      <c r="AB1823" s="39" t="s">
        <v>7830</v>
      </c>
      <c r="AC1823" s="39" t="s">
        <v>7831</v>
      </c>
      <c r="AD1823" s="39" t="str">
        <f>("1032147")</f>
        <v>1032147</v>
      </c>
      <c r="AE1823" s="39" t="s">
        <v>8714</v>
      </c>
      <c r="AK1823" s="39" t="str">
        <f>("2025/03/25")</f>
        <v>2025/03/25</v>
      </c>
      <c r="AL1823" s="39" t="str">
        <f>("2025/04/01")</f>
        <v>2025/04/01</v>
      </c>
    </row>
    <row r="1824" spans="1:38" x14ac:dyDescent="0.25">
      <c r="A1824" s="39" t="str">
        <f>("1509260108")</f>
        <v>1509260108</v>
      </c>
      <c r="C1824" s="39"/>
      <c r="D1824" s="39" t="s">
        <v>9363</v>
      </c>
      <c r="E1824" s="371" t="str">
        <f t="shared" si="153"/>
        <v>ひの　こうた</v>
      </c>
      <c r="F1824" s="39" t="s">
        <v>2477</v>
      </c>
      <c r="G1824" s="39" t="s">
        <v>7828</v>
      </c>
      <c r="H1824" s="39" t="str">
        <f>("2015/09/26")</f>
        <v>2015/09/26</v>
      </c>
      <c r="I1824" s="39">
        <v>4</v>
      </c>
      <c r="J1824" s="39" t="s">
        <v>1478</v>
      </c>
      <c r="K1824" s="39" t="s">
        <v>2122</v>
      </c>
      <c r="L1824" s="39" t="s">
        <v>7830</v>
      </c>
      <c r="M1824" s="39" t="s">
        <v>7831</v>
      </c>
      <c r="N1824" s="39" t="str">
        <f>("0129541")</f>
        <v>0129541</v>
      </c>
      <c r="P1824" s="39" t="s">
        <v>13284</v>
      </c>
      <c r="Q1824" s="39" t="s">
        <v>8568</v>
      </c>
      <c r="R1824" s="39" t="s">
        <v>8569</v>
      </c>
      <c r="S1824" s="39" t="s">
        <v>8570</v>
      </c>
      <c r="AK1824" s="39" t="str">
        <f>("2025/03/27")</f>
        <v>2025/03/27</v>
      </c>
      <c r="AL1824" s="39" t="str">
        <f>("2025/04/01")</f>
        <v>2025/04/01</v>
      </c>
    </row>
    <row r="1825" spans="1:38" x14ac:dyDescent="0.25">
      <c r="A1825" s="39" t="str">
        <f>("1509260114")</f>
        <v>1509260114</v>
      </c>
      <c r="C1825" s="39"/>
      <c r="D1825" s="39" t="s">
        <v>9364</v>
      </c>
      <c r="E1825" s="371" t="str">
        <f t="shared" si="153"/>
        <v>いば　えいた</v>
      </c>
      <c r="F1825" s="39" t="s">
        <v>1239</v>
      </c>
      <c r="G1825" s="39" t="s">
        <v>7828</v>
      </c>
      <c r="H1825" s="39" t="str">
        <f>("2015/09/26")</f>
        <v>2015/09/26</v>
      </c>
      <c r="I1825" s="39">
        <v>4</v>
      </c>
      <c r="J1825" s="39" t="s">
        <v>1478</v>
      </c>
      <c r="K1825" s="39" t="s">
        <v>2122</v>
      </c>
      <c r="L1825" s="39" t="s">
        <v>7830</v>
      </c>
      <c r="M1825" s="39" t="s">
        <v>7831</v>
      </c>
      <c r="N1825" s="39" t="str">
        <f>("0129585")</f>
        <v>0129585</v>
      </c>
      <c r="P1825" s="39" t="s">
        <v>13285</v>
      </c>
      <c r="Q1825" s="39" t="s">
        <v>8568</v>
      </c>
      <c r="R1825" s="39" t="s">
        <v>8569</v>
      </c>
      <c r="S1825" s="39" t="s">
        <v>8570</v>
      </c>
      <c r="AA1825" s="39" t="s">
        <v>2122</v>
      </c>
      <c r="AB1825" s="39" t="s">
        <v>7830</v>
      </c>
      <c r="AC1825" s="39" t="s">
        <v>7831</v>
      </c>
      <c r="AD1825" s="39" t="str">
        <f>("0129765")</f>
        <v>0129765</v>
      </c>
      <c r="AE1825" s="39" t="s">
        <v>520</v>
      </c>
      <c r="AK1825" s="39" t="str">
        <f>("2025/07/11")</f>
        <v>2025/07/11</v>
      </c>
      <c r="AL1825" s="39" t="str">
        <f>("2025/07/11")</f>
        <v>2025/07/11</v>
      </c>
    </row>
    <row r="1826" spans="1:38" x14ac:dyDescent="0.25">
      <c r="A1826" s="39" t="str">
        <f>("1509270052")</f>
        <v>1509270052</v>
      </c>
      <c r="C1826" s="39"/>
      <c r="D1826" s="39" t="s">
        <v>9365</v>
      </c>
      <c r="E1826" s="371" t="str">
        <f t="shared" si="153"/>
        <v>たかの　たかひろ</v>
      </c>
      <c r="F1826" s="39" t="s">
        <v>7910</v>
      </c>
      <c r="G1826" s="39" t="s">
        <v>7828</v>
      </c>
      <c r="H1826" s="39" t="str">
        <f>("2015/09/27")</f>
        <v>2015/09/27</v>
      </c>
      <c r="I1826" s="39">
        <v>4</v>
      </c>
      <c r="J1826" s="39" t="s">
        <v>1478</v>
      </c>
      <c r="K1826" s="39" t="s">
        <v>2122</v>
      </c>
      <c r="L1826" s="39" t="s">
        <v>7830</v>
      </c>
      <c r="M1826" s="39" t="s">
        <v>7831</v>
      </c>
      <c r="N1826" s="39" t="str">
        <f>("1111064")</f>
        <v>1111064</v>
      </c>
      <c r="P1826" s="39" t="s">
        <v>13286</v>
      </c>
      <c r="Q1826" s="39" t="s">
        <v>8568</v>
      </c>
      <c r="R1826" s="39" t="s">
        <v>8569</v>
      </c>
      <c r="S1826" s="39" t="s">
        <v>8570</v>
      </c>
      <c r="AK1826" s="39" t="str">
        <f>("2025/03/17")</f>
        <v>2025/03/17</v>
      </c>
      <c r="AL1826" s="39" t="str">
        <f>("2025/04/01")</f>
        <v>2025/04/01</v>
      </c>
    </row>
    <row r="1827" spans="1:38" x14ac:dyDescent="0.25">
      <c r="A1827" s="39" t="str">
        <f>("1509270108")</f>
        <v>1509270108</v>
      </c>
      <c r="C1827" s="39"/>
      <c r="D1827" s="39" t="s">
        <v>9366</v>
      </c>
      <c r="E1827" s="371" t="str">
        <f t="shared" si="153"/>
        <v>しもごおり　けいま</v>
      </c>
      <c r="F1827" s="39" t="s">
        <v>7864</v>
      </c>
      <c r="G1827" s="39" t="s">
        <v>7828</v>
      </c>
      <c r="H1827" s="39" t="str">
        <f>("2015/09/27")</f>
        <v>2015/09/27</v>
      </c>
      <c r="I1827" s="39">
        <v>4</v>
      </c>
      <c r="J1827" s="39" t="s">
        <v>1478</v>
      </c>
      <c r="K1827" s="39" t="s">
        <v>2122</v>
      </c>
      <c r="L1827" s="39" t="s">
        <v>7830</v>
      </c>
      <c r="M1827" s="39" t="s">
        <v>7831</v>
      </c>
      <c r="N1827" s="39" t="str">
        <f>("1039801")</f>
        <v>1039801</v>
      </c>
      <c r="P1827" s="39" t="s">
        <v>13287</v>
      </c>
      <c r="Q1827" s="39" t="s">
        <v>8568</v>
      </c>
      <c r="R1827" s="39" t="s">
        <v>8569</v>
      </c>
      <c r="S1827" s="39" t="s">
        <v>8570</v>
      </c>
      <c r="AK1827" s="39" t="str">
        <f>("2025/03/24")</f>
        <v>2025/03/24</v>
      </c>
      <c r="AL1827" s="39" t="str">
        <f>("2025/04/01")</f>
        <v>2025/04/01</v>
      </c>
    </row>
    <row r="1828" spans="1:38" x14ac:dyDescent="0.25">
      <c r="A1828" s="39" t="str">
        <f>("1509280130")</f>
        <v>1509280130</v>
      </c>
      <c r="C1828" s="39"/>
      <c r="D1828" s="39" t="s">
        <v>9367</v>
      </c>
      <c r="E1828" s="371" t="str">
        <f t="shared" si="153"/>
        <v>こうの　かずま</v>
      </c>
      <c r="F1828" s="39" t="s">
        <v>838</v>
      </c>
      <c r="G1828" s="39" t="s">
        <v>7828</v>
      </c>
      <c r="H1828" s="39" t="str">
        <f>("2015/09/28")</f>
        <v>2015/09/28</v>
      </c>
      <c r="I1828" s="39">
        <v>4</v>
      </c>
      <c r="J1828" s="39" t="s">
        <v>1478</v>
      </c>
      <c r="K1828" s="39" t="s">
        <v>2122</v>
      </c>
      <c r="L1828" s="39" t="s">
        <v>7830</v>
      </c>
      <c r="M1828" s="39" t="s">
        <v>7831</v>
      </c>
      <c r="N1828" s="39" t="str">
        <f>("0360021")</f>
        <v>0360021</v>
      </c>
      <c r="P1828" s="39" t="s">
        <v>13288</v>
      </c>
      <c r="Q1828" s="39" t="s">
        <v>8568</v>
      </c>
      <c r="R1828" s="39" t="s">
        <v>8569</v>
      </c>
      <c r="S1828" s="39" t="s">
        <v>8570</v>
      </c>
      <c r="AK1828" s="39" t="str">
        <f>("2025/03/17")</f>
        <v>2025/03/17</v>
      </c>
      <c r="AL1828" s="39" t="str">
        <f>("2025/04/01")</f>
        <v>2025/04/01</v>
      </c>
    </row>
    <row r="1829" spans="1:38" x14ac:dyDescent="0.25">
      <c r="A1829" s="39" t="str">
        <f>("1509280199")</f>
        <v>1509280199</v>
      </c>
      <c r="C1829" s="39"/>
      <c r="D1829" s="39" t="s">
        <v>9368</v>
      </c>
      <c r="E1829" s="371" t="str">
        <f t="shared" si="153"/>
        <v>ごとう　まさき</v>
      </c>
      <c r="F1829" s="39" t="s">
        <v>2033</v>
      </c>
      <c r="G1829" s="39" t="s">
        <v>7828</v>
      </c>
      <c r="H1829" s="39" t="str">
        <f>("2015/09/28")</f>
        <v>2015/09/28</v>
      </c>
      <c r="I1829" s="39">
        <v>4</v>
      </c>
      <c r="J1829" s="39" t="s">
        <v>1478</v>
      </c>
      <c r="K1829" s="39" t="s">
        <v>2122</v>
      </c>
      <c r="L1829" s="39" t="s">
        <v>7830</v>
      </c>
      <c r="M1829" s="39" t="s">
        <v>7831</v>
      </c>
      <c r="N1829" s="39" t="str">
        <f>("0130442")</f>
        <v>0130442</v>
      </c>
      <c r="P1829" s="39" t="s">
        <v>13289</v>
      </c>
      <c r="Q1829" s="39" t="s">
        <v>8568</v>
      </c>
      <c r="R1829" s="39" t="s">
        <v>8569</v>
      </c>
      <c r="S1829" s="39" t="s">
        <v>8570</v>
      </c>
      <c r="AK1829" s="39" t="str">
        <f>("2025/04/04")</f>
        <v>2025/04/04</v>
      </c>
      <c r="AL1829" s="39" t="str">
        <f>("2025/04/01")</f>
        <v>2025/04/01</v>
      </c>
    </row>
    <row r="1830" spans="1:38" x14ac:dyDescent="0.25">
      <c r="A1830" s="39" t="str">
        <f>("1509290070")</f>
        <v>1509290070</v>
      </c>
      <c r="C1830" s="39"/>
      <c r="D1830" s="39" t="s">
        <v>9369</v>
      </c>
      <c r="E1830" s="371" t="str">
        <f t="shared" si="153"/>
        <v>たかみね　せんたろう</v>
      </c>
      <c r="F1830" s="39" t="s">
        <v>2530</v>
      </c>
      <c r="G1830" s="39" t="s">
        <v>7828</v>
      </c>
      <c r="H1830" s="39" t="str">
        <f>("2015/09/29")</f>
        <v>2015/09/29</v>
      </c>
      <c r="I1830" s="39">
        <v>4</v>
      </c>
      <c r="J1830" s="39" t="s">
        <v>1478</v>
      </c>
      <c r="K1830" s="39" t="s">
        <v>2122</v>
      </c>
      <c r="L1830" s="39" t="s">
        <v>7830</v>
      </c>
      <c r="M1830" s="39" t="s">
        <v>7831</v>
      </c>
      <c r="N1830" s="39" t="str">
        <f>("0338756")</f>
        <v>0338756</v>
      </c>
      <c r="P1830" s="39" t="s">
        <v>13290</v>
      </c>
      <c r="Q1830" s="39" t="s">
        <v>8568</v>
      </c>
      <c r="R1830" s="39" t="s">
        <v>8569</v>
      </c>
      <c r="S1830" s="39" t="s">
        <v>8570</v>
      </c>
      <c r="AK1830" s="39" t="str">
        <f>("2025/04/01")</f>
        <v>2025/04/01</v>
      </c>
      <c r="AL1830" s="39" t="str">
        <f>("2025/04/01")</f>
        <v>2025/04/01</v>
      </c>
    </row>
    <row r="1831" spans="1:38" x14ac:dyDescent="0.25">
      <c r="A1831" s="39" t="str">
        <f>("1509290231")</f>
        <v>1509290231</v>
      </c>
      <c r="C1831" s="39"/>
      <c r="D1831" s="39" t="s">
        <v>9370</v>
      </c>
      <c r="E1831" s="371" t="str">
        <f t="shared" si="153"/>
        <v>つじ　あいら</v>
      </c>
      <c r="F1831" s="39" t="s">
        <v>2349</v>
      </c>
      <c r="G1831" s="39" t="s">
        <v>7828</v>
      </c>
      <c r="H1831" s="39" t="str">
        <f>("2015/09/29")</f>
        <v>2015/09/29</v>
      </c>
      <c r="I1831" s="39">
        <v>4</v>
      </c>
      <c r="J1831" s="39" t="s">
        <v>1478</v>
      </c>
      <c r="K1831" s="39" t="s">
        <v>2122</v>
      </c>
      <c r="L1831" s="39" t="s">
        <v>7830</v>
      </c>
      <c r="M1831" s="39" t="s">
        <v>7831</v>
      </c>
      <c r="N1831" s="39" t="str">
        <f>("0292081")</f>
        <v>0292081</v>
      </c>
      <c r="P1831" s="39" t="s">
        <v>13291</v>
      </c>
      <c r="Q1831" s="39" t="s">
        <v>8568</v>
      </c>
      <c r="R1831" s="39" t="s">
        <v>8569</v>
      </c>
      <c r="S1831" s="39" t="s">
        <v>8570</v>
      </c>
      <c r="AK1831" s="39" t="str">
        <f>("2025/09/03")</f>
        <v>2025/09/03</v>
      </c>
      <c r="AL1831" s="39" t="str">
        <f>("2025/09/03")</f>
        <v>2025/09/03</v>
      </c>
    </row>
    <row r="1832" spans="1:38" x14ac:dyDescent="0.25">
      <c r="A1832" s="39" t="str">
        <f>("1509300025")</f>
        <v>1509300025</v>
      </c>
      <c r="C1832" s="39"/>
      <c r="D1832" s="39" t="s">
        <v>9371</v>
      </c>
      <c r="E1832" s="371" t="str">
        <f t="shared" si="153"/>
        <v>さとう　かなむ</v>
      </c>
      <c r="F1832" s="39" t="s">
        <v>2575</v>
      </c>
      <c r="G1832" s="39" t="s">
        <v>7828</v>
      </c>
      <c r="H1832" s="39" t="str">
        <f>("2015/09/30")</f>
        <v>2015/09/30</v>
      </c>
      <c r="I1832" s="39">
        <v>4</v>
      </c>
      <c r="J1832" s="39" t="s">
        <v>1478</v>
      </c>
      <c r="K1832" s="39" t="s">
        <v>2122</v>
      </c>
      <c r="L1832" s="39" t="s">
        <v>7830</v>
      </c>
      <c r="M1832" s="39" t="s">
        <v>7831</v>
      </c>
      <c r="N1832" s="39" t="str">
        <f>("0303040")</f>
        <v>0303040</v>
      </c>
      <c r="P1832" s="39" t="s">
        <v>13292</v>
      </c>
      <c r="Q1832" s="39" t="s">
        <v>8568</v>
      </c>
      <c r="R1832" s="39" t="s">
        <v>8569</v>
      </c>
      <c r="S1832" s="39" t="s">
        <v>8570</v>
      </c>
      <c r="AK1832" s="39" t="str">
        <f>("2025/03/17")</f>
        <v>2025/03/17</v>
      </c>
      <c r="AL1832" s="39" t="str">
        <f t="shared" ref="AL1832:AL1847" si="156">("2025/04/01")</f>
        <v>2025/04/01</v>
      </c>
    </row>
    <row r="1833" spans="1:38" x14ac:dyDescent="0.25">
      <c r="A1833" s="39" t="str">
        <f>("1510010015")</f>
        <v>1510010015</v>
      </c>
      <c r="C1833" s="39"/>
      <c r="D1833" s="39" t="s">
        <v>9372</v>
      </c>
      <c r="E1833" s="371" t="str">
        <f t="shared" si="153"/>
        <v>そえじま　ゆうせい</v>
      </c>
      <c r="F1833" s="39" t="s">
        <v>1239</v>
      </c>
      <c r="G1833" s="39" t="s">
        <v>7828</v>
      </c>
      <c r="H1833" s="39" t="str">
        <f>("2015/10/01")</f>
        <v>2015/10/01</v>
      </c>
      <c r="I1833" s="39">
        <v>4</v>
      </c>
      <c r="J1833" s="39" t="s">
        <v>1478</v>
      </c>
      <c r="K1833" s="39" t="s">
        <v>2122</v>
      </c>
      <c r="L1833" s="39" t="s">
        <v>7830</v>
      </c>
      <c r="M1833" s="39" t="s">
        <v>7831</v>
      </c>
      <c r="N1833" s="39" t="str">
        <f>("0129585")</f>
        <v>0129585</v>
      </c>
      <c r="P1833" s="39" t="s">
        <v>13293</v>
      </c>
      <c r="Q1833" s="39" t="s">
        <v>8568</v>
      </c>
      <c r="R1833" s="39" t="s">
        <v>8569</v>
      </c>
      <c r="S1833" s="39" t="s">
        <v>8570</v>
      </c>
      <c r="AK1833" s="39" t="str">
        <f>("2025/03/17")</f>
        <v>2025/03/17</v>
      </c>
      <c r="AL1833" s="39" t="str">
        <f t="shared" si="156"/>
        <v>2025/04/01</v>
      </c>
    </row>
    <row r="1834" spans="1:38" x14ac:dyDescent="0.25">
      <c r="A1834" s="39" t="str">
        <f>("1510010069")</f>
        <v>1510010069</v>
      </c>
      <c r="C1834" s="39"/>
      <c r="D1834" s="39" t="s">
        <v>9373</v>
      </c>
      <c r="E1834" s="371" t="str">
        <f t="shared" si="153"/>
        <v>じんや　あおと</v>
      </c>
      <c r="F1834" s="39" t="s">
        <v>2530</v>
      </c>
      <c r="G1834" s="39" t="s">
        <v>7828</v>
      </c>
      <c r="H1834" s="39" t="str">
        <f>("2015/10/01")</f>
        <v>2015/10/01</v>
      </c>
      <c r="I1834" s="39">
        <v>4</v>
      </c>
      <c r="J1834" s="39" t="s">
        <v>1478</v>
      </c>
      <c r="K1834" s="39" t="s">
        <v>2122</v>
      </c>
      <c r="L1834" s="39" t="s">
        <v>7830</v>
      </c>
      <c r="M1834" s="39" t="s">
        <v>7831</v>
      </c>
      <c r="N1834" s="39" t="str">
        <f>("0338756")</f>
        <v>0338756</v>
      </c>
      <c r="P1834" s="39" t="s">
        <v>13294</v>
      </c>
      <c r="Q1834" s="39" t="s">
        <v>8568</v>
      </c>
      <c r="R1834" s="39" t="s">
        <v>8569</v>
      </c>
      <c r="S1834" s="39" t="s">
        <v>8570</v>
      </c>
      <c r="AK1834" s="39" t="str">
        <f>("2025/04/01")</f>
        <v>2025/04/01</v>
      </c>
      <c r="AL1834" s="39" t="str">
        <f t="shared" si="156"/>
        <v>2025/04/01</v>
      </c>
    </row>
    <row r="1835" spans="1:38" x14ac:dyDescent="0.25">
      <c r="A1835" s="39" t="str">
        <f>("1510010134")</f>
        <v>1510010134</v>
      </c>
      <c r="C1835" s="39"/>
      <c r="D1835" s="39" t="s">
        <v>9374</v>
      </c>
      <c r="E1835" s="371" t="str">
        <f t="shared" si="153"/>
        <v>ながの　そうま</v>
      </c>
      <c r="F1835" s="39" t="s">
        <v>7864</v>
      </c>
      <c r="G1835" s="39" t="s">
        <v>7828</v>
      </c>
      <c r="H1835" s="39" t="str">
        <f>("2015/10/01")</f>
        <v>2015/10/01</v>
      </c>
      <c r="I1835" s="39">
        <v>4</v>
      </c>
      <c r="J1835" s="39" t="s">
        <v>1478</v>
      </c>
      <c r="K1835" s="39" t="s">
        <v>2122</v>
      </c>
      <c r="L1835" s="39" t="s">
        <v>7830</v>
      </c>
      <c r="M1835" s="39" t="s">
        <v>7831</v>
      </c>
      <c r="N1835" s="39" t="str">
        <f>("1039801")</f>
        <v>1039801</v>
      </c>
      <c r="P1835" s="39" t="s">
        <v>13295</v>
      </c>
      <c r="Q1835" s="39" t="s">
        <v>8568</v>
      </c>
      <c r="R1835" s="39" t="s">
        <v>8569</v>
      </c>
      <c r="S1835" s="39" t="s">
        <v>8570</v>
      </c>
      <c r="AK1835" s="39" t="str">
        <f>("2025/03/24")</f>
        <v>2025/03/24</v>
      </c>
      <c r="AL1835" s="39" t="str">
        <f t="shared" si="156"/>
        <v>2025/04/01</v>
      </c>
    </row>
    <row r="1836" spans="1:38" x14ac:dyDescent="0.25">
      <c r="A1836" s="39" t="str">
        <f>("1510020012")</f>
        <v>1510020012</v>
      </c>
      <c r="C1836" s="39"/>
      <c r="D1836" s="39" t="s">
        <v>9375</v>
      </c>
      <c r="E1836" s="371" t="str">
        <f t="shared" si="153"/>
        <v>なかしま　ひなた</v>
      </c>
      <c r="F1836" s="39" t="s">
        <v>2878</v>
      </c>
      <c r="G1836" s="39" t="s">
        <v>7828</v>
      </c>
      <c r="H1836" s="39" t="str">
        <f>("2015/10/02")</f>
        <v>2015/10/02</v>
      </c>
      <c r="I1836" s="39">
        <v>4</v>
      </c>
      <c r="J1836" s="39" t="s">
        <v>1478</v>
      </c>
      <c r="K1836" s="39" t="s">
        <v>2122</v>
      </c>
      <c r="L1836" s="39" t="s">
        <v>7830</v>
      </c>
      <c r="M1836" s="39" t="s">
        <v>7831</v>
      </c>
      <c r="N1836" s="39" t="str">
        <f>("0129484")</f>
        <v>0129484</v>
      </c>
      <c r="P1836" s="39" t="s">
        <v>13296</v>
      </c>
      <c r="Q1836" s="39" t="s">
        <v>8568</v>
      </c>
      <c r="R1836" s="39" t="s">
        <v>8569</v>
      </c>
      <c r="S1836" s="39" t="s">
        <v>8570</v>
      </c>
      <c r="AK1836" s="39" t="str">
        <f>("2025/03/17")</f>
        <v>2025/03/17</v>
      </c>
      <c r="AL1836" s="39" t="str">
        <f t="shared" si="156"/>
        <v>2025/04/01</v>
      </c>
    </row>
    <row r="1837" spans="1:38" x14ac:dyDescent="0.25">
      <c r="A1837" s="39" t="str">
        <f>("1510020015")</f>
        <v>1510020015</v>
      </c>
      <c r="C1837" s="39"/>
      <c r="D1837" s="39" t="s">
        <v>9376</v>
      </c>
      <c r="E1837" s="371" t="str">
        <f t="shared" si="153"/>
        <v>くまもと　りんどう</v>
      </c>
      <c r="F1837" s="39" t="s">
        <v>5615</v>
      </c>
      <c r="G1837" s="39" t="s">
        <v>7828</v>
      </c>
      <c r="H1837" s="39" t="str">
        <f>("2015/10/02")</f>
        <v>2015/10/02</v>
      </c>
      <c r="I1837" s="39">
        <v>4</v>
      </c>
      <c r="J1837" s="39" t="s">
        <v>1478</v>
      </c>
      <c r="K1837" s="39" t="s">
        <v>2122</v>
      </c>
      <c r="L1837" s="39" t="s">
        <v>7830</v>
      </c>
      <c r="M1837" s="39" t="s">
        <v>7831</v>
      </c>
      <c r="N1837" s="39" t="str">
        <f>("0129642")</f>
        <v>0129642</v>
      </c>
      <c r="P1837" s="39" t="s">
        <v>13297</v>
      </c>
      <c r="Q1837" s="39" t="s">
        <v>8568</v>
      </c>
      <c r="R1837" s="39" t="s">
        <v>8569</v>
      </c>
      <c r="S1837" s="39" t="s">
        <v>8570</v>
      </c>
      <c r="AK1837" s="39" t="str">
        <f>("2025/03/24")</f>
        <v>2025/03/24</v>
      </c>
      <c r="AL1837" s="39" t="str">
        <f t="shared" si="156"/>
        <v>2025/04/01</v>
      </c>
    </row>
    <row r="1838" spans="1:38" x14ac:dyDescent="0.25">
      <c r="A1838" s="39" t="str">
        <f>("1510020033")</f>
        <v>1510020033</v>
      </c>
      <c r="B1838" s="39" t="s">
        <v>9377</v>
      </c>
      <c r="C1838" s="39"/>
      <c r="D1838" s="39" t="s">
        <v>5770</v>
      </c>
      <c r="E1838" s="371" t="str">
        <f t="shared" si="153"/>
        <v>やまだ　りお</v>
      </c>
      <c r="F1838" s="39" t="s">
        <v>156</v>
      </c>
      <c r="G1838" s="39" t="s">
        <v>7828</v>
      </c>
      <c r="H1838" s="39" t="str">
        <f>("2015/10/02")</f>
        <v>2015/10/02</v>
      </c>
      <c r="I1838" s="39">
        <v>4</v>
      </c>
      <c r="J1838" s="39" t="s">
        <v>1478</v>
      </c>
      <c r="K1838" s="39" t="s">
        <v>2122</v>
      </c>
      <c r="L1838" s="39" t="s">
        <v>7830</v>
      </c>
      <c r="M1838" s="39" t="s">
        <v>7831</v>
      </c>
      <c r="N1838" s="39" t="str">
        <f>("0130037")</f>
        <v>0130037</v>
      </c>
      <c r="P1838" s="39" t="s">
        <v>13298</v>
      </c>
      <c r="Q1838" s="39" t="s">
        <v>8568</v>
      </c>
      <c r="R1838" s="39" t="s">
        <v>8569</v>
      </c>
      <c r="S1838" s="39" t="s">
        <v>8570</v>
      </c>
      <c r="AK1838" s="39" t="str">
        <f>("2025/03/17")</f>
        <v>2025/03/17</v>
      </c>
      <c r="AL1838" s="39" t="str">
        <f t="shared" si="156"/>
        <v>2025/04/01</v>
      </c>
    </row>
    <row r="1839" spans="1:38" x14ac:dyDescent="0.25">
      <c r="A1839" s="39" t="str">
        <f>("1510020132")</f>
        <v>1510020132</v>
      </c>
      <c r="C1839" s="39"/>
      <c r="D1839" s="39" t="s">
        <v>9378</v>
      </c>
      <c r="E1839" s="371" t="str">
        <f t="shared" si="153"/>
        <v>ふじわら　ももか</v>
      </c>
      <c r="F1839" s="39" t="s">
        <v>8050</v>
      </c>
      <c r="G1839" s="39" t="s">
        <v>7828</v>
      </c>
      <c r="H1839" s="39" t="str">
        <f>("2015/10/02")</f>
        <v>2015/10/02</v>
      </c>
      <c r="I1839" s="39">
        <v>4</v>
      </c>
      <c r="J1839" s="39" t="s">
        <v>1480</v>
      </c>
      <c r="K1839" s="39" t="s">
        <v>2122</v>
      </c>
      <c r="L1839" s="39" t="s">
        <v>7830</v>
      </c>
      <c r="M1839" s="39" t="s">
        <v>7831</v>
      </c>
      <c r="N1839" s="39" t="str">
        <f>("0130015")</f>
        <v>0130015</v>
      </c>
      <c r="P1839" s="39" t="s">
        <v>13299</v>
      </c>
      <c r="Q1839" s="39" t="s">
        <v>8568</v>
      </c>
      <c r="R1839" s="39" t="s">
        <v>8569</v>
      </c>
      <c r="S1839" s="39" t="s">
        <v>8570</v>
      </c>
      <c r="AK1839" s="39" t="str">
        <f>("2025/03/17")</f>
        <v>2025/03/17</v>
      </c>
      <c r="AL1839" s="39" t="str">
        <f t="shared" si="156"/>
        <v>2025/04/01</v>
      </c>
    </row>
    <row r="1840" spans="1:38" x14ac:dyDescent="0.25">
      <c r="A1840" s="39" t="str">
        <f>("1510030001")</f>
        <v>1510030001</v>
      </c>
      <c r="C1840" s="39"/>
      <c r="D1840" s="39" t="s">
        <v>9379</v>
      </c>
      <c r="E1840" s="371" t="str">
        <f t="shared" si="153"/>
        <v>おがわ　みなと</v>
      </c>
      <c r="F1840" s="39" t="s">
        <v>8485</v>
      </c>
      <c r="G1840" s="39" t="s">
        <v>7828</v>
      </c>
      <c r="H1840" s="39" t="str">
        <f>("2015/10/03")</f>
        <v>2015/10/03</v>
      </c>
      <c r="I1840" s="39">
        <v>4</v>
      </c>
      <c r="J1840" s="39" t="s">
        <v>1478</v>
      </c>
      <c r="K1840" s="39" t="s">
        <v>2122</v>
      </c>
      <c r="L1840" s="39" t="s">
        <v>7830</v>
      </c>
      <c r="M1840" s="39" t="s">
        <v>7831</v>
      </c>
      <c r="N1840" s="39" t="str">
        <f>("0130666")</f>
        <v>0130666</v>
      </c>
      <c r="P1840" s="39" t="s">
        <v>13300</v>
      </c>
      <c r="Q1840" s="39" t="s">
        <v>8568</v>
      </c>
      <c r="R1840" s="39" t="s">
        <v>8569</v>
      </c>
      <c r="S1840" s="39" t="s">
        <v>8570</v>
      </c>
      <c r="AK1840" s="39" t="str">
        <f>("2025/03/24")</f>
        <v>2025/03/24</v>
      </c>
      <c r="AL1840" s="39" t="str">
        <f t="shared" si="156"/>
        <v>2025/04/01</v>
      </c>
    </row>
    <row r="1841" spans="1:38" x14ac:dyDescent="0.25">
      <c r="A1841" s="39" t="str">
        <f>("1510030056")</f>
        <v>1510030056</v>
      </c>
      <c r="C1841" s="39"/>
      <c r="D1841" s="39" t="s">
        <v>9380</v>
      </c>
      <c r="E1841" s="371" t="str">
        <f t="shared" si="153"/>
        <v>たけなか　かける</v>
      </c>
      <c r="F1841" s="39" t="s">
        <v>2619</v>
      </c>
      <c r="G1841" s="39" t="s">
        <v>7828</v>
      </c>
      <c r="H1841" s="39" t="str">
        <f>("2015/10/03")</f>
        <v>2015/10/03</v>
      </c>
      <c r="I1841" s="39">
        <v>4</v>
      </c>
      <c r="J1841" s="39" t="s">
        <v>1478</v>
      </c>
      <c r="K1841" s="39" t="s">
        <v>2122</v>
      </c>
      <c r="L1841" s="39" t="s">
        <v>7830</v>
      </c>
      <c r="M1841" s="39" t="s">
        <v>7831</v>
      </c>
      <c r="N1841" s="39" t="str">
        <f>("0472823")</f>
        <v>0472823</v>
      </c>
      <c r="P1841" s="39" t="s">
        <v>13301</v>
      </c>
      <c r="Q1841" s="39" t="s">
        <v>8568</v>
      </c>
      <c r="R1841" s="39" t="s">
        <v>8569</v>
      </c>
      <c r="S1841" s="39" t="s">
        <v>8570</v>
      </c>
      <c r="AK1841" s="39" t="str">
        <f>("2025/03/17")</f>
        <v>2025/03/17</v>
      </c>
      <c r="AL1841" s="39" t="str">
        <f t="shared" si="156"/>
        <v>2025/04/01</v>
      </c>
    </row>
    <row r="1842" spans="1:38" x14ac:dyDescent="0.25">
      <c r="A1842" s="39" t="str">
        <f>("1510040066")</f>
        <v>1510040066</v>
      </c>
      <c r="C1842" s="39"/>
      <c r="D1842" s="39" t="s">
        <v>9381</v>
      </c>
      <c r="E1842" s="371" t="str">
        <f t="shared" si="153"/>
        <v>ほりお　そうた</v>
      </c>
      <c r="F1842" s="39" t="s">
        <v>2573</v>
      </c>
      <c r="G1842" s="39" t="s">
        <v>7828</v>
      </c>
      <c r="H1842" s="39" t="str">
        <f>("2015/10/04")</f>
        <v>2015/10/04</v>
      </c>
      <c r="I1842" s="39">
        <v>4</v>
      </c>
      <c r="J1842" s="39" t="s">
        <v>1478</v>
      </c>
      <c r="K1842" s="39" t="s">
        <v>2122</v>
      </c>
      <c r="L1842" s="39" t="s">
        <v>7830</v>
      </c>
      <c r="M1842" s="39" t="s">
        <v>7831</v>
      </c>
      <c r="N1842" s="39" t="str">
        <f>("0230982")</f>
        <v>0230982</v>
      </c>
      <c r="P1842" s="39" t="s">
        <v>13302</v>
      </c>
      <c r="Q1842" s="39" t="s">
        <v>8568</v>
      </c>
      <c r="R1842" s="39" t="s">
        <v>8569</v>
      </c>
      <c r="S1842" s="39" t="s">
        <v>8570</v>
      </c>
      <c r="AK1842" s="39" t="str">
        <f>("2025/03/17")</f>
        <v>2025/03/17</v>
      </c>
      <c r="AL1842" s="39" t="str">
        <f t="shared" si="156"/>
        <v>2025/04/01</v>
      </c>
    </row>
    <row r="1843" spans="1:38" x14ac:dyDescent="0.25">
      <c r="A1843" s="39" t="str">
        <f>("1510040073")</f>
        <v>1510040073</v>
      </c>
      <c r="C1843" s="39"/>
      <c r="D1843" s="39" t="s">
        <v>9382</v>
      </c>
      <c r="E1843" s="371" t="str">
        <f t="shared" si="153"/>
        <v>みやもと　ゆうり</v>
      </c>
      <c r="F1843" s="39" t="s">
        <v>3867</v>
      </c>
      <c r="G1843" s="39" t="s">
        <v>7828</v>
      </c>
      <c r="H1843" s="39" t="str">
        <f>("2015/10/04")</f>
        <v>2015/10/04</v>
      </c>
      <c r="I1843" s="39">
        <v>4</v>
      </c>
      <c r="J1843" s="39" t="s">
        <v>1478</v>
      </c>
      <c r="K1843" s="39" t="s">
        <v>2122</v>
      </c>
      <c r="L1843" s="39" t="s">
        <v>7830</v>
      </c>
      <c r="M1843" s="39" t="s">
        <v>7831</v>
      </c>
      <c r="N1843" s="39" t="str">
        <f>("0129990")</f>
        <v>0129990</v>
      </c>
      <c r="P1843" s="39" t="s">
        <v>13303</v>
      </c>
      <c r="Q1843" s="39" t="s">
        <v>8568</v>
      </c>
      <c r="R1843" s="39" t="s">
        <v>8569</v>
      </c>
      <c r="S1843" s="39" t="s">
        <v>8570</v>
      </c>
      <c r="AK1843" s="39" t="str">
        <f>("2025/04/01")</f>
        <v>2025/04/01</v>
      </c>
      <c r="AL1843" s="39" t="str">
        <f t="shared" si="156"/>
        <v>2025/04/01</v>
      </c>
    </row>
    <row r="1844" spans="1:38" x14ac:dyDescent="0.25">
      <c r="A1844" s="39" t="str">
        <f>("1510050080")</f>
        <v>1510050080</v>
      </c>
      <c r="C1844" s="39"/>
      <c r="D1844" s="39" t="s">
        <v>9383</v>
      </c>
      <c r="E1844" s="371" t="str">
        <f t="shared" si="153"/>
        <v>やすなが　ゆうと</v>
      </c>
      <c r="F1844" s="39" t="s">
        <v>2349</v>
      </c>
      <c r="G1844" s="39" t="s">
        <v>7828</v>
      </c>
      <c r="H1844" s="39" t="str">
        <f>("2015/10/05")</f>
        <v>2015/10/05</v>
      </c>
      <c r="I1844" s="39">
        <v>4</v>
      </c>
      <c r="J1844" s="39" t="s">
        <v>1478</v>
      </c>
      <c r="K1844" s="39" t="s">
        <v>2122</v>
      </c>
      <c r="L1844" s="39" t="s">
        <v>7830</v>
      </c>
      <c r="M1844" s="39" t="s">
        <v>7831</v>
      </c>
      <c r="N1844" s="39" t="str">
        <f>("0292081")</f>
        <v>0292081</v>
      </c>
      <c r="P1844" s="39" t="s">
        <v>13304</v>
      </c>
      <c r="Q1844" s="39" t="s">
        <v>8568</v>
      </c>
      <c r="R1844" s="39" t="s">
        <v>8569</v>
      </c>
      <c r="S1844" s="39" t="s">
        <v>8570</v>
      </c>
      <c r="AK1844" s="39" t="str">
        <f>("2025/03/24")</f>
        <v>2025/03/24</v>
      </c>
      <c r="AL1844" s="39" t="str">
        <f t="shared" si="156"/>
        <v>2025/04/01</v>
      </c>
    </row>
    <row r="1845" spans="1:38" x14ac:dyDescent="0.25">
      <c r="A1845" s="39" t="str">
        <f>("1510050165")</f>
        <v>1510050165</v>
      </c>
      <c r="C1845" s="39"/>
      <c r="D1845" s="39" t="s">
        <v>9384</v>
      </c>
      <c r="E1845" s="371" t="str">
        <f t="shared" si="153"/>
        <v>みやかわ　こう</v>
      </c>
      <c r="F1845" s="39" t="s">
        <v>520</v>
      </c>
      <c r="G1845" s="39" t="s">
        <v>7828</v>
      </c>
      <c r="H1845" s="39" t="str">
        <f>("2015/10/05")</f>
        <v>2015/10/05</v>
      </c>
      <c r="I1845" s="39">
        <v>4</v>
      </c>
      <c r="J1845" s="39" t="s">
        <v>1478</v>
      </c>
      <c r="K1845" s="39" t="s">
        <v>2122</v>
      </c>
      <c r="L1845" s="39" t="s">
        <v>7830</v>
      </c>
      <c r="M1845" s="39" t="s">
        <v>7831</v>
      </c>
      <c r="N1845" s="39" t="str">
        <f>("0129765")</f>
        <v>0129765</v>
      </c>
      <c r="P1845" s="39" t="s">
        <v>13305</v>
      </c>
      <c r="Q1845" s="39" t="s">
        <v>8568</v>
      </c>
      <c r="R1845" s="39" t="s">
        <v>8569</v>
      </c>
      <c r="S1845" s="39" t="s">
        <v>8570</v>
      </c>
      <c r="AK1845" s="39" t="str">
        <f>("2025/03/25")</f>
        <v>2025/03/25</v>
      </c>
      <c r="AL1845" s="39" t="str">
        <f t="shared" si="156"/>
        <v>2025/04/01</v>
      </c>
    </row>
    <row r="1846" spans="1:38" x14ac:dyDescent="0.25">
      <c r="A1846" s="39" t="str">
        <f>("1510080076")</f>
        <v>1510080076</v>
      </c>
      <c r="C1846" s="39"/>
      <c r="D1846" s="39" t="s">
        <v>9385</v>
      </c>
      <c r="E1846" s="371" t="str">
        <f t="shared" si="153"/>
        <v>たかの　りきと</v>
      </c>
      <c r="F1846" s="39" t="s">
        <v>2530</v>
      </c>
      <c r="G1846" s="39" t="s">
        <v>7828</v>
      </c>
      <c r="H1846" s="39" t="str">
        <f>("2015/10/08")</f>
        <v>2015/10/08</v>
      </c>
      <c r="I1846" s="39">
        <v>4</v>
      </c>
      <c r="J1846" s="39" t="s">
        <v>1478</v>
      </c>
      <c r="K1846" s="39" t="s">
        <v>2122</v>
      </c>
      <c r="L1846" s="39" t="s">
        <v>7830</v>
      </c>
      <c r="M1846" s="39" t="s">
        <v>7831</v>
      </c>
      <c r="N1846" s="39" t="str">
        <f>("0338756")</f>
        <v>0338756</v>
      </c>
      <c r="P1846" s="39" t="s">
        <v>13306</v>
      </c>
      <c r="Q1846" s="39" t="s">
        <v>8568</v>
      </c>
      <c r="R1846" s="39" t="s">
        <v>8569</v>
      </c>
      <c r="S1846" s="39" t="s">
        <v>8570</v>
      </c>
      <c r="AK1846" s="39" t="str">
        <f>("2025/04/01")</f>
        <v>2025/04/01</v>
      </c>
      <c r="AL1846" s="39" t="str">
        <f t="shared" si="156"/>
        <v>2025/04/01</v>
      </c>
    </row>
    <row r="1847" spans="1:38" x14ac:dyDescent="0.25">
      <c r="A1847" s="39" t="str">
        <f>("1510080141")</f>
        <v>1510080141</v>
      </c>
      <c r="C1847" s="39"/>
      <c r="D1847" s="39" t="s">
        <v>9386</v>
      </c>
      <c r="E1847" s="371" t="str">
        <f t="shared" si="153"/>
        <v>こうだ　ゆうき</v>
      </c>
      <c r="F1847" s="39" t="s">
        <v>2243</v>
      </c>
      <c r="G1847" s="39" t="s">
        <v>7828</v>
      </c>
      <c r="H1847" s="39" t="str">
        <f>("2015/10/08")</f>
        <v>2015/10/08</v>
      </c>
      <c r="I1847" s="39">
        <v>4</v>
      </c>
      <c r="J1847" s="39" t="s">
        <v>1478</v>
      </c>
      <c r="K1847" s="39" t="s">
        <v>2122</v>
      </c>
      <c r="L1847" s="39" t="s">
        <v>7830</v>
      </c>
      <c r="M1847" s="39" t="s">
        <v>7831</v>
      </c>
      <c r="N1847" s="39" t="str">
        <f>("0130565")</f>
        <v>0130565</v>
      </c>
      <c r="P1847" s="39" t="s">
        <v>13307</v>
      </c>
      <c r="Q1847" s="39" t="s">
        <v>8568</v>
      </c>
      <c r="R1847" s="39" t="s">
        <v>8569</v>
      </c>
      <c r="S1847" s="39" t="s">
        <v>8570</v>
      </c>
      <c r="AK1847" s="39" t="str">
        <f>("2025/03/17")</f>
        <v>2025/03/17</v>
      </c>
      <c r="AL1847" s="39" t="str">
        <f t="shared" si="156"/>
        <v>2025/04/01</v>
      </c>
    </row>
    <row r="1848" spans="1:38" x14ac:dyDescent="0.25">
      <c r="A1848" s="39" t="str">
        <f>("1510080171")</f>
        <v>1510080171</v>
      </c>
      <c r="C1848" s="39"/>
      <c r="D1848" s="39" t="s">
        <v>9387</v>
      </c>
      <c r="E1848" s="371" t="str">
        <f t="shared" si="153"/>
        <v>ながた　そうた</v>
      </c>
      <c r="F1848" s="39" t="s">
        <v>838</v>
      </c>
      <c r="G1848" s="39" t="s">
        <v>7828</v>
      </c>
      <c r="H1848" s="39" t="str">
        <f>("2015/10/08")</f>
        <v>2015/10/08</v>
      </c>
      <c r="I1848" s="39">
        <v>4</v>
      </c>
      <c r="J1848" s="39" t="s">
        <v>1478</v>
      </c>
      <c r="K1848" s="39" t="s">
        <v>2122</v>
      </c>
      <c r="L1848" s="39" t="s">
        <v>7830</v>
      </c>
      <c r="M1848" s="39" t="s">
        <v>7831</v>
      </c>
      <c r="N1848" s="39" t="str">
        <f>("0360021")</f>
        <v>0360021</v>
      </c>
      <c r="P1848" s="39" t="s">
        <v>13308</v>
      </c>
      <c r="Q1848" s="39" t="s">
        <v>8568</v>
      </c>
      <c r="R1848" s="39" t="s">
        <v>8569</v>
      </c>
      <c r="S1848" s="39" t="s">
        <v>8570</v>
      </c>
      <c r="AA1848" s="39" t="s">
        <v>2122</v>
      </c>
      <c r="AB1848" s="39" t="s">
        <v>7830</v>
      </c>
      <c r="AC1848" s="39" t="s">
        <v>7831</v>
      </c>
      <c r="AD1848" s="39" t="str">
        <f>("0487492")</f>
        <v>0487492</v>
      </c>
      <c r="AE1848" s="39" t="s">
        <v>1095</v>
      </c>
      <c r="AK1848" s="39" t="str">
        <f>("2025/09/02")</f>
        <v>2025/09/02</v>
      </c>
      <c r="AL1848" s="39" t="str">
        <f>("2025/09/02")</f>
        <v>2025/09/02</v>
      </c>
    </row>
    <row r="1849" spans="1:38" x14ac:dyDescent="0.25">
      <c r="A1849" s="39" t="str">
        <f>("1510090096")</f>
        <v>1510090096</v>
      </c>
      <c r="C1849" s="39"/>
      <c r="D1849" s="39" t="s">
        <v>6166</v>
      </c>
      <c r="E1849" s="371" t="str">
        <f t="shared" si="153"/>
        <v>まつかわ　とうま</v>
      </c>
      <c r="F1849" s="39" t="s">
        <v>1095</v>
      </c>
      <c r="G1849" s="39" t="s">
        <v>7828</v>
      </c>
      <c r="H1849" s="39" t="str">
        <f>("2015/10/09")</f>
        <v>2015/10/09</v>
      </c>
      <c r="I1849" s="39">
        <v>4</v>
      </c>
      <c r="J1849" s="39" t="s">
        <v>1478</v>
      </c>
      <c r="K1849" s="39" t="s">
        <v>2122</v>
      </c>
      <c r="L1849" s="39" t="s">
        <v>7830</v>
      </c>
      <c r="M1849" s="39" t="s">
        <v>7831</v>
      </c>
      <c r="N1849" s="39" t="str">
        <f>("0487492")</f>
        <v>0487492</v>
      </c>
      <c r="P1849" s="39" t="s">
        <v>13309</v>
      </c>
      <c r="Q1849" s="39" t="s">
        <v>8568</v>
      </c>
      <c r="R1849" s="39" t="s">
        <v>8569</v>
      </c>
      <c r="S1849" s="39" t="s">
        <v>8570</v>
      </c>
      <c r="AK1849" s="39" t="str">
        <f>("2025/03/21")</f>
        <v>2025/03/21</v>
      </c>
      <c r="AL1849" s="39" t="str">
        <f>("2025/04/01")</f>
        <v>2025/04/01</v>
      </c>
    </row>
    <row r="1850" spans="1:38" x14ac:dyDescent="0.25">
      <c r="A1850" s="39" t="str">
        <f>("1510090110")</f>
        <v>1510090110</v>
      </c>
      <c r="C1850" s="39"/>
      <c r="D1850" s="39" t="s">
        <v>9388</v>
      </c>
      <c r="E1850" s="371" t="str">
        <f t="shared" si="153"/>
        <v>かわの　りおと</v>
      </c>
      <c r="F1850" s="39" t="s">
        <v>413</v>
      </c>
      <c r="G1850" s="39" t="s">
        <v>7828</v>
      </c>
      <c r="H1850" s="39" t="str">
        <f>("2015/10/09")</f>
        <v>2015/10/09</v>
      </c>
      <c r="I1850" s="39">
        <v>4</v>
      </c>
      <c r="J1850" s="39" t="s">
        <v>1478</v>
      </c>
      <c r="K1850" s="39" t="s">
        <v>2122</v>
      </c>
      <c r="L1850" s="39" t="s">
        <v>7830</v>
      </c>
      <c r="M1850" s="39" t="s">
        <v>7831</v>
      </c>
      <c r="N1850" s="39" t="str">
        <f>("0436902")</f>
        <v>0436902</v>
      </c>
      <c r="P1850" s="39" t="s">
        <v>13310</v>
      </c>
      <c r="Q1850" s="39" t="s">
        <v>8568</v>
      </c>
      <c r="R1850" s="39" t="s">
        <v>8569</v>
      </c>
      <c r="S1850" s="39" t="s">
        <v>8570</v>
      </c>
      <c r="AK1850" s="39" t="str">
        <f>("2025/03/24")</f>
        <v>2025/03/24</v>
      </c>
      <c r="AL1850" s="39" t="str">
        <f>("2025/04/01")</f>
        <v>2025/04/01</v>
      </c>
    </row>
    <row r="1851" spans="1:38" x14ac:dyDescent="0.25">
      <c r="A1851" s="39" t="str">
        <f>("1510100130")</f>
        <v>1510100130</v>
      </c>
      <c r="C1851" s="39"/>
      <c r="D1851" s="39" t="s">
        <v>9389</v>
      </c>
      <c r="E1851" s="371" t="str">
        <f t="shared" si="153"/>
        <v>よしうみ　とあ</v>
      </c>
      <c r="F1851" s="39" t="s">
        <v>2349</v>
      </c>
      <c r="G1851" s="39" t="s">
        <v>7828</v>
      </c>
      <c r="H1851" s="39" t="str">
        <f>("2015/10/10")</f>
        <v>2015/10/10</v>
      </c>
      <c r="I1851" s="39">
        <v>4</v>
      </c>
      <c r="J1851" s="39" t="s">
        <v>1478</v>
      </c>
      <c r="K1851" s="39" t="s">
        <v>2122</v>
      </c>
      <c r="L1851" s="39" t="s">
        <v>7830</v>
      </c>
      <c r="M1851" s="39" t="s">
        <v>7831</v>
      </c>
      <c r="N1851" s="39" t="str">
        <f>("0292081")</f>
        <v>0292081</v>
      </c>
      <c r="P1851" s="39" t="s">
        <v>13311</v>
      </c>
      <c r="Q1851" s="39" t="s">
        <v>8568</v>
      </c>
      <c r="R1851" s="39" t="s">
        <v>8569</v>
      </c>
      <c r="S1851" s="39" t="s">
        <v>8570</v>
      </c>
      <c r="AK1851" s="39" t="str">
        <f>("2025/03/24")</f>
        <v>2025/03/24</v>
      </c>
      <c r="AL1851" s="39" t="str">
        <f>("2025/04/01")</f>
        <v>2025/04/01</v>
      </c>
    </row>
    <row r="1852" spans="1:38" x14ac:dyDescent="0.25">
      <c r="A1852" s="39" t="str">
        <f>("1510110016")</f>
        <v>1510110016</v>
      </c>
      <c r="B1852" s="39" t="s">
        <v>9390</v>
      </c>
      <c r="C1852" s="39"/>
      <c r="D1852" s="39" t="s">
        <v>6279</v>
      </c>
      <c r="E1852" s="371" t="str">
        <f t="shared" si="153"/>
        <v>むろ　たかと</v>
      </c>
      <c r="F1852" s="39" t="s">
        <v>1239</v>
      </c>
      <c r="G1852" s="39" t="s">
        <v>7828</v>
      </c>
      <c r="H1852" s="39" t="str">
        <f>("2015/10/11")</f>
        <v>2015/10/11</v>
      </c>
      <c r="I1852" s="39">
        <v>4</v>
      </c>
      <c r="J1852" s="39" t="s">
        <v>1478</v>
      </c>
      <c r="K1852" s="39" t="s">
        <v>2122</v>
      </c>
      <c r="L1852" s="39" t="s">
        <v>7830</v>
      </c>
      <c r="M1852" s="39" t="s">
        <v>7831</v>
      </c>
      <c r="N1852" s="39" t="str">
        <f>("0129585")</f>
        <v>0129585</v>
      </c>
      <c r="P1852" s="39" t="s">
        <v>13312</v>
      </c>
      <c r="Q1852" s="39" t="s">
        <v>8568</v>
      </c>
      <c r="R1852" s="39" t="s">
        <v>8569</v>
      </c>
      <c r="S1852" s="39" t="s">
        <v>8570</v>
      </c>
      <c r="AA1852" s="39" t="s">
        <v>2122</v>
      </c>
      <c r="AB1852" s="39" t="s">
        <v>7830</v>
      </c>
      <c r="AC1852" s="39" t="s">
        <v>7831</v>
      </c>
      <c r="AD1852" s="39" t="str">
        <f>("1101553")</f>
        <v>1101553</v>
      </c>
      <c r="AE1852" s="39" t="s">
        <v>5620</v>
      </c>
      <c r="AK1852" s="39" t="str">
        <f>("2025/10/07")</f>
        <v>2025/10/07</v>
      </c>
      <c r="AL1852" s="39" t="str">
        <f>("2025/10/07")</f>
        <v>2025/10/07</v>
      </c>
    </row>
    <row r="1853" spans="1:38" x14ac:dyDescent="0.25">
      <c r="A1853" s="39" t="str">
        <f>("1510110074")</f>
        <v>1510110074</v>
      </c>
      <c r="C1853" s="39"/>
      <c r="D1853" s="39" t="s">
        <v>6182</v>
      </c>
      <c r="E1853" s="371" t="str">
        <f t="shared" si="153"/>
        <v>いのうえ　えみり</v>
      </c>
      <c r="F1853" s="39" t="s">
        <v>2630</v>
      </c>
      <c r="G1853" s="39" t="s">
        <v>7828</v>
      </c>
      <c r="H1853" s="39" t="str">
        <f>("2015/10/11")</f>
        <v>2015/10/11</v>
      </c>
      <c r="I1853" s="39">
        <v>4</v>
      </c>
      <c r="J1853" s="39" t="s">
        <v>1480</v>
      </c>
      <c r="K1853" s="39" t="s">
        <v>2122</v>
      </c>
      <c r="L1853" s="39" t="s">
        <v>7830</v>
      </c>
      <c r="M1853" s="39" t="s">
        <v>7831</v>
      </c>
      <c r="N1853" s="39" t="str">
        <f>("0506269")</f>
        <v>0506269</v>
      </c>
      <c r="P1853" s="39" t="s">
        <v>13313</v>
      </c>
      <c r="Q1853" s="39" t="s">
        <v>8568</v>
      </c>
      <c r="R1853" s="39" t="s">
        <v>8569</v>
      </c>
      <c r="S1853" s="39" t="s">
        <v>8570</v>
      </c>
      <c r="AK1853" s="39" t="str">
        <f>("2025/03/17")</f>
        <v>2025/03/17</v>
      </c>
      <c r="AL1853" s="39" t="str">
        <f t="shared" ref="AL1853:AL1858" si="157">("2025/04/01")</f>
        <v>2025/04/01</v>
      </c>
    </row>
    <row r="1854" spans="1:38" x14ac:dyDescent="0.25">
      <c r="A1854" s="39" t="str">
        <f>("1510110105")</f>
        <v>1510110105</v>
      </c>
      <c r="C1854" s="39"/>
      <c r="D1854" s="39" t="s">
        <v>9391</v>
      </c>
      <c r="E1854" s="371" t="str">
        <f t="shared" si="153"/>
        <v>たけした　りんたろう</v>
      </c>
      <c r="F1854" s="39" t="s">
        <v>2544</v>
      </c>
      <c r="G1854" s="39" t="s">
        <v>7828</v>
      </c>
      <c r="H1854" s="39" t="str">
        <f>("2015/10/11")</f>
        <v>2015/10/11</v>
      </c>
      <c r="I1854" s="39">
        <v>4</v>
      </c>
      <c r="J1854" s="39" t="s">
        <v>1478</v>
      </c>
      <c r="K1854" s="39" t="s">
        <v>2122</v>
      </c>
      <c r="L1854" s="39" t="s">
        <v>7830</v>
      </c>
      <c r="M1854" s="39" t="s">
        <v>7831</v>
      </c>
      <c r="N1854" s="39" t="str">
        <f>("0130644")</f>
        <v>0130644</v>
      </c>
      <c r="P1854" s="39" t="s">
        <v>13314</v>
      </c>
      <c r="Q1854" s="39" t="s">
        <v>8568</v>
      </c>
      <c r="R1854" s="39" t="s">
        <v>8569</v>
      </c>
      <c r="S1854" s="39" t="s">
        <v>8570</v>
      </c>
      <c r="AK1854" s="39" t="str">
        <f>("2025/03/17")</f>
        <v>2025/03/17</v>
      </c>
      <c r="AL1854" s="39" t="str">
        <f t="shared" si="157"/>
        <v>2025/04/01</v>
      </c>
    </row>
    <row r="1855" spans="1:38" x14ac:dyDescent="0.25">
      <c r="A1855" s="39" t="str">
        <f>("1510130169")</f>
        <v>1510130169</v>
      </c>
      <c r="C1855" s="39"/>
      <c r="D1855" s="39" t="s">
        <v>9392</v>
      </c>
      <c r="E1855" s="371" t="str">
        <f t="shared" si="153"/>
        <v>なるせ　いちのすけ</v>
      </c>
      <c r="F1855" s="39" t="s">
        <v>520</v>
      </c>
      <c r="G1855" s="39" t="s">
        <v>7828</v>
      </c>
      <c r="H1855" s="39" t="str">
        <f>("2015/10/13")</f>
        <v>2015/10/13</v>
      </c>
      <c r="I1855" s="39">
        <v>4</v>
      </c>
      <c r="J1855" s="39" t="s">
        <v>1478</v>
      </c>
      <c r="K1855" s="39" t="s">
        <v>2122</v>
      </c>
      <c r="L1855" s="39" t="s">
        <v>7830</v>
      </c>
      <c r="M1855" s="39" t="s">
        <v>7831</v>
      </c>
      <c r="N1855" s="39" t="str">
        <f>("0129765")</f>
        <v>0129765</v>
      </c>
      <c r="P1855" s="39" t="s">
        <v>13315</v>
      </c>
      <c r="Q1855" s="39" t="s">
        <v>8568</v>
      </c>
      <c r="R1855" s="39" t="s">
        <v>8569</v>
      </c>
      <c r="S1855" s="39" t="s">
        <v>8570</v>
      </c>
      <c r="AK1855" s="39" t="str">
        <f>("2025/03/25")</f>
        <v>2025/03/25</v>
      </c>
      <c r="AL1855" s="39" t="str">
        <f t="shared" si="157"/>
        <v>2025/04/01</v>
      </c>
    </row>
    <row r="1856" spans="1:38" x14ac:dyDescent="0.25">
      <c r="A1856" s="39" t="str">
        <f>("1510140039")</f>
        <v>1510140039</v>
      </c>
      <c r="B1856" s="39" t="s">
        <v>9393</v>
      </c>
      <c r="C1856" s="39"/>
      <c r="D1856" s="39" t="s">
        <v>9394</v>
      </c>
      <c r="E1856" s="371" t="str">
        <f t="shared" si="153"/>
        <v>ひさえだ　はるか</v>
      </c>
      <c r="F1856" s="39" t="s">
        <v>8135</v>
      </c>
      <c r="G1856" s="39" t="s">
        <v>7828</v>
      </c>
      <c r="H1856" s="39" t="str">
        <f>("2015/10/14")</f>
        <v>2015/10/14</v>
      </c>
      <c r="I1856" s="39">
        <v>4</v>
      </c>
      <c r="J1856" s="39" t="s">
        <v>1480</v>
      </c>
      <c r="K1856" s="39" t="s">
        <v>2122</v>
      </c>
      <c r="L1856" s="39" t="s">
        <v>7830</v>
      </c>
      <c r="M1856" s="39" t="s">
        <v>7831</v>
      </c>
      <c r="N1856" s="39" t="str">
        <f>("0475567")</f>
        <v>0475567</v>
      </c>
      <c r="P1856" s="39" t="s">
        <v>13316</v>
      </c>
      <c r="Q1856" s="39" t="s">
        <v>8568</v>
      </c>
      <c r="R1856" s="39" t="s">
        <v>8569</v>
      </c>
      <c r="S1856" s="39" t="s">
        <v>8570</v>
      </c>
      <c r="AK1856" s="39" t="str">
        <f>("2025/03/24")</f>
        <v>2025/03/24</v>
      </c>
      <c r="AL1856" s="39" t="str">
        <f t="shared" si="157"/>
        <v>2025/04/01</v>
      </c>
    </row>
    <row r="1857" spans="1:39" x14ac:dyDescent="0.25">
      <c r="A1857" s="39" t="str">
        <f>("1510140105")</f>
        <v>1510140105</v>
      </c>
      <c r="C1857" s="39"/>
      <c r="D1857" s="39" t="s">
        <v>5785</v>
      </c>
      <c r="E1857" s="371" t="str">
        <f t="shared" si="153"/>
        <v>しおつき　まさと</v>
      </c>
      <c r="F1857" s="39" t="s">
        <v>2514</v>
      </c>
      <c r="G1857" s="39" t="s">
        <v>7828</v>
      </c>
      <c r="H1857" s="39" t="str">
        <f>("2015/10/14")</f>
        <v>2015/10/14</v>
      </c>
      <c r="I1857" s="39">
        <v>4</v>
      </c>
      <c r="J1857" s="39" t="s">
        <v>1478</v>
      </c>
      <c r="K1857" s="39" t="s">
        <v>2122</v>
      </c>
      <c r="L1857" s="39" t="s">
        <v>7830</v>
      </c>
      <c r="M1857" s="39" t="s">
        <v>7831</v>
      </c>
      <c r="N1857" s="39" t="str">
        <f>("0130093")</f>
        <v>0130093</v>
      </c>
      <c r="P1857" s="39" t="s">
        <v>13317</v>
      </c>
      <c r="Q1857" s="39" t="s">
        <v>8568</v>
      </c>
      <c r="R1857" s="39" t="s">
        <v>8569</v>
      </c>
      <c r="S1857" s="39" t="s">
        <v>8570</v>
      </c>
      <c r="AK1857" s="39" t="str">
        <f>("2025/04/01")</f>
        <v>2025/04/01</v>
      </c>
      <c r="AL1857" s="39" t="str">
        <f t="shared" si="157"/>
        <v>2025/04/01</v>
      </c>
    </row>
    <row r="1858" spans="1:39" x14ac:dyDescent="0.25">
      <c r="A1858" s="39" t="str">
        <f>("1510140138")</f>
        <v>1510140138</v>
      </c>
      <c r="C1858" s="39"/>
      <c r="D1858" s="39" t="s">
        <v>9395</v>
      </c>
      <c r="E1858" s="371" t="str">
        <f t="shared" si="153"/>
        <v>みやざき　こうせい</v>
      </c>
      <c r="F1858" s="39" t="s">
        <v>2137</v>
      </c>
      <c r="G1858" s="39" t="s">
        <v>7828</v>
      </c>
      <c r="H1858" s="39" t="str">
        <f>("2015/10/14")</f>
        <v>2015/10/14</v>
      </c>
      <c r="I1858" s="39">
        <v>4</v>
      </c>
      <c r="J1858" s="39" t="s">
        <v>1478</v>
      </c>
      <c r="K1858" s="39" t="s">
        <v>2122</v>
      </c>
      <c r="L1858" s="39" t="s">
        <v>7830</v>
      </c>
      <c r="M1858" s="39" t="s">
        <v>7831</v>
      </c>
      <c r="N1858" s="39" t="str">
        <f>("0130510")</f>
        <v>0130510</v>
      </c>
      <c r="P1858" s="39" t="s">
        <v>13102</v>
      </c>
      <c r="Q1858" s="39" t="s">
        <v>8568</v>
      </c>
      <c r="R1858" s="39" t="s">
        <v>8569</v>
      </c>
      <c r="S1858" s="39" t="s">
        <v>8570</v>
      </c>
      <c r="AK1858" s="39" t="str">
        <f>("2025/03/21")</f>
        <v>2025/03/21</v>
      </c>
      <c r="AL1858" s="39" t="str">
        <f t="shared" si="157"/>
        <v>2025/04/01</v>
      </c>
    </row>
    <row r="1859" spans="1:39" x14ac:dyDescent="0.25">
      <c r="A1859" s="39" t="str">
        <f>("1510140179")</f>
        <v>1510140179</v>
      </c>
      <c r="C1859" s="39"/>
      <c r="D1859" s="39" t="s">
        <v>9396</v>
      </c>
      <c r="E1859" s="371" t="str">
        <f t="shared" ref="E1859:E1922" si="158">PHONETIC(P1859)</f>
        <v>たけお　がく</v>
      </c>
      <c r="F1859" s="39" t="s">
        <v>2587</v>
      </c>
      <c r="G1859" s="39" t="s">
        <v>7828</v>
      </c>
      <c r="H1859" s="39" t="str">
        <f>("2015/10/14")</f>
        <v>2015/10/14</v>
      </c>
      <c r="I1859" s="39">
        <v>4</v>
      </c>
      <c r="J1859" s="39" t="s">
        <v>1478</v>
      </c>
      <c r="K1859" s="39" t="s">
        <v>2122</v>
      </c>
      <c r="L1859" s="39" t="s">
        <v>7830</v>
      </c>
      <c r="M1859" s="39" t="s">
        <v>7831</v>
      </c>
      <c r="N1859" s="39" t="str">
        <f>("0387334")</f>
        <v>0387334</v>
      </c>
      <c r="P1859" s="39" t="s">
        <v>13318</v>
      </c>
      <c r="Q1859" s="39" t="s">
        <v>8568</v>
      </c>
      <c r="R1859" s="39" t="s">
        <v>8569</v>
      </c>
      <c r="S1859" s="39" t="s">
        <v>8570</v>
      </c>
      <c r="AK1859" s="39" t="str">
        <f>("2025/04/10")</f>
        <v>2025/04/10</v>
      </c>
      <c r="AL1859" s="39" t="str">
        <f>("2025/04/10")</f>
        <v>2025/04/10</v>
      </c>
    </row>
    <row r="1860" spans="1:39" x14ac:dyDescent="0.25">
      <c r="A1860" s="39" t="str">
        <f>("1510150156")</f>
        <v>1510150156</v>
      </c>
      <c r="C1860" s="39"/>
      <c r="D1860" s="39" t="s">
        <v>9397</v>
      </c>
      <c r="E1860" s="371" t="str">
        <f t="shared" si="158"/>
        <v>ごとう　みやび</v>
      </c>
      <c r="F1860" s="39" t="s">
        <v>2325</v>
      </c>
      <c r="G1860" s="39" t="s">
        <v>7828</v>
      </c>
      <c r="H1860" s="39" t="str">
        <f>("2015/10/15")</f>
        <v>2015/10/15</v>
      </c>
      <c r="I1860" s="39">
        <v>4</v>
      </c>
      <c r="J1860" s="39" t="s">
        <v>1480</v>
      </c>
      <c r="K1860" s="39" t="s">
        <v>2122</v>
      </c>
      <c r="L1860" s="39" t="s">
        <v>7830</v>
      </c>
      <c r="M1860" s="39" t="s">
        <v>7831</v>
      </c>
      <c r="N1860" s="39" t="str">
        <f>("0155034")</f>
        <v>0155034</v>
      </c>
      <c r="P1860" s="39" t="s">
        <v>13319</v>
      </c>
      <c r="Q1860" s="39" t="s">
        <v>8568</v>
      </c>
      <c r="R1860" s="39" t="s">
        <v>8569</v>
      </c>
      <c r="S1860" s="39" t="s">
        <v>8570</v>
      </c>
      <c r="AK1860" s="39" t="str">
        <f>("2025/03/27")</f>
        <v>2025/03/27</v>
      </c>
      <c r="AL1860" s="39" t="str">
        <f>("2025/04/01")</f>
        <v>2025/04/01</v>
      </c>
    </row>
    <row r="1861" spans="1:39" x14ac:dyDescent="0.25">
      <c r="A1861" s="39" t="str">
        <f>("1510160031")</f>
        <v>1510160031</v>
      </c>
      <c r="C1861" s="39"/>
      <c r="D1861" s="39" t="s">
        <v>9398</v>
      </c>
      <c r="E1861" s="371" t="str">
        <f t="shared" si="158"/>
        <v>いいむら　りゅうが</v>
      </c>
      <c r="F1861" s="39" t="s">
        <v>8032</v>
      </c>
      <c r="G1861" s="39" t="s">
        <v>7828</v>
      </c>
      <c r="H1861" s="39" t="str">
        <f>("2015/10/16")</f>
        <v>2015/10/16</v>
      </c>
      <c r="I1861" s="39">
        <v>4</v>
      </c>
      <c r="J1861" s="39" t="s">
        <v>1478</v>
      </c>
      <c r="K1861" s="39" t="s">
        <v>2122</v>
      </c>
      <c r="L1861" s="39" t="s">
        <v>7830</v>
      </c>
      <c r="M1861" s="39" t="s">
        <v>7831</v>
      </c>
      <c r="N1861" s="39" t="str">
        <f>("0452911")</f>
        <v>0452911</v>
      </c>
      <c r="P1861" s="39" t="s">
        <v>13320</v>
      </c>
      <c r="Q1861" s="39" t="s">
        <v>8568</v>
      </c>
      <c r="R1861" s="39" t="s">
        <v>8569</v>
      </c>
      <c r="S1861" s="39" t="s">
        <v>8570</v>
      </c>
      <c r="AK1861" s="39" t="str">
        <f>("2025/04/10")</f>
        <v>2025/04/10</v>
      </c>
      <c r="AL1861" s="39" t="str">
        <f>("2025/04/01")</f>
        <v>2025/04/01</v>
      </c>
    </row>
    <row r="1862" spans="1:39" x14ac:dyDescent="0.25">
      <c r="A1862" s="39" t="str">
        <f>("1510160094")</f>
        <v>1510160094</v>
      </c>
      <c r="C1862" s="39"/>
      <c r="D1862" s="39" t="s">
        <v>9399</v>
      </c>
      <c r="E1862" s="371" t="str">
        <f t="shared" si="158"/>
        <v>みつなが　しょうらん</v>
      </c>
      <c r="F1862" s="39" t="s">
        <v>2619</v>
      </c>
      <c r="G1862" s="39" t="s">
        <v>7828</v>
      </c>
      <c r="H1862" s="39" t="str">
        <f>("2015/10/16")</f>
        <v>2015/10/16</v>
      </c>
      <c r="I1862" s="39">
        <v>4</v>
      </c>
      <c r="J1862" s="39" t="s">
        <v>1478</v>
      </c>
      <c r="K1862" s="39" t="s">
        <v>2122</v>
      </c>
      <c r="L1862" s="39" t="s">
        <v>7830</v>
      </c>
      <c r="M1862" s="39" t="s">
        <v>7831</v>
      </c>
      <c r="N1862" s="39" t="str">
        <f>("0472823")</f>
        <v>0472823</v>
      </c>
      <c r="P1862" s="39" t="s">
        <v>13321</v>
      </c>
      <c r="Q1862" s="39" t="s">
        <v>8568</v>
      </c>
      <c r="R1862" s="39" t="s">
        <v>8569</v>
      </c>
      <c r="S1862" s="39" t="s">
        <v>8570</v>
      </c>
      <c r="AK1862" s="39" t="str">
        <f>("2025/03/17")</f>
        <v>2025/03/17</v>
      </c>
      <c r="AL1862" s="39" t="str">
        <f>("2025/04/01")</f>
        <v>2025/04/01</v>
      </c>
    </row>
    <row r="1863" spans="1:39" x14ac:dyDescent="0.25">
      <c r="A1863" s="39" t="str">
        <f>("1510170084")</f>
        <v>1510170084</v>
      </c>
      <c r="C1863" s="39"/>
      <c r="D1863" s="39" t="s">
        <v>9400</v>
      </c>
      <c r="E1863" s="371" t="str">
        <f t="shared" si="158"/>
        <v>おぎの　かなで</v>
      </c>
      <c r="F1863" s="39" t="s">
        <v>2619</v>
      </c>
      <c r="G1863" s="39" t="s">
        <v>7828</v>
      </c>
      <c r="H1863" s="39" t="str">
        <f>("2015/10/17")</f>
        <v>2015/10/17</v>
      </c>
      <c r="I1863" s="39">
        <v>4</v>
      </c>
      <c r="J1863" s="39" t="s">
        <v>1478</v>
      </c>
      <c r="K1863" s="39" t="s">
        <v>2122</v>
      </c>
      <c r="L1863" s="39" t="s">
        <v>7830</v>
      </c>
      <c r="M1863" s="39" t="s">
        <v>7831</v>
      </c>
      <c r="N1863" s="39" t="str">
        <f>("0472823")</f>
        <v>0472823</v>
      </c>
      <c r="P1863" s="39" t="s">
        <v>13322</v>
      </c>
      <c r="Q1863" s="39" t="s">
        <v>8568</v>
      </c>
      <c r="R1863" s="39" t="s">
        <v>8569</v>
      </c>
      <c r="S1863" s="39" t="s">
        <v>8570</v>
      </c>
      <c r="AK1863" s="39" t="str">
        <f>("2025/03/17")</f>
        <v>2025/03/17</v>
      </c>
      <c r="AL1863" s="39" t="str">
        <f>("2025/04/01")</f>
        <v>2025/04/01</v>
      </c>
    </row>
    <row r="1864" spans="1:39" x14ac:dyDescent="0.25">
      <c r="A1864" s="39" t="str">
        <f>("1510170106")</f>
        <v>1510170106</v>
      </c>
      <c r="C1864" s="39"/>
      <c r="D1864" s="39" t="s">
        <v>9401</v>
      </c>
      <c r="E1864" s="371" t="str">
        <f t="shared" si="158"/>
        <v>しきしま　ほのか</v>
      </c>
      <c r="F1864" s="39" t="s">
        <v>2557</v>
      </c>
      <c r="G1864" s="39" t="s">
        <v>7828</v>
      </c>
      <c r="H1864" s="39" t="str">
        <f>("2015/10/17")</f>
        <v>2015/10/17</v>
      </c>
      <c r="I1864" s="39">
        <v>4</v>
      </c>
      <c r="J1864" s="39" t="s">
        <v>1480</v>
      </c>
      <c r="K1864" s="39" t="s">
        <v>2122</v>
      </c>
      <c r="L1864" s="39" t="s">
        <v>7830</v>
      </c>
      <c r="M1864" s="39" t="s">
        <v>7831</v>
      </c>
      <c r="N1864" s="39" t="str">
        <f>("0130723")</f>
        <v>0130723</v>
      </c>
      <c r="P1864" s="39" t="s">
        <v>13323</v>
      </c>
      <c r="Q1864" s="39" t="s">
        <v>8568</v>
      </c>
      <c r="R1864" s="39" t="s">
        <v>8569</v>
      </c>
      <c r="S1864" s="39" t="s">
        <v>8570</v>
      </c>
      <c r="AK1864" s="39" t="str">
        <f>("2025/03/17")</f>
        <v>2025/03/17</v>
      </c>
      <c r="AL1864" s="39" t="str">
        <f>("2025/04/01")</f>
        <v>2025/04/01</v>
      </c>
    </row>
    <row r="1865" spans="1:39" x14ac:dyDescent="0.25">
      <c r="A1865" s="39" t="str">
        <f>("1510170165")</f>
        <v>1510170165</v>
      </c>
      <c r="C1865" s="39"/>
      <c r="D1865" s="39" t="s">
        <v>9402</v>
      </c>
      <c r="E1865" s="371" t="str">
        <f t="shared" si="158"/>
        <v>たかは　りんいち</v>
      </c>
      <c r="F1865" s="39" t="s">
        <v>7864</v>
      </c>
      <c r="G1865" s="39" t="s">
        <v>7828</v>
      </c>
      <c r="H1865" s="39" t="str">
        <f>("2015/10/17")</f>
        <v>2015/10/17</v>
      </c>
      <c r="I1865" s="39">
        <v>4</v>
      </c>
      <c r="J1865" s="39" t="s">
        <v>1478</v>
      </c>
      <c r="K1865" s="39" t="s">
        <v>2122</v>
      </c>
      <c r="L1865" s="39" t="s">
        <v>7830</v>
      </c>
      <c r="M1865" s="39" t="s">
        <v>7831</v>
      </c>
      <c r="N1865" s="39" t="str">
        <f>("1039801")</f>
        <v>1039801</v>
      </c>
      <c r="P1865" s="39" t="s">
        <v>13324</v>
      </c>
      <c r="Q1865" s="39" t="s">
        <v>8568</v>
      </c>
      <c r="R1865" s="39" t="s">
        <v>8569</v>
      </c>
      <c r="S1865" s="39" t="s">
        <v>8570</v>
      </c>
      <c r="AK1865" s="39" t="str">
        <f>("2025/07/30")</f>
        <v>2025/07/30</v>
      </c>
      <c r="AL1865" s="39" t="str">
        <f>("2025/07/30")</f>
        <v>2025/07/30</v>
      </c>
    </row>
    <row r="1866" spans="1:39" x14ac:dyDescent="0.25">
      <c r="A1866" s="39" t="str">
        <f>("1510180008")</f>
        <v>1510180008</v>
      </c>
      <c r="C1866" s="39"/>
      <c r="D1866" s="39" t="s">
        <v>9403</v>
      </c>
      <c r="E1866" s="371" t="str">
        <f t="shared" si="158"/>
        <v>みやたに　りょうへい</v>
      </c>
      <c r="F1866" s="39" t="s">
        <v>3866</v>
      </c>
      <c r="G1866" s="39" t="s">
        <v>7876</v>
      </c>
      <c r="H1866" s="39" t="str">
        <f>("2015/10/18")</f>
        <v>2015/10/18</v>
      </c>
      <c r="I1866" s="39">
        <v>4</v>
      </c>
      <c r="J1866" s="39" t="s">
        <v>1478</v>
      </c>
      <c r="K1866" s="39" t="s">
        <v>2122</v>
      </c>
      <c r="L1866" s="39" t="s">
        <v>7830</v>
      </c>
      <c r="M1866" s="39" t="s">
        <v>7831</v>
      </c>
      <c r="N1866" s="39" t="str">
        <f>("0129675")</f>
        <v>0129675</v>
      </c>
      <c r="P1866" s="39" t="s">
        <v>13325</v>
      </c>
      <c r="Q1866" s="39" t="s">
        <v>8568</v>
      </c>
      <c r="R1866" s="39" t="s">
        <v>8569</v>
      </c>
      <c r="S1866" s="39" t="s">
        <v>8570</v>
      </c>
      <c r="AA1866" s="39" t="s">
        <v>2122</v>
      </c>
      <c r="AB1866" s="39" t="s">
        <v>7830</v>
      </c>
      <c r="AC1866" s="39" t="s">
        <v>7831</v>
      </c>
      <c r="AD1866" s="39" t="str">
        <f>("0129631")</f>
        <v>0129631</v>
      </c>
      <c r="AE1866" s="39" t="s">
        <v>8919</v>
      </c>
      <c r="AK1866" s="39" t="str">
        <f>("2025/04/01")</f>
        <v>2025/04/01</v>
      </c>
      <c r="AL1866" s="39" t="str">
        <f>("2025/04/01")</f>
        <v>2025/04/01</v>
      </c>
      <c r="AM1866" s="39" t="str">
        <f>("2025/12/16")</f>
        <v>2025/12/16</v>
      </c>
    </row>
    <row r="1867" spans="1:39" x14ac:dyDescent="0.25">
      <c r="A1867" s="39" t="str">
        <f>("1510190011")</f>
        <v>1510190011</v>
      </c>
      <c r="C1867" s="39"/>
      <c r="D1867" s="39" t="s">
        <v>6185</v>
      </c>
      <c r="E1867" s="371" t="str">
        <f t="shared" si="158"/>
        <v>やまもと　はる</v>
      </c>
      <c r="F1867" s="39" t="s">
        <v>2630</v>
      </c>
      <c r="G1867" s="39" t="s">
        <v>7828</v>
      </c>
      <c r="H1867" s="39" t="str">
        <f>("2015/10/19")</f>
        <v>2015/10/19</v>
      </c>
      <c r="I1867" s="39">
        <v>4</v>
      </c>
      <c r="J1867" s="39" t="s">
        <v>1478</v>
      </c>
      <c r="K1867" s="39" t="s">
        <v>2122</v>
      </c>
      <c r="L1867" s="39" t="s">
        <v>7830</v>
      </c>
      <c r="M1867" s="39" t="s">
        <v>7831</v>
      </c>
      <c r="N1867" s="39" t="str">
        <f>("0506269")</f>
        <v>0506269</v>
      </c>
      <c r="P1867" s="39" t="s">
        <v>13326</v>
      </c>
      <c r="Q1867" s="39" t="s">
        <v>8568</v>
      </c>
      <c r="R1867" s="39" t="s">
        <v>8569</v>
      </c>
      <c r="S1867" s="39" t="s">
        <v>8570</v>
      </c>
      <c r="AK1867" s="39" t="str">
        <f>("2025/03/17")</f>
        <v>2025/03/17</v>
      </c>
      <c r="AL1867" s="39" t="str">
        <f>("2025/04/01")</f>
        <v>2025/04/01</v>
      </c>
    </row>
    <row r="1868" spans="1:39" x14ac:dyDescent="0.25">
      <c r="A1868" s="39" t="str">
        <f>("1510190139")</f>
        <v>1510190139</v>
      </c>
      <c r="C1868" s="39"/>
      <c r="D1868" s="39" t="s">
        <v>9404</v>
      </c>
      <c r="E1868" s="371" t="str">
        <f t="shared" si="158"/>
        <v>かい　ともや</v>
      </c>
      <c r="F1868" s="39" t="s">
        <v>1014</v>
      </c>
      <c r="G1868" s="39" t="s">
        <v>7828</v>
      </c>
      <c r="H1868" s="39" t="str">
        <f>("2015/10/19")</f>
        <v>2015/10/19</v>
      </c>
      <c r="I1868" s="39">
        <v>4</v>
      </c>
      <c r="J1868" s="39" t="s">
        <v>1478</v>
      </c>
      <c r="K1868" s="39" t="s">
        <v>2122</v>
      </c>
      <c r="L1868" s="39" t="s">
        <v>7830</v>
      </c>
      <c r="M1868" s="39" t="s">
        <v>7831</v>
      </c>
      <c r="N1868" s="39" t="str">
        <f>("0513313")</f>
        <v>0513313</v>
      </c>
      <c r="P1868" s="39" t="s">
        <v>13327</v>
      </c>
      <c r="Q1868" s="39" t="s">
        <v>8568</v>
      </c>
      <c r="R1868" s="39" t="s">
        <v>8569</v>
      </c>
      <c r="S1868" s="39" t="s">
        <v>8570</v>
      </c>
      <c r="AK1868" s="39" t="str">
        <f>("2025/03/17")</f>
        <v>2025/03/17</v>
      </c>
      <c r="AL1868" s="39" t="str">
        <f>("2025/04/01")</f>
        <v>2025/04/01</v>
      </c>
    </row>
    <row r="1869" spans="1:39" x14ac:dyDescent="0.25">
      <c r="A1869" s="39" t="str">
        <f>("1510190144")</f>
        <v>1510190144</v>
      </c>
      <c r="C1869" s="39"/>
      <c r="D1869" s="39" t="s">
        <v>9405</v>
      </c>
      <c r="E1869" s="371" t="str">
        <f t="shared" si="158"/>
        <v>いとう　りょうま</v>
      </c>
      <c r="F1869" s="39" t="s">
        <v>2530</v>
      </c>
      <c r="G1869" s="39" t="s">
        <v>7876</v>
      </c>
      <c r="H1869" s="39" t="str">
        <f>("2015/10/19")</f>
        <v>2015/10/19</v>
      </c>
      <c r="I1869" s="39">
        <v>4</v>
      </c>
      <c r="J1869" s="39" t="s">
        <v>1478</v>
      </c>
      <c r="K1869" s="39" t="s">
        <v>2122</v>
      </c>
      <c r="L1869" s="39" t="s">
        <v>7830</v>
      </c>
      <c r="M1869" s="39" t="s">
        <v>7831</v>
      </c>
      <c r="N1869" s="39" t="str">
        <f>("0338756")</f>
        <v>0338756</v>
      </c>
      <c r="P1869" s="39" t="s">
        <v>13328</v>
      </c>
      <c r="Q1869" s="39" t="s">
        <v>8568</v>
      </c>
      <c r="R1869" s="39" t="s">
        <v>8569</v>
      </c>
      <c r="S1869" s="39" t="s">
        <v>8570</v>
      </c>
      <c r="AA1869" s="39" t="s">
        <v>2122</v>
      </c>
      <c r="AB1869" s="39" t="s">
        <v>7830</v>
      </c>
      <c r="AC1869" s="39" t="s">
        <v>7831</v>
      </c>
      <c r="AD1869" s="39" t="str">
        <f>("0436902")</f>
        <v>0436902</v>
      </c>
      <c r="AE1869" s="39" t="s">
        <v>413</v>
      </c>
      <c r="AK1869" s="39" t="str">
        <f>("2025/04/01")</f>
        <v>2025/04/01</v>
      </c>
      <c r="AL1869" s="39" t="str">
        <f>("2025/04/01")</f>
        <v>2025/04/01</v>
      </c>
      <c r="AM1869" s="39" t="str">
        <f>("2025/10/03")</f>
        <v>2025/10/03</v>
      </c>
    </row>
    <row r="1870" spans="1:39" x14ac:dyDescent="0.25">
      <c r="A1870" s="39" t="str">
        <f>("1510210077")</f>
        <v>1510210077</v>
      </c>
      <c r="C1870" s="39"/>
      <c r="D1870" s="39" t="s">
        <v>9406</v>
      </c>
      <c r="E1870" s="371" t="str">
        <f t="shared" si="158"/>
        <v>かじわら　とおま</v>
      </c>
      <c r="F1870" s="39" t="s">
        <v>2505</v>
      </c>
      <c r="G1870" s="39" t="s">
        <v>7828</v>
      </c>
      <c r="H1870" s="39" t="str">
        <f>("2015/10/21")</f>
        <v>2015/10/21</v>
      </c>
      <c r="I1870" s="39">
        <v>4</v>
      </c>
      <c r="J1870" s="39" t="s">
        <v>1478</v>
      </c>
      <c r="K1870" s="39" t="s">
        <v>2122</v>
      </c>
      <c r="L1870" s="39" t="s">
        <v>7830</v>
      </c>
      <c r="M1870" s="39" t="s">
        <v>7831</v>
      </c>
      <c r="N1870" s="39" t="str">
        <f>("0129923")</f>
        <v>0129923</v>
      </c>
      <c r="P1870" s="39" t="s">
        <v>13329</v>
      </c>
      <c r="Q1870" s="39" t="s">
        <v>8568</v>
      </c>
      <c r="R1870" s="39" t="s">
        <v>8569</v>
      </c>
      <c r="S1870" s="39" t="s">
        <v>8570</v>
      </c>
      <c r="AK1870" s="39" t="str">
        <f>("2025/03/17")</f>
        <v>2025/03/17</v>
      </c>
      <c r="AL1870" s="39" t="str">
        <f>("2025/04/01")</f>
        <v>2025/04/01</v>
      </c>
    </row>
    <row r="1871" spans="1:39" x14ac:dyDescent="0.25">
      <c r="A1871" s="39" t="str">
        <f>("1510210195")</f>
        <v>1510210195</v>
      </c>
      <c r="C1871" s="39"/>
      <c r="D1871" s="39" t="s">
        <v>9407</v>
      </c>
      <c r="E1871" s="371" t="str">
        <f t="shared" si="158"/>
        <v>くどう　じん</v>
      </c>
      <c r="F1871" s="39" t="s">
        <v>2422</v>
      </c>
      <c r="G1871" s="39" t="s">
        <v>7828</v>
      </c>
      <c r="H1871" s="39" t="str">
        <f>("2015/10/21")</f>
        <v>2015/10/21</v>
      </c>
      <c r="I1871" s="39">
        <v>4</v>
      </c>
      <c r="J1871" s="39" t="s">
        <v>1478</v>
      </c>
      <c r="K1871" s="39" t="s">
        <v>2122</v>
      </c>
      <c r="L1871" s="39" t="s">
        <v>7830</v>
      </c>
      <c r="M1871" s="39" t="s">
        <v>7831</v>
      </c>
      <c r="N1871" s="39" t="str">
        <f>("0130699")</f>
        <v>0130699</v>
      </c>
      <c r="P1871" s="39" t="s">
        <v>13330</v>
      </c>
      <c r="Q1871" s="39" t="s">
        <v>8568</v>
      </c>
      <c r="R1871" s="39" t="s">
        <v>8569</v>
      </c>
      <c r="S1871" s="39" t="s">
        <v>8570</v>
      </c>
      <c r="AK1871" s="39" t="str">
        <f>("2025/04/04")</f>
        <v>2025/04/04</v>
      </c>
      <c r="AL1871" s="39" t="str">
        <f>("2025/04/04")</f>
        <v>2025/04/04</v>
      </c>
    </row>
    <row r="1872" spans="1:39" x14ac:dyDescent="0.25">
      <c r="A1872" s="39" t="str">
        <f>("1510210196")</f>
        <v>1510210196</v>
      </c>
      <c r="C1872" s="39"/>
      <c r="D1872" s="39" t="s">
        <v>9408</v>
      </c>
      <c r="E1872" s="371" t="str">
        <f t="shared" si="158"/>
        <v>くどう　れん</v>
      </c>
      <c r="F1872" s="39" t="s">
        <v>2422</v>
      </c>
      <c r="G1872" s="39" t="s">
        <v>7828</v>
      </c>
      <c r="H1872" s="39" t="str">
        <f>("2015/10/21")</f>
        <v>2015/10/21</v>
      </c>
      <c r="I1872" s="39">
        <v>4</v>
      </c>
      <c r="J1872" s="39" t="s">
        <v>1478</v>
      </c>
      <c r="K1872" s="39" t="s">
        <v>2122</v>
      </c>
      <c r="L1872" s="39" t="s">
        <v>7830</v>
      </c>
      <c r="M1872" s="39" t="s">
        <v>7831</v>
      </c>
      <c r="N1872" s="39" t="str">
        <f>("0130699")</f>
        <v>0130699</v>
      </c>
      <c r="P1872" s="39" t="s">
        <v>13331</v>
      </c>
      <c r="Q1872" s="39" t="s">
        <v>8568</v>
      </c>
      <c r="R1872" s="39" t="s">
        <v>8569</v>
      </c>
      <c r="S1872" s="39" t="s">
        <v>8570</v>
      </c>
      <c r="AK1872" s="39" t="str">
        <f>("2025/04/04")</f>
        <v>2025/04/04</v>
      </c>
      <c r="AL1872" s="39" t="str">
        <f>("2025/04/04")</f>
        <v>2025/04/04</v>
      </c>
    </row>
    <row r="1873" spans="1:38" x14ac:dyDescent="0.25">
      <c r="A1873" s="39" t="str">
        <f>("1510220043")</f>
        <v>1510220043</v>
      </c>
      <c r="B1873" s="39" t="s">
        <v>9409</v>
      </c>
      <c r="C1873" s="39"/>
      <c r="D1873" s="39" t="s">
        <v>9410</v>
      </c>
      <c r="E1873" s="371" t="str">
        <f t="shared" si="158"/>
        <v>ひめの　こうき</v>
      </c>
      <c r="F1873" s="39" t="s">
        <v>1977</v>
      </c>
      <c r="G1873" s="39" t="s">
        <v>7828</v>
      </c>
      <c r="H1873" s="39" t="str">
        <f>("2015/10/22")</f>
        <v>2015/10/22</v>
      </c>
      <c r="I1873" s="39">
        <v>4</v>
      </c>
      <c r="J1873" s="39" t="s">
        <v>1478</v>
      </c>
      <c r="K1873" s="39" t="s">
        <v>2122</v>
      </c>
      <c r="L1873" s="39" t="s">
        <v>7830</v>
      </c>
      <c r="M1873" s="39" t="s">
        <v>7831</v>
      </c>
      <c r="N1873" s="39" t="str">
        <f>("0395254")</f>
        <v>0395254</v>
      </c>
      <c r="P1873" s="39" t="s">
        <v>13332</v>
      </c>
      <c r="Q1873" s="39" t="s">
        <v>8568</v>
      </c>
      <c r="R1873" s="39" t="s">
        <v>8569</v>
      </c>
      <c r="S1873" s="39" t="s">
        <v>8570</v>
      </c>
      <c r="AK1873" s="39" t="str">
        <f>("2025/03/17")</f>
        <v>2025/03/17</v>
      </c>
      <c r="AL1873" s="39" t="str">
        <f>("2025/04/01")</f>
        <v>2025/04/01</v>
      </c>
    </row>
    <row r="1874" spans="1:38" x14ac:dyDescent="0.25">
      <c r="A1874" s="39" t="str">
        <f>("1510220126")</f>
        <v>1510220126</v>
      </c>
      <c r="C1874" s="39"/>
      <c r="D1874" s="39" t="s">
        <v>9411</v>
      </c>
      <c r="E1874" s="371" t="str">
        <f t="shared" si="158"/>
        <v>ひめの　がく</v>
      </c>
      <c r="F1874" s="39" t="s">
        <v>7864</v>
      </c>
      <c r="G1874" s="39" t="s">
        <v>7828</v>
      </c>
      <c r="H1874" s="39" t="str">
        <f>("2015/10/22")</f>
        <v>2015/10/22</v>
      </c>
      <c r="I1874" s="39">
        <v>4</v>
      </c>
      <c r="J1874" s="39" t="s">
        <v>1478</v>
      </c>
      <c r="K1874" s="39" t="s">
        <v>2122</v>
      </c>
      <c r="L1874" s="39" t="s">
        <v>7830</v>
      </c>
      <c r="M1874" s="39" t="s">
        <v>7831</v>
      </c>
      <c r="N1874" s="39" t="str">
        <f>("1039801")</f>
        <v>1039801</v>
      </c>
      <c r="P1874" s="39" t="s">
        <v>13333</v>
      </c>
      <c r="Q1874" s="39" t="s">
        <v>8568</v>
      </c>
      <c r="R1874" s="39" t="s">
        <v>8569</v>
      </c>
      <c r="S1874" s="39" t="s">
        <v>8570</v>
      </c>
      <c r="AK1874" s="39" t="str">
        <f>("2025/03/24")</f>
        <v>2025/03/24</v>
      </c>
      <c r="AL1874" s="39" t="str">
        <f>("2025/04/01")</f>
        <v>2025/04/01</v>
      </c>
    </row>
    <row r="1875" spans="1:38" x14ac:dyDescent="0.25">
      <c r="A1875" s="39" t="str">
        <f>("1510220167")</f>
        <v>1510220167</v>
      </c>
      <c r="C1875" s="39"/>
      <c r="D1875" s="39" t="s">
        <v>9412</v>
      </c>
      <c r="E1875" s="371" t="str">
        <f t="shared" si="158"/>
        <v>たけぐち　はやと</v>
      </c>
      <c r="F1875" s="39" t="s">
        <v>1751</v>
      </c>
      <c r="G1875" s="39" t="s">
        <v>7828</v>
      </c>
      <c r="H1875" s="39" t="str">
        <f>("2015/10/22")</f>
        <v>2015/10/22</v>
      </c>
      <c r="I1875" s="39">
        <v>4</v>
      </c>
      <c r="J1875" s="39" t="s">
        <v>1478</v>
      </c>
      <c r="K1875" s="39" t="s">
        <v>2122</v>
      </c>
      <c r="L1875" s="39" t="s">
        <v>7830</v>
      </c>
      <c r="M1875" s="39" t="s">
        <v>7831</v>
      </c>
      <c r="N1875" s="39" t="str">
        <f>("0130453")</f>
        <v>0130453</v>
      </c>
      <c r="P1875" s="39" t="s">
        <v>13334</v>
      </c>
      <c r="Q1875" s="39" t="s">
        <v>8568</v>
      </c>
      <c r="R1875" s="39" t="s">
        <v>8569</v>
      </c>
      <c r="S1875" s="39" t="s">
        <v>8570</v>
      </c>
      <c r="AK1875" s="39" t="str">
        <f>("2025/03/17")</f>
        <v>2025/03/17</v>
      </c>
      <c r="AL1875" s="39" t="str">
        <f>("2025/04/01")</f>
        <v>2025/04/01</v>
      </c>
    </row>
    <row r="1876" spans="1:38" x14ac:dyDescent="0.25">
      <c r="A1876" s="39" t="str">
        <f>("1510230003")</f>
        <v>1510230003</v>
      </c>
      <c r="C1876" s="39"/>
      <c r="D1876" s="39" t="s">
        <v>9413</v>
      </c>
      <c r="E1876" s="371" t="str">
        <f t="shared" si="158"/>
        <v>なかむら　しおり</v>
      </c>
      <c r="F1876" s="39" t="s">
        <v>1014</v>
      </c>
      <c r="G1876" s="39" t="s">
        <v>7828</v>
      </c>
      <c r="H1876" s="39" t="str">
        <f>("2015/10/23")</f>
        <v>2015/10/23</v>
      </c>
      <c r="I1876" s="39">
        <v>4</v>
      </c>
      <c r="J1876" s="39" t="s">
        <v>1480</v>
      </c>
      <c r="K1876" s="39" t="s">
        <v>2122</v>
      </c>
      <c r="L1876" s="39" t="s">
        <v>7830</v>
      </c>
      <c r="M1876" s="39" t="s">
        <v>7831</v>
      </c>
      <c r="N1876" s="39" t="str">
        <f>("0513313")</f>
        <v>0513313</v>
      </c>
      <c r="P1876" s="39" t="s">
        <v>13335</v>
      </c>
      <c r="Q1876" s="39" t="s">
        <v>8568</v>
      </c>
      <c r="R1876" s="39" t="s">
        <v>8569</v>
      </c>
      <c r="S1876" s="39" t="s">
        <v>8570</v>
      </c>
      <c r="AA1876" s="39" t="s">
        <v>2122</v>
      </c>
      <c r="AB1876" s="39" t="s">
        <v>7830</v>
      </c>
      <c r="AC1876" s="39" t="s">
        <v>7831</v>
      </c>
      <c r="AD1876" s="39" t="str">
        <f>("0130363")</f>
        <v>0130363</v>
      </c>
      <c r="AE1876" s="39" t="s">
        <v>1912</v>
      </c>
      <c r="AK1876" s="39" t="str">
        <f>("2025/03/17")</f>
        <v>2025/03/17</v>
      </c>
      <c r="AL1876" s="39" t="str">
        <f>("2025/04/01")</f>
        <v>2025/04/01</v>
      </c>
    </row>
    <row r="1877" spans="1:38" x14ac:dyDescent="0.25">
      <c r="A1877" s="39" t="str">
        <f>("1510230005")</f>
        <v>1510230005</v>
      </c>
      <c r="C1877" s="39"/>
      <c r="D1877" s="39" t="s">
        <v>4816</v>
      </c>
      <c r="E1877" s="371" t="str">
        <f t="shared" si="158"/>
        <v>かわの　こうだい</v>
      </c>
      <c r="F1877" s="39" t="s">
        <v>2630</v>
      </c>
      <c r="G1877" s="39" t="s">
        <v>7828</v>
      </c>
      <c r="H1877" s="39" t="str">
        <f>("2015/10/23")</f>
        <v>2015/10/23</v>
      </c>
      <c r="I1877" s="39">
        <v>4</v>
      </c>
      <c r="J1877" s="39" t="s">
        <v>1478</v>
      </c>
      <c r="K1877" s="39" t="s">
        <v>2122</v>
      </c>
      <c r="L1877" s="39" t="s">
        <v>7830</v>
      </c>
      <c r="M1877" s="39" t="s">
        <v>7831</v>
      </c>
      <c r="N1877" s="39" t="str">
        <f>("0506269")</f>
        <v>0506269</v>
      </c>
      <c r="P1877" s="39" t="s">
        <v>13336</v>
      </c>
      <c r="Q1877" s="39" t="s">
        <v>8568</v>
      </c>
      <c r="R1877" s="39" t="s">
        <v>8569</v>
      </c>
      <c r="S1877" s="39" t="s">
        <v>8570</v>
      </c>
      <c r="AK1877" s="39" t="str">
        <f>("2025/03/17")</f>
        <v>2025/03/17</v>
      </c>
      <c r="AL1877" s="39" t="str">
        <f>("2025/04/01")</f>
        <v>2025/04/01</v>
      </c>
    </row>
    <row r="1878" spans="1:38" x14ac:dyDescent="0.25">
      <c r="A1878" s="39" t="str">
        <f>("1510230198")</f>
        <v>1510230198</v>
      </c>
      <c r="C1878" s="39"/>
      <c r="D1878" s="39" t="s">
        <v>9414</v>
      </c>
      <c r="E1878" s="371" t="str">
        <f t="shared" si="158"/>
        <v>かわの　いくと</v>
      </c>
      <c r="F1878" s="39" t="s">
        <v>1239</v>
      </c>
      <c r="G1878" s="39" t="s">
        <v>7828</v>
      </c>
      <c r="H1878" s="39" t="str">
        <f>("2015/10/23")</f>
        <v>2015/10/23</v>
      </c>
      <c r="I1878" s="39">
        <v>4</v>
      </c>
      <c r="J1878" s="39" t="s">
        <v>1478</v>
      </c>
      <c r="K1878" s="39" t="s">
        <v>2122</v>
      </c>
      <c r="L1878" s="39" t="s">
        <v>7830</v>
      </c>
      <c r="M1878" s="39" t="s">
        <v>7831</v>
      </c>
      <c r="N1878" s="39" t="str">
        <f>("0129585")</f>
        <v>0129585</v>
      </c>
      <c r="P1878" s="39" t="s">
        <v>13337</v>
      </c>
      <c r="Q1878" s="39" t="s">
        <v>8568</v>
      </c>
      <c r="R1878" s="39" t="s">
        <v>8569</v>
      </c>
      <c r="S1878" s="39" t="s">
        <v>8570</v>
      </c>
      <c r="AK1878" s="39" t="str">
        <f>("2025/10/02")</f>
        <v>2025/10/02</v>
      </c>
      <c r="AL1878" s="39" t="str">
        <f>("2025/10/02")</f>
        <v>2025/10/02</v>
      </c>
    </row>
    <row r="1879" spans="1:38" x14ac:dyDescent="0.25">
      <c r="A1879" s="39" t="str">
        <f>("1510240076")</f>
        <v>1510240076</v>
      </c>
      <c r="C1879" s="39"/>
      <c r="D1879" s="39" t="s">
        <v>9415</v>
      </c>
      <c r="E1879" s="371" t="str">
        <f t="shared" si="158"/>
        <v>えじり　やまと</v>
      </c>
      <c r="F1879" s="39" t="s">
        <v>639</v>
      </c>
      <c r="G1879" s="39" t="s">
        <v>7828</v>
      </c>
      <c r="H1879" s="39" t="str">
        <f>("2015/10/24")</f>
        <v>2015/10/24</v>
      </c>
      <c r="I1879" s="39">
        <v>4</v>
      </c>
      <c r="J1879" s="39" t="s">
        <v>1478</v>
      </c>
      <c r="K1879" s="39" t="s">
        <v>2122</v>
      </c>
      <c r="L1879" s="39" t="s">
        <v>7830</v>
      </c>
      <c r="M1879" s="39" t="s">
        <v>7831</v>
      </c>
      <c r="N1879" s="39" t="str">
        <f>("0130633")</f>
        <v>0130633</v>
      </c>
      <c r="P1879" s="39" t="s">
        <v>13338</v>
      </c>
      <c r="Q1879" s="39" t="s">
        <v>8568</v>
      </c>
      <c r="R1879" s="39" t="s">
        <v>8569</v>
      </c>
      <c r="S1879" s="39" t="s">
        <v>8570</v>
      </c>
      <c r="AK1879" s="39" t="str">
        <f>("2025/03/17")</f>
        <v>2025/03/17</v>
      </c>
      <c r="AL1879" s="39" t="str">
        <f>("2025/04/01")</f>
        <v>2025/04/01</v>
      </c>
    </row>
    <row r="1880" spans="1:38" x14ac:dyDescent="0.25">
      <c r="A1880" s="39" t="str">
        <f>("1510240083")</f>
        <v>1510240083</v>
      </c>
      <c r="C1880" s="39"/>
      <c r="D1880" s="39" t="s">
        <v>9416</v>
      </c>
      <c r="E1880" s="371" t="str">
        <f t="shared" si="158"/>
        <v>まつもと　しょうた</v>
      </c>
      <c r="F1880" s="39" t="s">
        <v>2651</v>
      </c>
      <c r="G1880" s="39" t="s">
        <v>7828</v>
      </c>
      <c r="H1880" s="39" t="str">
        <f>("2015/10/24")</f>
        <v>2015/10/24</v>
      </c>
      <c r="I1880" s="39">
        <v>4</v>
      </c>
      <c r="J1880" s="39" t="s">
        <v>1478</v>
      </c>
      <c r="K1880" s="39" t="s">
        <v>2122</v>
      </c>
      <c r="L1880" s="39" t="s">
        <v>7830</v>
      </c>
      <c r="M1880" s="39" t="s">
        <v>7831</v>
      </c>
      <c r="N1880" s="39" t="str">
        <f>("1067415")</f>
        <v>1067415</v>
      </c>
      <c r="P1880" s="39" t="s">
        <v>13339</v>
      </c>
      <c r="Q1880" s="39" t="s">
        <v>8568</v>
      </c>
      <c r="R1880" s="39" t="s">
        <v>8569</v>
      </c>
      <c r="S1880" s="39" t="s">
        <v>8570</v>
      </c>
      <c r="AK1880" s="39" t="str">
        <f>("2025/03/21")</f>
        <v>2025/03/21</v>
      </c>
      <c r="AL1880" s="39" t="str">
        <f>("2025/04/01")</f>
        <v>2025/04/01</v>
      </c>
    </row>
    <row r="1881" spans="1:38" x14ac:dyDescent="0.25">
      <c r="A1881" s="39" t="str">
        <f>("1510240125")</f>
        <v>1510240125</v>
      </c>
      <c r="C1881" s="39"/>
      <c r="D1881" s="39" t="s">
        <v>9417</v>
      </c>
      <c r="E1881" s="371" t="str">
        <f t="shared" si="158"/>
        <v>ふじた　ゆうと</v>
      </c>
      <c r="F1881" s="39" t="s">
        <v>2324</v>
      </c>
      <c r="G1881" s="39" t="s">
        <v>7828</v>
      </c>
      <c r="H1881" s="39" t="str">
        <f>("2015/10/24")</f>
        <v>2015/10/24</v>
      </c>
      <c r="I1881" s="39">
        <v>4</v>
      </c>
      <c r="J1881" s="39" t="s">
        <v>1478</v>
      </c>
      <c r="K1881" s="39" t="s">
        <v>2122</v>
      </c>
      <c r="L1881" s="39" t="s">
        <v>7830</v>
      </c>
      <c r="M1881" s="39" t="s">
        <v>7831</v>
      </c>
      <c r="N1881" s="39" t="str">
        <f>("0130486")</f>
        <v>0130486</v>
      </c>
      <c r="P1881" s="39" t="s">
        <v>13340</v>
      </c>
      <c r="Q1881" s="39" t="s">
        <v>8568</v>
      </c>
      <c r="R1881" s="39" t="s">
        <v>8569</v>
      </c>
      <c r="S1881" s="39" t="s">
        <v>8570</v>
      </c>
      <c r="AK1881" s="39" t="str">
        <f>("2025/05/09")</f>
        <v>2025/05/09</v>
      </c>
      <c r="AL1881" s="39" t="str">
        <f>("2025/05/09")</f>
        <v>2025/05/09</v>
      </c>
    </row>
    <row r="1882" spans="1:38" x14ac:dyDescent="0.25">
      <c r="A1882" s="39" t="str">
        <f>("1510260017")</f>
        <v>1510260017</v>
      </c>
      <c r="C1882" s="39"/>
      <c r="D1882" s="39" t="s">
        <v>9418</v>
      </c>
      <c r="E1882" s="371" t="str">
        <f t="shared" si="158"/>
        <v>いちば　りく</v>
      </c>
      <c r="F1882" s="39" t="s">
        <v>1239</v>
      </c>
      <c r="G1882" s="39" t="s">
        <v>7828</v>
      </c>
      <c r="H1882" s="39" t="str">
        <f>("2015/10/26")</f>
        <v>2015/10/26</v>
      </c>
      <c r="I1882" s="39">
        <v>4</v>
      </c>
      <c r="J1882" s="39" t="s">
        <v>1478</v>
      </c>
      <c r="K1882" s="39" t="s">
        <v>2122</v>
      </c>
      <c r="L1882" s="39" t="s">
        <v>7830</v>
      </c>
      <c r="M1882" s="39" t="s">
        <v>7831</v>
      </c>
      <c r="N1882" s="39" t="str">
        <f>("0129585")</f>
        <v>0129585</v>
      </c>
      <c r="P1882" s="39" t="s">
        <v>13341</v>
      </c>
      <c r="Q1882" s="39" t="s">
        <v>8568</v>
      </c>
      <c r="R1882" s="39" t="s">
        <v>8569</v>
      </c>
      <c r="S1882" s="39" t="s">
        <v>8570</v>
      </c>
      <c r="AK1882" s="39" t="str">
        <f>("2025/03/17")</f>
        <v>2025/03/17</v>
      </c>
      <c r="AL1882" s="39" t="str">
        <f>("2025/04/01")</f>
        <v>2025/04/01</v>
      </c>
    </row>
    <row r="1883" spans="1:38" x14ac:dyDescent="0.25">
      <c r="A1883" s="39" t="str">
        <f>("1510260018")</f>
        <v>1510260018</v>
      </c>
      <c r="C1883" s="39"/>
      <c r="D1883" s="39" t="s">
        <v>9419</v>
      </c>
      <c r="E1883" s="371" t="str">
        <f t="shared" si="158"/>
        <v>なかや　ゆうま</v>
      </c>
      <c r="F1883" s="39" t="s">
        <v>5615</v>
      </c>
      <c r="G1883" s="39" t="s">
        <v>7828</v>
      </c>
      <c r="H1883" s="39" t="str">
        <f>("2015/10/26")</f>
        <v>2015/10/26</v>
      </c>
      <c r="I1883" s="39">
        <v>4</v>
      </c>
      <c r="J1883" s="39" t="s">
        <v>1478</v>
      </c>
      <c r="K1883" s="39" t="s">
        <v>2122</v>
      </c>
      <c r="L1883" s="39" t="s">
        <v>7830</v>
      </c>
      <c r="M1883" s="39" t="s">
        <v>7831</v>
      </c>
      <c r="N1883" s="39" t="str">
        <f>("0129642")</f>
        <v>0129642</v>
      </c>
      <c r="P1883" s="39" t="s">
        <v>13342</v>
      </c>
      <c r="Q1883" s="39" t="s">
        <v>8568</v>
      </c>
      <c r="R1883" s="39" t="s">
        <v>8569</v>
      </c>
      <c r="S1883" s="39" t="s">
        <v>8570</v>
      </c>
      <c r="AK1883" s="39" t="str">
        <f>("2025/03/24")</f>
        <v>2025/03/24</v>
      </c>
      <c r="AL1883" s="39" t="str">
        <f>("2025/04/01")</f>
        <v>2025/04/01</v>
      </c>
    </row>
    <row r="1884" spans="1:38" x14ac:dyDescent="0.25">
      <c r="A1884" s="39" t="str">
        <f>("1510270142")</f>
        <v>1510270142</v>
      </c>
      <c r="B1884" s="39" t="s">
        <v>9420</v>
      </c>
      <c r="C1884" s="39"/>
      <c r="D1884" s="39" t="s">
        <v>9421</v>
      </c>
      <c r="E1884" s="371" t="str">
        <f t="shared" si="158"/>
        <v>あべ　たくま</v>
      </c>
      <c r="F1884" s="39" t="s">
        <v>2594</v>
      </c>
      <c r="G1884" s="39" t="s">
        <v>7828</v>
      </c>
      <c r="H1884" s="39" t="str">
        <f>("2015/10/27")</f>
        <v>2015/10/27</v>
      </c>
      <c r="I1884" s="39">
        <v>4</v>
      </c>
      <c r="J1884" s="39" t="s">
        <v>1478</v>
      </c>
      <c r="K1884" s="39" t="s">
        <v>2122</v>
      </c>
      <c r="L1884" s="39" t="s">
        <v>7830</v>
      </c>
      <c r="M1884" s="39" t="s">
        <v>7831</v>
      </c>
      <c r="N1884" s="39" t="str">
        <f>("0424583")</f>
        <v>0424583</v>
      </c>
      <c r="P1884" s="39" t="s">
        <v>13343</v>
      </c>
      <c r="Q1884" s="39" t="s">
        <v>8568</v>
      </c>
      <c r="R1884" s="39" t="s">
        <v>8569</v>
      </c>
      <c r="S1884" s="39" t="s">
        <v>8570</v>
      </c>
      <c r="AK1884" s="39" t="str">
        <f>("2025/03/17")</f>
        <v>2025/03/17</v>
      </c>
      <c r="AL1884" s="39" t="str">
        <f>("2025/04/01")</f>
        <v>2025/04/01</v>
      </c>
    </row>
    <row r="1885" spans="1:38" x14ac:dyDescent="0.25">
      <c r="A1885" s="39" t="str">
        <f>("1510280008")</f>
        <v>1510280008</v>
      </c>
      <c r="C1885" s="39"/>
      <c r="D1885" s="39" t="s">
        <v>9422</v>
      </c>
      <c r="E1885" s="371" t="str">
        <f t="shared" si="158"/>
        <v>はら　まれと</v>
      </c>
      <c r="F1885" s="39" t="s">
        <v>1692</v>
      </c>
      <c r="G1885" s="39" t="s">
        <v>7828</v>
      </c>
      <c r="H1885" s="39" t="str">
        <f>("2015/10/28")</f>
        <v>2015/10/28</v>
      </c>
      <c r="I1885" s="39">
        <v>4</v>
      </c>
      <c r="J1885" s="39" t="s">
        <v>1478</v>
      </c>
      <c r="K1885" s="39" t="s">
        <v>2122</v>
      </c>
      <c r="L1885" s="39" t="s">
        <v>7830</v>
      </c>
      <c r="M1885" s="39" t="s">
        <v>7831</v>
      </c>
      <c r="N1885" s="39" t="str">
        <f>("1052299")</f>
        <v>1052299</v>
      </c>
      <c r="P1885" s="39" t="s">
        <v>13344</v>
      </c>
      <c r="Q1885" s="39" t="s">
        <v>8568</v>
      </c>
      <c r="R1885" s="39" t="s">
        <v>8569</v>
      </c>
      <c r="S1885" s="39" t="s">
        <v>8570</v>
      </c>
      <c r="AK1885" s="39" t="str">
        <f>("2025/08/29")</f>
        <v>2025/08/29</v>
      </c>
      <c r="AL1885" s="39" t="str">
        <f>("2025/08/29")</f>
        <v>2025/08/29</v>
      </c>
    </row>
    <row r="1886" spans="1:38" x14ac:dyDescent="0.25">
      <c r="A1886" s="39" t="str">
        <f>("1510280186")</f>
        <v>1510280186</v>
      </c>
      <c r="C1886" s="39"/>
      <c r="D1886" s="39" t="s">
        <v>9423</v>
      </c>
      <c r="E1886" s="371" t="str">
        <f t="shared" si="158"/>
        <v>うちまる　きょうじろう</v>
      </c>
      <c r="F1886" s="39" t="s">
        <v>1692</v>
      </c>
      <c r="G1886" s="39" t="s">
        <v>7828</v>
      </c>
      <c r="H1886" s="39" t="str">
        <f>("2015/10/28")</f>
        <v>2015/10/28</v>
      </c>
      <c r="I1886" s="39">
        <v>4</v>
      </c>
      <c r="J1886" s="39" t="s">
        <v>1478</v>
      </c>
      <c r="K1886" s="39" t="s">
        <v>2122</v>
      </c>
      <c r="L1886" s="39" t="s">
        <v>7830</v>
      </c>
      <c r="M1886" s="39" t="s">
        <v>7831</v>
      </c>
      <c r="N1886" s="39" t="str">
        <f>("1052299")</f>
        <v>1052299</v>
      </c>
      <c r="P1886" s="39" t="s">
        <v>13345</v>
      </c>
      <c r="Q1886" s="39" t="s">
        <v>8568</v>
      </c>
      <c r="R1886" s="39" t="s">
        <v>8569</v>
      </c>
      <c r="S1886" s="39" t="s">
        <v>8570</v>
      </c>
      <c r="AK1886" s="39" t="str">
        <f>("2025/03/17")</f>
        <v>2025/03/17</v>
      </c>
      <c r="AL1886" s="39" t="str">
        <f>("2025/04/01")</f>
        <v>2025/04/01</v>
      </c>
    </row>
    <row r="1887" spans="1:38" x14ac:dyDescent="0.25">
      <c r="A1887" s="39" t="str">
        <f>("1510280232")</f>
        <v>1510280232</v>
      </c>
      <c r="C1887" s="39"/>
      <c r="D1887" s="39" t="s">
        <v>9424</v>
      </c>
      <c r="E1887" s="371" t="str">
        <f t="shared" si="158"/>
        <v>ひがし　るいと</v>
      </c>
      <c r="F1887" s="39" t="s">
        <v>1446</v>
      </c>
      <c r="G1887" s="39" t="s">
        <v>7828</v>
      </c>
      <c r="H1887" s="39" t="str">
        <f>("2015/10/28")</f>
        <v>2015/10/28</v>
      </c>
      <c r="I1887" s="39">
        <v>4</v>
      </c>
      <c r="J1887" s="39" t="s">
        <v>1478</v>
      </c>
      <c r="K1887" s="39" t="s">
        <v>2122</v>
      </c>
      <c r="L1887" s="39" t="s">
        <v>7830</v>
      </c>
      <c r="M1887" s="39" t="s">
        <v>7831</v>
      </c>
      <c r="N1887" s="39" t="str">
        <f>("0478807")</f>
        <v>0478807</v>
      </c>
      <c r="P1887" s="39" t="s">
        <v>13346</v>
      </c>
      <c r="Q1887" s="39" t="s">
        <v>8568</v>
      </c>
      <c r="R1887" s="39" t="s">
        <v>8569</v>
      </c>
      <c r="S1887" s="39" t="s">
        <v>8570</v>
      </c>
      <c r="AK1887" s="39" t="str">
        <f>("2025/09/17")</f>
        <v>2025/09/17</v>
      </c>
      <c r="AL1887" s="39" t="str">
        <f>("2025/09/17")</f>
        <v>2025/09/17</v>
      </c>
    </row>
    <row r="1888" spans="1:38" x14ac:dyDescent="0.25">
      <c r="A1888" s="39" t="str">
        <f>("1510290188")</f>
        <v>1510290188</v>
      </c>
      <c r="C1888" s="39"/>
      <c r="D1888" s="39" t="s">
        <v>9425</v>
      </c>
      <c r="E1888" s="371" t="str">
        <f t="shared" si="158"/>
        <v>なかの　そうた</v>
      </c>
      <c r="F1888" s="39" t="s">
        <v>2485</v>
      </c>
      <c r="G1888" s="39" t="s">
        <v>7828</v>
      </c>
      <c r="H1888" s="39" t="str">
        <f>("2015/10/29")</f>
        <v>2015/10/29</v>
      </c>
      <c r="I1888" s="39">
        <v>4</v>
      </c>
      <c r="J1888" s="39" t="s">
        <v>1478</v>
      </c>
      <c r="K1888" s="39" t="s">
        <v>2122</v>
      </c>
      <c r="L1888" s="39" t="s">
        <v>7830</v>
      </c>
      <c r="M1888" s="39" t="s">
        <v>7831</v>
      </c>
      <c r="N1888" s="39" t="str">
        <f>("0129754")</f>
        <v>0129754</v>
      </c>
      <c r="P1888" s="39" t="s">
        <v>13347</v>
      </c>
      <c r="Q1888" s="39" t="s">
        <v>8568</v>
      </c>
      <c r="R1888" s="39" t="s">
        <v>8569</v>
      </c>
      <c r="S1888" s="39" t="s">
        <v>8570</v>
      </c>
      <c r="AK1888" s="39" t="str">
        <f>("2025/03/24")</f>
        <v>2025/03/24</v>
      </c>
      <c r="AL1888" s="39" t="str">
        <f t="shared" ref="AL1888:AL1897" si="159">("2025/04/01")</f>
        <v>2025/04/01</v>
      </c>
    </row>
    <row r="1889" spans="1:39" x14ac:dyDescent="0.25">
      <c r="A1889" s="39" t="str">
        <f>("1510300139")</f>
        <v>1510300139</v>
      </c>
      <c r="C1889" s="39"/>
      <c r="D1889" s="39" t="s">
        <v>9426</v>
      </c>
      <c r="E1889" s="371" t="str">
        <f t="shared" si="158"/>
        <v>とまり　みお</v>
      </c>
      <c r="F1889" s="39" t="s">
        <v>2557</v>
      </c>
      <c r="G1889" s="39" t="s">
        <v>7828</v>
      </c>
      <c r="H1889" s="39" t="str">
        <f>("2015/10/30")</f>
        <v>2015/10/30</v>
      </c>
      <c r="I1889" s="39">
        <v>4</v>
      </c>
      <c r="J1889" s="39" t="s">
        <v>1478</v>
      </c>
      <c r="K1889" s="39" t="s">
        <v>2122</v>
      </c>
      <c r="L1889" s="39" t="s">
        <v>7830</v>
      </c>
      <c r="M1889" s="39" t="s">
        <v>7831</v>
      </c>
      <c r="N1889" s="39" t="str">
        <f>("0130723")</f>
        <v>0130723</v>
      </c>
      <c r="P1889" s="39" t="s">
        <v>13348</v>
      </c>
      <c r="Q1889" s="39" t="s">
        <v>8568</v>
      </c>
      <c r="R1889" s="39" t="s">
        <v>8569</v>
      </c>
      <c r="S1889" s="39" t="s">
        <v>8570</v>
      </c>
      <c r="AK1889" s="39" t="str">
        <f>("2025/03/17")</f>
        <v>2025/03/17</v>
      </c>
      <c r="AL1889" s="39" t="str">
        <f t="shared" si="159"/>
        <v>2025/04/01</v>
      </c>
    </row>
    <row r="1890" spans="1:39" x14ac:dyDescent="0.25">
      <c r="A1890" s="39" t="str">
        <f>("1510310099")</f>
        <v>1510310099</v>
      </c>
      <c r="C1890" s="39"/>
      <c r="D1890" s="39" t="s">
        <v>9427</v>
      </c>
      <c r="E1890" s="371" t="str">
        <f t="shared" si="158"/>
        <v>しゅとう　おうすけ</v>
      </c>
      <c r="F1890" s="39" t="s">
        <v>2587</v>
      </c>
      <c r="G1890" s="39" t="s">
        <v>7828</v>
      </c>
      <c r="H1890" s="39" t="str">
        <f>("2015/10/31")</f>
        <v>2015/10/31</v>
      </c>
      <c r="I1890" s="39">
        <v>4</v>
      </c>
      <c r="J1890" s="39" t="s">
        <v>1478</v>
      </c>
      <c r="K1890" s="39" t="s">
        <v>2122</v>
      </c>
      <c r="L1890" s="39" t="s">
        <v>7830</v>
      </c>
      <c r="M1890" s="39" t="s">
        <v>7831</v>
      </c>
      <c r="N1890" s="39" t="str">
        <f>("0387334")</f>
        <v>0387334</v>
      </c>
      <c r="P1890" s="39" t="s">
        <v>13349</v>
      </c>
      <c r="Q1890" s="39" t="s">
        <v>8568</v>
      </c>
      <c r="R1890" s="39" t="s">
        <v>8569</v>
      </c>
      <c r="S1890" s="39" t="s">
        <v>8570</v>
      </c>
      <c r="AK1890" s="39" t="str">
        <f>("2025/03/27")</f>
        <v>2025/03/27</v>
      </c>
      <c r="AL1890" s="39" t="str">
        <f t="shared" si="159"/>
        <v>2025/04/01</v>
      </c>
    </row>
    <row r="1891" spans="1:39" x14ac:dyDescent="0.25">
      <c r="A1891" s="39" t="str">
        <f>("1511010002")</f>
        <v>1511010002</v>
      </c>
      <c r="B1891" s="39" t="s">
        <v>9428</v>
      </c>
      <c r="C1891" s="39"/>
      <c r="D1891" s="39" t="s">
        <v>9429</v>
      </c>
      <c r="E1891" s="371" t="str">
        <f t="shared" si="158"/>
        <v>ないとう　ちあき</v>
      </c>
      <c r="F1891" s="39" t="s">
        <v>838</v>
      </c>
      <c r="G1891" s="39" t="s">
        <v>7828</v>
      </c>
      <c r="H1891" s="39" t="str">
        <f>("2015/11/01")</f>
        <v>2015/11/01</v>
      </c>
      <c r="I1891" s="39">
        <v>4</v>
      </c>
      <c r="J1891" s="39" t="s">
        <v>1478</v>
      </c>
      <c r="K1891" s="39" t="s">
        <v>2122</v>
      </c>
      <c r="L1891" s="39" t="s">
        <v>7830</v>
      </c>
      <c r="M1891" s="39" t="s">
        <v>7831</v>
      </c>
      <c r="N1891" s="39" t="str">
        <f>("0360021")</f>
        <v>0360021</v>
      </c>
      <c r="P1891" s="39" t="s">
        <v>13350</v>
      </c>
      <c r="Q1891" s="39" t="s">
        <v>8568</v>
      </c>
      <c r="R1891" s="39" t="s">
        <v>8569</v>
      </c>
      <c r="S1891" s="39" t="s">
        <v>8570</v>
      </c>
      <c r="AA1891" s="39" t="s">
        <v>2122</v>
      </c>
      <c r="AB1891" s="39" t="s">
        <v>7830</v>
      </c>
      <c r="AC1891" s="39" t="s">
        <v>7831</v>
      </c>
      <c r="AD1891" s="39" t="str">
        <f>("0129631")</f>
        <v>0129631</v>
      </c>
      <c r="AE1891" s="39" t="s">
        <v>8919</v>
      </c>
      <c r="AK1891" s="39" t="str">
        <f>("2025/03/17")</f>
        <v>2025/03/17</v>
      </c>
      <c r="AL1891" s="39" t="str">
        <f t="shared" si="159"/>
        <v>2025/04/01</v>
      </c>
    </row>
    <row r="1892" spans="1:39" x14ac:dyDescent="0.25">
      <c r="A1892" s="39" t="str">
        <f>("1511010008")</f>
        <v>1511010008</v>
      </c>
      <c r="C1892" s="39"/>
      <c r="D1892" s="39" t="s">
        <v>5949</v>
      </c>
      <c r="E1892" s="371" t="str">
        <f t="shared" si="158"/>
        <v>いけべ　みなと</v>
      </c>
      <c r="F1892" s="39" t="s">
        <v>928</v>
      </c>
      <c r="G1892" s="39" t="s">
        <v>7828</v>
      </c>
      <c r="H1892" s="39" t="str">
        <f>("2015/11/01")</f>
        <v>2015/11/01</v>
      </c>
      <c r="I1892" s="39">
        <v>4</v>
      </c>
      <c r="J1892" s="39" t="s">
        <v>1478</v>
      </c>
      <c r="K1892" s="39" t="s">
        <v>2122</v>
      </c>
      <c r="L1892" s="39" t="s">
        <v>7830</v>
      </c>
      <c r="M1892" s="39" t="s">
        <v>7831</v>
      </c>
      <c r="N1892" s="39" t="str">
        <f>("0130532")</f>
        <v>0130532</v>
      </c>
      <c r="P1892" s="39" t="s">
        <v>13351</v>
      </c>
      <c r="Q1892" s="39" t="s">
        <v>8568</v>
      </c>
      <c r="R1892" s="39" t="s">
        <v>8569</v>
      </c>
      <c r="S1892" s="39" t="s">
        <v>8570</v>
      </c>
      <c r="AA1892" s="39" t="s">
        <v>2122</v>
      </c>
      <c r="AB1892" s="39" t="s">
        <v>7830</v>
      </c>
      <c r="AC1892" s="39" t="s">
        <v>7831</v>
      </c>
      <c r="AD1892" s="39" t="str">
        <f>("0130734")</f>
        <v>0130734</v>
      </c>
      <c r="AE1892" s="39" t="s">
        <v>188</v>
      </c>
      <c r="AK1892" s="39" t="str">
        <f>("2025/03/31")</f>
        <v>2025/03/31</v>
      </c>
      <c r="AL1892" s="39" t="str">
        <f t="shared" si="159"/>
        <v>2025/04/01</v>
      </c>
      <c r="AM1892" s="39" t="str">
        <f>("2025/04/14")</f>
        <v>2025/04/14</v>
      </c>
    </row>
    <row r="1893" spans="1:39" x14ac:dyDescent="0.25">
      <c r="A1893" s="39" t="str">
        <f>("1511010025")</f>
        <v>1511010025</v>
      </c>
      <c r="B1893" s="39" t="s">
        <v>9430</v>
      </c>
      <c r="C1893" s="39"/>
      <c r="D1893" s="39" t="s">
        <v>9431</v>
      </c>
      <c r="E1893" s="371" t="str">
        <f t="shared" si="158"/>
        <v>いわさき　ふうま</v>
      </c>
      <c r="F1893" s="39" t="s">
        <v>2138</v>
      </c>
      <c r="G1893" s="39" t="s">
        <v>7828</v>
      </c>
      <c r="H1893" s="39" t="str">
        <f>("2015/11/01")</f>
        <v>2015/11/01</v>
      </c>
      <c r="I1893" s="39">
        <v>4</v>
      </c>
      <c r="J1893" s="39" t="s">
        <v>1478</v>
      </c>
      <c r="K1893" s="39" t="s">
        <v>2122</v>
      </c>
      <c r="L1893" s="39" t="s">
        <v>7830</v>
      </c>
      <c r="M1893" s="39" t="s">
        <v>7831</v>
      </c>
      <c r="N1893" s="39" t="str">
        <f>("0130082")</f>
        <v>0130082</v>
      </c>
      <c r="P1893" s="39" t="s">
        <v>13352</v>
      </c>
      <c r="Q1893" s="39" t="s">
        <v>8568</v>
      </c>
      <c r="R1893" s="39" t="s">
        <v>8569</v>
      </c>
      <c r="S1893" s="39" t="s">
        <v>8570</v>
      </c>
      <c r="AK1893" s="39" t="str">
        <f>("2025/03/17")</f>
        <v>2025/03/17</v>
      </c>
      <c r="AL1893" s="39" t="str">
        <f t="shared" si="159"/>
        <v>2025/04/01</v>
      </c>
    </row>
    <row r="1894" spans="1:39" x14ac:dyDescent="0.25">
      <c r="A1894" s="39" t="str">
        <f>("1511010072")</f>
        <v>1511010072</v>
      </c>
      <c r="C1894" s="39"/>
      <c r="D1894" s="39" t="s">
        <v>9432</v>
      </c>
      <c r="E1894" s="371" t="str">
        <f t="shared" si="158"/>
        <v>つるはら　ちひろ</v>
      </c>
      <c r="F1894" s="39" t="s">
        <v>2323</v>
      </c>
      <c r="G1894" s="39" t="s">
        <v>7828</v>
      </c>
      <c r="H1894" s="39" t="str">
        <f>("2015/11/01")</f>
        <v>2015/11/01</v>
      </c>
      <c r="I1894" s="39">
        <v>4</v>
      </c>
      <c r="J1894" s="39" t="s">
        <v>1478</v>
      </c>
      <c r="K1894" s="39" t="s">
        <v>2122</v>
      </c>
      <c r="L1894" s="39" t="s">
        <v>7830</v>
      </c>
      <c r="M1894" s="39" t="s">
        <v>7831</v>
      </c>
      <c r="N1894" s="39" t="str">
        <f>("0472722")</f>
        <v>0472722</v>
      </c>
      <c r="P1894" s="39" t="s">
        <v>13353</v>
      </c>
      <c r="Q1894" s="39" t="s">
        <v>8568</v>
      </c>
      <c r="R1894" s="39" t="s">
        <v>8569</v>
      </c>
      <c r="S1894" s="39" t="s">
        <v>8570</v>
      </c>
      <c r="AK1894" s="39" t="str">
        <f>("2025/03/17")</f>
        <v>2025/03/17</v>
      </c>
      <c r="AL1894" s="39" t="str">
        <f t="shared" si="159"/>
        <v>2025/04/01</v>
      </c>
    </row>
    <row r="1895" spans="1:39" x14ac:dyDescent="0.25">
      <c r="A1895" s="39" t="str">
        <f>("1511020044")</f>
        <v>1511020044</v>
      </c>
      <c r="B1895" s="39" t="s">
        <v>9433</v>
      </c>
      <c r="C1895" s="39"/>
      <c r="D1895" s="39" t="s">
        <v>9434</v>
      </c>
      <c r="E1895" s="371" t="str">
        <f t="shared" si="158"/>
        <v>ゆきひら　かいせい</v>
      </c>
      <c r="F1895" s="39" t="s">
        <v>2821</v>
      </c>
      <c r="G1895" s="39" t="s">
        <v>7828</v>
      </c>
      <c r="H1895" s="39" t="str">
        <f>("2015/11/02")</f>
        <v>2015/11/02</v>
      </c>
      <c r="I1895" s="39">
        <v>4</v>
      </c>
      <c r="J1895" s="39" t="s">
        <v>1478</v>
      </c>
      <c r="K1895" s="39" t="s">
        <v>2122</v>
      </c>
      <c r="L1895" s="39" t="s">
        <v>7830</v>
      </c>
      <c r="M1895" s="39" t="s">
        <v>7831</v>
      </c>
      <c r="N1895" s="39" t="str">
        <f>("0237631")</f>
        <v>0237631</v>
      </c>
      <c r="P1895" s="39" t="s">
        <v>13354</v>
      </c>
      <c r="Q1895" s="39" t="s">
        <v>8568</v>
      </c>
      <c r="R1895" s="39" t="s">
        <v>8569</v>
      </c>
      <c r="S1895" s="39" t="s">
        <v>8570</v>
      </c>
      <c r="AK1895" s="39" t="str">
        <f>("2025/03/17")</f>
        <v>2025/03/17</v>
      </c>
      <c r="AL1895" s="39" t="str">
        <f t="shared" si="159"/>
        <v>2025/04/01</v>
      </c>
    </row>
    <row r="1896" spans="1:39" x14ac:dyDescent="0.25">
      <c r="A1896" s="39" t="str">
        <f>("1511040046")</f>
        <v>1511040046</v>
      </c>
      <c r="C1896" s="39"/>
      <c r="D1896" s="39" t="s">
        <v>9435</v>
      </c>
      <c r="E1896" s="371" t="str">
        <f t="shared" si="158"/>
        <v>なかの　こうすけ</v>
      </c>
      <c r="F1896" s="39" t="s">
        <v>2878</v>
      </c>
      <c r="G1896" s="39" t="s">
        <v>7828</v>
      </c>
      <c r="H1896" s="39" t="str">
        <f>("2015/11/04")</f>
        <v>2015/11/04</v>
      </c>
      <c r="I1896" s="39">
        <v>4</v>
      </c>
      <c r="J1896" s="39" t="s">
        <v>1478</v>
      </c>
      <c r="K1896" s="39" t="s">
        <v>2122</v>
      </c>
      <c r="L1896" s="39" t="s">
        <v>7830</v>
      </c>
      <c r="M1896" s="39" t="s">
        <v>7831</v>
      </c>
      <c r="N1896" s="39" t="str">
        <f>("0129484")</f>
        <v>0129484</v>
      </c>
      <c r="P1896" s="39" t="s">
        <v>13355</v>
      </c>
      <c r="Q1896" s="39" t="s">
        <v>8568</v>
      </c>
      <c r="R1896" s="39" t="s">
        <v>8569</v>
      </c>
      <c r="S1896" s="39" t="s">
        <v>8570</v>
      </c>
      <c r="AK1896" s="39" t="str">
        <f>("2025/03/17")</f>
        <v>2025/03/17</v>
      </c>
      <c r="AL1896" s="39" t="str">
        <f t="shared" si="159"/>
        <v>2025/04/01</v>
      </c>
    </row>
    <row r="1897" spans="1:39" x14ac:dyDescent="0.25">
      <c r="A1897" s="39" t="str">
        <f>("1511050007")</f>
        <v>1511050007</v>
      </c>
      <c r="B1897" s="39" t="s">
        <v>9436</v>
      </c>
      <c r="C1897" s="39"/>
      <c r="D1897" s="39" t="s">
        <v>8902</v>
      </c>
      <c r="E1897" s="371" t="str">
        <f t="shared" si="158"/>
        <v>ごとう　とあ</v>
      </c>
      <c r="F1897" s="39" t="s">
        <v>8485</v>
      </c>
      <c r="G1897" s="39" t="s">
        <v>7828</v>
      </c>
      <c r="H1897" s="39" t="str">
        <f>("2015/11/05")</f>
        <v>2015/11/05</v>
      </c>
      <c r="I1897" s="39">
        <v>4</v>
      </c>
      <c r="J1897" s="39" t="s">
        <v>1478</v>
      </c>
      <c r="K1897" s="39" t="s">
        <v>2122</v>
      </c>
      <c r="L1897" s="39" t="s">
        <v>7830</v>
      </c>
      <c r="M1897" s="39" t="s">
        <v>7831</v>
      </c>
      <c r="N1897" s="39" t="str">
        <f>("0130666")</f>
        <v>0130666</v>
      </c>
      <c r="P1897" s="39" t="s">
        <v>13356</v>
      </c>
      <c r="Q1897" s="39" t="s">
        <v>8568</v>
      </c>
      <c r="R1897" s="39" t="s">
        <v>8569</v>
      </c>
      <c r="S1897" s="39" t="s">
        <v>8570</v>
      </c>
      <c r="AK1897" s="39" t="str">
        <f>("2025/03/24")</f>
        <v>2025/03/24</v>
      </c>
      <c r="AL1897" s="39" t="str">
        <f t="shared" si="159"/>
        <v>2025/04/01</v>
      </c>
    </row>
    <row r="1898" spans="1:39" x14ac:dyDescent="0.25">
      <c r="A1898" s="39" t="str">
        <f>("1511060165")</f>
        <v>1511060165</v>
      </c>
      <c r="C1898" s="39"/>
      <c r="D1898" s="39" t="s">
        <v>9437</v>
      </c>
      <c r="E1898" s="371" t="str">
        <f t="shared" si="158"/>
        <v>しげとみ　おうすけ</v>
      </c>
      <c r="F1898" s="39" t="s">
        <v>639</v>
      </c>
      <c r="G1898" s="39" t="s">
        <v>7828</v>
      </c>
      <c r="H1898" s="39" t="str">
        <f>("2015/11/06")</f>
        <v>2015/11/06</v>
      </c>
      <c r="I1898" s="39">
        <v>4</v>
      </c>
      <c r="J1898" s="39" t="s">
        <v>1478</v>
      </c>
      <c r="K1898" s="39" t="s">
        <v>2122</v>
      </c>
      <c r="L1898" s="39" t="s">
        <v>7830</v>
      </c>
      <c r="M1898" s="39" t="s">
        <v>7831</v>
      </c>
      <c r="N1898" s="39" t="str">
        <f>("0130633")</f>
        <v>0130633</v>
      </c>
      <c r="P1898" s="39" t="s">
        <v>13357</v>
      </c>
      <c r="Q1898" s="39" t="s">
        <v>8568</v>
      </c>
      <c r="R1898" s="39" t="s">
        <v>8569</v>
      </c>
      <c r="S1898" s="39" t="s">
        <v>8570</v>
      </c>
      <c r="AK1898" s="39" t="str">
        <f>("2025/04/14")</f>
        <v>2025/04/14</v>
      </c>
      <c r="AL1898" s="39" t="str">
        <f>("2025/04/14")</f>
        <v>2025/04/14</v>
      </c>
      <c r="AM1898" s="39" t="str">
        <f>("2025/04/15")</f>
        <v>2025/04/15</v>
      </c>
    </row>
    <row r="1899" spans="1:39" x14ac:dyDescent="0.25">
      <c r="A1899" s="39" t="str">
        <f>("1511070026")</f>
        <v>1511070026</v>
      </c>
      <c r="C1899" s="39"/>
      <c r="D1899" s="39" t="s">
        <v>9438</v>
      </c>
      <c r="E1899" s="371" t="str">
        <f t="shared" si="158"/>
        <v>よしたけ　しゅうと</v>
      </c>
      <c r="F1899" s="39" t="s">
        <v>1917</v>
      </c>
      <c r="G1899" s="39" t="s">
        <v>7828</v>
      </c>
      <c r="H1899" s="39" t="str">
        <f>("2015/11/07")</f>
        <v>2015/11/07</v>
      </c>
      <c r="I1899" s="39">
        <v>4</v>
      </c>
      <c r="J1899" s="39" t="s">
        <v>1478</v>
      </c>
      <c r="K1899" s="39" t="s">
        <v>2122</v>
      </c>
      <c r="L1899" s="39" t="s">
        <v>7830</v>
      </c>
      <c r="M1899" s="39" t="s">
        <v>7831</v>
      </c>
      <c r="N1899" s="39" t="str">
        <f>("1032161")</f>
        <v>1032161</v>
      </c>
      <c r="P1899" s="39" t="s">
        <v>13358</v>
      </c>
      <c r="Q1899" s="39" t="s">
        <v>8568</v>
      </c>
      <c r="R1899" s="39" t="s">
        <v>8569</v>
      </c>
      <c r="S1899" s="39" t="s">
        <v>8570</v>
      </c>
      <c r="AA1899" s="39" t="s">
        <v>2122</v>
      </c>
      <c r="AB1899" s="39" t="s">
        <v>7830</v>
      </c>
      <c r="AC1899" s="39" t="s">
        <v>7831</v>
      </c>
      <c r="AD1899" s="39" t="str">
        <f>("0513313")</f>
        <v>0513313</v>
      </c>
      <c r="AE1899" s="39" t="s">
        <v>1014</v>
      </c>
      <c r="AK1899" s="39" t="str">
        <f>("2025/09/24")</f>
        <v>2025/09/24</v>
      </c>
      <c r="AL1899" s="39" t="str">
        <f>("2025/09/24")</f>
        <v>2025/09/24</v>
      </c>
    </row>
    <row r="1900" spans="1:39" x14ac:dyDescent="0.25">
      <c r="A1900" s="39" t="str">
        <f>("1511080013")</f>
        <v>1511080013</v>
      </c>
      <c r="C1900" s="39"/>
      <c r="D1900" s="39" t="s">
        <v>9439</v>
      </c>
      <c r="E1900" s="371" t="str">
        <f t="shared" si="158"/>
        <v>たけよし　はなか</v>
      </c>
      <c r="F1900" s="39" t="s">
        <v>2299</v>
      </c>
      <c r="G1900" s="39" t="s">
        <v>7828</v>
      </c>
      <c r="H1900" s="39" t="str">
        <f>("2015/11/08")</f>
        <v>2015/11/08</v>
      </c>
      <c r="I1900" s="39">
        <v>4</v>
      </c>
      <c r="J1900" s="39" t="s">
        <v>1480</v>
      </c>
      <c r="K1900" s="39" t="s">
        <v>2122</v>
      </c>
      <c r="L1900" s="39" t="s">
        <v>7830</v>
      </c>
      <c r="M1900" s="39" t="s">
        <v>7831</v>
      </c>
      <c r="N1900" s="39" t="str">
        <f>("1066647")</f>
        <v>1066647</v>
      </c>
      <c r="P1900" s="39" t="s">
        <v>13359</v>
      </c>
      <c r="Q1900" s="39" t="s">
        <v>8568</v>
      </c>
      <c r="R1900" s="39" t="s">
        <v>8569</v>
      </c>
      <c r="S1900" s="39" t="s">
        <v>8570</v>
      </c>
      <c r="AK1900" s="39" t="str">
        <f>("2025/03/21")</f>
        <v>2025/03/21</v>
      </c>
      <c r="AL1900" s="39" t="str">
        <f t="shared" ref="AL1900:AL1910" si="160">("2025/04/01")</f>
        <v>2025/04/01</v>
      </c>
    </row>
    <row r="1901" spans="1:39" x14ac:dyDescent="0.25">
      <c r="A1901" s="39" t="str">
        <f>("1511080094")</f>
        <v>1511080094</v>
      </c>
      <c r="C1901" s="39"/>
      <c r="D1901" s="39" t="s">
        <v>9440</v>
      </c>
      <c r="E1901" s="371" t="str">
        <f t="shared" si="158"/>
        <v>さとう　たつき</v>
      </c>
      <c r="F1901" s="39" t="s">
        <v>2188</v>
      </c>
      <c r="G1901" s="39" t="s">
        <v>7828</v>
      </c>
      <c r="H1901" s="39" t="str">
        <f>("2015/11/08")</f>
        <v>2015/11/08</v>
      </c>
      <c r="I1901" s="39">
        <v>4</v>
      </c>
      <c r="J1901" s="39" t="s">
        <v>1478</v>
      </c>
      <c r="K1901" s="39" t="s">
        <v>2122</v>
      </c>
      <c r="L1901" s="39" t="s">
        <v>7830</v>
      </c>
      <c r="M1901" s="39" t="s">
        <v>7831</v>
      </c>
      <c r="N1901" s="39" t="str">
        <f>("0129596")</f>
        <v>0129596</v>
      </c>
      <c r="P1901" s="39" t="s">
        <v>13360</v>
      </c>
      <c r="Q1901" s="39" t="s">
        <v>8568</v>
      </c>
      <c r="R1901" s="39" t="s">
        <v>8569</v>
      </c>
      <c r="S1901" s="39" t="s">
        <v>8570</v>
      </c>
      <c r="AK1901" s="39" t="str">
        <f>("2025/03/17")</f>
        <v>2025/03/17</v>
      </c>
      <c r="AL1901" s="39" t="str">
        <f t="shared" si="160"/>
        <v>2025/04/01</v>
      </c>
    </row>
    <row r="1902" spans="1:39" x14ac:dyDescent="0.25">
      <c r="A1902" s="39" t="str">
        <f>("1511100163")</f>
        <v>1511100163</v>
      </c>
      <c r="C1902" s="39"/>
      <c r="D1902" s="39" t="s">
        <v>9441</v>
      </c>
      <c r="E1902" s="371" t="str">
        <f t="shared" si="158"/>
        <v>きら　ゆうと</v>
      </c>
      <c r="F1902" s="39" t="s">
        <v>2602</v>
      </c>
      <c r="G1902" s="39" t="s">
        <v>7828</v>
      </c>
      <c r="H1902" s="39" t="str">
        <f>("2015/11/10")</f>
        <v>2015/11/10</v>
      </c>
      <c r="I1902" s="39">
        <v>4</v>
      </c>
      <c r="J1902" s="39" t="s">
        <v>1478</v>
      </c>
      <c r="K1902" s="39" t="s">
        <v>2122</v>
      </c>
      <c r="L1902" s="39" t="s">
        <v>7830</v>
      </c>
      <c r="M1902" s="39" t="s">
        <v>7831</v>
      </c>
      <c r="N1902" s="39" t="str">
        <f>("0430119")</f>
        <v>0430119</v>
      </c>
      <c r="P1902" s="39" t="s">
        <v>13361</v>
      </c>
      <c r="Q1902" s="39" t="s">
        <v>8568</v>
      </c>
      <c r="R1902" s="39" t="s">
        <v>8569</v>
      </c>
      <c r="S1902" s="39" t="s">
        <v>8570</v>
      </c>
      <c r="AK1902" s="39" t="str">
        <f>("2025/03/17")</f>
        <v>2025/03/17</v>
      </c>
      <c r="AL1902" s="39" t="str">
        <f t="shared" si="160"/>
        <v>2025/04/01</v>
      </c>
    </row>
    <row r="1903" spans="1:39" x14ac:dyDescent="0.25">
      <c r="A1903" s="39" t="str">
        <f>("1511100172")</f>
        <v>1511100172</v>
      </c>
      <c r="C1903" s="39"/>
      <c r="D1903" s="39" t="s">
        <v>9442</v>
      </c>
      <c r="E1903" s="371" t="str">
        <f t="shared" si="158"/>
        <v>すえまつ　そう</v>
      </c>
      <c r="F1903" s="39" t="s">
        <v>3866</v>
      </c>
      <c r="G1903" s="39" t="s">
        <v>7828</v>
      </c>
      <c r="H1903" s="39" t="str">
        <f>("2015/11/10")</f>
        <v>2015/11/10</v>
      </c>
      <c r="I1903" s="39">
        <v>4</v>
      </c>
      <c r="J1903" s="39" t="s">
        <v>1478</v>
      </c>
      <c r="K1903" s="39" t="s">
        <v>2122</v>
      </c>
      <c r="L1903" s="39" t="s">
        <v>7830</v>
      </c>
      <c r="M1903" s="39" t="s">
        <v>7831</v>
      </c>
      <c r="N1903" s="39" t="str">
        <f>("0129675")</f>
        <v>0129675</v>
      </c>
      <c r="P1903" s="39" t="s">
        <v>13362</v>
      </c>
      <c r="Q1903" s="39" t="s">
        <v>8568</v>
      </c>
      <c r="R1903" s="39" t="s">
        <v>8569</v>
      </c>
      <c r="S1903" s="39" t="s">
        <v>8570</v>
      </c>
      <c r="AK1903" s="39" t="str">
        <f>("2025/04/01")</f>
        <v>2025/04/01</v>
      </c>
      <c r="AL1903" s="39" t="str">
        <f t="shared" si="160"/>
        <v>2025/04/01</v>
      </c>
    </row>
    <row r="1904" spans="1:39" x14ac:dyDescent="0.25">
      <c r="A1904" s="39" t="str">
        <f>("1511120070")</f>
        <v>1511120070</v>
      </c>
      <c r="C1904" s="39"/>
      <c r="D1904" s="39" t="s">
        <v>9443</v>
      </c>
      <c r="E1904" s="371" t="str">
        <f t="shared" si="158"/>
        <v>しゆとう　あおと</v>
      </c>
      <c r="F1904" s="39" t="s">
        <v>2530</v>
      </c>
      <c r="G1904" s="39" t="s">
        <v>7828</v>
      </c>
      <c r="H1904" s="39" t="str">
        <f>("2015/11/12")</f>
        <v>2015/11/12</v>
      </c>
      <c r="I1904" s="39">
        <v>4</v>
      </c>
      <c r="J1904" s="39" t="s">
        <v>1478</v>
      </c>
      <c r="K1904" s="39" t="s">
        <v>2122</v>
      </c>
      <c r="L1904" s="39" t="s">
        <v>7830</v>
      </c>
      <c r="M1904" s="39" t="s">
        <v>7831</v>
      </c>
      <c r="N1904" s="39" t="str">
        <f>("0338756")</f>
        <v>0338756</v>
      </c>
      <c r="P1904" s="39" t="s">
        <v>13363</v>
      </c>
      <c r="Q1904" s="39" t="s">
        <v>8568</v>
      </c>
      <c r="R1904" s="39" t="s">
        <v>8569</v>
      </c>
      <c r="S1904" s="39" t="s">
        <v>8570</v>
      </c>
      <c r="AK1904" s="39" t="str">
        <f>("2025/04/01")</f>
        <v>2025/04/01</v>
      </c>
      <c r="AL1904" s="39" t="str">
        <f t="shared" si="160"/>
        <v>2025/04/01</v>
      </c>
    </row>
    <row r="1905" spans="1:39" x14ac:dyDescent="0.25">
      <c r="A1905" s="39" t="str">
        <f>("1511120091")</f>
        <v>1511120091</v>
      </c>
      <c r="C1905" s="39"/>
      <c r="D1905" s="39" t="s">
        <v>9444</v>
      </c>
      <c r="E1905" s="371" t="str">
        <f t="shared" si="158"/>
        <v>うえやま　そうた</v>
      </c>
      <c r="F1905" s="39" t="s">
        <v>3867</v>
      </c>
      <c r="G1905" s="39" t="s">
        <v>7828</v>
      </c>
      <c r="H1905" s="39" t="str">
        <f>("2015/11/12")</f>
        <v>2015/11/12</v>
      </c>
      <c r="I1905" s="39">
        <v>4</v>
      </c>
      <c r="J1905" s="39" t="s">
        <v>1478</v>
      </c>
      <c r="K1905" s="39" t="s">
        <v>2122</v>
      </c>
      <c r="L1905" s="39" t="s">
        <v>7830</v>
      </c>
      <c r="M1905" s="39" t="s">
        <v>7831</v>
      </c>
      <c r="N1905" s="39" t="str">
        <f>("0129990")</f>
        <v>0129990</v>
      </c>
      <c r="P1905" s="39" t="s">
        <v>13364</v>
      </c>
      <c r="Q1905" s="39" t="s">
        <v>8568</v>
      </c>
      <c r="R1905" s="39" t="s">
        <v>8569</v>
      </c>
      <c r="S1905" s="39" t="s">
        <v>8570</v>
      </c>
      <c r="AK1905" s="39" t="str">
        <f>("2025/04/01")</f>
        <v>2025/04/01</v>
      </c>
      <c r="AL1905" s="39" t="str">
        <f t="shared" si="160"/>
        <v>2025/04/01</v>
      </c>
    </row>
    <row r="1906" spans="1:39" x14ac:dyDescent="0.25">
      <c r="A1906" s="39" t="str">
        <f>("1511130028")</f>
        <v>1511130028</v>
      </c>
      <c r="C1906" s="39"/>
      <c r="D1906" s="39" t="s">
        <v>9445</v>
      </c>
      <c r="E1906" s="371" t="str">
        <f t="shared" si="158"/>
        <v>あさだ　えいと</v>
      </c>
      <c r="F1906" s="39" t="s">
        <v>2299</v>
      </c>
      <c r="G1906" s="39" t="s">
        <v>7828</v>
      </c>
      <c r="H1906" s="39" t="str">
        <f>("2015/11/13")</f>
        <v>2015/11/13</v>
      </c>
      <c r="I1906" s="39">
        <v>4</v>
      </c>
      <c r="J1906" s="39" t="s">
        <v>1478</v>
      </c>
      <c r="K1906" s="39" t="s">
        <v>2122</v>
      </c>
      <c r="L1906" s="39" t="s">
        <v>7830</v>
      </c>
      <c r="M1906" s="39" t="s">
        <v>7831</v>
      </c>
      <c r="N1906" s="39" t="str">
        <f>("1066647")</f>
        <v>1066647</v>
      </c>
      <c r="P1906" s="39" t="s">
        <v>13365</v>
      </c>
      <c r="Q1906" s="39" t="s">
        <v>8568</v>
      </c>
      <c r="R1906" s="39" t="s">
        <v>8569</v>
      </c>
      <c r="S1906" s="39" t="s">
        <v>8570</v>
      </c>
      <c r="AK1906" s="39" t="str">
        <f>("2025/03/21")</f>
        <v>2025/03/21</v>
      </c>
      <c r="AL1906" s="39" t="str">
        <f t="shared" si="160"/>
        <v>2025/04/01</v>
      </c>
    </row>
    <row r="1907" spans="1:39" x14ac:dyDescent="0.25">
      <c r="A1907" s="39" t="str">
        <f>("1511130124")</f>
        <v>1511130124</v>
      </c>
      <c r="C1907" s="39"/>
      <c r="D1907" s="39" t="s">
        <v>9446</v>
      </c>
      <c r="E1907" s="371" t="str">
        <f t="shared" si="158"/>
        <v>ひょうどう　まこ</v>
      </c>
      <c r="F1907" s="39" t="s">
        <v>2648</v>
      </c>
      <c r="G1907" s="39" t="s">
        <v>7828</v>
      </c>
      <c r="H1907" s="39" t="str">
        <f>("2015/11/13")</f>
        <v>2015/11/13</v>
      </c>
      <c r="I1907" s="39">
        <v>4</v>
      </c>
      <c r="J1907" s="39" t="s">
        <v>1480</v>
      </c>
      <c r="K1907" s="39" t="s">
        <v>2122</v>
      </c>
      <c r="L1907" s="39" t="s">
        <v>7830</v>
      </c>
      <c r="M1907" s="39" t="s">
        <v>7831</v>
      </c>
      <c r="N1907" s="39" t="str">
        <f>("1050097")</f>
        <v>1050097</v>
      </c>
      <c r="P1907" s="39" t="s">
        <v>13366</v>
      </c>
      <c r="Q1907" s="39" t="s">
        <v>8568</v>
      </c>
      <c r="R1907" s="39" t="s">
        <v>8569</v>
      </c>
      <c r="S1907" s="39" t="s">
        <v>8570</v>
      </c>
      <c r="AK1907" s="39" t="str">
        <f>("2025/03/25")</f>
        <v>2025/03/25</v>
      </c>
      <c r="AL1907" s="39" t="str">
        <f t="shared" si="160"/>
        <v>2025/04/01</v>
      </c>
    </row>
    <row r="1908" spans="1:39" x14ac:dyDescent="0.25">
      <c r="A1908" s="39" t="str">
        <f>("1511160007")</f>
        <v>1511160007</v>
      </c>
      <c r="C1908" s="39"/>
      <c r="D1908" s="39" t="s">
        <v>5924</v>
      </c>
      <c r="E1908" s="371" t="str">
        <f t="shared" si="158"/>
        <v>まつうら　えいと</v>
      </c>
      <c r="F1908" s="39" t="s">
        <v>2422</v>
      </c>
      <c r="G1908" s="39" t="s">
        <v>7828</v>
      </c>
      <c r="H1908" s="39" t="str">
        <f>("2015/11/16")</f>
        <v>2015/11/16</v>
      </c>
      <c r="I1908" s="39">
        <v>4</v>
      </c>
      <c r="J1908" s="39" t="s">
        <v>1478</v>
      </c>
      <c r="K1908" s="39" t="s">
        <v>2122</v>
      </c>
      <c r="L1908" s="39" t="s">
        <v>7830</v>
      </c>
      <c r="M1908" s="39" t="s">
        <v>7831</v>
      </c>
      <c r="N1908" s="39" t="str">
        <f>("0130699")</f>
        <v>0130699</v>
      </c>
      <c r="P1908" s="39" t="s">
        <v>13367</v>
      </c>
      <c r="Q1908" s="39" t="s">
        <v>8568</v>
      </c>
      <c r="R1908" s="39" t="s">
        <v>8569</v>
      </c>
      <c r="S1908" s="39" t="s">
        <v>8570</v>
      </c>
      <c r="AK1908" s="39" t="str">
        <f>("2025/03/17")</f>
        <v>2025/03/17</v>
      </c>
      <c r="AL1908" s="39" t="str">
        <f t="shared" si="160"/>
        <v>2025/04/01</v>
      </c>
    </row>
    <row r="1909" spans="1:39" x14ac:dyDescent="0.25">
      <c r="A1909" s="39" t="str">
        <f>("1511160157")</f>
        <v>1511160157</v>
      </c>
      <c r="C1909" s="39"/>
      <c r="D1909" s="39" t="s">
        <v>9447</v>
      </c>
      <c r="E1909" s="371" t="str">
        <f t="shared" si="158"/>
        <v>すぎた　ぜんよう</v>
      </c>
      <c r="F1909" s="39" t="s">
        <v>2033</v>
      </c>
      <c r="G1909" s="39" t="s">
        <v>7828</v>
      </c>
      <c r="H1909" s="39" t="str">
        <f>("2015/11/16")</f>
        <v>2015/11/16</v>
      </c>
      <c r="I1909" s="39">
        <v>4</v>
      </c>
      <c r="J1909" s="39" t="s">
        <v>1478</v>
      </c>
      <c r="K1909" s="39" t="s">
        <v>2122</v>
      </c>
      <c r="L1909" s="39" t="s">
        <v>7830</v>
      </c>
      <c r="M1909" s="39" t="s">
        <v>7831</v>
      </c>
      <c r="N1909" s="39" t="str">
        <f>("0130442")</f>
        <v>0130442</v>
      </c>
      <c r="P1909" s="39" t="s">
        <v>13368</v>
      </c>
      <c r="Q1909" s="39" t="s">
        <v>8568</v>
      </c>
      <c r="R1909" s="39" t="s">
        <v>8569</v>
      </c>
      <c r="S1909" s="39" t="s">
        <v>8570</v>
      </c>
      <c r="AK1909" s="39" t="str">
        <f>("2025/04/04")</f>
        <v>2025/04/04</v>
      </c>
      <c r="AL1909" s="39" t="str">
        <f t="shared" si="160"/>
        <v>2025/04/01</v>
      </c>
    </row>
    <row r="1910" spans="1:39" x14ac:dyDescent="0.25">
      <c r="A1910" s="39" t="str">
        <f>("1511170091")</f>
        <v>1511170091</v>
      </c>
      <c r="C1910" s="39"/>
      <c r="D1910" s="39" t="s">
        <v>9448</v>
      </c>
      <c r="E1910" s="371" t="str">
        <f t="shared" si="158"/>
        <v>おおくぼ　とうり</v>
      </c>
      <c r="F1910" s="39" t="s">
        <v>3867</v>
      </c>
      <c r="G1910" s="39" t="s">
        <v>7828</v>
      </c>
      <c r="H1910" s="39" t="str">
        <f>("2015/11/17")</f>
        <v>2015/11/17</v>
      </c>
      <c r="I1910" s="39">
        <v>4</v>
      </c>
      <c r="J1910" s="39" t="s">
        <v>1478</v>
      </c>
      <c r="K1910" s="39" t="s">
        <v>2122</v>
      </c>
      <c r="L1910" s="39" t="s">
        <v>7830</v>
      </c>
      <c r="M1910" s="39" t="s">
        <v>7831</v>
      </c>
      <c r="N1910" s="39" t="str">
        <f>("0129990")</f>
        <v>0129990</v>
      </c>
      <c r="P1910" s="39" t="s">
        <v>13369</v>
      </c>
      <c r="Q1910" s="39" t="s">
        <v>8568</v>
      </c>
      <c r="R1910" s="39" t="s">
        <v>8569</v>
      </c>
      <c r="S1910" s="39" t="s">
        <v>8570</v>
      </c>
      <c r="AK1910" s="39" t="str">
        <f>("2025/04/01")</f>
        <v>2025/04/01</v>
      </c>
      <c r="AL1910" s="39" t="str">
        <f t="shared" si="160"/>
        <v>2025/04/01</v>
      </c>
    </row>
    <row r="1911" spans="1:39" x14ac:dyDescent="0.25">
      <c r="A1911" s="39" t="str">
        <f>("1511170173")</f>
        <v>1511170173</v>
      </c>
      <c r="C1911" s="39"/>
      <c r="D1911" s="39" t="s">
        <v>9449</v>
      </c>
      <c r="E1911" s="371" t="str">
        <f t="shared" si="158"/>
        <v>さとう　いぶき</v>
      </c>
      <c r="F1911" s="39" t="s">
        <v>2600</v>
      </c>
      <c r="G1911" s="39" t="s">
        <v>7828</v>
      </c>
      <c r="H1911" s="39" t="str">
        <f>("2015/11/17")</f>
        <v>2015/11/17</v>
      </c>
      <c r="I1911" s="39">
        <v>4</v>
      </c>
      <c r="J1911" s="39" t="s">
        <v>1478</v>
      </c>
      <c r="K1911" s="39" t="s">
        <v>2122</v>
      </c>
      <c r="L1911" s="39" t="s">
        <v>7830</v>
      </c>
      <c r="M1911" s="39" t="s">
        <v>7831</v>
      </c>
      <c r="N1911" s="39" t="str">
        <f>("0429757")</f>
        <v>0429757</v>
      </c>
      <c r="P1911" s="39" t="s">
        <v>13370</v>
      </c>
      <c r="Q1911" s="39" t="s">
        <v>8568</v>
      </c>
      <c r="R1911" s="39" t="s">
        <v>8569</v>
      </c>
      <c r="S1911" s="39" t="s">
        <v>8570</v>
      </c>
      <c r="AK1911" s="39" t="str">
        <f>("2025/04/04")</f>
        <v>2025/04/04</v>
      </c>
      <c r="AL1911" s="39" t="str">
        <f>("2025/04/04")</f>
        <v>2025/04/04</v>
      </c>
    </row>
    <row r="1912" spans="1:39" x14ac:dyDescent="0.25">
      <c r="A1912" s="39" t="str">
        <f>("1511180025")</f>
        <v>1511180025</v>
      </c>
      <c r="B1912" s="39" t="s">
        <v>9450</v>
      </c>
      <c r="C1912" s="39"/>
      <c r="D1912" s="39" t="s">
        <v>9451</v>
      </c>
      <c r="E1912" s="371" t="str">
        <f t="shared" si="158"/>
        <v>えがわ　しょうた</v>
      </c>
      <c r="F1912" s="39" t="s">
        <v>2325</v>
      </c>
      <c r="G1912" s="39" t="s">
        <v>7828</v>
      </c>
      <c r="H1912" s="39" t="str">
        <f>("2015/11/18")</f>
        <v>2015/11/18</v>
      </c>
      <c r="I1912" s="39">
        <v>4</v>
      </c>
      <c r="J1912" s="39" t="s">
        <v>1478</v>
      </c>
      <c r="K1912" s="39" t="s">
        <v>2122</v>
      </c>
      <c r="L1912" s="39" t="s">
        <v>7830</v>
      </c>
      <c r="M1912" s="39" t="s">
        <v>7831</v>
      </c>
      <c r="N1912" s="39" t="str">
        <f>("0155034")</f>
        <v>0155034</v>
      </c>
      <c r="P1912" s="39" t="s">
        <v>13371</v>
      </c>
      <c r="Q1912" s="39" t="s">
        <v>8568</v>
      </c>
      <c r="R1912" s="39" t="s">
        <v>8569</v>
      </c>
      <c r="S1912" s="39" t="s">
        <v>8570</v>
      </c>
      <c r="AK1912" s="39" t="str">
        <f>("2025/03/17")</f>
        <v>2025/03/17</v>
      </c>
      <c r="AL1912" s="39" t="str">
        <f>("2025/04/01")</f>
        <v>2025/04/01</v>
      </c>
    </row>
    <row r="1913" spans="1:39" x14ac:dyDescent="0.25">
      <c r="A1913" s="39" t="str">
        <f>("1511190151")</f>
        <v>1511190151</v>
      </c>
      <c r="C1913" s="39"/>
      <c r="D1913" s="39" t="s">
        <v>9452</v>
      </c>
      <c r="E1913" s="371" t="str">
        <f t="shared" si="158"/>
        <v>たつかわ　るい</v>
      </c>
      <c r="F1913" s="39" t="s">
        <v>2530</v>
      </c>
      <c r="G1913" s="39" t="s">
        <v>7876</v>
      </c>
      <c r="H1913" s="39" t="str">
        <f>("2015/11/19")</f>
        <v>2015/11/19</v>
      </c>
      <c r="I1913" s="39">
        <v>4</v>
      </c>
      <c r="J1913" s="39" t="s">
        <v>1478</v>
      </c>
      <c r="K1913" s="39" t="s">
        <v>2122</v>
      </c>
      <c r="L1913" s="39" t="s">
        <v>7830</v>
      </c>
      <c r="M1913" s="39" t="s">
        <v>7831</v>
      </c>
      <c r="N1913" s="39" t="str">
        <f>("0338756")</f>
        <v>0338756</v>
      </c>
      <c r="P1913" s="39" t="s">
        <v>13372</v>
      </c>
      <c r="Q1913" s="39" t="s">
        <v>8568</v>
      </c>
      <c r="R1913" s="39" t="s">
        <v>8569</v>
      </c>
      <c r="S1913" s="39" t="s">
        <v>8570</v>
      </c>
      <c r="AK1913" s="39" t="str">
        <f>("2025/04/01")</f>
        <v>2025/04/01</v>
      </c>
      <c r="AL1913" s="39" t="str">
        <f>("2025/04/01")</f>
        <v>2025/04/01</v>
      </c>
      <c r="AM1913" s="39" t="str">
        <f>("2025/12/05")</f>
        <v>2025/12/05</v>
      </c>
    </row>
    <row r="1914" spans="1:39" x14ac:dyDescent="0.25">
      <c r="A1914" s="39" t="str">
        <f>("1511190164")</f>
        <v>1511190164</v>
      </c>
      <c r="C1914" s="39"/>
      <c r="D1914" s="39" t="s">
        <v>9453</v>
      </c>
      <c r="E1914" s="371" t="str">
        <f t="shared" si="158"/>
        <v>とみやま　えいと</v>
      </c>
      <c r="F1914" s="39" t="s">
        <v>2587</v>
      </c>
      <c r="G1914" s="39" t="s">
        <v>7828</v>
      </c>
      <c r="H1914" s="39" t="str">
        <f>("2015/11/19")</f>
        <v>2015/11/19</v>
      </c>
      <c r="I1914" s="39">
        <v>4</v>
      </c>
      <c r="J1914" s="39" t="s">
        <v>1478</v>
      </c>
      <c r="K1914" s="39" t="s">
        <v>2122</v>
      </c>
      <c r="L1914" s="39" t="s">
        <v>7830</v>
      </c>
      <c r="M1914" s="39" t="s">
        <v>7831</v>
      </c>
      <c r="N1914" s="39" t="str">
        <f>("0387334")</f>
        <v>0387334</v>
      </c>
      <c r="P1914" s="39" t="s">
        <v>13373</v>
      </c>
      <c r="Q1914" s="39" t="s">
        <v>8568</v>
      </c>
      <c r="R1914" s="39" t="s">
        <v>8569</v>
      </c>
      <c r="S1914" s="39" t="s">
        <v>8570</v>
      </c>
      <c r="AK1914" s="39" t="str">
        <f>("2025/04/10")</f>
        <v>2025/04/10</v>
      </c>
      <c r="AL1914" s="39" t="str">
        <f>("2025/04/10")</f>
        <v>2025/04/10</v>
      </c>
    </row>
    <row r="1915" spans="1:39" x14ac:dyDescent="0.25">
      <c r="A1915" s="39" t="str">
        <f>("1511200060")</f>
        <v>1511200060</v>
      </c>
      <c r="B1915" s="39" t="s">
        <v>9454</v>
      </c>
      <c r="C1915" s="39"/>
      <c r="D1915" s="39" t="s">
        <v>9455</v>
      </c>
      <c r="E1915" s="371" t="str">
        <f t="shared" si="158"/>
        <v>ふじい　まなと</v>
      </c>
      <c r="F1915" s="39" t="s">
        <v>686</v>
      </c>
      <c r="G1915" s="39" t="s">
        <v>7828</v>
      </c>
      <c r="H1915" s="39" t="str">
        <f>("2015/11/20")</f>
        <v>2015/11/20</v>
      </c>
      <c r="I1915" s="39">
        <v>4</v>
      </c>
      <c r="J1915" s="39" t="s">
        <v>1478</v>
      </c>
      <c r="K1915" s="39" t="s">
        <v>2122</v>
      </c>
      <c r="L1915" s="39" t="s">
        <v>7830</v>
      </c>
      <c r="M1915" s="39" t="s">
        <v>7831</v>
      </c>
      <c r="N1915" s="39" t="str">
        <f>("0130745")</f>
        <v>0130745</v>
      </c>
      <c r="P1915" s="39" t="s">
        <v>13374</v>
      </c>
      <c r="Q1915" s="39" t="s">
        <v>8568</v>
      </c>
      <c r="R1915" s="39" t="s">
        <v>8569</v>
      </c>
      <c r="S1915" s="39" t="s">
        <v>8570</v>
      </c>
      <c r="AK1915" s="39" t="str">
        <f>("2025/03/17")</f>
        <v>2025/03/17</v>
      </c>
      <c r="AL1915" s="39" t="str">
        <f t="shared" ref="AL1915:AL1920" si="161">("2025/04/01")</f>
        <v>2025/04/01</v>
      </c>
    </row>
    <row r="1916" spans="1:39" x14ac:dyDescent="0.25">
      <c r="A1916" s="39" t="str">
        <f>("1511210029")</f>
        <v>1511210029</v>
      </c>
      <c r="C1916" s="39"/>
      <c r="D1916" s="39" t="s">
        <v>9456</v>
      </c>
      <c r="E1916" s="371" t="str">
        <f t="shared" si="158"/>
        <v>おじろ　けんじょう</v>
      </c>
      <c r="F1916" s="39" t="s">
        <v>2821</v>
      </c>
      <c r="G1916" s="39" t="s">
        <v>7828</v>
      </c>
      <c r="H1916" s="39" t="str">
        <f>("2015/11/21")</f>
        <v>2015/11/21</v>
      </c>
      <c r="I1916" s="39">
        <v>4</v>
      </c>
      <c r="J1916" s="39" t="s">
        <v>1478</v>
      </c>
      <c r="K1916" s="39" t="s">
        <v>2122</v>
      </c>
      <c r="L1916" s="39" t="s">
        <v>7830</v>
      </c>
      <c r="M1916" s="39" t="s">
        <v>7831</v>
      </c>
      <c r="N1916" s="39" t="str">
        <f>("0237631")</f>
        <v>0237631</v>
      </c>
      <c r="P1916" s="39" t="s">
        <v>13375</v>
      </c>
      <c r="Q1916" s="39" t="s">
        <v>8568</v>
      </c>
      <c r="R1916" s="39" t="s">
        <v>8569</v>
      </c>
      <c r="S1916" s="39" t="s">
        <v>8570</v>
      </c>
      <c r="AK1916" s="39" t="str">
        <f>("2025/03/17")</f>
        <v>2025/03/17</v>
      </c>
      <c r="AL1916" s="39" t="str">
        <f t="shared" si="161"/>
        <v>2025/04/01</v>
      </c>
    </row>
    <row r="1917" spans="1:39" x14ac:dyDescent="0.25">
      <c r="A1917" s="39" t="str">
        <f>("1511210113")</f>
        <v>1511210113</v>
      </c>
      <c r="C1917" s="39"/>
      <c r="D1917" s="39" t="s">
        <v>9457</v>
      </c>
      <c r="E1917" s="371" t="str">
        <f t="shared" si="158"/>
        <v>うえむら　ゆうせい</v>
      </c>
      <c r="F1917" s="39" t="s">
        <v>2575</v>
      </c>
      <c r="G1917" s="39" t="s">
        <v>7828</v>
      </c>
      <c r="H1917" s="39" t="str">
        <f>("2015/11/21")</f>
        <v>2015/11/21</v>
      </c>
      <c r="I1917" s="39">
        <v>4</v>
      </c>
      <c r="J1917" s="39" t="s">
        <v>1478</v>
      </c>
      <c r="K1917" s="39" t="s">
        <v>2122</v>
      </c>
      <c r="L1917" s="39" t="s">
        <v>7830</v>
      </c>
      <c r="M1917" s="39" t="s">
        <v>7831</v>
      </c>
      <c r="N1917" s="39" t="str">
        <f>("0303040")</f>
        <v>0303040</v>
      </c>
      <c r="P1917" s="39" t="s">
        <v>13376</v>
      </c>
      <c r="Q1917" s="39" t="s">
        <v>8568</v>
      </c>
      <c r="R1917" s="39" t="s">
        <v>8569</v>
      </c>
      <c r="S1917" s="39" t="s">
        <v>8570</v>
      </c>
      <c r="AK1917" s="39" t="str">
        <f>("2025/03/17")</f>
        <v>2025/03/17</v>
      </c>
      <c r="AL1917" s="39" t="str">
        <f t="shared" si="161"/>
        <v>2025/04/01</v>
      </c>
    </row>
    <row r="1918" spans="1:39" x14ac:dyDescent="0.25">
      <c r="A1918" s="39" t="str">
        <f>("1511220043")</f>
        <v>1511220043</v>
      </c>
      <c r="C1918" s="39"/>
      <c r="D1918" s="39" t="s">
        <v>9458</v>
      </c>
      <c r="E1918" s="371" t="str">
        <f t="shared" si="158"/>
        <v>たかはし　ゆい</v>
      </c>
      <c r="F1918" s="39" t="s">
        <v>928</v>
      </c>
      <c r="G1918" s="39" t="s">
        <v>7828</v>
      </c>
      <c r="H1918" s="39" t="str">
        <f>("2015/11/22")</f>
        <v>2015/11/22</v>
      </c>
      <c r="I1918" s="39">
        <v>4</v>
      </c>
      <c r="J1918" s="39" t="s">
        <v>1478</v>
      </c>
      <c r="K1918" s="39" t="s">
        <v>2122</v>
      </c>
      <c r="L1918" s="39" t="s">
        <v>7830</v>
      </c>
      <c r="M1918" s="39" t="s">
        <v>7831</v>
      </c>
      <c r="N1918" s="39" t="str">
        <f>("0130532")</f>
        <v>0130532</v>
      </c>
      <c r="P1918" s="39" t="s">
        <v>13377</v>
      </c>
      <c r="Q1918" s="39" t="s">
        <v>8568</v>
      </c>
      <c r="R1918" s="39" t="s">
        <v>8569</v>
      </c>
      <c r="S1918" s="39" t="s">
        <v>8570</v>
      </c>
      <c r="AK1918" s="39" t="str">
        <f>("2025/03/17")</f>
        <v>2025/03/17</v>
      </c>
      <c r="AL1918" s="39" t="str">
        <f t="shared" si="161"/>
        <v>2025/04/01</v>
      </c>
    </row>
    <row r="1919" spans="1:39" x14ac:dyDescent="0.25">
      <c r="A1919" s="39" t="str">
        <f>("1511220094")</f>
        <v>1511220094</v>
      </c>
      <c r="C1919" s="39"/>
      <c r="D1919" s="39" t="s">
        <v>9459</v>
      </c>
      <c r="E1919" s="371" t="str">
        <f t="shared" si="158"/>
        <v>かわづ　そうま</v>
      </c>
      <c r="F1919" s="39" t="s">
        <v>827</v>
      </c>
      <c r="G1919" s="39" t="s">
        <v>7828</v>
      </c>
      <c r="H1919" s="39" t="str">
        <f>("2015/11/22")</f>
        <v>2015/11/22</v>
      </c>
      <c r="I1919" s="39">
        <v>4</v>
      </c>
      <c r="J1919" s="39" t="s">
        <v>1478</v>
      </c>
      <c r="K1919" s="39" t="s">
        <v>2122</v>
      </c>
      <c r="L1919" s="39" t="s">
        <v>7830</v>
      </c>
      <c r="M1919" s="39" t="s">
        <v>7831</v>
      </c>
      <c r="N1919" s="39" t="str">
        <f>("0504908")</f>
        <v>0504908</v>
      </c>
      <c r="P1919" s="39" t="s">
        <v>13378</v>
      </c>
      <c r="Q1919" s="39" t="s">
        <v>8568</v>
      </c>
      <c r="R1919" s="39" t="s">
        <v>8569</v>
      </c>
      <c r="S1919" s="39" t="s">
        <v>8570</v>
      </c>
      <c r="AK1919" s="39" t="str">
        <f>("2025/03/21")</f>
        <v>2025/03/21</v>
      </c>
      <c r="AL1919" s="39" t="str">
        <f t="shared" si="161"/>
        <v>2025/04/01</v>
      </c>
    </row>
    <row r="1920" spans="1:39" x14ac:dyDescent="0.25">
      <c r="A1920" s="39" t="str">
        <f>("1511230029")</f>
        <v>1511230029</v>
      </c>
      <c r="C1920" s="39"/>
      <c r="D1920" s="39" t="s">
        <v>5832</v>
      </c>
      <c r="E1920" s="371" t="str">
        <f t="shared" si="158"/>
        <v>にしやま　けい</v>
      </c>
      <c r="F1920" s="39" t="s">
        <v>5616</v>
      </c>
      <c r="G1920" s="39" t="s">
        <v>7828</v>
      </c>
      <c r="H1920" s="39" t="str">
        <f>("2015/11/23")</f>
        <v>2015/11/23</v>
      </c>
      <c r="I1920" s="39">
        <v>4</v>
      </c>
      <c r="J1920" s="39" t="s">
        <v>1478</v>
      </c>
      <c r="K1920" s="39" t="s">
        <v>2122</v>
      </c>
      <c r="L1920" s="39" t="s">
        <v>7830</v>
      </c>
      <c r="M1920" s="39" t="s">
        <v>7831</v>
      </c>
      <c r="N1920" s="39" t="str">
        <f>("0130385")</f>
        <v>0130385</v>
      </c>
      <c r="P1920" s="39" t="s">
        <v>13379</v>
      </c>
      <c r="Q1920" s="39" t="s">
        <v>8568</v>
      </c>
      <c r="R1920" s="39" t="s">
        <v>8569</v>
      </c>
      <c r="S1920" s="39" t="s">
        <v>8570</v>
      </c>
      <c r="AK1920" s="39" t="str">
        <f>("2025/03/17")</f>
        <v>2025/03/17</v>
      </c>
      <c r="AL1920" s="39" t="str">
        <f t="shared" si="161"/>
        <v>2025/04/01</v>
      </c>
    </row>
    <row r="1921" spans="1:38" x14ac:dyDescent="0.25">
      <c r="A1921" s="39" t="str">
        <f>("1511240040")</f>
        <v>1511240040</v>
      </c>
      <c r="C1921" s="39"/>
      <c r="D1921" s="39" t="s">
        <v>9460</v>
      </c>
      <c r="E1921" s="371" t="str">
        <f t="shared" si="158"/>
        <v>ゆきたけ　ひかる</v>
      </c>
      <c r="F1921" s="39" t="s">
        <v>2137</v>
      </c>
      <c r="G1921" s="39" t="s">
        <v>7828</v>
      </c>
      <c r="H1921" s="39" t="str">
        <f>("2015/11/24")</f>
        <v>2015/11/24</v>
      </c>
      <c r="I1921" s="39">
        <v>4</v>
      </c>
      <c r="J1921" s="39" t="s">
        <v>1478</v>
      </c>
      <c r="K1921" s="39" t="s">
        <v>2122</v>
      </c>
      <c r="L1921" s="39" t="s">
        <v>7830</v>
      </c>
      <c r="M1921" s="39" t="s">
        <v>7831</v>
      </c>
      <c r="N1921" s="39" t="str">
        <f>("0130510")</f>
        <v>0130510</v>
      </c>
      <c r="P1921" s="39" t="s">
        <v>13380</v>
      </c>
      <c r="Q1921" s="39" t="s">
        <v>8568</v>
      </c>
      <c r="R1921" s="39" t="s">
        <v>8569</v>
      </c>
      <c r="S1921" s="39" t="s">
        <v>8570</v>
      </c>
      <c r="AK1921" s="39" t="str">
        <f>("2025/08/26")</f>
        <v>2025/08/26</v>
      </c>
      <c r="AL1921" s="39" t="str">
        <f>("2025/08/26")</f>
        <v>2025/08/26</v>
      </c>
    </row>
    <row r="1922" spans="1:38" x14ac:dyDescent="0.25">
      <c r="A1922" s="39" t="str">
        <f>("1511240190")</f>
        <v>1511240190</v>
      </c>
      <c r="C1922" s="39"/>
      <c r="D1922" s="39" t="s">
        <v>9461</v>
      </c>
      <c r="E1922" s="371" t="str">
        <f t="shared" si="158"/>
        <v>なかじま　はく</v>
      </c>
      <c r="F1922" s="39" t="s">
        <v>2514</v>
      </c>
      <c r="G1922" s="39" t="s">
        <v>7828</v>
      </c>
      <c r="H1922" s="39" t="str">
        <f>("2015/11/24")</f>
        <v>2015/11/24</v>
      </c>
      <c r="I1922" s="39">
        <v>4</v>
      </c>
      <c r="J1922" s="39" t="s">
        <v>1478</v>
      </c>
      <c r="K1922" s="39" t="s">
        <v>2122</v>
      </c>
      <c r="L1922" s="39" t="s">
        <v>7830</v>
      </c>
      <c r="M1922" s="39" t="s">
        <v>7831</v>
      </c>
      <c r="N1922" s="39" t="str">
        <f>("0130093")</f>
        <v>0130093</v>
      </c>
      <c r="P1922" s="39" t="s">
        <v>13381</v>
      </c>
      <c r="Q1922" s="39" t="s">
        <v>8568</v>
      </c>
      <c r="R1922" s="39" t="s">
        <v>8569</v>
      </c>
      <c r="S1922" s="39" t="s">
        <v>8570</v>
      </c>
      <c r="AK1922" s="39" t="str">
        <f>("2025/09/16")</f>
        <v>2025/09/16</v>
      </c>
      <c r="AL1922" s="39" t="str">
        <f>("2025/09/16")</f>
        <v>2025/09/16</v>
      </c>
    </row>
    <row r="1923" spans="1:38" x14ac:dyDescent="0.25">
      <c r="A1923" s="39" t="str">
        <f>("1511250172")</f>
        <v>1511250172</v>
      </c>
      <c r="C1923" s="39"/>
      <c r="D1923" s="39" t="s">
        <v>9462</v>
      </c>
      <c r="E1923" s="371" t="str">
        <f t="shared" ref="E1923:E1986" si="162">PHONETIC(P1923)</f>
        <v>やまなか　りんか</v>
      </c>
      <c r="F1923" s="39" t="s">
        <v>2557</v>
      </c>
      <c r="G1923" s="39" t="s">
        <v>7828</v>
      </c>
      <c r="H1923" s="39" t="str">
        <f>("2015/11/25")</f>
        <v>2015/11/25</v>
      </c>
      <c r="I1923" s="39">
        <v>4</v>
      </c>
      <c r="J1923" s="39" t="s">
        <v>1480</v>
      </c>
      <c r="K1923" s="39" t="s">
        <v>2122</v>
      </c>
      <c r="L1923" s="39" t="s">
        <v>7830</v>
      </c>
      <c r="M1923" s="39" t="s">
        <v>7831</v>
      </c>
      <c r="N1923" s="39" t="str">
        <f>("0130723")</f>
        <v>0130723</v>
      </c>
      <c r="P1923" s="39" t="s">
        <v>13382</v>
      </c>
      <c r="Q1923" s="39" t="s">
        <v>8568</v>
      </c>
      <c r="R1923" s="39" t="s">
        <v>8569</v>
      </c>
      <c r="S1923" s="39" t="s">
        <v>8570</v>
      </c>
      <c r="AK1923" s="39" t="str">
        <f>("2025/03/17")</f>
        <v>2025/03/17</v>
      </c>
      <c r="AL1923" s="39" t="str">
        <f>("2025/04/01")</f>
        <v>2025/04/01</v>
      </c>
    </row>
    <row r="1924" spans="1:38" x14ac:dyDescent="0.25">
      <c r="A1924" s="39" t="str">
        <f>("1511250173")</f>
        <v>1511250173</v>
      </c>
      <c r="B1924" s="39" t="s">
        <v>9463</v>
      </c>
      <c r="C1924" s="39"/>
      <c r="D1924" s="39" t="s">
        <v>9464</v>
      </c>
      <c r="E1924" s="371" t="str">
        <f t="shared" si="162"/>
        <v>とおやま　なおと</v>
      </c>
      <c r="F1924" s="39" t="s">
        <v>1344</v>
      </c>
      <c r="G1924" s="39" t="s">
        <v>7828</v>
      </c>
      <c r="H1924" s="39" t="str">
        <f>("2015/11/25")</f>
        <v>2015/11/25</v>
      </c>
      <c r="I1924" s="39">
        <v>4</v>
      </c>
      <c r="J1924" s="39" t="s">
        <v>1478</v>
      </c>
      <c r="K1924" s="39" t="s">
        <v>2122</v>
      </c>
      <c r="L1924" s="39" t="s">
        <v>7830</v>
      </c>
      <c r="M1924" s="39" t="s">
        <v>7831</v>
      </c>
      <c r="N1924" s="39" t="str">
        <f>("0130587")</f>
        <v>0130587</v>
      </c>
      <c r="P1924" s="39" t="s">
        <v>13383</v>
      </c>
      <c r="Q1924" s="39" t="s">
        <v>8568</v>
      </c>
      <c r="R1924" s="39" t="s">
        <v>8569</v>
      </c>
      <c r="S1924" s="39" t="s">
        <v>8570</v>
      </c>
      <c r="AK1924" s="39" t="str">
        <f>("2025/03/21")</f>
        <v>2025/03/21</v>
      </c>
      <c r="AL1924" s="39" t="str">
        <f>("2025/04/01")</f>
        <v>2025/04/01</v>
      </c>
    </row>
    <row r="1925" spans="1:38" x14ac:dyDescent="0.25">
      <c r="A1925" s="39" t="str">
        <f>("1511250188")</f>
        <v>1511250188</v>
      </c>
      <c r="C1925" s="39"/>
      <c r="D1925" s="39" t="s">
        <v>9465</v>
      </c>
      <c r="E1925" s="371" t="str">
        <f t="shared" si="162"/>
        <v>えど　あきと</v>
      </c>
      <c r="F1925" s="39" t="s">
        <v>2556</v>
      </c>
      <c r="G1925" s="39" t="s">
        <v>7828</v>
      </c>
      <c r="H1925" s="39" t="str">
        <f>("2015/11/25")</f>
        <v>2015/11/25</v>
      </c>
      <c r="I1925" s="39">
        <v>4</v>
      </c>
      <c r="J1925" s="39" t="s">
        <v>1478</v>
      </c>
      <c r="K1925" s="39" t="s">
        <v>2122</v>
      </c>
      <c r="L1925" s="39" t="s">
        <v>7830</v>
      </c>
      <c r="M1925" s="39" t="s">
        <v>7831</v>
      </c>
      <c r="N1925" s="39" t="str">
        <f>("0130712")</f>
        <v>0130712</v>
      </c>
      <c r="P1925" s="39" t="s">
        <v>13384</v>
      </c>
      <c r="Q1925" s="39" t="s">
        <v>8568</v>
      </c>
      <c r="R1925" s="39" t="s">
        <v>8569</v>
      </c>
      <c r="S1925" s="39" t="s">
        <v>8570</v>
      </c>
      <c r="AK1925" s="39" t="str">
        <f>("2025/04/04")</f>
        <v>2025/04/04</v>
      </c>
      <c r="AL1925" s="39" t="str">
        <f>("2025/04/04")</f>
        <v>2025/04/04</v>
      </c>
    </row>
    <row r="1926" spans="1:38" x14ac:dyDescent="0.25">
      <c r="A1926" s="39" t="str">
        <f>("1511260032")</f>
        <v>1511260032</v>
      </c>
      <c r="C1926" s="39"/>
      <c r="D1926" s="39" t="s">
        <v>6101</v>
      </c>
      <c r="E1926" s="371" t="str">
        <f t="shared" si="162"/>
        <v>かき　しんば</v>
      </c>
      <c r="F1926" s="39" t="s">
        <v>5618</v>
      </c>
      <c r="G1926" s="39" t="s">
        <v>7828</v>
      </c>
      <c r="H1926" s="39" t="str">
        <f>("2015/11/26")</f>
        <v>2015/11/26</v>
      </c>
      <c r="I1926" s="39">
        <v>4</v>
      </c>
      <c r="J1926" s="39" t="s">
        <v>1478</v>
      </c>
      <c r="K1926" s="39" t="s">
        <v>2122</v>
      </c>
      <c r="L1926" s="39" t="s">
        <v>7830</v>
      </c>
      <c r="M1926" s="39" t="s">
        <v>7831</v>
      </c>
      <c r="N1926" s="39" t="str">
        <f>("0433235")</f>
        <v>0433235</v>
      </c>
      <c r="P1926" s="39" t="s">
        <v>13385</v>
      </c>
      <c r="Q1926" s="39" t="s">
        <v>8568</v>
      </c>
      <c r="R1926" s="39" t="s">
        <v>8569</v>
      </c>
      <c r="S1926" s="39" t="s">
        <v>8570</v>
      </c>
      <c r="AK1926" s="39" t="str">
        <f>("2025/03/17")</f>
        <v>2025/03/17</v>
      </c>
      <c r="AL1926" s="39" t="str">
        <f t="shared" ref="AL1926:AL1935" si="163">("2025/04/01")</f>
        <v>2025/04/01</v>
      </c>
    </row>
    <row r="1927" spans="1:38" x14ac:dyDescent="0.25">
      <c r="A1927" s="39" t="str">
        <f>("1511260052")</f>
        <v>1511260052</v>
      </c>
      <c r="C1927" s="39"/>
      <c r="D1927" s="39" t="s">
        <v>9466</v>
      </c>
      <c r="E1927" s="371" t="str">
        <f t="shared" si="162"/>
        <v>わたなべ　こう</v>
      </c>
      <c r="F1927" s="39" t="s">
        <v>2138</v>
      </c>
      <c r="G1927" s="39" t="s">
        <v>7828</v>
      </c>
      <c r="H1927" s="39" t="str">
        <f>("2015/11/26")</f>
        <v>2015/11/26</v>
      </c>
      <c r="I1927" s="39">
        <v>4</v>
      </c>
      <c r="J1927" s="39" t="s">
        <v>1478</v>
      </c>
      <c r="K1927" s="39" t="s">
        <v>2122</v>
      </c>
      <c r="L1927" s="39" t="s">
        <v>7830</v>
      </c>
      <c r="M1927" s="39" t="s">
        <v>7831</v>
      </c>
      <c r="N1927" s="39" t="str">
        <f>("0130082")</f>
        <v>0130082</v>
      </c>
      <c r="P1927" s="39" t="s">
        <v>13386</v>
      </c>
      <c r="Q1927" s="39" t="s">
        <v>8568</v>
      </c>
      <c r="R1927" s="39" t="s">
        <v>8569</v>
      </c>
      <c r="S1927" s="39" t="s">
        <v>8570</v>
      </c>
      <c r="AK1927" s="39" t="str">
        <f>("2025/03/17")</f>
        <v>2025/03/17</v>
      </c>
      <c r="AL1927" s="39" t="str">
        <f t="shared" si="163"/>
        <v>2025/04/01</v>
      </c>
    </row>
    <row r="1928" spans="1:38" x14ac:dyDescent="0.25">
      <c r="A1928" s="39" t="str">
        <f>("1511260084")</f>
        <v>1511260084</v>
      </c>
      <c r="B1928" s="39" t="s">
        <v>9467</v>
      </c>
      <c r="C1928" s="39"/>
      <c r="D1928" s="39" t="s">
        <v>5701</v>
      </c>
      <c r="E1928" s="371" t="str">
        <f t="shared" si="162"/>
        <v>うえだ　たいよう</v>
      </c>
      <c r="F1928" s="39" t="s">
        <v>2485</v>
      </c>
      <c r="G1928" s="39" t="s">
        <v>7828</v>
      </c>
      <c r="H1928" s="39" t="str">
        <f>("2015/11/26")</f>
        <v>2015/11/26</v>
      </c>
      <c r="I1928" s="39">
        <v>4</v>
      </c>
      <c r="J1928" s="39" t="s">
        <v>1478</v>
      </c>
      <c r="K1928" s="39" t="s">
        <v>2122</v>
      </c>
      <c r="L1928" s="39" t="s">
        <v>7830</v>
      </c>
      <c r="M1928" s="39" t="s">
        <v>7831</v>
      </c>
      <c r="N1928" s="39" t="str">
        <f>("0129754")</f>
        <v>0129754</v>
      </c>
      <c r="P1928" s="39" t="s">
        <v>12664</v>
      </c>
      <c r="Q1928" s="39" t="s">
        <v>8568</v>
      </c>
      <c r="R1928" s="39" t="s">
        <v>8569</v>
      </c>
      <c r="S1928" s="39" t="s">
        <v>8570</v>
      </c>
      <c r="AK1928" s="39" t="str">
        <f>("2025/03/24")</f>
        <v>2025/03/24</v>
      </c>
      <c r="AL1928" s="39" t="str">
        <f t="shared" si="163"/>
        <v>2025/04/01</v>
      </c>
    </row>
    <row r="1929" spans="1:38" x14ac:dyDescent="0.25">
      <c r="A1929" s="39" t="str">
        <f>("1511270032")</f>
        <v>1511270032</v>
      </c>
      <c r="B1929" s="39" t="s">
        <v>9468</v>
      </c>
      <c r="C1929" s="39"/>
      <c r="D1929" s="39" t="s">
        <v>9469</v>
      </c>
      <c r="E1929" s="371" t="str">
        <f t="shared" si="162"/>
        <v>とみなが　そら</v>
      </c>
      <c r="F1929" s="39" t="s">
        <v>8032</v>
      </c>
      <c r="G1929" s="39" t="s">
        <v>7828</v>
      </c>
      <c r="H1929" s="39" t="str">
        <f>("2015/11/27")</f>
        <v>2015/11/27</v>
      </c>
      <c r="I1929" s="39">
        <v>4</v>
      </c>
      <c r="J1929" s="39" t="s">
        <v>1478</v>
      </c>
      <c r="K1929" s="39" t="s">
        <v>2122</v>
      </c>
      <c r="L1929" s="39" t="s">
        <v>7830</v>
      </c>
      <c r="M1929" s="39" t="s">
        <v>7831</v>
      </c>
      <c r="N1929" s="39" t="str">
        <f>("0452911")</f>
        <v>0452911</v>
      </c>
      <c r="P1929" s="39" t="s">
        <v>13387</v>
      </c>
      <c r="Q1929" s="39" t="s">
        <v>8568</v>
      </c>
      <c r="R1929" s="39" t="s">
        <v>8569</v>
      </c>
      <c r="S1929" s="39" t="s">
        <v>8570</v>
      </c>
      <c r="AK1929" s="39" t="str">
        <f>("2025/04/10")</f>
        <v>2025/04/10</v>
      </c>
      <c r="AL1929" s="39" t="str">
        <f t="shared" si="163"/>
        <v>2025/04/01</v>
      </c>
    </row>
    <row r="1930" spans="1:38" x14ac:dyDescent="0.25">
      <c r="A1930" s="39" t="str">
        <f>("1511270086")</f>
        <v>1511270086</v>
      </c>
      <c r="C1930" s="39"/>
      <c r="D1930" s="39" t="s">
        <v>5730</v>
      </c>
      <c r="E1930" s="371" t="str">
        <f t="shared" si="162"/>
        <v>むなおか　ひより</v>
      </c>
      <c r="F1930" s="39" t="s">
        <v>834</v>
      </c>
      <c r="G1930" s="39" t="s">
        <v>7828</v>
      </c>
      <c r="H1930" s="39" t="str">
        <f>("2015/11/27")</f>
        <v>2015/11/27</v>
      </c>
      <c r="I1930" s="39">
        <v>4</v>
      </c>
      <c r="J1930" s="39" t="s">
        <v>1480</v>
      </c>
      <c r="K1930" s="39" t="s">
        <v>2122</v>
      </c>
      <c r="L1930" s="39" t="s">
        <v>7830</v>
      </c>
      <c r="M1930" s="39" t="s">
        <v>7831</v>
      </c>
      <c r="N1930" s="39" t="str">
        <f>("0129844")</f>
        <v>0129844</v>
      </c>
      <c r="P1930" s="39" t="s">
        <v>13388</v>
      </c>
      <c r="Q1930" s="39" t="s">
        <v>8568</v>
      </c>
      <c r="R1930" s="39" t="s">
        <v>8569</v>
      </c>
      <c r="S1930" s="39" t="s">
        <v>8570</v>
      </c>
      <c r="AK1930" s="39" t="str">
        <f>("2025/03/17")</f>
        <v>2025/03/17</v>
      </c>
      <c r="AL1930" s="39" t="str">
        <f t="shared" si="163"/>
        <v>2025/04/01</v>
      </c>
    </row>
    <row r="1931" spans="1:38" x14ac:dyDescent="0.25">
      <c r="A1931" s="39" t="str">
        <f>("1511270112")</f>
        <v>1511270112</v>
      </c>
      <c r="C1931" s="39"/>
      <c r="D1931" s="39" t="s">
        <v>9470</v>
      </c>
      <c r="E1931" s="371" t="str">
        <f t="shared" si="162"/>
        <v>さとう　ゆうすけ</v>
      </c>
      <c r="F1931" s="39" t="s">
        <v>2544</v>
      </c>
      <c r="G1931" s="39" t="s">
        <v>7828</v>
      </c>
      <c r="H1931" s="39" t="str">
        <f>("2015/11/27")</f>
        <v>2015/11/27</v>
      </c>
      <c r="I1931" s="39">
        <v>4</v>
      </c>
      <c r="J1931" s="39" t="s">
        <v>1478</v>
      </c>
      <c r="K1931" s="39" t="s">
        <v>2122</v>
      </c>
      <c r="L1931" s="39" t="s">
        <v>7830</v>
      </c>
      <c r="M1931" s="39" t="s">
        <v>7831</v>
      </c>
      <c r="N1931" s="39" t="str">
        <f>("0130644")</f>
        <v>0130644</v>
      </c>
      <c r="P1931" s="39" t="s">
        <v>13389</v>
      </c>
      <c r="Q1931" s="39" t="s">
        <v>8568</v>
      </c>
      <c r="R1931" s="39" t="s">
        <v>8569</v>
      </c>
      <c r="S1931" s="39" t="s">
        <v>8570</v>
      </c>
      <c r="AK1931" s="39" t="str">
        <f>("2025/03/17")</f>
        <v>2025/03/17</v>
      </c>
      <c r="AL1931" s="39" t="str">
        <f t="shared" si="163"/>
        <v>2025/04/01</v>
      </c>
    </row>
    <row r="1932" spans="1:38" x14ac:dyDescent="0.25">
      <c r="A1932" s="39" t="str">
        <f>("1511280094")</f>
        <v>1511280094</v>
      </c>
      <c r="C1932" s="39"/>
      <c r="D1932" s="39" t="s">
        <v>9471</v>
      </c>
      <c r="E1932" s="371" t="str">
        <f t="shared" si="162"/>
        <v>さいとう　りょうたろう</v>
      </c>
      <c r="F1932" s="39" t="s">
        <v>2587</v>
      </c>
      <c r="G1932" s="39" t="s">
        <v>7828</v>
      </c>
      <c r="H1932" s="39" t="str">
        <f>("2015/11/28")</f>
        <v>2015/11/28</v>
      </c>
      <c r="I1932" s="39">
        <v>4</v>
      </c>
      <c r="J1932" s="39" t="s">
        <v>1478</v>
      </c>
      <c r="K1932" s="39" t="s">
        <v>2122</v>
      </c>
      <c r="L1932" s="39" t="s">
        <v>7830</v>
      </c>
      <c r="M1932" s="39" t="s">
        <v>7831</v>
      </c>
      <c r="N1932" s="39" t="str">
        <f>("0387334")</f>
        <v>0387334</v>
      </c>
      <c r="P1932" s="39" t="s">
        <v>13390</v>
      </c>
      <c r="Q1932" s="39" t="s">
        <v>8568</v>
      </c>
      <c r="R1932" s="39" t="s">
        <v>8569</v>
      </c>
      <c r="S1932" s="39" t="s">
        <v>8570</v>
      </c>
      <c r="AK1932" s="39" t="str">
        <f>("2025/03/27")</f>
        <v>2025/03/27</v>
      </c>
      <c r="AL1932" s="39" t="str">
        <f t="shared" si="163"/>
        <v>2025/04/01</v>
      </c>
    </row>
    <row r="1933" spans="1:38" x14ac:dyDescent="0.25">
      <c r="A1933" s="39" t="str">
        <f>("1511280100")</f>
        <v>1511280100</v>
      </c>
      <c r="C1933" s="39"/>
      <c r="D1933" s="39" t="s">
        <v>9472</v>
      </c>
      <c r="E1933" s="371" t="str">
        <f t="shared" si="162"/>
        <v>にし　たつき</v>
      </c>
      <c r="F1933" s="39" t="s">
        <v>2648</v>
      </c>
      <c r="G1933" s="39" t="s">
        <v>7828</v>
      </c>
      <c r="H1933" s="39" t="str">
        <f>("2015/11/28")</f>
        <v>2015/11/28</v>
      </c>
      <c r="I1933" s="39">
        <v>4</v>
      </c>
      <c r="J1933" s="39" t="s">
        <v>1478</v>
      </c>
      <c r="K1933" s="39" t="s">
        <v>2122</v>
      </c>
      <c r="L1933" s="39" t="s">
        <v>7830</v>
      </c>
      <c r="M1933" s="39" t="s">
        <v>7831</v>
      </c>
      <c r="N1933" s="39" t="str">
        <f>("1050097")</f>
        <v>1050097</v>
      </c>
      <c r="P1933" s="39" t="s">
        <v>13391</v>
      </c>
      <c r="Q1933" s="39" t="s">
        <v>8568</v>
      </c>
      <c r="R1933" s="39" t="s">
        <v>8569</v>
      </c>
      <c r="S1933" s="39" t="s">
        <v>8570</v>
      </c>
      <c r="AK1933" s="39" t="str">
        <f>("2025/03/25")</f>
        <v>2025/03/25</v>
      </c>
      <c r="AL1933" s="39" t="str">
        <f t="shared" si="163"/>
        <v>2025/04/01</v>
      </c>
    </row>
    <row r="1934" spans="1:38" x14ac:dyDescent="0.25">
      <c r="A1934" s="39" t="str">
        <f>("1511290004")</f>
        <v>1511290004</v>
      </c>
      <c r="C1934" s="39"/>
      <c r="D1934" s="39" t="s">
        <v>9473</v>
      </c>
      <c r="E1934" s="371" t="str">
        <f t="shared" si="162"/>
        <v>あきよし　さくたろう</v>
      </c>
      <c r="F1934" s="39" t="s">
        <v>2573</v>
      </c>
      <c r="G1934" s="39" t="s">
        <v>7828</v>
      </c>
      <c r="H1934" s="39" t="str">
        <f>("2015/11/29")</f>
        <v>2015/11/29</v>
      </c>
      <c r="I1934" s="39">
        <v>4</v>
      </c>
      <c r="J1934" s="39" t="s">
        <v>1478</v>
      </c>
      <c r="K1934" s="39" t="s">
        <v>2122</v>
      </c>
      <c r="L1934" s="39" t="s">
        <v>7830</v>
      </c>
      <c r="M1934" s="39" t="s">
        <v>7831</v>
      </c>
      <c r="N1934" s="39" t="str">
        <f>("0230982")</f>
        <v>0230982</v>
      </c>
      <c r="P1934" s="39" t="s">
        <v>13392</v>
      </c>
      <c r="Q1934" s="39" t="s">
        <v>8568</v>
      </c>
      <c r="R1934" s="39" t="s">
        <v>8569</v>
      </c>
      <c r="S1934" s="39" t="s">
        <v>8570</v>
      </c>
      <c r="AK1934" s="39" t="str">
        <f>("2025/03/17")</f>
        <v>2025/03/17</v>
      </c>
      <c r="AL1934" s="39" t="str">
        <f t="shared" si="163"/>
        <v>2025/04/01</v>
      </c>
    </row>
    <row r="1935" spans="1:38" x14ac:dyDescent="0.25">
      <c r="A1935" s="39" t="str">
        <f>("1511290057")</f>
        <v>1511290057</v>
      </c>
      <c r="B1935" s="39" t="s">
        <v>9474</v>
      </c>
      <c r="C1935" s="39"/>
      <c r="D1935" s="39" t="s">
        <v>9475</v>
      </c>
      <c r="E1935" s="371" t="str">
        <f t="shared" si="162"/>
        <v>なかがわ　そうた</v>
      </c>
      <c r="F1935" s="39" t="s">
        <v>686</v>
      </c>
      <c r="G1935" s="39" t="s">
        <v>7828</v>
      </c>
      <c r="H1935" s="39" t="str">
        <f>("2015/11/29")</f>
        <v>2015/11/29</v>
      </c>
      <c r="I1935" s="39">
        <v>4</v>
      </c>
      <c r="J1935" s="39" t="s">
        <v>1478</v>
      </c>
      <c r="K1935" s="39" t="s">
        <v>2122</v>
      </c>
      <c r="L1935" s="39" t="s">
        <v>7830</v>
      </c>
      <c r="M1935" s="39" t="s">
        <v>7831</v>
      </c>
      <c r="N1935" s="39" t="str">
        <f>("0130745")</f>
        <v>0130745</v>
      </c>
      <c r="P1935" s="39" t="s">
        <v>13393</v>
      </c>
      <c r="Q1935" s="39" t="s">
        <v>8568</v>
      </c>
      <c r="R1935" s="39" t="s">
        <v>8569</v>
      </c>
      <c r="S1935" s="39" t="s">
        <v>8570</v>
      </c>
      <c r="AK1935" s="39" t="str">
        <f>("2025/03/17")</f>
        <v>2025/03/17</v>
      </c>
      <c r="AL1935" s="39" t="str">
        <f t="shared" si="163"/>
        <v>2025/04/01</v>
      </c>
    </row>
    <row r="1936" spans="1:38" x14ac:dyDescent="0.25">
      <c r="A1936" s="39" t="str">
        <f>("1511290109")</f>
        <v>1511290109</v>
      </c>
      <c r="C1936" s="39"/>
      <c r="D1936" s="39" t="s">
        <v>9476</v>
      </c>
      <c r="E1936" s="371" t="str">
        <f t="shared" si="162"/>
        <v>はだの　かえで</v>
      </c>
      <c r="F1936" s="39" t="s">
        <v>2531</v>
      </c>
      <c r="G1936" s="39" t="s">
        <v>7828</v>
      </c>
      <c r="H1936" s="39" t="str">
        <f>("2015/11/29")</f>
        <v>2015/11/29</v>
      </c>
      <c r="I1936" s="39">
        <v>4</v>
      </c>
      <c r="J1936" s="39" t="s">
        <v>1478</v>
      </c>
      <c r="K1936" s="39" t="s">
        <v>2122</v>
      </c>
      <c r="L1936" s="39" t="s">
        <v>7830</v>
      </c>
      <c r="M1936" s="39" t="s">
        <v>7831</v>
      </c>
      <c r="N1936" s="39" t="str">
        <f>("0130419")</f>
        <v>0130419</v>
      </c>
      <c r="P1936" s="39" t="s">
        <v>13394</v>
      </c>
      <c r="Q1936" s="39" t="s">
        <v>8568</v>
      </c>
      <c r="R1936" s="39" t="s">
        <v>8569</v>
      </c>
      <c r="S1936" s="39" t="s">
        <v>8570</v>
      </c>
      <c r="AK1936" s="39" t="str">
        <f>("2025/06/24")</f>
        <v>2025/06/24</v>
      </c>
      <c r="AL1936" s="39" t="str">
        <f>("2025/06/24")</f>
        <v>2025/06/24</v>
      </c>
    </row>
    <row r="1937" spans="1:39" x14ac:dyDescent="0.25">
      <c r="A1937" s="39" t="str">
        <f>("1511300007")</f>
        <v>1511300007</v>
      </c>
      <c r="C1937" s="39"/>
      <c r="D1937" s="39" t="s">
        <v>9477</v>
      </c>
      <c r="E1937" s="371" t="str">
        <f t="shared" si="162"/>
        <v>まえやま　いずき</v>
      </c>
      <c r="F1937" s="39" t="s">
        <v>2299</v>
      </c>
      <c r="G1937" s="39" t="s">
        <v>7828</v>
      </c>
      <c r="H1937" s="39" t="str">
        <f>("2015/11/30")</f>
        <v>2015/11/30</v>
      </c>
      <c r="I1937" s="39">
        <v>4</v>
      </c>
      <c r="J1937" s="39" t="s">
        <v>1478</v>
      </c>
      <c r="K1937" s="39" t="s">
        <v>2122</v>
      </c>
      <c r="L1937" s="39" t="s">
        <v>7830</v>
      </c>
      <c r="M1937" s="39" t="s">
        <v>7831</v>
      </c>
      <c r="N1937" s="39" t="str">
        <f>("1066647")</f>
        <v>1066647</v>
      </c>
      <c r="P1937" s="39" t="s">
        <v>13395</v>
      </c>
      <c r="Q1937" s="39" t="s">
        <v>8568</v>
      </c>
      <c r="R1937" s="39" t="s">
        <v>8569</v>
      </c>
      <c r="S1937" s="39" t="s">
        <v>8570</v>
      </c>
      <c r="AK1937" s="39" t="str">
        <f>("2025/03/21")</f>
        <v>2025/03/21</v>
      </c>
      <c r="AL1937" s="39" t="str">
        <f>("2025/04/01")</f>
        <v>2025/04/01</v>
      </c>
    </row>
    <row r="1938" spans="1:39" x14ac:dyDescent="0.25">
      <c r="A1938" s="39" t="str">
        <f>("1511300058")</f>
        <v>1511300058</v>
      </c>
      <c r="C1938" s="39"/>
      <c r="D1938" s="39" t="s">
        <v>9478</v>
      </c>
      <c r="E1938" s="371" t="str">
        <f t="shared" si="162"/>
        <v>ほり　たいら</v>
      </c>
      <c r="F1938" s="39" t="s">
        <v>7910</v>
      </c>
      <c r="G1938" s="39" t="s">
        <v>7828</v>
      </c>
      <c r="H1938" s="39" t="str">
        <f>("2015/11/30")</f>
        <v>2015/11/30</v>
      </c>
      <c r="I1938" s="39">
        <v>4</v>
      </c>
      <c r="J1938" s="39" t="s">
        <v>1478</v>
      </c>
      <c r="K1938" s="39" t="s">
        <v>2122</v>
      </c>
      <c r="L1938" s="39" t="s">
        <v>7830</v>
      </c>
      <c r="M1938" s="39" t="s">
        <v>7831</v>
      </c>
      <c r="N1938" s="39" t="str">
        <f>("1111064")</f>
        <v>1111064</v>
      </c>
      <c r="P1938" s="39" t="s">
        <v>13396</v>
      </c>
      <c r="Q1938" s="39" t="s">
        <v>8568</v>
      </c>
      <c r="R1938" s="39" t="s">
        <v>8569</v>
      </c>
      <c r="S1938" s="39" t="s">
        <v>8570</v>
      </c>
      <c r="AK1938" s="39" t="str">
        <f>("2025/03/17")</f>
        <v>2025/03/17</v>
      </c>
      <c r="AL1938" s="39" t="str">
        <f>("2025/04/01")</f>
        <v>2025/04/01</v>
      </c>
    </row>
    <row r="1939" spans="1:39" x14ac:dyDescent="0.25">
      <c r="A1939" s="39" t="str">
        <f>("1512010183")</f>
        <v>1512010183</v>
      </c>
      <c r="C1939" s="39"/>
      <c r="D1939" s="39" t="s">
        <v>9479</v>
      </c>
      <c r="E1939" s="371" t="str">
        <f t="shared" si="162"/>
        <v>しみず　しょうじろう</v>
      </c>
      <c r="F1939" s="39" t="s">
        <v>1207</v>
      </c>
      <c r="G1939" s="39" t="s">
        <v>7828</v>
      </c>
      <c r="H1939" s="39" t="str">
        <f>("2015/12/01")</f>
        <v>2015/12/01</v>
      </c>
      <c r="I1939" s="39">
        <v>4</v>
      </c>
      <c r="J1939" s="39" t="s">
        <v>1478</v>
      </c>
      <c r="K1939" s="39" t="s">
        <v>2122</v>
      </c>
      <c r="L1939" s="39" t="s">
        <v>7830</v>
      </c>
      <c r="M1939" s="39" t="s">
        <v>7831</v>
      </c>
      <c r="N1939" s="39" t="str">
        <f>("0381608")</f>
        <v>0381608</v>
      </c>
      <c r="P1939" s="39" t="s">
        <v>13397</v>
      </c>
      <c r="Q1939" s="39" t="s">
        <v>8568</v>
      </c>
      <c r="R1939" s="39" t="s">
        <v>8569</v>
      </c>
      <c r="S1939" s="39" t="s">
        <v>8570</v>
      </c>
      <c r="AK1939" s="39" t="str">
        <f>("2025/04/23")</f>
        <v>2025/04/23</v>
      </c>
      <c r="AL1939" s="39" t="str">
        <f>("2025/04/23")</f>
        <v>2025/04/23</v>
      </c>
    </row>
    <row r="1940" spans="1:39" x14ac:dyDescent="0.25">
      <c r="A1940" s="39" t="str">
        <f>("1512020103")</f>
        <v>1512020103</v>
      </c>
      <c r="B1940" s="39" t="s">
        <v>9480</v>
      </c>
      <c r="C1940" s="39"/>
      <c r="D1940" s="39" t="s">
        <v>9481</v>
      </c>
      <c r="E1940" s="371" t="str">
        <f t="shared" si="162"/>
        <v>いしだ　おうた</v>
      </c>
      <c r="F1940" s="39" t="s">
        <v>2516</v>
      </c>
      <c r="G1940" s="39" t="s">
        <v>7828</v>
      </c>
      <c r="H1940" s="39" t="str">
        <f>("2015/12/02")</f>
        <v>2015/12/02</v>
      </c>
      <c r="I1940" s="39">
        <v>4</v>
      </c>
      <c r="J1940" s="39" t="s">
        <v>1478</v>
      </c>
      <c r="K1940" s="39" t="s">
        <v>2122</v>
      </c>
      <c r="L1940" s="39" t="s">
        <v>7830</v>
      </c>
      <c r="M1940" s="39" t="s">
        <v>7831</v>
      </c>
      <c r="N1940" s="39" t="str">
        <f>("0130116")</f>
        <v>0130116</v>
      </c>
      <c r="P1940" s="39" t="s">
        <v>13398</v>
      </c>
      <c r="Q1940" s="39" t="s">
        <v>8568</v>
      </c>
      <c r="R1940" s="39" t="s">
        <v>8569</v>
      </c>
      <c r="S1940" s="39" t="s">
        <v>8570</v>
      </c>
      <c r="AK1940" s="39" t="str">
        <f>("2025/03/25")</f>
        <v>2025/03/25</v>
      </c>
      <c r="AL1940" s="39" t="str">
        <f>("2025/04/01")</f>
        <v>2025/04/01</v>
      </c>
    </row>
    <row r="1941" spans="1:39" x14ac:dyDescent="0.25">
      <c r="A1941" s="39" t="str">
        <f>("1512020170")</f>
        <v>1512020170</v>
      </c>
      <c r="C1941" s="39"/>
      <c r="D1941" s="39" t="s">
        <v>9482</v>
      </c>
      <c r="E1941" s="371" t="str">
        <f t="shared" si="162"/>
        <v>おの　あおば</v>
      </c>
      <c r="F1941" s="39" t="s">
        <v>2619</v>
      </c>
      <c r="G1941" s="39" t="s">
        <v>7876</v>
      </c>
      <c r="H1941" s="39" t="str">
        <f>("2015/12/02")</f>
        <v>2015/12/02</v>
      </c>
      <c r="I1941" s="39">
        <v>4</v>
      </c>
      <c r="J1941" s="39" t="s">
        <v>1478</v>
      </c>
      <c r="K1941" s="39" t="s">
        <v>2122</v>
      </c>
      <c r="L1941" s="39" t="s">
        <v>7830</v>
      </c>
      <c r="M1941" s="39" t="s">
        <v>7831</v>
      </c>
      <c r="N1941" s="39" t="str">
        <f>("0472823")</f>
        <v>0472823</v>
      </c>
      <c r="P1941" s="39" t="s">
        <v>13399</v>
      </c>
      <c r="Q1941" s="39" t="s">
        <v>8568</v>
      </c>
      <c r="R1941" s="39" t="s">
        <v>8569</v>
      </c>
      <c r="S1941" s="39" t="s">
        <v>8570</v>
      </c>
      <c r="AK1941" s="39" t="str">
        <f>("2025/07/30")</f>
        <v>2025/07/30</v>
      </c>
      <c r="AL1941" s="39" t="str">
        <f>("2025/07/30")</f>
        <v>2025/07/30</v>
      </c>
      <c r="AM1941" s="39" t="str">
        <f>("2025/10/23")</f>
        <v>2025/10/23</v>
      </c>
    </row>
    <row r="1942" spans="1:39" x14ac:dyDescent="0.25">
      <c r="A1942" s="39" t="str">
        <f>("1512030008")</f>
        <v>1512030008</v>
      </c>
      <c r="C1942" s="39"/>
      <c r="D1942" s="39" t="s">
        <v>4749</v>
      </c>
      <c r="E1942" s="371" t="str">
        <f t="shared" si="162"/>
        <v>くろだ　りゅうき</v>
      </c>
      <c r="F1942" s="39" t="s">
        <v>2256</v>
      </c>
      <c r="G1942" s="39" t="s">
        <v>7828</v>
      </c>
      <c r="H1942" s="39" t="str">
        <f>("2015/12/03")</f>
        <v>2015/12/03</v>
      </c>
      <c r="I1942" s="39">
        <v>4</v>
      </c>
      <c r="J1942" s="39" t="s">
        <v>1478</v>
      </c>
      <c r="K1942" s="39" t="s">
        <v>2122</v>
      </c>
      <c r="L1942" s="39" t="s">
        <v>7830</v>
      </c>
      <c r="M1942" s="39" t="s">
        <v>7831</v>
      </c>
      <c r="N1942" s="39" t="str">
        <f>("0449119")</f>
        <v>0449119</v>
      </c>
      <c r="P1942" s="39" t="s">
        <v>13400</v>
      </c>
      <c r="Q1942" s="39" t="s">
        <v>8568</v>
      </c>
      <c r="R1942" s="39" t="s">
        <v>8569</v>
      </c>
      <c r="S1942" s="39" t="s">
        <v>8570</v>
      </c>
      <c r="AK1942" s="39" t="str">
        <f>("2025/03/17")</f>
        <v>2025/03/17</v>
      </c>
      <c r="AL1942" s="39" t="str">
        <f>("2025/04/01")</f>
        <v>2025/04/01</v>
      </c>
    </row>
    <row r="1943" spans="1:39" x14ac:dyDescent="0.25">
      <c r="A1943" s="39" t="str">
        <f>("1512030077")</f>
        <v>1512030077</v>
      </c>
      <c r="C1943" s="39"/>
      <c r="D1943" s="39" t="s">
        <v>9483</v>
      </c>
      <c r="E1943" s="371" t="str">
        <f t="shared" si="162"/>
        <v>しいはら　はるか</v>
      </c>
      <c r="F1943" s="39" t="s">
        <v>2350</v>
      </c>
      <c r="G1943" s="39" t="s">
        <v>7828</v>
      </c>
      <c r="H1943" s="39" t="str">
        <f>("2015/12/03")</f>
        <v>2015/12/03</v>
      </c>
      <c r="I1943" s="39">
        <v>4</v>
      </c>
      <c r="J1943" s="39" t="s">
        <v>1478</v>
      </c>
      <c r="K1943" s="39" t="s">
        <v>2122</v>
      </c>
      <c r="L1943" s="39" t="s">
        <v>7830</v>
      </c>
      <c r="M1943" s="39" t="s">
        <v>7831</v>
      </c>
      <c r="N1943" s="39" t="str">
        <f>("0360032")</f>
        <v>0360032</v>
      </c>
      <c r="P1943" s="39" t="s">
        <v>13401</v>
      </c>
      <c r="Q1943" s="39" t="s">
        <v>8568</v>
      </c>
      <c r="R1943" s="39" t="s">
        <v>8569</v>
      </c>
      <c r="S1943" s="39" t="s">
        <v>8570</v>
      </c>
      <c r="AK1943" s="39" t="str">
        <f>("2025/03/17")</f>
        <v>2025/03/17</v>
      </c>
      <c r="AL1943" s="39" t="str">
        <f>("2025/04/01")</f>
        <v>2025/04/01</v>
      </c>
    </row>
    <row r="1944" spans="1:39" x14ac:dyDescent="0.25">
      <c r="A1944" s="39" t="str">
        <f>("1512050053")</f>
        <v>1512050053</v>
      </c>
      <c r="C1944" s="39"/>
      <c r="D1944" s="39" t="s">
        <v>5731</v>
      </c>
      <c r="E1944" s="371" t="str">
        <f t="shared" si="162"/>
        <v>いばた　たかと</v>
      </c>
      <c r="F1944" s="39" t="s">
        <v>834</v>
      </c>
      <c r="G1944" s="39" t="s">
        <v>7828</v>
      </c>
      <c r="H1944" s="39" t="str">
        <f>("2015/12/05")</f>
        <v>2015/12/05</v>
      </c>
      <c r="I1944" s="39">
        <v>4</v>
      </c>
      <c r="J1944" s="39" t="s">
        <v>1478</v>
      </c>
      <c r="K1944" s="39" t="s">
        <v>2122</v>
      </c>
      <c r="L1944" s="39" t="s">
        <v>7830</v>
      </c>
      <c r="M1944" s="39" t="s">
        <v>7831</v>
      </c>
      <c r="N1944" s="39" t="str">
        <f>("0129844")</f>
        <v>0129844</v>
      </c>
      <c r="P1944" s="39" t="s">
        <v>13402</v>
      </c>
      <c r="Q1944" s="39" t="s">
        <v>8568</v>
      </c>
      <c r="R1944" s="39" t="s">
        <v>8569</v>
      </c>
      <c r="S1944" s="39" t="s">
        <v>8570</v>
      </c>
      <c r="AK1944" s="39" t="str">
        <f>("2025/03/17")</f>
        <v>2025/03/17</v>
      </c>
      <c r="AL1944" s="39" t="str">
        <f>("2025/04/01")</f>
        <v>2025/04/01</v>
      </c>
    </row>
    <row r="1945" spans="1:39" x14ac:dyDescent="0.25">
      <c r="A1945" s="39" t="str">
        <f>("1512070129")</f>
        <v>1512070129</v>
      </c>
      <c r="C1945" s="39"/>
      <c r="D1945" s="39" t="s">
        <v>9484</v>
      </c>
      <c r="E1945" s="371" t="str">
        <f t="shared" si="162"/>
        <v>もりた　あいと</v>
      </c>
      <c r="F1945" s="39" t="s">
        <v>8050</v>
      </c>
      <c r="G1945" s="39" t="s">
        <v>7828</v>
      </c>
      <c r="H1945" s="39" t="str">
        <f>("2015/12/07")</f>
        <v>2015/12/07</v>
      </c>
      <c r="I1945" s="39">
        <v>4</v>
      </c>
      <c r="J1945" s="39" t="s">
        <v>1480</v>
      </c>
      <c r="K1945" s="39" t="s">
        <v>2122</v>
      </c>
      <c r="L1945" s="39" t="s">
        <v>7830</v>
      </c>
      <c r="M1945" s="39" t="s">
        <v>7831</v>
      </c>
      <c r="N1945" s="39" t="str">
        <f>("0130015")</f>
        <v>0130015</v>
      </c>
      <c r="P1945" s="39" t="s">
        <v>13403</v>
      </c>
      <c r="Q1945" s="39" t="s">
        <v>8568</v>
      </c>
      <c r="R1945" s="39" t="s">
        <v>8569</v>
      </c>
      <c r="S1945" s="39" t="s">
        <v>8570</v>
      </c>
      <c r="AK1945" s="39" t="str">
        <f>("2025/03/17")</f>
        <v>2025/03/17</v>
      </c>
      <c r="AL1945" s="39" t="str">
        <f>("2025/04/01")</f>
        <v>2025/04/01</v>
      </c>
    </row>
    <row r="1946" spans="1:39" x14ac:dyDescent="0.25">
      <c r="A1946" s="39" t="str">
        <f>("1512080008")</f>
        <v>1512080008</v>
      </c>
      <c r="C1946" s="39"/>
      <c r="D1946" s="39" t="s">
        <v>5905</v>
      </c>
      <c r="E1946" s="371" t="str">
        <f t="shared" si="162"/>
        <v>むかい　らんま</v>
      </c>
      <c r="F1946" s="39" t="s">
        <v>2543</v>
      </c>
      <c r="G1946" s="39" t="s">
        <v>7828</v>
      </c>
      <c r="H1946" s="39" t="str">
        <f>("2015/12/08")</f>
        <v>2015/12/08</v>
      </c>
      <c r="I1946" s="39">
        <v>4</v>
      </c>
      <c r="J1946" s="39" t="s">
        <v>1478</v>
      </c>
      <c r="K1946" s="39" t="s">
        <v>2122</v>
      </c>
      <c r="L1946" s="39" t="s">
        <v>7830</v>
      </c>
      <c r="M1946" s="39" t="s">
        <v>7831</v>
      </c>
      <c r="N1946" s="39" t="str">
        <f>("0130600")</f>
        <v>0130600</v>
      </c>
      <c r="P1946" s="39" t="s">
        <v>13404</v>
      </c>
      <c r="Q1946" s="39" t="s">
        <v>8568</v>
      </c>
      <c r="R1946" s="39" t="s">
        <v>8569</v>
      </c>
      <c r="S1946" s="39" t="s">
        <v>8570</v>
      </c>
      <c r="AK1946" s="39" t="str">
        <f>("2025/03/17")</f>
        <v>2025/03/17</v>
      </c>
      <c r="AL1946" s="39" t="str">
        <f>("2025/04/01")</f>
        <v>2025/04/01</v>
      </c>
    </row>
    <row r="1947" spans="1:39" x14ac:dyDescent="0.25">
      <c r="A1947" s="39" t="str">
        <f>("1512090160")</f>
        <v>1512090160</v>
      </c>
      <c r="C1947" s="39"/>
      <c r="D1947" s="39" t="s">
        <v>9485</v>
      </c>
      <c r="E1947" s="371" t="str">
        <f t="shared" si="162"/>
        <v>ひさもち　かい</v>
      </c>
      <c r="F1947" s="39" t="s">
        <v>1481</v>
      </c>
      <c r="G1947" s="39" t="s">
        <v>7828</v>
      </c>
      <c r="H1947" s="39" t="str">
        <f>("2015/12/09")</f>
        <v>2015/12/09</v>
      </c>
      <c r="I1947" s="39">
        <v>4</v>
      </c>
      <c r="J1947" s="39" t="s">
        <v>1478</v>
      </c>
      <c r="K1947" s="39" t="s">
        <v>2122</v>
      </c>
      <c r="L1947" s="39" t="s">
        <v>7830</v>
      </c>
      <c r="M1947" s="39" t="s">
        <v>7831</v>
      </c>
      <c r="N1947" s="39" t="str">
        <f>("0129866")</f>
        <v>0129866</v>
      </c>
      <c r="P1947" s="39" t="s">
        <v>13405</v>
      </c>
      <c r="Q1947" s="39" t="s">
        <v>8568</v>
      </c>
      <c r="R1947" s="39" t="s">
        <v>8569</v>
      </c>
      <c r="S1947" s="39" t="s">
        <v>8570</v>
      </c>
      <c r="AK1947" s="39" t="str">
        <f>("2025/04/10")</f>
        <v>2025/04/10</v>
      </c>
      <c r="AL1947" s="39" t="str">
        <f>("2025/04/10")</f>
        <v>2025/04/10</v>
      </c>
    </row>
    <row r="1948" spans="1:39" x14ac:dyDescent="0.25">
      <c r="A1948" s="39" t="str">
        <f>("1512110016")</f>
        <v>1512110016</v>
      </c>
      <c r="C1948" s="39"/>
      <c r="D1948" s="39" t="s">
        <v>4349</v>
      </c>
      <c r="E1948" s="371" t="str">
        <f t="shared" si="162"/>
        <v>とうもと　ひなた</v>
      </c>
      <c r="F1948" s="39" t="s">
        <v>2505</v>
      </c>
      <c r="G1948" s="39" t="s">
        <v>7828</v>
      </c>
      <c r="H1948" s="39" t="str">
        <f>("2015/12/11")</f>
        <v>2015/12/11</v>
      </c>
      <c r="I1948" s="39">
        <v>4</v>
      </c>
      <c r="J1948" s="39" t="s">
        <v>1478</v>
      </c>
      <c r="K1948" s="39" t="s">
        <v>2122</v>
      </c>
      <c r="L1948" s="39" t="s">
        <v>7830</v>
      </c>
      <c r="M1948" s="39" t="s">
        <v>7831</v>
      </c>
      <c r="N1948" s="39" t="str">
        <f>("0129923")</f>
        <v>0129923</v>
      </c>
      <c r="P1948" s="39" t="s">
        <v>13406</v>
      </c>
      <c r="Q1948" s="39" t="s">
        <v>8568</v>
      </c>
      <c r="R1948" s="39" t="s">
        <v>8569</v>
      </c>
      <c r="S1948" s="39" t="s">
        <v>8570</v>
      </c>
      <c r="AK1948" s="39" t="str">
        <f>("2025/03/17")</f>
        <v>2025/03/17</v>
      </c>
      <c r="AL1948" s="39" t="str">
        <f>("2025/04/01")</f>
        <v>2025/04/01</v>
      </c>
    </row>
    <row r="1949" spans="1:39" x14ac:dyDescent="0.25">
      <c r="A1949" s="39" t="str">
        <f>("1512110030")</f>
        <v>1512110030</v>
      </c>
      <c r="B1949" s="39" t="s">
        <v>9486</v>
      </c>
      <c r="C1949" s="39"/>
      <c r="D1949" s="39" t="s">
        <v>9487</v>
      </c>
      <c r="E1949" s="371" t="str">
        <f t="shared" si="162"/>
        <v>やまぐち　りく</v>
      </c>
      <c r="F1949" s="39" t="s">
        <v>8050</v>
      </c>
      <c r="G1949" s="39" t="s">
        <v>7828</v>
      </c>
      <c r="H1949" s="39" t="str">
        <f>("2015/12/11")</f>
        <v>2015/12/11</v>
      </c>
      <c r="I1949" s="39">
        <v>4</v>
      </c>
      <c r="J1949" s="39" t="s">
        <v>1478</v>
      </c>
      <c r="K1949" s="39" t="s">
        <v>2122</v>
      </c>
      <c r="L1949" s="39" t="s">
        <v>7830</v>
      </c>
      <c r="M1949" s="39" t="s">
        <v>7831</v>
      </c>
      <c r="N1949" s="39" t="str">
        <f>("0130015")</f>
        <v>0130015</v>
      </c>
      <c r="P1949" s="39" t="s">
        <v>13407</v>
      </c>
      <c r="Q1949" s="39" t="s">
        <v>8568</v>
      </c>
      <c r="R1949" s="39" t="s">
        <v>8569</v>
      </c>
      <c r="S1949" s="39" t="s">
        <v>8570</v>
      </c>
      <c r="AK1949" s="39" t="str">
        <f>("2025/03/17")</f>
        <v>2025/03/17</v>
      </c>
      <c r="AL1949" s="39" t="str">
        <f>("2025/04/01")</f>
        <v>2025/04/01</v>
      </c>
    </row>
    <row r="1950" spans="1:39" x14ac:dyDescent="0.25">
      <c r="A1950" s="39" t="str">
        <f>("1512110047")</f>
        <v>1512110047</v>
      </c>
      <c r="C1950" s="39"/>
      <c r="D1950" s="39" t="s">
        <v>9488</v>
      </c>
      <c r="E1950" s="371" t="str">
        <f t="shared" si="162"/>
        <v>おがさわら　やまと</v>
      </c>
      <c r="F1950" s="39" t="s">
        <v>2530</v>
      </c>
      <c r="G1950" s="39" t="s">
        <v>7828</v>
      </c>
      <c r="H1950" s="39" t="str">
        <f>("2015/12/11")</f>
        <v>2015/12/11</v>
      </c>
      <c r="I1950" s="39">
        <v>4</v>
      </c>
      <c r="J1950" s="39" t="s">
        <v>1478</v>
      </c>
      <c r="K1950" s="39" t="s">
        <v>2122</v>
      </c>
      <c r="L1950" s="39" t="s">
        <v>7830</v>
      </c>
      <c r="M1950" s="39" t="s">
        <v>7831</v>
      </c>
      <c r="N1950" s="39" t="str">
        <f>("0338756")</f>
        <v>0338756</v>
      </c>
      <c r="P1950" s="39" t="s">
        <v>13408</v>
      </c>
      <c r="Q1950" s="39" t="s">
        <v>8568</v>
      </c>
      <c r="R1950" s="39" t="s">
        <v>8569</v>
      </c>
      <c r="S1950" s="39" t="s">
        <v>8570</v>
      </c>
      <c r="AK1950" s="39" t="str">
        <f>("2025/04/01")</f>
        <v>2025/04/01</v>
      </c>
      <c r="AL1950" s="39" t="str">
        <f>("2025/04/01")</f>
        <v>2025/04/01</v>
      </c>
    </row>
    <row r="1951" spans="1:39" x14ac:dyDescent="0.25">
      <c r="A1951" s="39" t="str">
        <f>("1512110148")</f>
        <v>1512110148</v>
      </c>
      <c r="C1951" s="39"/>
      <c r="D1951" s="39" t="s">
        <v>9489</v>
      </c>
      <c r="E1951" s="371" t="str">
        <f t="shared" si="162"/>
        <v>うつのみや　たつひこ</v>
      </c>
      <c r="F1951" s="39" t="s">
        <v>2531</v>
      </c>
      <c r="G1951" s="39" t="s">
        <v>7828</v>
      </c>
      <c r="H1951" s="39" t="str">
        <f>("2015/12/11")</f>
        <v>2015/12/11</v>
      </c>
      <c r="I1951" s="39">
        <v>4</v>
      </c>
      <c r="J1951" s="39" t="s">
        <v>1478</v>
      </c>
      <c r="K1951" s="39" t="s">
        <v>2122</v>
      </c>
      <c r="L1951" s="39" t="s">
        <v>7830</v>
      </c>
      <c r="M1951" s="39" t="s">
        <v>7831</v>
      </c>
      <c r="N1951" s="39" t="str">
        <f>("0130419")</f>
        <v>0130419</v>
      </c>
      <c r="P1951" s="39" t="s">
        <v>13409</v>
      </c>
      <c r="Q1951" s="39" t="s">
        <v>8568</v>
      </c>
      <c r="R1951" s="39" t="s">
        <v>8569</v>
      </c>
      <c r="S1951" s="39" t="s">
        <v>8570</v>
      </c>
      <c r="AK1951" s="39" t="str">
        <f>("2025/06/10")</f>
        <v>2025/06/10</v>
      </c>
      <c r="AL1951" s="39" t="str">
        <f>("2025/06/10")</f>
        <v>2025/06/10</v>
      </c>
    </row>
    <row r="1952" spans="1:39" x14ac:dyDescent="0.25">
      <c r="A1952" s="39" t="str">
        <f>("1512120040")</f>
        <v>1512120040</v>
      </c>
      <c r="C1952" s="39"/>
      <c r="D1952" s="39" t="s">
        <v>6114</v>
      </c>
      <c r="E1952" s="371" t="str">
        <f t="shared" si="162"/>
        <v>さとう　けいしろう</v>
      </c>
      <c r="F1952" s="39" t="s">
        <v>5618</v>
      </c>
      <c r="G1952" s="39" t="s">
        <v>7828</v>
      </c>
      <c r="H1952" s="39" t="str">
        <f>("2015/12/12")</f>
        <v>2015/12/12</v>
      </c>
      <c r="I1952" s="39">
        <v>4</v>
      </c>
      <c r="J1952" s="39" t="s">
        <v>1478</v>
      </c>
      <c r="K1952" s="39" t="s">
        <v>2122</v>
      </c>
      <c r="L1952" s="39" t="s">
        <v>7830</v>
      </c>
      <c r="M1952" s="39" t="s">
        <v>7831</v>
      </c>
      <c r="N1952" s="39" t="str">
        <f>("0433235")</f>
        <v>0433235</v>
      </c>
      <c r="P1952" s="39" t="s">
        <v>13410</v>
      </c>
      <c r="Q1952" s="39" t="s">
        <v>8568</v>
      </c>
      <c r="R1952" s="39" t="s">
        <v>8569</v>
      </c>
      <c r="S1952" s="39" t="s">
        <v>8570</v>
      </c>
      <c r="AK1952" s="39" t="str">
        <f>("2025/03/17")</f>
        <v>2025/03/17</v>
      </c>
      <c r="AL1952" s="39" t="str">
        <f t="shared" ref="AL1952:AL1960" si="164">("2025/04/01")</f>
        <v>2025/04/01</v>
      </c>
    </row>
    <row r="1953" spans="1:38" x14ac:dyDescent="0.25">
      <c r="A1953" s="39" t="str">
        <f>("1512130093")</f>
        <v>1512130093</v>
      </c>
      <c r="C1953" s="39"/>
      <c r="D1953" s="39" t="s">
        <v>9490</v>
      </c>
      <c r="E1953" s="371" t="str">
        <f t="shared" si="162"/>
        <v>なかじま　りゅうき</v>
      </c>
      <c r="F1953" s="39" t="s">
        <v>2516</v>
      </c>
      <c r="G1953" s="39" t="s">
        <v>7828</v>
      </c>
      <c r="H1953" s="39" t="str">
        <f>("2015/12/13")</f>
        <v>2015/12/13</v>
      </c>
      <c r="I1953" s="39">
        <v>4</v>
      </c>
      <c r="J1953" s="39" t="s">
        <v>1478</v>
      </c>
      <c r="K1953" s="39" t="s">
        <v>2122</v>
      </c>
      <c r="L1953" s="39" t="s">
        <v>7830</v>
      </c>
      <c r="M1953" s="39" t="s">
        <v>7831</v>
      </c>
      <c r="N1953" s="39" t="str">
        <f>("0130116")</f>
        <v>0130116</v>
      </c>
      <c r="P1953" s="39" t="s">
        <v>13411</v>
      </c>
      <c r="Q1953" s="39" t="s">
        <v>8568</v>
      </c>
      <c r="R1953" s="39" t="s">
        <v>8569</v>
      </c>
      <c r="S1953" s="39" t="s">
        <v>8570</v>
      </c>
      <c r="AK1953" s="39" t="str">
        <f>("2025/03/25")</f>
        <v>2025/03/25</v>
      </c>
      <c r="AL1953" s="39" t="str">
        <f t="shared" si="164"/>
        <v>2025/04/01</v>
      </c>
    </row>
    <row r="1954" spans="1:38" x14ac:dyDescent="0.25">
      <c r="A1954" s="39" t="str">
        <f>("1512140022")</f>
        <v>1512140022</v>
      </c>
      <c r="B1954" s="39" t="s">
        <v>9491</v>
      </c>
      <c r="C1954" s="39"/>
      <c r="D1954" s="39" t="s">
        <v>9492</v>
      </c>
      <c r="E1954" s="371" t="str">
        <f t="shared" si="162"/>
        <v>うつのみや　えいと</v>
      </c>
      <c r="F1954" s="39" t="s">
        <v>5615</v>
      </c>
      <c r="G1954" s="39" t="s">
        <v>7828</v>
      </c>
      <c r="H1954" s="39" t="str">
        <f>("2015/12/14")</f>
        <v>2015/12/14</v>
      </c>
      <c r="I1954" s="39">
        <v>4</v>
      </c>
      <c r="J1954" s="39" t="s">
        <v>1478</v>
      </c>
      <c r="K1954" s="39" t="s">
        <v>2122</v>
      </c>
      <c r="L1954" s="39" t="s">
        <v>7830</v>
      </c>
      <c r="M1954" s="39" t="s">
        <v>7831</v>
      </c>
      <c r="N1954" s="39" t="str">
        <f>("0129642")</f>
        <v>0129642</v>
      </c>
      <c r="P1954" s="39" t="s">
        <v>13412</v>
      </c>
      <c r="Q1954" s="39" t="s">
        <v>8568</v>
      </c>
      <c r="R1954" s="39" t="s">
        <v>8569</v>
      </c>
      <c r="S1954" s="39" t="s">
        <v>8570</v>
      </c>
      <c r="AK1954" s="39" t="str">
        <f>("2025/03/24")</f>
        <v>2025/03/24</v>
      </c>
      <c r="AL1954" s="39" t="str">
        <f t="shared" si="164"/>
        <v>2025/04/01</v>
      </c>
    </row>
    <row r="1955" spans="1:38" x14ac:dyDescent="0.25">
      <c r="A1955" s="39" t="str">
        <f>("1512140107")</f>
        <v>1512140107</v>
      </c>
      <c r="C1955" s="39"/>
      <c r="D1955" s="39" t="s">
        <v>9493</v>
      </c>
      <c r="E1955" s="371" t="str">
        <f t="shared" si="162"/>
        <v>あそう　たかひさ</v>
      </c>
      <c r="F1955" s="39" t="s">
        <v>827</v>
      </c>
      <c r="G1955" s="39" t="s">
        <v>7828</v>
      </c>
      <c r="H1955" s="39" t="str">
        <f>("2015/12/14")</f>
        <v>2015/12/14</v>
      </c>
      <c r="I1955" s="39">
        <v>4</v>
      </c>
      <c r="J1955" s="39" t="s">
        <v>1478</v>
      </c>
      <c r="K1955" s="39" t="s">
        <v>2122</v>
      </c>
      <c r="L1955" s="39" t="s">
        <v>7830</v>
      </c>
      <c r="M1955" s="39" t="s">
        <v>7831</v>
      </c>
      <c r="N1955" s="39" t="str">
        <f>("0504908")</f>
        <v>0504908</v>
      </c>
      <c r="P1955" s="39" t="s">
        <v>13413</v>
      </c>
      <c r="Q1955" s="39" t="s">
        <v>8568</v>
      </c>
      <c r="R1955" s="39" t="s">
        <v>8569</v>
      </c>
      <c r="S1955" s="39" t="s">
        <v>8570</v>
      </c>
      <c r="AK1955" s="39" t="str">
        <f>("2025/03/21")</f>
        <v>2025/03/21</v>
      </c>
      <c r="AL1955" s="39" t="str">
        <f t="shared" si="164"/>
        <v>2025/04/01</v>
      </c>
    </row>
    <row r="1956" spans="1:38" x14ac:dyDescent="0.25">
      <c r="A1956" s="39" t="str">
        <f>("1512140108")</f>
        <v>1512140108</v>
      </c>
      <c r="C1956" s="39"/>
      <c r="D1956" s="39" t="s">
        <v>9494</v>
      </c>
      <c r="E1956" s="371" t="str">
        <f t="shared" si="162"/>
        <v>やの　りくと</v>
      </c>
      <c r="F1956" s="39" t="s">
        <v>5621</v>
      </c>
      <c r="G1956" s="39" t="s">
        <v>7828</v>
      </c>
      <c r="H1956" s="39" t="str">
        <f>("2015/12/14")</f>
        <v>2015/12/14</v>
      </c>
      <c r="I1956" s="39">
        <v>4</v>
      </c>
      <c r="J1956" s="39" t="s">
        <v>1478</v>
      </c>
      <c r="K1956" s="39" t="s">
        <v>2122</v>
      </c>
      <c r="L1956" s="39" t="s">
        <v>7830</v>
      </c>
      <c r="M1956" s="39" t="s">
        <v>7831</v>
      </c>
      <c r="N1956" s="39" t="str">
        <f>("1110654")</f>
        <v>1110654</v>
      </c>
      <c r="P1956" s="39" t="s">
        <v>13414</v>
      </c>
      <c r="Q1956" s="39" t="s">
        <v>8568</v>
      </c>
      <c r="R1956" s="39" t="s">
        <v>8569</v>
      </c>
      <c r="S1956" s="39" t="s">
        <v>8570</v>
      </c>
      <c r="AA1956" s="39" t="s">
        <v>2122</v>
      </c>
      <c r="AB1956" s="39" t="s">
        <v>7830</v>
      </c>
      <c r="AC1956" s="39" t="s">
        <v>7831</v>
      </c>
      <c r="AD1956" s="39" t="str">
        <f>("0456892")</f>
        <v>0456892</v>
      </c>
      <c r="AE1956" s="39" t="s">
        <v>2615</v>
      </c>
      <c r="AK1956" s="39" t="str">
        <f>("2025/03/17")</f>
        <v>2025/03/17</v>
      </c>
      <c r="AL1956" s="39" t="str">
        <f t="shared" si="164"/>
        <v>2025/04/01</v>
      </c>
    </row>
    <row r="1957" spans="1:38" x14ac:dyDescent="0.25">
      <c r="A1957" s="39" t="str">
        <f>("1512150030")</f>
        <v>1512150030</v>
      </c>
      <c r="C1957" s="39"/>
      <c r="D1957" s="39" t="s">
        <v>6271</v>
      </c>
      <c r="E1957" s="371" t="str">
        <f t="shared" si="162"/>
        <v>おおぼし　らいき</v>
      </c>
      <c r="F1957" s="39" t="s">
        <v>3870</v>
      </c>
      <c r="G1957" s="39" t="s">
        <v>7828</v>
      </c>
      <c r="H1957" s="39" t="str">
        <f>("2015/12/15")</f>
        <v>2015/12/15</v>
      </c>
      <c r="I1957" s="39">
        <v>4</v>
      </c>
      <c r="J1957" s="39" t="s">
        <v>1478</v>
      </c>
      <c r="K1957" s="39" t="s">
        <v>2122</v>
      </c>
      <c r="L1957" s="39" t="s">
        <v>7830</v>
      </c>
      <c r="M1957" s="39" t="s">
        <v>7831</v>
      </c>
      <c r="N1957" s="39" t="str">
        <f>("1094183")</f>
        <v>1094183</v>
      </c>
      <c r="P1957" s="39" t="s">
        <v>13415</v>
      </c>
      <c r="Q1957" s="39" t="s">
        <v>8568</v>
      </c>
      <c r="R1957" s="39" t="s">
        <v>8569</v>
      </c>
      <c r="S1957" s="39" t="s">
        <v>8570</v>
      </c>
      <c r="AK1957" s="39" t="str">
        <f>("2025/03/27")</f>
        <v>2025/03/27</v>
      </c>
      <c r="AL1957" s="39" t="str">
        <f t="shared" si="164"/>
        <v>2025/04/01</v>
      </c>
    </row>
    <row r="1958" spans="1:38" x14ac:dyDescent="0.25">
      <c r="A1958" s="39" t="str">
        <f>("1512150140")</f>
        <v>1512150140</v>
      </c>
      <c r="C1958" s="39"/>
      <c r="D1958" s="39" t="s">
        <v>9495</v>
      </c>
      <c r="E1958" s="371" t="str">
        <f t="shared" si="162"/>
        <v>ふじつか　よしと</v>
      </c>
      <c r="F1958" s="39" t="s">
        <v>2619</v>
      </c>
      <c r="G1958" s="39" t="s">
        <v>7828</v>
      </c>
      <c r="H1958" s="39" t="str">
        <f>("2015/12/15")</f>
        <v>2015/12/15</v>
      </c>
      <c r="I1958" s="39">
        <v>4</v>
      </c>
      <c r="J1958" s="39" t="s">
        <v>1478</v>
      </c>
      <c r="K1958" s="39" t="s">
        <v>2122</v>
      </c>
      <c r="L1958" s="39" t="s">
        <v>7830</v>
      </c>
      <c r="M1958" s="39" t="s">
        <v>7831</v>
      </c>
      <c r="N1958" s="39" t="str">
        <f>("0472823")</f>
        <v>0472823</v>
      </c>
      <c r="P1958" s="39" t="s">
        <v>13416</v>
      </c>
      <c r="Q1958" s="39" t="s">
        <v>8568</v>
      </c>
      <c r="R1958" s="39" t="s">
        <v>8569</v>
      </c>
      <c r="S1958" s="39" t="s">
        <v>8570</v>
      </c>
      <c r="AK1958" s="39" t="str">
        <f>("2025/03/17")</f>
        <v>2025/03/17</v>
      </c>
      <c r="AL1958" s="39" t="str">
        <f t="shared" si="164"/>
        <v>2025/04/01</v>
      </c>
    </row>
    <row r="1959" spans="1:38" x14ac:dyDescent="0.25">
      <c r="A1959" s="39" t="str">
        <f>("1512160004")</f>
        <v>1512160004</v>
      </c>
      <c r="B1959" s="39" t="s">
        <v>9496</v>
      </c>
      <c r="C1959" s="39"/>
      <c r="D1959" s="39" t="s">
        <v>9497</v>
      </c>
      <c r="E1959" s="371" t="str">
        <f t="shared" si="162"/>
        <v>ふじた　けいすけ</v>
      </c>
      <c r="F1959" s="39" t="s">
        <v>2544</v>
      </c>
      <c r="G1959" s="39" t="s">
        <v>7828</v>
      </c>
      <c r="H1959" s="39" t="str">
        <f>("2015/12/16")</f>
        <v>2015/12/16</v>
      </c>
      <c r="I1959" s="39">
        <v>4</v>
      </c>
      <c r="J1959" s="39" t="s">
        <v>1478</v>
      </c>
      <c r="K1959" s="39" t="s">
        <v>2122</v>
      </c>
      <c r="L1959" s="39" t="s">
        <v>7830</v>
      </c>
      <c r="M1959" s="39" t="s">
        <v>7831</v>
      </c>
      <c r="N1959" s="39" t="str">
        <f>("0130644")</f>
        <v>0130644</v>
      </c>
      <c r="P1959" s="39" t="s">
        <v>13417</v>
      </c>
      <c r="Q1959" s="39" t="s">
        <v>8568</v>
      </c>
      <c r="R1959" s="39" t="s">
        <v>8569</v>
      </c>
      <c r="S1959" s="39" t="s">
        <v>8570</v>
      </c>
      <c r="AK1959" s="39" t="str">
        <f>("2025/03/17")</f>
        <v>2025/03/17</v>
      </c>
      <c r="AL1959" s="39" t="str">
        <f t="shared" si="164"/>
        <v>2025/04/01</v>
      </c>
    </row>
    <row r="1960" spans="1:38" x14ac:dyDescent="0.25">
      <c r="A1960" s="39" t="str">
        <f>("1512160133")</f>
        <v>1512160133</v>
      </c>
      <c r="C1960" s="39"/>
      <c r="D1960" s="39" t="s">
        <v>9498</v>
      </c>
      <c r="E1960" s="371" t="str">
        <f t="shared" si="162"/>
        <v>あんべ　ともあつ</v>
      </c>
      <c r="F1960" s="39" t="s">
        <v>2491</v>
      </c>
      <c r="G1960" s="39" t="s">
        <v>7828</v>
      </c>
      <c r="H1960" s="39" t="str">
        <f>("2015/12/16")</f>
        <v>2015/12/16</v>
      </c>
      <c r="I1960" s="39">
        <v>4</v>
      </c>
      <c r="J1960" s="39" t="s">
        <v>1478</v>
      </c>
      <c r="K1960" s="39" t="s">
        <v>2122</v>
      </c>
      <c r="L1960" s="39" t="s">
        <v>7830</v>
      </c>
      <c r="M1960" s="39" t="s">
        <v>7831</v>
      </c>
      <c r="N1960" s="39" t="str">
        <f>("0129822")</f>
        <v>0129822</v>
      </c>
      <c r="P1960" s="39" t="s">
        <v>13418</v>
      </c>
      <c r="Q1960" s="39" t="s">
        <v>8568</v>
      </c>
      <c r="R1960" s="39" t="s">
        <v>8569</v>
      </c>
      <c r="S1960" s="39" t="s">
        <v>8570</v>
      </c>
      <c r="AK1960" s="39" t="str">
        <f>("2025/03/17")</f>
        <v>2025/03/17</v>
      </c>
      <c r="AL1960" s="39" t="str">
        <f t="shared" si="164"/>
        <v>2025/04/01</v>
      </c>
    </row>
    <row r="1961" spans="1:38" x14ac:dyDescent="0.25">
      <c r="A1961" s="39" t="str">
        <f>("1512160172")</f>
        <v>1512160172</v>
      </c>
      <c r="C1961" s="39"/>
      <c r="D1961" s="39" t="s">
        <v>9499</v>
      </c>
      <c r="E1961" s="371" t="str">
        <f t="shared" si="162"/>
        <v>つだ　ひまり</v>
      </c>
      <c r="F1961" s="39" t="s">
        <v>2137</v>
      </c>
      <c r="G1961" s="39" t="s">
        <v>7828</v>
      </c>
      <c r="H1961" s="39" t="str">
        <f>("2015/12/16")</f>
        <v>2015/12/16</v>
      </c>
      <c r="I1961" s="39">
        <v>4</v>
      </c>
      <c r="J1961" s="39" t="s">
        <v>1480</v>
      </c>
      <c r="K1961" s="39" t="s">
        <v>2122</v>
      </c>
      <c r="L1961" s="39" t="s">
        <v>7830</v>
      </c>
      <c r="M1961" s="39" t="s">
        <v>7831</v>
      </c>
      <c r="N1961" s="39" t="str">
        <f>("0130510")</f>
        <v>0130510</v>
      </c>
      <c r="P1961" s="39" t="s">
        <v>13419</v>
      </c>
      <c r="Q1961" s="39" t="s">
        <v>8568</v>
      </c>
      <c r="R1961" s="39" t="s">
        <v>8569</v>
      </c>
      <c r="S1961" s="39" t="s">
        <v>8570</v>
      </c>
      <c r="AK1961" s="39" t="str">
        <f>("2025/09/24")</f>
        <v>2025/09/24</v>
      </c>
      <c r="AL1961" s="39" t="str">
        <f>("2025/09/24")</f>
        <v>2025/09/24</v>
      </c>
    </row>
    <row r="1962" spans="1:38" x14ac:dyDescent="0.25">
      <c r="A1962" s="39" t="str">
        <f>("1512160180")</f>
        <v>1512160180</v>
      </c>
      <c r="C1962" s="39"/>
      <c r="D1962" s="39" t="s">
        <v>9500</v>
      </c>
      <c r="E1962" s="371" t="str">
        <f t="shared" si="162"/>
        <v>おおくぼ　ゆらと</v>
      </c>
      <c r="F1962" s="39" t="s">
        <v>1207</v>
      </c>
      <c r="G1962" s="39" t="s">
        <v>7828</v>
      </c>
      <c r="H1962" s="39" t="str">
        <f>("2015/12/16")</f>
        <v>2015/12/16</v>
      </c>
      <c r="I1962" s="39">
        <v>4</v>
      </c>
      <c r="J1962" s="39" t="s">
        <v>1478</v>
      </c>
      <c r="K1962" s="39" t="s">
        <v>2122</v>
      </c>
      <c r="L1962" s="39" t="s">
        <v>7830</v>
      </c>
      <c r="M1962" s="39" t="s">
        <v>7831</v>
      </c>
      <c r="N1962" s="39" t="str">
        <f>("0381608")</f>
        <v>0381608</v>
      </c>
      <c r="P1962" s="39" t="s">
        <v>13420</v>
      </c>
      <c r="Q1962" s="39" t="s">
        <v>8568</v>
      </c>
      <c r="R1962" s="39" t="s">
        <v>8569</v>
      </c>
      <c r="S1962" s="39" t="s">
        <v>8570</v>
      </c>
      <c r="AK1962" s="39" t="str">
        <f>("2025/10/16")</f>
        <v>2025/10/16</v>
      </c>
      <c r="AL1962" s="39" t="str">
        <f>("2025/10/16")</f>
        <v>2025/10/16</v>
      </c>
    </row>
    <row r="1963" spans="1:38" x14ac:dyDescent="0.25">
      <c r="A1963" s="39" t="str">
        <f>("1512170043")</f>
        <v>1512170043</v>
      </c>
      <c r="C1963" s="39"/>
      <c r="D1963" s="39" t="s">
        <v>9501</v>
      </c>
      <c r="E1963" s="371" t="str">
        <f t="shared" si="162"/>
        <v>たけのした　みなと</v>
      </c>
      <c r="F1963" s="39" t="s">
        <v>2024</v>
      </c>
      <c r="G1963" s="39" t="s">
        <v>7828</v>
      </c>
      <c r="H1963" s="39" t="str">
        <f>("2015/12/17")</f>
        <v>2015/12/17</v>
      </c>
      <c r="I1963" s="39">
        <v>4</v>
      </c>
      <c r="J1963" s="39" t="s">
        <v>1478</v>
      </c>
      <c r="K1963" s="39" t="s">
        <v>2122</v>
      </c>
      <c r="L1963" s="39" t="s">
        <v>7830</v>
      </c>
      <c r="M1963" s="39" t="s">
        <v>7831</v>
      </c>
      <c r="N1963" s="39" t="str">
        <f>("0130475")</f>
        <v>0130475</v>
      </c>
      <c r="P1963" s="39" t="s">
        <v>13421</v>
      </c>
      <c r="Q1963" s="39" t="s">
        <v>8568</v>
      </c>
      <c r="R1963" s="39" t="s">
        <v>8569</v>
      </c>
      <c r="S1963" s="39" t="s">
        <v>8570</v>
      </c>
      <c r="AK1963" s="39" t="str">
        <f>("2025/04/04")</f>
        <v>2025/04/04</v>
      </c>
      <c r="AL1963" s="39" t="str">
        <f t="shared" ref="AL1963:AL1969" si="165">("2025/04/01")</f>
        <v>2025/04/01</v>
      </c>
    </row>
    <row r="1964" spans="1:38" x14ac:dyDescent="0.25">
      <c r="A1964" s="39" t="str">
        <f>("1512170085")</f>
        <v>1512170085</v>
      </c>
      <c r="C1964" s="39"/>
      <c r="D1964" s="39" t="s">
        <v>5786</v>
      </c>
      <c r="E1964" s="371" t="str">
        <f t="shared" si="162"/>
        <v>よこやま　ここな</v>
      </c>
      <c r="F1964" s="39" t="s">
        <v>2514</v>
      </c>
      <c r="G1964" s="39" t="s">
        <v>7828</v>
      </c>
      <c r="H1964" s="39" t="str">
        <f>("2015/12/17")</f>
        <v>2015/12/17</v>
      </c>
      <c r="I1964" s="39">
        <v>4</v>
      </c>
      <c r="J1964" s="39" t="s">
        <v>1480</v>
      </c>
      <c r="K1964" s="39" t="s">
        <v>2122</v>
      </c>
      <c r="L1964" s="39" t="s">
        <v>7830</v>
      </c>
      <c r="M1964" s="39" t="s">
        <v>7831</v>
      </c>
      <c r="N1964" s="39" t="str">
        <f>("0130093")</f>
        <v>0130093</v>
      </c>
      <c r="P1964" s="39" t="s">
        <v>13422</v>
      </c>
      <c r="Q1964" s="39" t="s">
        <v>8568</v>
      </c>
      <c r="R1964" s="39" t="s">
        <v>8569</v>
      </c>
      <c r="S1964" s="39" t="s">
        <v>8570</v>
      </c>
      <c r="AK1964" s="39" t="str">
        <f>("2025/04/01")</f>
        <v>2025/04/01</v>
      </c>
      <c r="AL1964" s="39" t="str">
        <f t="shared" si="165"/>
        <v>2025/04/01</v>
      </c>
    </row>
    <row r="1965" spans="1:38" x14ac:dyDescent="0.25">
      <c r="A1965" s="39" t="str">
        <f>("1512170106")</f>
        <v>1512170106</v>
      </c>
      <c r="B1965" s="39" t="s">
        <v>9502</v>
      </c>
      <c r="C1965" s="39"/>
      <c r="D1965" s="39" t="s">
        <v>9503</v>
      </c>
      <c r="E1965" s="371" t="str">
        <f t="shared" si="162"/>
        <v>かわかみ　ゆうせい</v>
      </c>
      <c r="F1965" s="39" t="s">
        <v>2516</v>
      </c>
      <c r="G1965" s="39" t="s">
        <v>7828</v>
      </c>
      <c r="H1965" s="39" t="str">
        <f>("2015/12/17")</f>
        <v>2015/12/17</v>
      </c>
      <c r="I1965" s="39">
        <v>4</v>
      </c>
      <c r="J1965" s="39" t="s">
        <v>1478</v>
      </c>
      <c r="K1965" s="39" t="s">
        <v>2122</v>
      </c>
      <c r="L1965" s="39" t="s">
        <v>7830</v>
      </c>
      <c r="M1965" s="39" t="s">
        <v>7831</v>
      </c>
      <c r="N1965" s="39" t="str">
        <f>("0130116")</f>
        <v>0130116</v>
      </c>
      <c r="P1965" s="39" t="s">
        <v>13423</v>
      </c>
      <c r="Q1965" s="39" t="s">
        <v>8568</v>
      </c>
      <c r="R1965" s="39" t="s">
        <v>8569</v>
      </c>
      <c r="S1965" s="39" t="s">
        <v>8570</v>
      </c>
      <c r="AK1965" s="39" t="str">
        <f>("2025/03/25")</f>
        <v>2025/03/25</v>
      </c>
      <c r="AL1965" s="39" t="str">
        <f t="shared" si="165"/>
        <v>2025/04/01</v>
      </c>
    </row>
    <row r="1966" spans="1:38" x14ac:dyDescent="0.25">
      <c r="A1966" s="39" t="str">
        <f>("1512170142")</f>
        <v>1512170142</v>
      </c>
      <c r="C1966" s="39"/>
      <c r="D1966" s="39" t="s">
        <v>9504</v>
      </c>
      <c r="E1966" s="371" t="str">
        <f t="shared" si="162"/>
        <v>てしま　そうた</v>
      </c>
      <c r="F1966" s="39" t="s">
        <v>2557</v>
      </c>
      <c r="G1966" s="39" t="s">
        <v>7828</v>
      </c>
      <c r="H1966" s="39" t="str">
        <f>("2015/12/17")</f>
        <v>2015/12/17</v>
      </c>
      <c r="I1966" s="39">
        <v>4</v>
      </c>
      <c r="J1966" s="39" t="s">
        <v>1478</v>
      </c>
      <c r="K1966" s="39" t="s">
        <v>2122</v>
      </c>
      <c r="L1966" s="39" t="s">
        <v>7830</v>
      </c>
      <c r="M1966" s="39" t="s">
        <v>7831</v>
      </c>
      <c r="N1966" s="39" t="str">
        <f>("0130723")</f>
        <v>0130723</v>
      </c>
      <c r="P1966" s="39" t="s">
        <v>13424</v>
      </c>
      <c r="Q1966" s="39" t="s">
        <v>8568</v>
      </c>
      <c r="R1966" s="39" t="s">
        <v>8569</v>
      </c>
      <c r="S1966" s="39" t="s">
        <v>8570</v>
      </c>
      <c r="AK1966" s="39" t="str">
        <f>("2025/03/17")</f>
        <v>2025/03/17</v>
      </c>
      <c r="AL1966" s="39" t="str">
        <f t="shared" si="165"/>
        <v>2025/04/01</v>
      </c>
    </row>
    <row r="1967" spans="1:38" x14ac:dyDescent="0.25">
      <c r="A1967" s="39" t="str">
        <f>("1512180010")</f>
        <v>1512180010</v>
      </c>
      <c r="C1967" s="39"/>
      <c r="D1967" s="39" t="s">
        <v>5904</v>
      </c>
      <c r="E1967" s="371" t="str">
        <f t="shared" si="162"/>
        <v>すがわ　たいよう</v>
      </c>
      <c r="F1967" s="39" t="s">
        <v>2543</v>
      </c>
      <c r="G1967" s="39" t="s">
        <v>7828</v>
      </c>
      <c r="H1967" s="39" t="str">
        <f>("2015/12/18")</f>
        <v>2015/12/18</v>
      </c>
      <c r="I1967" s="39">
        <v>4</v>
      </c>
      <c r="J1967" s="39" t="s">
        <v>1478</v>
      </c>
      <c r="K1967" s="39" t="s">
        <v>2122</v>
      </c>
      <c r="L1967" s="39" t="s">
        <v>7830</v>
      </c>
      <c r="M1967" s="39" t="s">
        <v>7831</v>
      </c>
      <c r="N1967" s="39" t="str">
        <f>("0130600")</f>
        <v>0130600</v>
      </c>
      <c r="P1967" s="39" t="s">
        <v>13425</v>
      </c>
      <c r="Q1967" s="39" t="s">
        <v>8568</v>
      </c>
      <c r="R1967" s="39" t="s">
        <v>8569</v>
      </c>
      <c r="S1967" s="39" t="s">
        <v>8570</v>
      </c>
      <c r="AK1967" s="39" t="str">
        <f>("2025/03/17")</f>
        <v>2025/03/17</v>
      </c>
      <c r="AL1967" s="39" t="str">
        <f t="shared" si="165"/>
        <v>2025/04/01</v>
      </c>
    </row>
    <row r="1968" spans="1:38" x14ac:dyDescent="0.25">
      <c r="A1968" s="39" t="str">
        <f>("1512180127")</f>
        <v>1512180127</v>
      </c>
      <c r="C1968" s="39"/>
      <c r="D1968" s="39" t="s">
        <v>9505</v>
      </c>
      <c r="E1968" s="371" t="str">
        <f t="shared" si="162"/>
        <v>あべ　あおい</v>
      </c>
      <c r="F1968" s="39" t="s">
        <v>3866</v>
      </c>
      <c r="G1968" s="39" t="s">
        <v>7828</v>
      </c>
      <c r="H1968" s="39" t="str">
        <f>("2015/12/18")</f>
        <v>2015/12/18</v>
      </c>
      <c r="I1968" s="39">
        <v>4</v>
      </c>
      <c r="J1968" s="39" t="s">
        <v>1478</v>
      </c>
      <c r="K1968" s="39" t="s">
        <v>2122</v>
      </c>
      <c r="L1968" s="39" t="s">
        <v>7830</v>
      </c>
      <c r="M1968" s="39" t="s">
        <v>7831</v>
      </c>
      <c r="N1968" s="39" t="str">
        <f>("0129675")</f>
        <v>0129675</v>
      </c>
      <c r="P1968" s="39" t="s">
        <v>13426</v>
      </c>
      <c r="Q1968" s="39" t="s">
        <v>8568</v>
      </c>
      <c r="R1968" s="39" t="s">
        <v>8569</v>
      </c>
      <c r="S1968" s="39" t="s">
        <v>8570</v>
      </c>
      <c r="AK1968" s="39" t="str">
        <f>("2025/04/01")</f>
        <v>2025/04/01</v>
      </c>
      <c r="AL1968" s="39" t="str">
        <f t="shared" si="165"/>
        <v>2025/04/01</v>
      </c>
    </row>
    <row r="1969" spans="1:39" x14ac:dyDescent="0.25">
      <c r="A1969" s="39" t="str">
        <f>("1512180136")</f>
        <v>1512180136</v>
      </c>
      <c r="C1969" s="39"/>
      <c r="D1969" s="39" t="s">
        <v>9506</v>
      </c>
      <c r="E1969" s="371" t="str">
        <f t="shared" si="162"/>
        <v>まつき　ゆうま</v>
      </c>
      <c r="F1969" s="39" t="s">
        <v>2602</v>
      </c>
      <c r="G1969" s="39" t="s">
        <v>7828</v>
      </c>
      <c r="H1969" s="39" t="str">
        <f>("2015/12/18")</f>
        <v>2015/12/18</v>
      </c>
      <c r="I1969" s="39">
        <v>4</v>
      </c>
      <c r="J1969" s="39" t="s">
        <v>1478</v>
      </c>
      <c r="K1969" s="39" t="s">
        <v>2122</v>
      </c>
      <c r="L1969" s="39" t="s">
        <v>7830</v>
      </c>
      <c r="M1969" s="39" t="s">
        <v>7831</v>
      </c>
      <c r="N1969" s="39" t="str">
        <f>("0430119")</f>
        <v>0430119</v>
      </c>
      <c r="P1969" s="39" t="s">
        <v>13427</v>
      </c>
      <c r="Q1969" s="39" t="s">
        <v>8568</v>
      </c>
      <c r="R1969" s="39" t="s">
        <v>8569</v>
      </c>
      <c r="S1969" s="39" t="s">
        <v>8570</v>
      </c>
      <c r="AK1969" s="39" t="str">
        <f>("2025/03/17")</f>
        <v>2025/03/17</v>
      </c>
      <c r="AL1969" s="39" t="str">
        <f t="shared" si="165"/>
        <v>2025/04/01</v>
      </c>
    </row>
    <row r="1970" spans="1:39" x14ac:dyDescent="0.25">
      <c r="A1970" s="39" t="str">
        <f>("1512180177")</f>
        <v>1512180177</v>
      </c>
      <c r="C1970" s="39"/>
      <c r="D1970" s="39" t="s">
        <v>9507</v>
      </c>
      <c r="E1970" s="371" t="str">
        <f t="shared" si="162"/>
        <v>とみた　りお</v>
      </c>
      <c r="F1970" s="39" t="s">
        <v>1865</v>
      </c>
      <c r="G1970" s="39" t="s">
        <v>7828</v>
      </c>
      <c r="H1970" s="39" t="str">
        <f>("2015/12/18")</f>
        <v>2015/12/18</v>
      </c>
      <c r="I1970" s="39">
        <v>4</v>
      </c>
      <c r="J1970" s="39" t="s">
        <v>1478</v>
      </c>
      <c r="K1970" s="39" t="s">
        <v>2122</v>
      </c>
      <c r="L1970" s="39" t="s">
        <v>7830</v>
      </c>
      <c r="M1970" s="39" t="s">
        <v>7831</v>
      </c>
      <c r="N1970" s="39" t="str">
        <f>("0310565")</f>
        <v>0310565</v>
      </c>
      <c r="P1970" s="39" t="s">
        <v>13428</v>
      </c>
      <c r="Q1970" s="39" t="s">
        <v>8568</v>
      </c>
      <c r="R1970" s="39" t="s">
        <v>8569</v>
      </c>
      <c r="S1970" s="39" t="s">
        <v>8570</v>
      </c>
      <c r="AK1970" s="39" t="str">
        <f>("2025/04/05")</f>
        <v>2025/04/05</v>
      </c>
      <c r="AL1970" s="39" t="str">
        <f>("2025/04/05")</f>
        <v>2025/04/05</v>
      </c>
    </row>
    <row r="1971" spans="1:39" x14ac:dyDescent="0.25">
      <c r="A1971" s="39" t="str">
        <f>("1512190090")</f>
        <v>1512190090</v>
      </c>
      <c r="C1971" s="39"/>
      <c r="D1971" s="39" t="s">
        <v>9508</v>
      </c>
      <c r="E1971" s="371" t="str">
        <f t="shared" si="162"/>
        <v>なかの　えいご</v>
      </c>
      <c r="F1971" s="39" t="s">
        <v>2648</v>
      </c>
      <c r="G1971" s="39" t="s">
        <v>7828</v>
      </c>
      <c r="H1971" s="39" t="str">
        <f>("2015/12/19")</f>
        <v>2015/12/19</v>
      </c>
      <c r="I1971" s="39">
        <v>4</v>
      </c>
      <c r="J1971" s="39" t="s">
        <v>1478</v>
      </c>
      <c r="K1971" s="39" t="s">
        <v>2122</v>
      </c>
      <c r="L1971" s="39" t="s">
        <v>7830</v>
      </c>
      <c r="M1971" s="39" t="s">
        <v>7831</v>
      </c>
      <c r="N1971" s="39" t="str">
        <f>("1050097")</f>
        <v>1050097</v>
      </c>
      <c r="P1971" s="39" t="s">
        <v>13429</v>
      </c>
      <c r="Q1971" s="39" t="s">
        <v>8568</v>
      </c>
      <c r="R1971" s="39" t="s">
        <v>8569</v>
      </c>
      <c r="S1971" s="39" t="s">
        <v>8570</v>
      </c>
      <c r="AK1971" s="39" t="str">
        <f>("2025/03/25")</f>
        <v>2025/03/25</v>
      </c>
      <c r="AL1971" s="39" t="str">
        <f>("2025/04/01")</f>
        <v>2025/04/01</v>
      </c>
    </row>
    <row r="1972" spans="1:39" x14ac:dyDescent="0.25">
      <c r="A1972" s="39" t="str">
        <f>("1512190136")</f>
        <v>1512190136</v>
      </c>
      <c r="C1972" s="39"/>
      <c r="D1972" s="39" t="s">
        <v>9509</v>
      </c>
      <c r="E1972" s="371" t="str">
        <f t="shared" si="162"/>
        <v>おくしま　しゅうすけ</v>
      </c>
      <c r="F1972" s="39" t="s">
        <v>2918</v>
      </c>
      <c r="G1972" s="39" t="s">
        <v>7828</v>
      </c>
      <c r="H1972" s="39" t="str">
        <f>("2015/12/19")</f>
        <v>2015/12/19</v>
      </c>
      <c r="I1972" s="39">
        <v>4</v>
      </c>
      <c r="J1972" s="39" t="s">
        <v>1478</v>
      </c>
      <c r="K1972" s="39" t="s">
        <v>2122</v>
      </c>
      <c r="L1972" s="39" t="s">
        <v>7830</v>
      </c>
      <c r="M1972" s="39" t="s">
        <v>7831</v>
      </c>
      <c r="N1972" s="39" t="str">
        <f>("0129912")</f>
        <v>0129912</v>
      </c>
      <c r="P1972" s="39" t="s">
        <v>13430</v>
      </c>
      <c r="Q1972" s="39" t="s">
        <v>8568</v>
      </c>
      <c r="R1972" s="39" t="s">
        <v>8569</v>
      </c>
      <c r="S1972" s="39" t="s">
        <v>8570</v>
      </c>
      <c r="AK1972" s="39" t="str">
        <f>("2025/05/07")</f>
        <v>2025/05/07</v>
      </c>
      <c r="AL1972" s="39" t="str">
        <f>("2025/05/07")</f>
        <v>2025/05/07</v>
      </c>
    </row>
    <row r="1973" spans="1:39" x14ac:dyDescent="0.25">
      <c r="A1973" s="39" t="str">
        <f>("1512190156")</f>
        <v>1512190156</v>
      </c>
      <c r="C1973" s="39"/>
      <c r="D1973" s="39" t="s">
        <v>9510</v>
      </c>
      <c r="E1973" s="371" t="str">
        <f t="shared" si="162"/>
        <v>みやもと　なおや</v>
      </c>
      <c r="F1973" s="39" t="s">
        <v>5620</v>
      </c>
      <c r="G1973" s="39" t="s">
        <v>7828</v>
      </c>
      <c r="H1973" s="39" t="str">
        <f>("2015/12/19")</f>
        <v>2015/12/19</v>
      </c>
      <c r="I1973" s="39">
        <v>4</v>
      </c>
      <c r="J1973" s="39" t="s">
        <v>1478</v>
      </c>
      <c r="K1973" s="39" t="s">
        <v>2122</v>
      </c>
      <c r="L1973" s="39" t="s">
        <v>7830</v>
      </c>
      <c r="M1973" s="39" t="s">
        <v>7831</v>
      </c>
      <c r="N1973" s="39" t="str">
        <f>("1101553")</f>
        <v>1101553</v>
      </c>
      <c r="P1973" s="39" t="s">
        <v>13431</v>
      </c>
      <c r="Q1973" s="39" t="s">
        <v>8568</v>
      </c>
      <c r="R1973" s="39" t="s">
        <v>8569</v>
      </c>
      <c r="S1973" s="39" t="s">
        <v>8570</v>
      </c>
      <c r="AK1973" s="39" t="str">
        <f>("2025/12/15")</f>
        <v>2025/12/15</v>
      </c>
      <c r="AL1973" s="39" t="str">
        <f>("2025/12/15")</f>
        <v>2025/12/15</v>
      </c>
    </row>
    <row r="1974" spans="1:39" x14ac:dyDescent="0.25">
      <c r="A1974" s="39" t="str">
        <f>("1512200001")</f>
        <v>1512200001</v>
      </c>
      <c r="B1974" s="39" t="s">
        <v>9511</v>
      </c>
      <c r="C1974" s="39"/>
      <c r="D1974" s="39" t="s">
        <v>5965</v>
      </c>
      <c r="E1974" s="371" t="str">
        <f t="shared" si="162"/>
        <v>ななめき　りょうすけ</v>
      </c>
      <c r="F1974" s="39" t="s">
        <v>2325</v>
      </c>
      <c r="G1974" s="39" t="s">
        <v>7828</v>
      </c>
      <c r="H1974" s="39" t="str">
        <f>("2013/12/20")</f>
        <v>2013/12/20</v>
      </c>
      <c r="I1974" s="39">
        <v>6</v>
      </c>
      <c r="J1974" s="39" t="s">
        <v>1478</v>
      </c>
      <c r="K1974" s="39" t="s">
        <v>2122</v>
      </c>
      <c r="L1974" s="39" t="s">
        <v>7830</v>
      </c>
      <c r="M1974" s="39" t="s">
        <v>7831</v>
      </c>
      <c r="N1974" s="39" t="str">
        <f>("0155034")</f>
        <v>0155034</v>
      </c>
      <c r="P1974" s="39" t="s">
        <v>13432</v>
      </c>
      <c r="Q1974" s="39" t="s">
        <v>8568</v>
      </c>
      <c r="R1974" s="39" t="s">
        <v>8569</v>
      </c>
      <c r="S1974" s="39" t="s">
        <v>8570</v>
      </c>
      <c r="AK1974" s="39" t="str">
        <f>("2025/03/17")</f>
        <v>2025/03/17</v>
      </c>
      <c r="AL1974" s="39" t="str">
        <f>("2025/04/01")</f>
        <v>2025/04/01</v>
      </c>
    </row>
    <row r="1975" spans="1:39" x14ac:dyDescent="0.25">
      <c r="A1975" s="39" t="str">
        <f>("1512200036")</f>
        <v>1512200036</v>
      </c>
      <c r="C1975" s="39"/>
      <c r="D1975" s="39" t="s">
        <v>9512</v>
      </c>
      <c r="E1975" s="371" t="str">
        <f t="shared" si="162"/>
        <v>のうがみ　れいじゅ</v>
      </c>
      <c r="F1975" s="39" t="s">
        <v>1751</v>
      </c>
      <c r="G1975" s="39" t="s">
        <v>7828</v>
      </c>
      <c r="H1975" s="39" t="str">
        <f>("2015/12/20")</f>
        <v>2015/12/20</v>
      </c>
      <c r="I1975" s="39">
        <v>4</v>
      </c>
      <c r="J1975" s="39" t="s">
        <v>1478</v>
      </c>
      <c r="K1975" s="39" t="s">
        <v>2122</v>
      </c>
      <c r="L1975" s="39" t="s">
        <v>7830</v>
      </c>
      <c r="M1975" s="39" t="s">
        <v>7831</v>
      </c>
      <c r="N1975" s="39" t="str">
        <f>("0130453")</f>
        <v>0130453</v>
      </c>
      <c r="P1975" s="39" t="s">
        <v>13433</v>
      </c>
      <c r="Q1975" s="39" t="s">
        <v>8568</v>
      </c>
      <c r="R1975" s="39" t="s">
        <v>8569</v>
      </c>
      <c r="S1975" s="39" t="s">
        <v>8570</v>
      </c>
      <c r="AA1975" s="39" t="s">
        <v>2122</v>
      </c>
      <c r="AB1975" s="39" t="s">
        <v>7830</v>
      </c>
      <c r="AC1975" s="39" t="s">
        <v>7831</v>
      </c>
      <c r="AD1975" s="39" t="str">
        <f>("0130015")</f>
        <v>0130015</v>
      </c>
      <c r="AE1975" s="39" t="s">
        <v>8050</v>
      </c>
      <c r="AK1975" s="39" t="str">
        <f>("2025/09/09")</f>
        <v>2025/09/09</v>
      </c>
      <c r="AL1975" s="39" t="str">
        <f>("2025/09/09")</f>
        <v>2025/09/09</v>
      </c>
    </row>
    <row r="1976" spans="1:39" x14ac:dyDescent="0.25">
      <c r="A1976" s="39" t="str">
        <f>("1512210070")</f>
        <v>1512210070</v>
      </c>
      <c r="C1976" s="39"/>
      <c r="D1976" s="39" t="s">
        <v>9513</v>
      </c>
      <c r="E1976" s="371" t="str">
        <f t="shared" si="162"/>
        <v>まきの　まさちか</v>
      </c>
      <c r="F1976" s="39" t="s">
        <v>2022</v>
      </c>
      <c r="G1976" s="39" t="s">
        <v>7828</v>
      </c>
      <c r="H1976" s="39" t="str">
        <f>("2015/12/21")</f>
        <v>2015/12/21</v>
      </c>
      <c r="I1976" s="39">
        <v>4</v>
      </c>
      <c r="J1976" s="39" t="s">
        <v>1478</v>
      </c>
      <c r="K1976" s="39" t="s">
        <v>2122</v>
      </c>
      <c r="L1976" s="39" t="s">
        <v>7830</v>
      </c>
      <c r="M1976" s="39" t="s">
        <v>7831</v>
      </c>
      <c r="N1976" s="39" t="str">
        <f>("0130329")</f>
        <v>0130329</v>
      </c>
      <c r="P1976" s="39" t="s">
        <v>13434</v>
      </c>
      <c r="Q1976" s="39" t="s">
        <v>8568</v>
      </c>
      <c r="R1976" s="39" t="s">
        <v>8569</v>
      </c>
      <c r="S1976" s="39" t="s">
        <v>8570</v>
      </c>
      <c r="AA1976" s="39" t="s">
        <v>2122</v>
      </c>
      <c r="AB1976" s="39" t="s">
        <v>7830</v>
      </c>
      <c r="AC1976" s="39" t="s">
        <v>7831</v>
      </c>
      <c r="AD1976" s="39" t="str">
        <f>("0130532")</f>
        <v>0130532</v>
      </c>
      <c r="AE1976" s="39" t="s">
        <v>928</v>
      </c>
      <c r="AK1976" s="39" t="str">
        <f>("2025/04/10")</f>
        <v>2025/04/10</v>
      </c>
      <c r="AL1976" s="39" t="str">
        <f>("2025/04/10")</f>
        <v>2025/04/10</v>
      </c>
    </row>
    <row r="1977" spans="1:39" x14ac:dyDescent="0.25">
      <c r="A1977" s="39" t="str">
        <f>("1512210206")</f>
        <v>1512210206</v>
      </c>
      <c r="C1977" s="39"/>
      <c r="D1977" s="39" t="s">
        <v>9514</v>
      </c>
      <c r="E1977" s="371" t="str">
        <f t="shared" si="162"/>
        <v>えとう　ぎんじ</v>
      </c>
      <c r="F1977" s="39" t="s">
        <v>2477</v>
      </c>
      <c r="G1977" s="39" t="s">
        <v>7828</v>
      </c>
      <c r="H1977" s="39" t="str">
        <f>("2015/12/21")</f>
        <v>2015/12/21</v>
      </c>
      <c r="I1977" s="39">
        <v>4</v>
      </c>
      <c r="J1977" s="39" t="s">
        <v>1478</v>
      </c>
      <c r="K1977" s="39" t="s">
        <v>2122</v>
      </c>
      <c r="L1977" s="39" t="s">
        <v>7830</v>
      </c>
      <c r="M1977" s="39" t="s">
        <v>7831</v>
      </c>
      <c r="N1977" s="39" t="str">
        <f>("0129541")</f>
        <v>0129541</v>
      </c>
      <c r="P1977" s="39" t="s">
        <v>13435</v>
      </c>
      <c r="Q1977" s="39" t="s">
        <v>8568</v>
      </c>
      <c r="R1977" s="39" t="s">
        <v>8569</v>
      </c>
      <c r="S1977" s="39" t="s">
        <v>8570</v>
      </c>
      <c r="AK1977" s="39" t="str">
        <f>("2025/05/12")</f>
        <v>2025/05/12</v>
      </c>
      <c r="AL1977" s="39" t="str">
        <f>("2025/05/12")</f>
        <v>2025/05/12</v>
      </c>
    </row>
    <row r="1978" spans="1:39" x14ac:dyDescent="0.25">
      <c r="A1978" s="39" t="str">
        <f>("1512220091")</f>
        <v>1512220091</v>
      </c>
      <c r="C1978" s="39"/>
      <c r="D1978" s="39" t="s">
        <v>9515</v>
      </c>
      <c r="E1978" s="371" t="str">
        <f t="shared" si="162"/>
        <v>もろとみ　ゆうた</v>
      </c>
      <c r="F1978" s="39" t="s">
        <v>2619</v>
      </c>
      <c r="G1978" s="39" t="s">
        <v>7828</v>
      </c>
      <c r="H1978" s="39" t="str">
        <f>("2015/12/22")</f>
        <v>2015/12/22</v>
      </c>
      <c r="I1978" s="39">
        <v>4</v>
      </c>
      <c r="J1978" s="39" t="s">
        <v>1478</v>
      </c>
      <c r="K1978" s="39" t="s">
        <v>2122</v>
      </c>
      <c r="L1978" s="39" t="s">
        <v>7830</v>
      </c>
      <c r="M1978" s="39" t="s">
        <v>7831</v>
      </c>
      <c r="N1978" s="39" t="str">
        <f>("0472823")</f>
        <v>0472823</v>
      </c>
      <c r="P1978" s="39" t="s">
        <v>13436</v>
      </c>
      <c r="Q1978" s="39" t="s">
        <v>8568</v>
      </c>
      <c r="R1978" s="39" t="s">
        <v>8569</v>
      </c>
      <c r="S1978" s="39" t="s">
        <v>8570</v>
      </c>
      <c r="AK1978" s="39" t="str">
        <f>("2025/03/17")</f>
        <v>2025/03/17</v>
      </c>
      <c r="AL1978" s="39" t="str">
        <f>("2025/04/01")</f>
        <v>2025/04/01</v>
      </c>
      <c r="AM1978" s="39" t="str">
        <f>("2025/07/28")</f>
        <v>2025/07/28</v>
      </c>
    </row>
    <row r="1979" spans="1:39" x14ac:dyDescent="0.25">
      <c r="A1979" s="39" t="str">
        <f>("1512220173")</f>
        <v>1512220173</v>
      </c>
      <c r="C1979" s="39"/>
      <c r="D1979" s="39" t="s">
        <v>9516</v>
      </c>
      <c r="E1979" s="371" t="str">
        <f t="shared" si="162"/>
        <v>みやわき　まさひろ</v>
      </c>
      <c r="F1979" s="39" t="s">
        <v>2556</v>
      </c>
      <c r="G1979" s="39" t="s">
        <v>7828</v>
      </c>
      <c r="H1979" s="39" t="str">
        <f>("2015/12/22")</f>
        <v>2015/12/22</v>
      </c>
      <c r="I1979" s="39">
        <v>4</v>
      </c>
      <c r="J1979" s="39" t="s">
        <v>1478</v>
      </c>
      <c r="K1979" s="39" t="s">
        <v>2122</v>
      </c>
      <c r="L1979" s="39" t="s">
        <v>7830</v>
      </c>
      <c r="M1979" s="39" t="s">
        <v>7831</v>
      </c>
      <c r="N1979" s="39" t="str">
        <f>("0130712")</f>
        <v>0130712</v>
      </c>
      <c r="P1979" s="39" t="s">
        <v>13437</v>
      </c>
      <c r="Q1979" s="39" t="s">
        <v>8568</v>
      </c>
      <c r="R1979" s="39" t="s">
        <v>8569</v>
      </c>
      <c r="S1979" s="39" t="s">
        <v>8570</v>
      </c>
      <c r="AK1979" s="39" t="str">
        <f>("2025/04/04")</f>
        <v>2025/04/04</v>
      </c>
      <c r="AL1979" s="39" t="str">
        <f>("2025/04/04")</f>
        <v>2025/04/04</v>
      </c>
    </row>
    <row r="1980" spans="1:39" x14ac:dyDescent="0.25">
      <c r="A1980" s="39" t="str">
        <f>("1512220194")</f>
        <v>1512220194</v>
      </c>
      <c r="C1980" s="39"/>
      <c r="D1980" s="39" t="s">
        <v>9517</v>
      </c>
      <c r="E1980" s="371" t="str">
        <f t="shared" si="162"/>
        <v>はだ　ときや</v>
      </c>
      <c r="F1980" s="39" t="s">
        <v>2619</v>
      </c>
      <c r="G1980" s="39" t="s">
        <v>7828</v>
      </c>
      <c r="H1980" s="39" t="str">
        <f>("2015/12/22")</f>
        <v>2015/12/22</v>
      </c>
      <c r="I1980" s="39">
        <v>4</v>
      </c>
      <c r="J1980" s="39" t="s">
        <v>1478</v>
      </c>
      <c r="K1980" s="39" t="s">
        <v>2122</v>
      </c>
      <c r="L1980" s="39" t="s">
        <v>7830</v>
      </c>
      <c r="M1980" s="39" t="s">
        <v>7831</v>
      </c>
      <c r="N1980" s="39" t="str">
        <f>("0472823")</f>
        <v>0472823</v>
      </c>
      <c r="P1980" s="39" t="s">
        <v>13438</v>
      </c>
      <c r="Q1980" s="39" t="s">
        <v>8568</v>
      </c>
      <c r="R1980" s="39" t="s">
        <v>8569</v>
      </c>
      <c r="S1980" s="39" t="s">
        <v>8570</v>
      </c>
      <c r="AK1980" s="39" t="str">
        <f>("2025/07/30")</f>
        <v>2025/07/30</v>
      </c>
      <c r="AL1980" s="39" t="str">
        <f>("2025/07/30")</f>
        <v>2025/07/30</v>
      </c>
    </row>
    <row r="1981" spans="1:39" x14ac:dyDescent="0.25">
      <c r="A1981" s="39" t="str">
        <f>("1512220198")</f>
        <v>1512220198</v>
      </c>
      <c r="C1981" s="39"/>
      <c r="D1981" s="39" t="s">
        <v>9518</v>
      </c>
      <c r="E1981" s="371" t="str">
        <f t="shared" si="162"/>
        <v>つつい　えいと</v>
      </c>
      <c r="F1981" s="39" t="s">
        <v>684</v>
      </c>
      <c r="G1981" s="39" t="s">
        <v>7828</v>
      </c>
      <c r="H1981" s="39" t="str">
        <f>("2015/12/22")</f>
        <v>2015/12/22</v>
      </c>
      <c r="I1981" s="39">
        <v>4</v>
      </c>
      <c r="J1981" s="39" t="s">
        <v>1478</v>
      </c>
      <c r="K1981" s="39" t="s">
        <v>2122</v>
      </c>
      <c r="L1981" s="39" t="s">
        <v>7830</v>
      </c>
      <c r="M1981" s="39" t="s">
        <v>7831</v>
      </c>
      <c r="N1981" s="39" t="str">
        <f>("0129518")</f>
        <v>0129518</v>
      </c>
      <c r="P1981" s="39" t="s">
        <v>13439</v>
      </c>
      <c r="Q1981" s="39" t="s">
        <v>8568</v>
      </c>
      <c r="R1981" s="39" t="s">
        <v>8569</v>
      </c>
      <c r="S1981" s="39" t="s">
        <v>8570</v>
      </c>
      <c r="AK1981" s="39" t="str">
        <f>("2025/09/10")</f>
        <v>2025/09/10</v>
      </c>
      <c r="AL1981" s="39" t="str">
        <f>("2025/09/10")</f>
        <v>2025/09/10</v>
      </c>
    </row>
    <row r="1982" spans="1:39" x14ac:dyDescent="0.25">
      <c r="A1982" s="39" t="str">
        <f>("1512230054")</f>
        <v>1512230054</v>
      </c>
      <c r="C1982" s="39"/>
      <c r="D1982" s="39" t="s">
        <v>9519</v>
      </c>
      <c r="E1982" s="371" t="str">
        <f t="shared" si="162"/>
        <v>しんぐう　つばさ</v>
      </c>
      <c r="F1982" s="39" t="s">
        <v>2533</v>
      </c>
      <c r="G1982" s="39" t="s">
        <v>7828</v>
      </c>
      <c r="H1982" s="39" t="str">
        <f>("2015/12/23")</f>
        <v>2015/12/23</v>
      </c>
      <c r="I1982" s="39">
        <v>4</v>
      </c>
      <c r="J1982" s="39" t="s">
        <v>1478</v>
      </c>
      <c r="K1982" s="39" t="s">
        <v>2122</v>
      </c>
      <c r="L1982" s="39" t="s">
        <v>7830</v>
      </c>
      <c r="M1982" s="39" t="s">
        <v>7831</v>
      </c>
      <c r="N1982" s="39" t="str">
        <f>("0130497")</f>
        <v>0130497</v>
      </c>
      <c r="P1982" s="39" t="s">
        <v>13440</v>
      </c>
      <c r="Q1982" s="39" t="s">
        <v>8568</v>
      </c>
      <c r="R1982" s="39" t="s">
        <v>8569</v>
      </c>
      <c r="S1982" s="39" t="s">
        <v>8570</v>
      </c>
      <c r="AK1982" s="39" t="str">
        <f>("2025/03/17")</f>
        <v>2025/03/17</v>
      </c>
      <c r="AL1982" s="39" t="str">
        <f>("2025/04/01")</f>
        <v>2025/04/01</v>
      </c>
    </row>
    <row r="1983" spans="1:39" x14ac:dyDescent="0.25">
      <c r="A1983" s="39" t="str">
        <f>("1512250110")</f>
        <v>1512250110</v>
      </c>
      <c r="C1983" s="39"/>
      <c r="D1983" s="39" t="s">
        <v>9520</v>
      </c>
      <c r="E1983" s="371" t="str">
        <f t="shared" si="162"/>
        <v>はしもと　しゅんや</v>
      </c>
      <c r="F1983" s="39" t="s">
        <v>2619</v>
      </c>
      <c r="G1983" s="39" t="s">
        <v>7828</v>
      </c>
      <c r="H1983" s="39" t="str">
        <f>("2015/12/25")</f>
        <v>2015/12/25</v>
      </c>
      <c r="I1983" s="39">
        <v>4</v>
      </c>
      <c r="J1983" s="39" t="s">
        <v>1478</v>
      </c>
      <c r="K1983" s="39" t="s">
        <v>2122</v>
      </c>
      <c r="L1983" s="39" t="s">
        <v>7830</v>
      </c>
      <c r="M1983" s="39" t="s">
        <v>7831</v>
      </c>
      <c r="N1983" s="39" t="str">
        <f>("0472823")</f>
        <v>0472823</v>
      </c>
      <c r="P1983" s="39" t="s">
        <v>13441</v>
      </c>
      <c r="Q1983" s="39" t="s">
        <v>8568</v>
      </c>
      <c r="R1983" s="39" t="s">
        <v>8569</v>
      </c>
      <c r="S1983" s="39" t="s">
        <v>8570</v>
      </c>
      <c r="AK1983" s="39" t="str">
        <f>("2025/03/17")</f>
        <v>2025/03/17</v>
      </c>
      <c r="AL1983" s="39" t="str">
        <f>("2025/04/01")</f>
        <v>2025/04/01</v>
      </c>
    </row>
    <row r="1984" spans="1:39" x14ac:dyDescent="0.25">
      <c r="A1984" s="39" t="str">
        <f>("1512270015")</f>
        <v>1512270015</v>
      </c>
      <c r="C1984" s="39"/>
      <c r="D1984" s="39" t="s">
        <v>5768</v>
      </c>
      <c r="E1984" s="371" t="str">
        <f t="shared" si="162"/>
        <v>いしだ　せな</v>
      </c>
      <c r="F1984" s="39" t="s">
        <v>7864</v>
      </c>
      <c r="G1984" s="39" t="s">
        <v>7828</v>
      </c>
      <c r="H1984" s="39" t="str">
        <f>("2015/12/27")</f>
        <v>2015/12/27</v>
      </c>
      <c r="I1984" s="39">
        <v>4</v>
      </c>
      <c r="J1984" s="39" t="s">
        <v>1478</v>
      </c>
      <c r="K1984" s="39" t="s">
        <v>2122</v>
      </c>
      <c r="L1984" s="39" t="s">
        <v>7830</v>
      </c>
      <c r="M1984" s="39" t="s">
        <v>7831</v>
      </c>
      <c r="N1984" s="39" t="str">
        <f>("1039801")</f>
        <v>1039801</v>
      </c>
      <c r="P1984" s="39" t="s">
        <v>13442</v>
      </c>
      <c r="Q1984" s="39" t="s">
        <v>8568</v>
      </c>
      <c r="R1984" s="39" t="s">
        <v>8569</v>
      </c>
      <c r="S1984" s="39" t="s">
        <v>8570</v>
      </c>
      <c r="AA1984" s="39" t="s">
        <v>2122</v>
      </c>
      <c r="AB1984" s="39" t="s">
        <v>7830</v>
      </c>
      <c r="AC1984" s="39" t="s">
        <v>7831</v>
      </c>
      <c r="AD1984" s="39" t="str">
        <f>("0130037")</f>
        <v>0130037</v>
      </c>
      <c r="AE1984" s="39" t="s">
        <v>156</v>
      </c>
      <c r="AK1984" s="39" t="str">
        <f>("2025/04/11")</f>
        <v>2025/04/11</v>
      </c>
      <c r="AL1984" s="39" t="str">
        <f>("2025/04/11")</f>
        <v>2025/04/11</v>
      </c>
    </row>
    <row r="1985" spans="1:38" x14ac:dyDescent="0.25">
      <c r="A1985" s="39" t="str">
        <f>("1512270058")</f>
        <v>1512270058</v>
      </c>
      <c r="C1985" s="39"/>
      <c r="D1985" s="39" t="s">
        <v>9521</v>
      </c>
      <c r="E1985" s="371" t="str">
        <f t="shared" si="162"/>
        <v>おかだ　こうた</v>
      </c>
      <c r="F1985" s="39" t="s">
        <v>2544</v>
      </c>
      <c r="G1985" s="39" t="s">
        <v>7828</v>
      </c>
      <c r="H1985" s="39" t="str">
        <f>("2015/12/27")</f>
        <v>2015/12/27</v>
      </c>
      <c r="I1985" s="39">
        <v>4</v>
      </c>
      <c r="J1985" s="39" t="s">
        <v>1478</v>
      </c>
      <c r="K1985" s="39" t="s">
        <v>2122</v>
      </c>
      <c r="L1985" s="39" t="s">
        <v>7830</v>
      </c>
      <c r="M1985" s="39" t="s">
        <v>7831</v>
      </c>
      <c r="N1985" s="39" t="str">
        <f>("0130644")</f>
        <v>0130644</v>
      </c>
      <c r="P1985" s="39" t="s">
        <v>12740</v>
      </c>
      <c r="Q1985" s="39" t="s">
        <v>8568</v>
      </c>
      <c r="R1985" s="39" t="s">
        <v>8569</v>
      </c>
      <c r="S1985" s="39" t="s">
        <v>8570</v>
      </c>
      <c r="AK1985" s="39" t="str">
        <f>("2025/03/17")</f>
        <v>2025/03/17</v>
      </c>
      <c r="AL1985" s="39" t="str">
        <f>("2025/04/01")</f>
        <v>2025/04/01</v>
      </c>
    </row>
    <row r="1986" spans="1:38" x14ac:dyDescent="0.25">
      <c r="A1986" s="39" t="str">
        <f>("1512280067")</f>
        <v>1512280067</v>
      </c>
      <c r="C1986" s="39"/>
      <c r="D1986" s="39" t="s">
        <v>9522</v>
      </c>
      <c r="E1986" s="371" t="str">
        <f t="shared" si="162"/>
        <v>みやざき　ゆいと</v>
      </c>
      <c r="F1986" s="39" t="s">
        <v>2299</v>
      </c>
      <c r="G1986" s="39" t="s">
        <v>7828</v>
      </c>
      <c r="H1986" s="39" t="str">
        <f>("2015/12/28")</f>
        <v>2015/12/28</v>
      </c>
      <c r="I1986" s="39">
        <v>4</v>
      </c>
      <c r="J1986" s="39" t="s">
        <v>1478</v>
      </c>
      <c r="K1986" s="39" t="s">
        <v>2122</v>
      </c>
      <c r="L1986" s="39" t="s">
        <v>7830</v>
      </c>
      <c r="M1986" s="39" t="s">
        <v>7831</v>
      </c>
      <c r="N1986" s="39" t="str">
        <f>("1066647")</f>
        <v>1066647</v>
      </c>
      <c r="P1986" s="39" t="s">
        <v>13443</v>
      </c>
      <c r="Q1986" s="39" t="s">
        <v>8568</v>
      </c>
      <c r="R1986" s="39" t="s">
        <v>8569</v>
      </c>
      <c r="S1986" s="39" t="s">
        <v>8570</v>
      </c>
      <c r="AK1986" s="39" t="str">
        <f>("2025/03/21")</f>
        <v>2025/03/21</v>
      </c>
      <c r="AL1986" s="39" t="str">
        <f>("2025/04/01")</f>
        <v>2025/04/01</v>
      </c>
    </row>
    <row r="1987" spans="1:38" x14ac:dyDescent="0.25">
      <c r="A1987" s="39" t="str">
        <f>("1512280106")</f>
        <v>1512280106</v>
      </c>
      <c r="C1987" s="39"/>
      <c r="D1987" s="39" t="s">
        <v>9523</v>
      </c>
      <c r="E1987" s="371" t="str">
        <f t="shared" ref="E1987:E2050" si="166">PHONETIC(P1987)</f>
        <v>くりはら　ゆうき</v>
      </c>
      <c r="F1987" s="39" t="s">
        <v>2821</v>
      </c>
      <c r="G1987" s="39" t="s">
        <v>7828</v>
      </c>
      <c r="H1987" s="39" t="str">
        <f>("2015/12/28")</f>
        <v>2015/12/28</v>
      </c>
      <c r="I1987" s="39">
        <v>4</v>
      </c>
      <c r="J1987" s="39" t="s">
        <v>1478</v>
      </c>
      <c r="K1987" s="39" t="s">
        <v>2122</v>
      </c>
      <c r="L1987" s="39" t="s">
        <v>7830</v>
      </c>
      <c r="M1987" s="39" t="s">
        <v>7831</v>
      </c>
      <c r="N1987" s="39" t="str">
        <f>("0237631")</f>
        <v>0237631</v>
      </c>
      <c r="P1987" s="39" t="s">
        <v>13444</v>
      </c>
      <c r="Q1987" s="39" t="s">
        <v>8568</v>
      </c>
      <c r="R1987" s="39" t="s">
        <v>8569</v>
      </c>
      <c r="S1987" s="39" t="s">
        <v>8570</v>
      </c>
      <c r="AK1987" s="39" t="str">
        <f>("2025/03/17")</f>
        <v>2025/03/17</v>
      </c>
      <c r="AL1987" s="39" t="str">
        <f>("2025/04/01")</f>
        <v>2025/04/01</v>
      </c>
    </row>
    <row r="1988" spans="1:38" x14ac:dyDescent="0.25">
      <c r="A1988" s="39" t="str">
        <f>("1512280214")</f>
        <v>1512280214</v>
      </c>
      <c r="C1988" s="39"/>
      <c r="D1988" s="39" t="s">
        <v>9524</v>
      </c>
      <c r="E1988" s="371" t="str">
        <f t="shared" si="166"/>
        <v>ひぐち　けい</v>
      </c>
      <c r="F1988" s="39" t="s">
        <v>1095</v>
      </c>
      <c r="G1988" s="39" t="s">
        <v>7828</v>
      </c>
      <c r="H1988" s="39" t="str">
        <f>("2015/12/28")</f>
        <v>2015/12/28</v>
      </c>
      <c r="I1988" s="39">
        <v>4</v>
      </c>
      <c r="J1988" s="39" t="s">
        <v>1478</v>
      </c>
      <c r="K1988" s="39" t="s">
        <v>2122</v>
      </c>
      <c r="L1988" s="39" t="s">
        <v>7830</v>
      </c>
      <c r="M1988" s="39" t="s">
        <v>7831</v>
      </c>
      <c r="N1988" s="39" t="str">
        <f>("0487492")</f>
        <v>0487492</v>
      </c>
      <c r="P1988" s="39" t="s">
        <v>13445</v>
      </c>
      <c r="Q1988" s="39" t="s">
        <v>8568</v>
      </c>
      <c r="R1988" s="39" t="s">
        <v>8569</v>
      </c>
      <c r="S1988" s="39" t="s">
        <v>8570</v>
      </c>
      <c r="AK1988" s="39" t="str">
        <f>("2025/09/17")</f>
        <v>2025/09/17</v>
      </c>
      <c r="AL1988" s="39" t="str">
        <f>("2025/09/17")</f>
        <v>2025/09/17</v>
      </c>
    </row>
    <row r="1989" spans="1:38" x14ac:dyDescent="0.25">
      <c r="A1989" s="39" t="str">
        <f>("1512290088")</f>
        <v>1512290088</v>
      </c>
      <c r="C1989" s="39"/>
      <c r="D1989" s="39" t="s">
        <v>9525</v>
      </c>
      <c r="E1989" s="371" t="str">
        <f t="shared" si="166"/>
        <v>よしたけ　えいたろう</v>
      </c>
      <c r="F1989" s="39" t="s">
        <v>2323</v>
      </c>
      <c r="G1989" s="39" t="s">
        <v>7828</v>
      </c>
      <c r="H1989" s="39" t="str">
        <f>("2015/12/29")</f>
        <v>2015/12/29</v>
      </c>
      <c r="I1989" s="39">
        <v>4</v>
      </c>
      <c r="J1989" s="39" t="s">
        <v>1478</v>
      </c>
      <c r="K1989" s="39" t="s">
        <v>2122</v>
      </c>
      <c r="L1989" s="39" t="s">
        <v>7830</v>
      </c>
      <c r="M1989" s="39" t="s">
        <v>7831</v>
      </c>
      <c r="N1989" s="39" t="str">
        <f>("0472722")</f>
        <v>0472722</v>
      </c>
      <c r="P1989" s="39" t="s">
        <v>13446</v>
      </c>
      <c r="Q1989" s="39" t="s">
        <v>8568</v>
      </c>
      <c r="R1989" s="39" t="s">
        <v>8569</v>
      </c>
      <c r="S1989" s="39" t="s">
        <v>8570</v>
      </c>
      <c r="AK1989" s="39" t="str">
        <f>("2025/03/17")</f>
        <v>2025/03/17</v>
      </c>
      <c r="AL1989" s="39" t="str">
        <f>("2025/04/01")</f>
        <v>2025/04/01</v>
      </c>
    </row>
    <row r="1990" spans="1:38" x14ac:dyDescent="0.25">
      <c r="A1990" s="39" t="str">
        <f>("1512290129")</f>
        <v>1512290129</v>
      </c>
      <c r="C1990" s="39"/>
      <c r="D1990" s="39" t="s">
        <v>9526</v>
      </c>
      <c r="E1990" s="371" t="str">
        <f t="shared" si="166"/>
        <v>まつもと　ゆの</v>
      </c>
      <c r="F1990" s="39" t="s">
        <v>520</v>
      </c>
      <c r="G1990" s="39" t="s">
        <v>7828</v>
      </c>
      <c r="H1990" s="39" t="str">
        <f>("2015/12/29")</f>
        <v>2015/12/29</v>
      </c>
      <c r="I1990" s="39">
        <v>4</v>
      </c>
      <c r="J1990" s="39" t="s">
        <v>1480</v>
      </c>
      <c r="K1990" s="39" t="s">
        <v>2122</v>
      </c>
      <c r="L1990" s="39" t="s">
        <v>7830</v>
      </c>
      <c r="M1990" s="39" t="s">
        <v>7831</v>
      </c>
      <c r="N1990" s="39" t="str">
        <f>("0129765")</f>
        <v>0129765</v>
      </c>
      <c r="P1990" s="39" t="s">
        <v>13447</v>
      </c>
      <c r="Q1990" s="39" t="s">
        <v>8568</v>
      </c>
      <c r="R1990" s="39" t="s">
        <v>8569</v>
      </c>
      <c r="S1990" s="39" t="s">
        <v>8570</v>
      </c>
      <c r="AK1990" s="39" t="str">
        <f>("2025/03/25")</f>
        <v>2025/03/25</v>
      </c>
      <c r="AL1990" s="39" t="str">
        <f>("2025/04/01")</f>
        <v>2025/04/01</v>
      </c>
    </row>
    <row r="1991" spans="1:38" x14ac:dyDescent="0.25">
      <c r="A1991" s="39" t="str">
        <f>("1512290140")</f>
        <v>1512290140</v>
      </c>
      <c r="C1991" s="39"/>
      <c r="D1991" s="39" t="s">
        <v>9527</v>
      </c>
      <c r="E1991" s="371" t="str">
        <f t="shared" si="166"/>
        <v>かわせ　かえで</v>
      </c>
      <c r="F1991" s="39" t="s">
        <v>1865</v>
      </c>
      <c r="G1991" s="39" t="s">
        <v>7828</v>
      </c>
      <c r="H1991" s="39" t="str">
        <f>("2015/12/29")</f>
        <v>2015/12/29</v>
      </c>
      <c r="I1991" s="39">
        <v>4</v>
      </c>
      <c r="J1991" s="39" t="s">
        <v>1478</v>
      </c>
      <c r="K1991" s="39" t="s">
        <v>2122</v>
      </c>
      <c r="L1991" s="39" t="s">
        <v>7830</v>
      </c>
      <c r="M1991" s="39" t="s">
        <v>7831</v>
      </c>
      <c r="N1991" s="39" t="str">
        <f>("0310565")</f>
        <v>0310565</v>
      </c>
      <c r="P1991" s="39" t="s">
        <v>13448</v>
      </c>
      <c r="Q1991" s="39" t="s">
        <v>8568</v>
      </c>
      <c r="R1991" s="39" t="s">
        <v>8569</v>
      </c>
      <c r="S1991" s="39" t="s">
        <v>8570</v>
      </c>
      <c r="AK1991" s="39" t="str">
        <f>("2025/04/05")</f>
        <v>2025/04/05</v>
      </c>
      <c r="AL1991" s="39" t="str">
        <f>("2025/04/05")</f>
        <v>2025/04/05</v>
      </c>
    </row>
    <row r="1992" spans="1:38" x14ac:dyDescent="0.25">
      <c r="A1992" s="39" t="str">
        <f>("1512300001")</f>
        <v>1512300001</v>
      </c>
      <c r="B1992" s="39" t="s">
        <v>8540</v>
      </c>
      <c r="C1992" s="39"/>
      <c r="D1992" s="39" t="s">
        <v>8541</v>
      </c>
      <c r="E1992" s="371" t="str">
        <f t="shared" si="166"/>
        <v>てしま　そうすけ</v>
      </c>
      <c r="F1992" s="39" t="s">
        <v>2325</v>
      </c>
      <c r="G1992" s="39" t="s">
        <v>7828</v>
      </c>
      <c r="H1992" s="39" t="str">
        <f>("2014/12/30")</f>
        <v>2014/12/30</v>
      </c>
      <c r="I1992" s="39">
        <v>5</v>
      </c>
      <c r="J1992" s="39" t="s">
        <v>1478</v>
      </c>
      <c r="K1992" s="39" t="s">
        <v>2122</v>
      </c>
      <c r="L1992" s="39" t="s">
        <v>7830</v>
      </c>
      <c r="M1992" s="39" t="s">
        <v>7831</v>
      </c>
      <c r="N1992" s="39" t="str">
        <f>("0155034")</f>
        <v>0155034</v>
      </c>
      <c r="P1992" s="39" t="s">
        <v>13449</v>
      </c>
      <c r="Q1992" s="39" t="s">
        <v>8568</v>
      </c>
      <c r="R1992" s="39" t="s">
        <v>8569</v>
      </c>
      <c r="S1992" s="39" t="s">
        <v>8570</v>
      </c>
      <c r="AK1992" s="39" t="str">
        <f>("2025/03/17")</f>
        <v>2025/03/17</v>
      </c>
      <c r="AL1992" s="39" t="str">
        <f>("2025/04/01")</f>
        <v>2025/04/01</v>
      </c>
    </row>
    <row r="1993" spans="1:38" x14ac:dyDescent="0.25">
      <c r="A1993" s="39" t="str">
        <f>("1512300103")</f>
        <v>1512300103</v>
      </c>
      <c r="C1993" s="39"/>
      <c r="D1993" s="39" t="s">
        <v>9528</v>
      </c>
      <c r="E1993" s="371" t="str">
        <f t="shared" si="166"/>
        <v>こじま　りょうた</v>
      </c>
      <c r="F1993" s="39" t="s">
        <v>1751</v>
      </c>
      <c r="G1993" s="39" t="s">
        <v>7828</v>
      </c>
      <c r="H1993" s="39" t="str">
        <f>("2015/12/30")</f>
        <v>2015/12/30</v>
      </c>
      <c r="I1993" s="39">
        <v>4</v>
      </c>
      <c r="J1993" s="39" t="s">
        <v>1478</v>
      </c>
      <c r="K1993" s="39" t="s">
        <v>2122</v>
      </c>
      <c r="L1993" s="39" t="s">
        <v>7830</v>
      </c>
      <c r="M1993" s="39" t="s">
        <v>7831</v>
      </c>
      <c r="N1993" s="39" t="str">
        <f>("0130453")</f>
        <v>0130453</v>
      </c>
      <c r="P1993" s="39" t="s">
        <v>13450</v>
      </c>
      <c r="Q1993" s="39" t="s">
        <v>8568</v>
      </c>
      <c r="R1993" s="39" t="s">
        <v>8569</v>
      </c>
      <c r="S1993" s="39" t="s">
        <v>8570</v>
      </c>
      <c r="AK1993" s="39" t="str">
        <f>("2025/03/17")</f>
        <v>2025/03/17</v>
      </c>
      <c r="AL1993" s="39" t="str">
        <f>("2025/04/01")</f>
        <v>2025/04/01</v>
      </c>
    </row>
    <row r="1994" spans="1:38" x14ac:dyDescent="0.25">
      <c r="A1994" s="39" t="str">
        <f>("1512300144")</f>
        <v>1512300144</v>
      </c>
      <c r="C1994" s="39"/>
      <c r="D1994" s="39" t="s">
        <v>9529</v>
      </c>
      <c r="E1994" s="371" t="str">
        <f t="shared" si="166"/>
        <v>きっかわ　りょうと</v>
      </c>
      <c r="F1994" s="39" t="s">
        <v>829</v>
      </c>
      <c r="G1994" s="39" t="s">
        <v>7828</v>
      </c>
      <c r="H1994" s="39" t="str">
        <f>("2015/12/30")</f>
        <v>2015/12/30</v>
      </c>
      <c r="I1994" s="39">
        <v>4</v>
      </c>
      <c r="J1994" s="39" t="s">
        <v>1478</v>
      </c>
      <c r="K1994" s="39" t="s">
        <v>2122</v>
      </c>
      <c r="L1994" s="39" t="s">
        <v>7830</v>
      </c>
      <c r="M1994" s="39" t="s">
        <v>7831</v>
      </c>
      <c r="N1994" s="39" t="str">
        <f>("0426631")</f>
        <v>0426631</v>
      </c>
      <c r="P1994" s="39" t="s">
        <v>13451</v>
      </c>
      <c r="Q1994" s="39" t="s">
        <v>8568</v>
      </c>
      <c r="R1994" s="39" t="s">
        <v>8569</v>
      </c>
      <c r="S1994" s="39" t="s">
        <v>8570</v>
      </c>
      <c r="AK1994" s="39" t="str">
        <f>("2025/09/09")</f>
        <v>2025/09/09</v>
      </c>
      <c r="AL1994" s="39" t="str">
        <f>("2025/09/09")</f>
        <v>2025/09/09</v>
      </c>
    </row>
    <row r="1995" spans="1:38" x14ac:dyDescent="0.25">
      <c r="A1995" s="39" t="str">
        <f>("1512310138")</f>
        <v>1512310138</v>
      </c>
      <c r="C1995" s="39"/>
      <c r="D1995" s="39" t="s">
        <v>9530</v>
      </c>
      <c r="E1995" s="371" t="str">
        <f t="shared" si="166"/>
        <v>しもやま　こうま</v>
      </c>
      <c r="F1995" s="39" t="s">
        <v>2648</v>
      </c>
      <c r="G1995" s="39" t="s">
        <v>7828</v>
      </c>
      <c r="H1995" s="39" t="str">
        <f>("2015/12/31")</f>
        <v>2015/12/31</v>
      </c>
      <c r="I1995" s="39">
        <v>4</v>
      </c>
      <c r="J1995" s="39" t="s">
        <v>1478</v>
      </c>
      <c r="K1995" s="39" t="s">
        <v>2122</v>
      </c>
      <c r="L1995" s="39" t="s">
        <v>7830</v>
      </c>
      <c r="M1995" s="39" t="s">
        <v>7831</v>
      </c>
      <c r="N1995" s="39" t="str">
        <f>("1050097")</f>
        <v>1050097</v>
      </c>
      <c r="P1995" s="39" t="s">
        <v>13452</v>
      </c>
      <c r="Q1995" s="39" t="s">
        <v>8568</v>
      </c>
      <c r="R1995" s="39" t="s">
        <v>8569</v>
      </c>
      <c r="S1995" s="39" t="s">
        <v>8570</v>
      </c>
      <c r="AK1995" s="39" t="str">
        <f>("2025/09/02")</f>
        <v>2025/09/02</v>
      </c>
      <c r="AL1995" s="39" t="str">
        <f>("2025/09/02")</f>
        <v>2025/09/02</v>
      </c>
    </row>
    <row r="1996" spans="1:38" x14ac:dyDescent="0.25">
      <c r="A1996" s="39" t="str">
        <f>("1601010050")</f>
        <v>1601010050</v>
      </c>
      <c r="C1996" s="39"/>
      <c r="D1996" s="39" t="s">
        <v>9531</v>
      </c>
      <c r="E1996" s="371" t="str">
        <f t="shared" si="166"/>
        <v>やない　ゆうと</v>
      </c>
      <c r="F1996" s="39" t="s">
        <v>2556</v>
      </c>
      <c r="G1996" s="39" t="s">
        <v>7828</v>
      </c>
      <c r="H1996" s="39" t="str">
        <f>("2016/01/01")</f>
        <v>2016/01/01</v>
      </c>
      <c r="I1996" s="39">
        <v>4</v>
      </c>
      <c r="J1996" s="39" t="s">
        <v>1478</v>
      </c>
      <c r="K1996" s="39" t="s">
        <v>2122</v>
      </c>
      <c r="L1996" s="39" t="s">
        <v>7830</v>
      </c>
      <c r="M1996" s="39" t="s">
        <v>7831</v>
      </c>
      <c r="N1996" s="39" t="str">
        <f>("0130712")</f>
        <v>0130712</v>
      </c>
      <c r="P1996" s="39" t="s">
        <v>13453</v>
      </c>
      <c r="Q1996" s="39" t="s">
        <v>8568</v>
      </c>
      <c r="R1996" s="39" t="s">
        <v>8569</v>
      </c>
      <c r="S1996" s="39" t="s">
        <v>8570</v>
      </c>
      <c r="AK1996" s="39" t="str">
        <f>("2025/03/27")</f>
        <v>2025/03/27</v>
      </c>
      <c r="AL1996" s="39" t="str">
        <f>("2025/04/01")</f>
        <v>2025/04/01</v>
      </c>
    </row>
    <row r="1997" spans="1:38" x14ac:dyDescent="0.25">
      <c r="A1997" s="39" t="str">
        <f>("1601010118")</f>
        <v>1601010118</v>
      </c>
      <c r="C1997" s="39"/>
      <c r="D1997" s="39" t="s">
        <v>9532</v>
      </c>
      <c r="E1997" s="371" t="str">
        <f t="shared" si="166"/>
        <v>かやしま　あらた</v>
      </c>
      <c r="F1997" s="39" t="s">
        <v>2587</v>
      </c>
      <c r="G1997" s="39" t="s">
        <v>7828</v>
      </c>
      <c r="H1997" s="39" t="str">
        <f>("2016/01/01")</f>
        <v>2016/01/01</v>
      </c>
      <c r="I1997" s="39">
        <v>4</v>
      </c>
      <c r="J1997" s="39" t="s">
        <v>1478</v>
      </c>
      <c r="K1997" s="39" t="s">
        <v>2122</v>
      </c>
      <c r="L1997" s="39" t="s">
        <v>7830</v>
      </c>
      <c r="M1997" s="39" t="s">
        <v>7831</v>
      </c>
      <c r="N1997" s="39" t="str">
        <f>("0387334")</f>
        <v>0387334</v>
      </c>
      <c r="P1997" s="39" t="s">
        <v>13454</v>
      </c>
      <c r="Q1997" s="39" t="s">
        <v>8568</v>
      </c>
      <c r="R1997" s="39" t="s">
        <v>8569</v>
      </c>
      <c r="S1997" s="39" t="s">
        <v>8570</v>
      </c>
      <c r="AK1997" s="39" t="str">
        <f>("2025/04/10")</f>
        <v>2025/04/10</v>
      </c>
      <c r="AL1997" s="39" t="str">
        <f>("2025/04/10")</f>
        <v>2025/04/10</v>
      </c>
    </row>
    <row r="1998" spans="1:38" x14ac:dyDescent="0.25">
      <c r="A1998" s="39" t="str">
        <f>("1601020018")</f>
        <v>1601020018</v>
      </c>
      <c r="C1998" s="39"/>
      <c r="D1998" s="39" t="s">
        <v>4355</v>
      </c>
      <c r="E1998" s="371" t="str">
        <f t="shared" si="166"/>
        <v>ますだ　やまと</v>
      </c>
      <c r="F1998" s="39" t="s">
        <v>2505</v>
      </c>
      <c r="G1998" s="39" t="s">
        <v>7828</v>
      </c>
      <c r="H1998" s="39" t="str">
        <f>("2016/01/02")</f>
        <v>2016/01/02</v>
      </c>
      <c r="I1998" s="39">
        <v>4</v>
      </c>
      <c r="J1998" s="39" t="s">
        <v>1478</v>
      </c>
      <c r="K1998" s="39" t="s">
        <v>2122</v>
      </c>
      <c r="L1998" s="39" t="s">
        <v>7830</v>
      </c>
      <c r="M1998" s="39" t="s">
        <v>7831</v>
      </c>
      <c r="N1998" s="39" t="str">
        <f>("0129923")</f>
        <v>0129923</v>
      </c>
      <c r="P1998" s="39" t="s">
        <v>13455</v>
      </c>
      <c r="Q1998" s="39" t="s">
        <v>8568</v>
      </c>
      <c r="R1998" s="39" t="s">
        <v>8569</v>
      </c>
      <c r="S1998" s="39" t="s">
        <v>8570</v>
      </c>
      <c r="AK1998" s="39" t="str">
        <f>("2025/03/17")</f>
        <v>2025/03/17</v>
      </c>
      <c r="AL1998" s="39" t="str">
        <f t="shared" ref="AL1998:AL2003" si="167">("2025/04/01")</f>
        <v>2025/04/01</v>
      </c>
    </row>
    <row r="1999" spans="1:38" x14ac:dyDescent="0.25">
      <c r="A1999" s="39" t="str">
        <f>("1601020041")</f>
        <v>1601020041</v>
      </c>
      <c r="C1999" s="39"/>
      <c r="D1999" s="39" t="s">
        <v>6148</v>
      </c>
      <c r="E1999" s="371" t="str">
        <f t="shared" si="166"/>
        <v>さんのみや　しゅうま</v>
      </c>
      <c r="F1999" s="39" t="s">
        <v>2323</v>
      </c>
      <c r="G1999" s="39" t="s">
        <v>7828</v>
      </c>
      <c r="H1999" s="39" t="str">
        <f>("2016/01/02")</f>
        <v>2016/01/02</v>
      </c>
      <c r="I1999" s="39">
        <v>4</v>
      </c>
      <c r="J1999" s="39" t="s">
        <v>1478</v>
      </c>
      <c r="K1999" s="39" t="s">
        <v>2122</v>
      </c>
      <c r="L1999" s="39" t="s">
        <v>7830</v>
      </c>
      <c r="M1999" s="39" t="s">
        <v>7831</v>
      </c>
      <c r="N1999" s="39" t="str">
        <f>("0472722")</f>
        <v>0472722</v>
      </c>
      <c r="P1999" s="39" t="s">
        <v>13456</v>
      </c>
      <c r="Q1999" s="39" t="s">
        <v>8568</v>
      </c>
      <c r="R1999" s="39" t="s">
        <v>8569</v>
      </c>
      <c r="S1999" s="39" t="s">
        <v>8570</v>
      </c>
      <c r="AK1999" s="39" t="str">
        <f>("2025/03/17")</f>
        <v>2025/03/17</v>
      </c>
      <c r="AL1999" s="39" t="str">
        <f t="shared" si="167"/>
        <v>2025/04/01</v>
      </c>
    </row>
    <row r="2000" spans="1:38" x14ac:dyDescent="0.25">
      <c r="A2000" s="39" t="str">
        <f>("1601030007")</f>
        <v>1601030007</v>
      </c>
      <c r="C2000" s="39"/>
      <c r="D2000" s="39" t="s">
        <v>9533</v>
      </c>
      <c r="E2000" s="371" t="str">
        <f t="shared" si="166"/>
        <v>かわの　ゆうと</v>
      </c>
      <c r="F2000" s="39" t="s">
        <v>2544</v>
      </c>
      <c r="G2000" s="39" t="s">
        <v>7828</v>
      </c>
      <c r="H2000" s="39" t="str">
        <f>("2016/01/03")</f>
        <v>2016/01/03</v>
      </c>
      <c r="I2000" s="39">
        <v>4</v>
      </c>
      <c r="J2000" s="39" t="s">
        <v>1478</v>
      </c>
      <c r="K2000" s="39" t="s">
        <v>2122</v>
      </c>
      <c r="L2000" s="39" t="s">
        <v>7830</v>
      </c>
      <c r="M2000" s="39" t="s">
        <v>7831</v>
      </c>
      <c r="N2000" s="39" t="str">
        <f>("0130644")</f>
        <v>0130644</v>
      </c>
      <c r="P2000" s="39" t="s">
        <v>13457</v>
      </c>
      <c r="Q2000" s="39" t="s">
        <v>8568</v>
      </c>
      <c r="R2000" s="39" t="s">
        <v>8569</v>
      </c>
      <c r="S2000" s="39" t="s">
        <v>8570</v>
      </c>
      <c r="AK2000" s="39" t="str">
        <f>("2025/03/17")</f>
        <v>2025/03/17</v>
      </c>
      <c r="AL2000" s="39" t="str">
        <f t="shared" si="167"/>
        <v>2025/04/01</v>
      </c>
    </row>
    <row r="2001" spans="1:38" x14ac:dyDescent="0.25">
      <c r="A2001" s="39" t="str">
        <f>("1601030084")</f>
        <v>1601030084</v>
      </c>
      <c r="B2001" s="39" t="s">
        <v>9534</v>
      </c>
      <c r="C2001" s="39"/>
      <c r="D2001" s="39" t="s">
        <v>9535</v>
      </c>
      <c r="E2001" s="371" t="str">
        <f t="shared" si="166"/>
        <v>あだち　えいた</v>
      </c>
      <c r="F2001" s="39" t="s">
        <v>1344</v>
      </c>
      <c r="G2001" s="39" t="s">
        <v>7828</v>
      </c>
      <c r="H2001" s="39" t="str">
        <f>("2016/01/03")</f>
        <v>2016/01/03</v>
      </c>
      <c r="I2001" s="39">
        <v>4</v>
      </c>
      <c r="J2001" s="39" t="s">
        <v>1478</v>
      </c>
      <c r="K2001" s="39" t="s">
        <v>2122</v>
      </c>
      <c r="L2001" s="39" t="s">
        <v>7830</v>
      </c>
      <c r="M2001" s="39" t="s">
        <v>7831</v>
      </c>
      <c r="N2001" s="39" t="str">
        <f>("0130587")</f>
        <v>0130587</v>
      </c>
      <c r="P2001" s="39" t="s">
        <v>13458</v>
      </c>
      <c r="Q2001" s="39" t="s">
        <v>8568</v>
      </c>
      <c r="R2001" s="39" t="s">
        <v>8569</v>
      </c>
      <c r="S2001" s="39" t="s">
        <v>8570</v>
      </c>
      <c r="AK2001" s="39" t="str">
        <f>("2025/03/21")</f>
        <v>2025/03/21</v>
      </c>
      <c r="AL2001" s="39" t="str">
        <f t="shared" si="167"/>
        <v>2025/04/01</v>
      </c>
    </row>
    <row r="2002" spans="1:38" x14ac:dyDescent="0.25">
      <c r="A2002" s="39" t="str">
        <f>("1601050001")</f>
        <v>1601050001</v>
      </c>
      <c r="C2002" s="39"/>
      <c r="D2002" s="39" t="s">
        <v>9536</v>
      </c>
      <c r="E2002" s="371" t="str">
        <f t="shared" si="166"/>
        <v>ゆき　あおい</v>
      </c>
      <c r="F2002" s="39" t="s">
        <v>2573</v>
      </c>
      <c r="G2002" s="39" t="s">
        <v>7828</v>
      </c>
      <c r="H2002" s="39" t="str">
        <f>("2016/01/05")</f>
        <v>2016/01/05</v>
      </c>
      <c r="I2002" s="39">
        <v>4</v>
      </c>
      <c r="J2002" s="39" t="s">
        <v>1478</v>
      </c>
      <c r="K2002" s="39" t="s">
        <v>2122</v>
      </c>
      <c r="L2002" s="39" t="s">
        <v>7830</v>
      </c>
      <c r="M2002" s="39" t="s">
        <v>7831</v>
      </c>
      <c r="N2002" s="39" t="str">
        <f>("0230982")</f>
        <v>0230982</v>
      </c>
      <c r="P2002" s="39" t="s">
        <v>13459</v>
      </c>
      <c r="Q2002" s="39" t="s">
        <v>8568</v>
      </c>
      <c r="R2002" s="39" t="s">
        <v>8569</v>
      </c>
      <c r="S2002" s="39" t="s">
        <v>8570</v>
      </c>
      <c r="AK2002" s="39" t="str">
        <f>("2025/03/17")</f>
        <v>2025/03/17</v>
      </c>
      <c r="AL2002" s="39" t="str">
        <f t="shared" si="167"/>
        <v>2025/04/01</v>
      </c>
    </row>
    <row r="2003" spans="1:38" x14ac:dyDescent="0.25">
      <c r="A2003" s="39" t="str">
        <f>("1601050011")</f>
        <v>1601050011</v>
      </c>
      <c r="C2003" s="39"/>
      <c r="D2003" s="39" t="s">
        <v>6258</v>
      </c>
      <c r="E2003" s="371" t="str">
        <f t="shared" si="166"/>
        <v>さかもと　えいと</v>
      </c>
      <c r="F2003" s="39" t="s">
        <v>3104</v>
      </c>
      <c r="G2003" s="39" t="s">
        <v>7828</v>
      </c>
      <c r="H2003" s="39" t="str">
        <f>("2016/01/05")</f>
        <v>2016/01/05</v>
      </c>
      <c r="I2003" s="39">
        <v>4</v>
      </c>
      <c r="J2003" s="39" t="s">
        <v>1478</v>
      </c>
      <c r="K2003" s="39" t="s">
        <v>2122</v>
      </c>
      <c r="L2003" s="39" t="s">
        <v>7830</v>
      </c>
      <c r="M2003" s="39" t="s">
        <v>7831</v>
      </c>
      <c r="N2003" s="39" t="str">
        <f>("1076189")</f>
        <v>1076189</v>
      </c>
      <c r="P2003" s="39" t="s">
        <v>13460</v>
      </c>
      <c r="Q2003" s="39" t="s">
        <v>8568</v>
      </c>
      <c r="R2003" s="39" t="s">
        <v>8569</v>
      </c>
      <c r="S2003" s="39" t="s">
        <v>8570</v>
      </c>
      <c r="AK2003" s="39" t="str">
        <f>("2025/03/24")</f>
        <v>2025/03/24</v>
      </c>
      <c r="AL2003" s="39" t="str">
        <f t="shared" si="167"/>
        <v>2025/04/01</v>
      </c>
    </row>
    <row r="2004" spans="1:38" x14ac:dyDescent="0.25">
      <c r="A2004" s="39" t="str">
        <f>("1601050194")</f>
        <v>1601050194</v>
      </c>
      <c r="C2004" s="39"/>
      <c r="D2004" s="39" t="s">
        <v>9537</v>
      </c>
      <c r="E2004" s="371" t="str">
        <f t="shared" si="166"/>
        <v>えとう　しょうい</v>
      </c>
      <c r="F2004" s="39" t="s">
        <v>829</v>
      </c>
      <c r="G2004" s="39" t="s">
        <v>7828</v>
      </c>
      <c r="H2004" s="39" t="str">
        <f>("2016/01/05")</f>
        <v>2016/01/05</v>
      </c>
      <c r="I2004" s="39">
        <v>4</v>
      </c>
      <c r="J2004" s="39" t="s">
        <v>1478</v>
      </c>
      <c r="K2004" s="39" t="s">
        <v>2122</v>
      </c>
      <c r="L2004" s="39" t="s">
        <v>7830</v>
      </c>
      <c r="M2004" s="39" t="s">
        <v>7831</v>
      </c>
      <c r="N2004" s="39" t="str">
        <f>("0426631")</f>
        <v>0426631</v>
      </c>
      <c r="P2004" s="39" t="s">
        <v>13461</v>
      </c>
      <c r="Q2004" s="39" t="s">
        <v>8568</v>
      </c>
      <c r="R2004" s="39" t="s">
        <v>8569</v>
      </c>
      <c r="S2004" s="39" t="s">
        <v>8570</v>
      </c>
      <c r="AK2004" s="39" t="str">
        <f>("2025/09/09")</f>
        <v>2025/09/09</v>
      </c>
      <c r="AL2004" s="39" t="str">
        <f>("2025/09/09")</f>
        <v>2025/09/09</v>
      </c>
    </row>
    <row r="2005" spans="1:38" x14ac:dyDescent="0.25">
      <c r="A2005" s="39" t="str">
        <f>("1601060183")</f>
        <v>1601060183</v>
      </c>
      <c r="C2005" s="39"/>
      <c r="D2005" s="39" t="s">
        <v>9538</v>
      </c>
      <c r="E2005" s="371" t="str">
        <f t="shared" si="166"/>
        <v>やはた　はるき</v>
      </c>
      <c r="F2005" s="39" t="s">
        <v>2648</v>
      </c>
      <c r="G2005" s="39" t="s">
        <v>7828</v>
      </c>
      <c r="H2005" s="39" t="str">
        <f>("2016/01/06")</f>
        <v>2016/01/06</v>
      </c>
      <c r="I2005" s="39">
        <v>4</v>
      </c>
      <c r="J2005" s="39" t="s">
        <v>1478</v>
      </c>
      <c r="K2005" s="39" t="s">
        <v>2122</v>
      </c>
      <c r="L2005" s="39" t="s">
        <v>7830</v>
      </c>
      <c r="M2005" s="39" t="s">
        <v>7831</v>
      </c>
      <c r="N2005" s="39" t="str">
        <f>("1050097")</f>
        <v>1050097</v>
      </c>
      <c r="P2005" s="39" t="s">
        <v>13462</v>
      </c>
      <c r="Q2005" s="39" t="s">
        <v>8568</v>
      </c>
      <c r="R2005" s="39" t="s">
        <v>8569</v>
      </c>
      <c r="S2005" s="39" t="s">
        <v>8570</v>
      </c>
      <c r="AK2005" s="39" t="str">
        <f>("2025/09/02")</f>
        <v>2025/09/02</v>
      </c>
      <c r="AL2005" s="39" t="str">
        <f>("2025/09/02")</f>
        <v>2025/09/02</v>
      </c>
    </row>
    <row r="2006" spans="1:38" x14ac:dyDescent="0.25">
      <c r="A2006" s="39" t="str">
        <f>("1601070001")</f>
        <v>1601070001</v>
      </c>
      <c r="B2006" s="39" t="s">
        <v>9539</v>
      </c>
      <c r="C2006" s="39"/>
      <c r="D2006" s="39" t="s">
        <v>9540</v>
      </c>
      <c r="E2006" s="371" t="str">
        <f t="shared" si="166"/>
        <v>みうら　たいせい</v>
      </c>
      <c r="F2006" s="39" t="s">
        <v>2574</v>
      </c>
      <c r="G2006" s="39" t="s">
        <v>7828</v>
      </c>
      <c r="H2006" s="39" t="str">
        <f>("2016/01/07")</f>
        <v>2016/01/07</v>
      </c>
      <c r="I2006" s="39">
        <v>4</v>
      </c>
      <c r="J2006" s="39" t="s">
        <v>1478</v>
      </c>
      <c r="K2006" s="39" t="s">
        <v>2122</v>
      </c>
      <c r="L2006" s="39" t="s">
        <v>7830</v>
      </c>
      <c r="M2006" s="39" t="s">
        <v>7831</v>
      </c>
      <c r="N2006" s="39" t="str">
        <f>("0237620")</f>
        <v>0237620</v>
      </c>
      <c r="P2006" s="39" t="s">
        <v>13463</v>
      </c>
      <c r="Q2006" s="39" t="s">
        <v>8568</v>
      </c>
      <c r="R2006" s="39" t="s">
        <v>8569</v>
      </c>
      <c r="S2006" s="39" t="s">
        <v>8570</v>
      </c>
      <c r="AK2006" s="39" t="str">
        <f>("2025/03/17")</f>
        <v>2025/03/17</v>
      </c>
      <c r="AL2006" s="39" t="str">
        <f>("2025/04/01")</f>
        <v>2025/04/01</v>
      </c>
    </row>
    <row r="2007" spans="1:38" x14ac:dyDescent="0.25">
      <c r="A2007" s="39" t="str">
        <f>("1601070184")</f>
        <v>1601070184</v>
      </c>
      <c r="C2007" s="39"/>
      <c r="D2007" s="39" t="s">
        <v>9541</v>
      </c>
      <c r="E2007" s="371" t="str">
        <f t="shared" si="166"/>
        <v>たなべ　はじめ</v>
      </c>
      <c r="F2007" s="39" t="s">
        <v>1751</v>
      </c>
      <c r="G2007" s="39" t="s">
        <v>7828</v>
      </c>
      <c r="H2007" s="39" t="str">
        <f>("2016/01/07")</f>
        <v>2016/01/07</v>
      </c>
      <c r="I2007" s="39">
        <v>4</v>
      </c>
      <c r="J2007" s="39" t="s">
        <v>1478</v>
      </c>
      <c r="K2007" s="39" t="s">
        <v>2122</v>
      </c>
      <c r="L2007" s="39" t="s">
        <v>7830</v>
      </c>
      <c r="M2007" s="39" t="s">
        <v>7831</v>
      </c>
      <c r="N2007" s="39" t="str">
        <f>("0130453")</f>
        <v>0130453</v>
      </c>
      <c r="P2007" s="39" t="s">
        <v>13464</v>
      </c>
      <c r="Q2007" s="39" t="s">
        <v>8568</v>
      </c>
      <c r="R2007" s="39" t="s">
        <v>8569</v>
      </c>
      <c r="S2007" s="39" t="s">
        <v>8570</v>
      </c>
      <c r="AK2007" s="39" t="str">
        <f>("2025/07/28")</f>
        <v>2025/07/28</v>
      </c>
      <c r="AL2007" s="39" t="str">
        <f>("2025/07/28")</f>
        <v>2025/07/28</v>
      </c>
    </row>
    <row r="2008" spans="1:38" x14ac:dyDescent="0.25">
      <c r="A2008" s="39" t="str">
        <f>("1601080085")</f>
        <v>1601080085</v>
      </c>
      <c r="C2008" s="39"/>
      <c r="D2008" s="39" t="s">
        <v>9542</v>
      </c>
      <c r="E2008" s="371" t="str">
        <f t="shared" si="166"/>
        <v>とみた　しょうま</v>
      </c>
      <c r="F2008" s="39" t="s">
        <v>2619</v>
      </c>
      <c r="G2008" s="39" t="s">
        <v>7828</v>
      </c>
      <c r="H2008" s="39" t="str">
        <f>("2016/01/08")</f>
        <v>2016/01/08</v>
      </c>
      <c r="I2008" s="39">
        <v>4</v>
      </c>
      <c r="J2008" s="39" t="s">
        <v>1478</v>
      </c>
      <c r="K2008" s="39" t="s">
        <v>2122</v>
      </c>
      <c r="L2008" s="39" t="s">
        <v>7830</v>
      </c>
      <c r="M2008" s="39" t="s">
        <v>7831</v>
      </c>
      <c r="N2008" s="39" t="str">
        <f>("0472823")</f>
        <v>0472823</v>
      </c>
      <c r="P2008" s="39" t="s">
        <v>13465</v>
      </c>
      <c r="Q2008" s="39" t="s">
        <v>8568</v>
      </c>
      <c r="R2008" s="39" t="s">
        <v>8569</v>
      </c>
      <c r="S2008" s="39" t="s">
        <v>8570</v>
      </c>
      <c r="AK2008" s="39" t="str">
        <f>("2025/03/17")</f>
        <v>2025/03/17</v>
      </c>
      <c r="AL2008" s="39" t="str">
        <f>("2025/04/01")</f>
        <v>2025/04/01</v>
      </c>
    </row>
    <row r="2009" spans="1:38" x14ac:dyDescent="0.25">
      <c r="A2009" s="39" t="str">
        <f>("1601080181")</f>
        <v>1601080181</v>
      </c>
      <c r="C2009" s="39"/>
      <c r="D2009" s="39" t="s">
        <v>9543</v>
      </c>
      <c r="E2009" s="371" t="str">
        <f t="shared" si="166"/>
        <v>しらかわ　あおい</v>
      </c>
      <c r="F2009" s="39" t="s">
        <v>7843</v>
      </c>
      <c r="G2009" s="39" t="s">
        <v>7828</v>
      </c>
      <c r="H2009" s="39" t="str">
        <f>("2016/01/08")</f>
        <v>2016/01/08</v>
      </c>
      <c r="I2009" s="39">
        <v>4</v>
      </c>
      <c r="J2009" s="39" t="s">
        <v>1478</v>
      </c>
      <c r="K2009" s="39" t="s">
        <v>2122</v>
      </c>
      <c r="L2009" s="39" t="s">
        <v>7830</v>
      </c>
      <c r="M2009" s="39" t="s">
        <v>7831</v>
      </c>
      <c r="N2009" s="39" t="str">
        <f>("1117332")</f>
        <v>1117332</v>
      </c>
      <c r="P2009" s="39" t="s">
        <v>13466</v>
      </c>
      <c r="Q2009" s="39" t="s">
        <v>8568</v>
      </c>
      <c r="R2009" s="39" t="s">
        <v>8569</v>
      </c>
      <c r="S2009" s="39" t="s">
        <v>8570</v>
      </c>
      <c r="AK2009" s="39" t="str">
        <f>("2025/06/10")</f>
        <v>2025/06/10</v>
      </c>
      <c r="AL2009" s="39" t="str">
        <f>("2025/06/10")</f>
        <v>2025/06/10</v>
      </c>
    </row>
    <row r="2010" spans="1:38" x14ac:dyDescent="0.25">
      <c r="A2010" s="39" t="str">
        <f>("1601080186")</f>
        <v>1601080186</v>
      </c>
      <c r="C2010" s="39"/>
      <c r="D2010" s="39" t="s">
        <v>9544</v>
      </c>
      <c r="E2010" s="371" t="str">
        <f t="shared" si="166"/>
        <v>いわた　せいたろう</v>
      </c>
      <c r="F2010" s="39" t="s">
        <v>7864</v>
      </c>
      <c r="G2010" s="39" t="s">
        <v>7828</v>
      </c>
      <c r="H2010" s="39" t="str">
        <f>("2016/01/08")</f>
        <v>2016/01/08</v>
      </c>
      <c r="I2010" s="39">
        <v>4</v>
      </c>
      <c r="J2010" s="39" t="s">
        <v>1478</v>
      </c>
      <c r="K2010" s="39" t="s">
        <v>2122</v>
      </c>
      <c r="L2010" s="39" t="s">
        <v>7830</v>
      </c>
      <c r="M2010" s="39" t="s">
        <v>7831</v>
      </c>
      <c r="N2010" s="39" t="str">
        <f>("1039801")</f>
        <v>1039801</v>
      </c>
      <c r="P2010" s="39" t="s">
        <v>13467</v>
      </c>
      <c r="Q2010" s="39" t="s">
        <v>8568</v>
      </c>
      <c r="R2010" s="39" t="s">
        <v>8569</v>
      </c>
      <c r="S2010" s="39" t="s">
        <v>8570</v>
      </c>
      <c r="AK2010" s="39" t="str">
        <f>("2025/07/30")</f>
        <v>2025/07/30</v>
      </c>
      <c r="AL2010" s="39" t="str">
        <f>("2025/07/30")</f>
        <v>2025/07/30</v>
      </c>
    </row>
    <row r="2011" spans="1:38" x14ac:dyDescent="0.25">
      <c r="A2011" s="39" t="str">
        <f>("1601090002")</f>
        <v>1601090002</v>
      </c>
      <c r="B2011" s="39" t="s">
        <v>9545</v>
      </c>
      <c r="C2011" s="39"/>
      <c r="D2011" s="39" t="s">
        <v>9546</v>
      </c>
      <c r="E2011" s="371" t="str">
        <f t="shared" si="166"/>
        <v>にいな　あさひ</v>
      </c>
      <c r="F2011" s="39" t="s">
        <v>2574</v>
      </c>
      <c r="G2011" s="39" t="s">
        <v>7828</v>
      </c>
      <c r="H2011" s="39" t="str">
        <f>("2016/01/09")</f>
        <v>2016/01/09</v>
      </c>
      <c r="I2011" s="39">
        <v>4</v>
      </c>
      <c r="J2011" s="39" t="s">
        <v>1478</v>
      </c>
      <c r="K2011" s="39" t="s">
        <v>2122</v>
      </c>
      <c r="L2011" s="39" t="s">
        <v>7830</v>
      </c>
      <c r="M2011" s="39" t="s">
        <v>7831</v>
      </c>
      <c r="N2011" s="39" t="str">
        <f>("0237620")</f>
        <v>0237620</v>
      </c>
      <c r="P2011" s="39" t="s">
        <v>13468</v>
      </c>
      <c r="Q2011" s="39" t="s">
        <v>8568</v>
      </c>
      <c r="R2011" s="39" t="s">
        <v>8569</v>
      </c>
      <c r="S2011" s="39" t="s">
        <v>8570</v>
      </c>
      <c r="AK2011" s="39" t="str">
        <f>("2025/03/17")</f>
        <v>2025/03/17</v>
      </c>
      <c r="AL2011" s="39" t="str">
        <f>("2025/04/01")</f>
        <v>2025/04/01</v>
      </c>
    </row>
    <row r="2012" spans="1:38" x14ac:dyDescent="0.25">
      <c r="A2012" s="39" t="str">
        <f>("1601090007")</f>
        <v>1601090007</v>
      </c>
      <c r="C2012" s="39"/>
      <c r="D2012" s="39" t="s">
        <v>9547</v>
      </c>
      <c r="E2012" s="371" t="str">
        <f t="shared" si="166"/>
        <v>うえの　あらた</v>
      </c>
      <c r="F2012" s="39" t="s">
        <v>2573</v>
      </c>
      <c r="G2012" s="39" t="s">
        <v>7828</v>
      </c>
      <c r="H2012" s="39" t="str">
        <f>("2016/01/09")</f>
        <v>2016/01/09</v>
      </c>
      <c r="I2012" s="39">
        <v>4</v>
      </c>
      <c r="J2012" s="39" t="s">
        <v>1478</v>
      </c>
      <c r="K2012" s="39" t="s">
        <v>2122</v>
      </c>
      <c r="L2012" s="39" t="s">
        <v>7830</v>
      </c>
      <c r="M2012" s="39" t="s">
        <v>7831</v>
      </c>
      <c r="N2012" s="39" t="str">
        <f>("0230982")</f>
        <v>0230982</v>
      </c>
      <c r="P2012" s="39" t="s">
        <v>13469</v>
      </c>
      <c r="Q2012" s="39" t="s">
        <v>8568</v>
      </c>
      <c r="R2012" s="39" t="s">
        <v>8569</v>
      </c>
      <c r="S2012" s="39" t="s">
        <v>8570</v>
      </c>
      <c r="AK2012" s="39" t="str">
        <f>("2025/03/17")</f>
        <v>2025/03/17</v>
      </c>
      <c r="AL2012" s="39" t="str">
        <f>("2025/04/01")</f>
        <v>2025/04/01</v>
      </c>
    </row>
    <row r="2013" spans="1:38" x14ac:dyDescent="0.25">
      <c r="A2013" s="39" t="str">
        <f>("1601090110")</f>
        <v>1601090110</v>
      </c>
      <c r="C2013" s="39"/>
      <c r="D2013" s="39" t="s">
        <v>9548</v>
      </c>
      <c r="E2013" s="371" t="str">
        <f t="shared" si="166"/>
        <v>ごとう　さくと</v>
      </c>
      <c r="F2013" s="39" t="s">
        <v>1207</v>
      </c>
      <c r="G2013" s="39" t="s">
        <v>7828</v>
      </c>
      <c r="H2013" s="39" t="str">
        <f>("2016/01/09")</f>
        <v>2016/01/09</v>
      </c>
      <c r="I2013" s="39">
        <v>4</v>
      </c>
      <c r="J2013" s="39" t="s">
        <v>1478</v>
      </c>
      <c r="K2013" s="39" t="s">
        <v>2122</v>
      </c>
      <c r="L2013" s="39" t="s">
        <v>7830</v>
      </c>
      <c r="M2013" s="39" t="s">
        <v>7831</v>
      </c>
      <c r="N2013" s="39" t="str">
        <f>("0381608")</f>
        <v>0381608</v>
      </c>
      <c r="P2013" s="39" t="s">
        <v>13470</v>
      </c>
      <c r="Q2013" s="39" t="s">
        <v>8568</v>
      </c>
      <c r="R2013" s="39" t="s">
        <v>8569</v>
      </c>
      <c r="S2013" s="39" t="s">
        <v>8570</v>
      </c>
      <c r="AK2013" s="39" t="str">
        <f>("2025/04/23")</f>
        <v>2025/04/23</v>
      </c>
      <c r="AL2013" s="39" t="str">
        <f>("2025/04/23")</f>
        <v>2025/04/23</v>
      </c>
    </row>
    <row r="2014" spans="1:38" x14ac:dyDescent="0.25">
      <c r="A2014" s="39" t="str">
        <f>("1601100003")</f>
        <v>1601100003</v>
      </c>
      <c r="C2014" s="39"/>
      <c r="D2014" s="39" t="s">
        <v>9549</v>
      </c>
      <c r="E2014" s="371" t="str">
        <f t="shared" si="166"/>
        <v>さとう　あおば</v>
      </c>
      <c r="F2014" s="39" t="s">
        <v>2573</v>
      </c>
      <c r="G2014" s="39" t="s">
        <v>7828</v>
      </c>
      <c r="H2014" s="39" t="str">
        <f>("2016/01/10")</f>
        <v>2016/01/10</v>
      </c>
      <c r="I2014" s="39">
        <v>4</v>
      </c>
      <c r="J2014" s="39" t="s">
        <v>1478</v>
      </c>
      <c r="K2014" s="39" t="s">
        <v>2122</v>
      </c>
      <c r="L2014" s="39" t="s">
        <v>7830</v>
      </c>
      <c r="M2014" s="39" t="s">
        <v>7831</v>
      </c>
      <c r="N2014" s="39" t="str">
        <f>("0230982")</f>
        <v>0230982</v>
      </c>
      <c r="P2014" s="39" t="s">
        <v>13471</v>
      </c>
      <c r="Q2014" s="39" t="s">
        <v>8568</v>
      </c>
      <c r="R2014" s="39" t="s">
        <v>8569</v>
      </c>
      <c r="S2014" s="39" t="s">
        <v>8570</v>
      </c>
      <c r="AK2014" s="39" t="str">
        <f>("2025/03/17")</f>
        <v>2025/03/17</v>
      </c>
      <c r="AL2014" s="39" t="str">
        <f t="shared" ref="AL2014:AL2020" si="168">("2025/04/01")</f>
        <v>2025/04/01</v>
      </c>
    </row>
    <row r="2015" spans="1:38" x14ac:dyDescent="0.25">
      <c r="A2015" s="39" t="str">
        <f>("1601100072")</f>
        <v>1601100072</v>
      </c>
      <c r="C2015" s="39"/>
      <c r="D2015" s="39" t="s">
        <v>9550</v>
      </c>
      <c r="E2015" s="371" t="str">
        <f t="shared" si="166"/>
        <v>しゅとう　ゆたか</v>
      </c>
      <c r="F2015" s="39" t="s">
        <v>2323</v>
      </c>
      <c r="G2015" s="39" t="s">
        <v>7828</v>
      </c>
      <c r="H2015" s="39" t="str">
        <f>("2016/01/10")</f>
        <v>2016/01/10</v>
      </c>
      <c r="I2015" s="39">
        <v>4</v>
      </c>
      <c r="J2015" s="39" t="s">
        <v>1478</v>
      </c>
      <c r="K2015" s="39" t="s">
        <v>2122</v>
      </c>
      <c r="L2015" s="39" t="s">
        <v>7830</v>
      </c>
      <c r="M2015" s="39" t="s">
        <v>7831</v>
      </c>
      <c r="N2015" s="39" t="str">
        <f>("0472722")</f>
        <v>0472722</v>
      </c>
      <c r="P2015" s="39" t="s">
        <v>13472</v>
      </c>
      <c r="Q2015" s="39" t="s">
        <v>8568</v>
      </c>
      <c r="R2015" s="39" t="s">
        <v>8569</v>
      </c>
      <c r="S2015" s="39" t="s">
        <v>8570</v>
      </c>
      <c r="AK2015" s="39" t="str">
        <f>("2025/03/17")</f>
        <v>2025/03/17</v>
      </c>
      <c r="AL2015" s="39" t="str">
        <f t="shared" si="168"/>
        <v>2025/04/01</v>
      </c>
    </row>
    <row r="2016" spans="1:38" x14ac:dyDescent="0.25">
      <c r="A2016" s="39" t="str">
        <f>("1601110036")</f>
        <v>1601110036</v>
      </c>
      <c r="C2016" s="39"/>
      <c r="D2016" s="39" t="s">
        <v>9551</v>
      </c>
      <c r="E2016" s="371" t="str">
        <f t="shared" si="166"/>
        <v>わかばやし　かいせい</v>
      </c>
      <c r="F2016" s="39" t="s">
        <v>1917</v>
      </c>
      <c r="G2016" s="39" t="s">
        <v>7828</v>
      </c>
      <c r="H2016" s="39" t="str">
        <f>("2016/01/11")</f>
        <v>2016/01/11</v>
      </c>
      <c r="I2016" s="39">
        <v>4</v>
      </c>
      <c r="J2016" s="39" t="s">
        <v>1478</v>
      </c>
      <c r="K2016" s="39" t="s">
        <v>2122</v>
      </c>
      <c r="L2016" s="39" t="s">
        <v>7830</v>
      </c>
      <c r="M2016" s="39" t="s">
        <v>7831</v>
      </c>
      <c r="N2016" s="39" t="str">
        <f>("1032161")</f>
        <v>1032161</v>
      </c>
      <c r="P2016" s="39" t="s">
        <v>13473</v>
      </c>
      <c r="Q2016" s="39" t="s">
        <v>8568</v>
      </c>
      <c r="R2016" s="39" t="s">
        <v>8569</v>
      </c>
      <c r="S2016" s="39" t="s">
        <v>8570</v>
      </c>
      <c r="AK2016" s="39" t="str">
        <f>("2025/03/21")</f>
        <v>2025/03/21</v>
      </c>
      <c r="AL2016" s="39" t="str">
        <f t="shared" si="168"/>
        <v>2025/04/01</v>
      </c>
    </row>
    <row r="2017" spans="1:39" x14ac:dyDescent="0.25">
      <c r="A2017" s="39" t="str">
        <f>("1601120154")</f>
        <v>1601120154</v>
      </c>
      <c r="C2017" s="39"/>
      <c r="D2017" s="39" t="s">
        <v>9552</v>
      </c>
      <c r="E2017" s="371" t="str">
        <f t="shared" si="166"/>
        <v>たかはし　こうが</v>
      </c>
      <c r="F2017" s="39" t="s">
        <v>5615</v>
      </c>
      <c r="G2017" s="39" t="s">
        <v>7828</v>
      </c>
      <c r="H2017" s="39" t="str">
        <f>("2016/01/12")</f>
        <v>2016/01/12</v>
      </c>
      <c r="I2017" s="39">
        <v>4</v>
      </c>
      <c r="J2017" s="39" t="s">
        <v>1478</v>
      </c>
      <c r="K2017" s="39" t="s">
        <v>2122</v>
      </c>
      <c r="L2017" s="39" t="s">
        <v>7830</v>
      </c>
      <c r="M2017" s="39" t="s">
        <v>7831</v>
      </c>
      <c r="N2017" s="39" t="str">
        <f>("0129642")</f>
        <v>0129642</v>
      </c>
      <c r="P2017" s="39" t="s">
        <v>13474</v>
      </c>
      <c r="Q2017" s="39" t="s">
        <v>8568</v>
      </c>
      <c r="R2017" s="39" t="s">
        <v>8569</v>
      </c>
      <c r="S2017" s="39" t="s">
        <v>8570</v>
      </c>
      <c r="AK2017" s="39" t="str">
        <f>("2025/03/24")</f>
        <v>2025/03/24</v>
      </c>
      <c r="AL2017" s="39" t="str">
        <f t="shared" si="168"/>
        <v>2025/04/01</v>
      </c>
    </row>
    <row r="2018" spans="1:39" x14ac:dyDescent="0.25">
      <c r="A2018" s="39" t="str">
        <f>("1601130073")</f>
        <v>1601130073</v>
      </c>
      <c r="C2018" s="39"/>
      <c r="D2018" s="39" t="s">
        <v>5867</v>
      </c>
      <c r="E2018" s="371" t="str">
        <f t="shared" si="166"/>
        <v>さとう　あゆむ</v>
      </c>
      <c r="F2018" s="39" t="s">
        <v>2324</v>
      </c>
      <c r="G2018" s="39" t="s">
        <v>7828</v>
      </c>
      <c r="H2018" s="39" t="str">
        <f>("2016/01/13")</f>
        <v>2016/01/13</v>
      </c>
      <c r="I2018" s="39">
        <v>4</v>
      </c>
      <c r="J2018" s="39" t="s">
        <v>1478</v>
      </c>
      <c r="K2018" s="39" t="s">
        <v>2122</v>
      </c>
      <c r="L2018" s="39" t="s">
        <v>7830</v>
      </c>
      <c r="M2018" s="39" t="s">
        <v>7831</v>
      </c>
      <c r="N2018" s="39" t="str">
        <f>("0130486")</f>
        <v>0130486</v>
      </c>
      <c r="P2018" s="39" t="s">
        <v>13475</v>
      </c>
      <c r="Q2018" s="39" t="s">
        <v>8568</v>
      </c>
      <c r="R2018" s="39" t="s">
        <v>8569</v>
      </c>
      <c r="S2018" s="39" t="s">
        <v>8570</v>
      </c>
      <c r="AK2018" s="39" t="str">
        <f>("2025/03/24")</f>
        <v>2025/03/24</v>
      </c>
      <c r="AL2018" s="39" t="str">
        <f t="shared" si="168"/>
        <v>2025/04/01</v>
      </c>
    </row>
    <row r="2019" spans="1:39" x14ac:dyDescent="0.25">
      <c r="A2019" s="39" t="str">
        <f>("1601130150")</f>
        <v>1601130150</v>
      </c>
      <c r="C2019" s="39"/>
      <c r="D2019" s="39" t="s">
        <v>9553</v>
      </c>
      <c r="E2019" s="371" t="str">
        <f t="shared" si="166"/>
        <v>ながまつ　はるやす</v>
      </c>
      <c r="F2019" s="39" t="s">
        <v>2349</v>
      </c>
      <c r="G2019" s="39" t="s">
        <v>7828</v>
      </c>
      <c r="H2019" s="39" t="str">
        <f>("2016/01/13")</f>
        <v>2016/01/13</v>
      </c>
      <c r="I2019" s="39">
        <v>4</v>
      </c>
      <c r="J2019" s="39" t="s">
        <v>1478</v>
      </c>
      <c r="K2019" s="39" t="s">
        <v>2122</v>
      </c>
      <c r="L2019" s="39" t="s">
        <v>7830</v>
      </c>
      <c r="M2019" s="39" t="s">
        <v>7831</v>
      </c>
      <c r="N2019" s="39" t="str">
        <f>("0292081")</f>
        <v>0292081</v>
      </c>
      <c r="P2019" s="39" t="s">
        <v>13476</v>
      </c>
      <c r="Q2019" s="39" t="s">
        <v>8568</v>
      </c>
      <c r="R2019" s="39" t="s">
        <v>8569</v>
      </c>
      <c r="S2019" s="39" t="s">
        <v>8570</v>
      </c>
      <c r="AK2019" s="39" t="str">
        <f>("2025/03/24")</f>
        <v>2025/03/24</v>
      </c>
      <c r="AL2019" s="39" t="str">
        <f t="shared" si="168"/>
        <v>2025/04/01</v>
      </c>
    </row>
    <row r="2020" spans="1:39" x14ac:dyDescent="0.25">
      <c r="A2020" s="39" t="str">
        <f>("1601140117")</f>
        <v>1601140117</v>
      </c>
      <c r="C2020" s="39"/>
      <c r="D2020" s="39" t="s">
        <v>9554</v>
      </c>
      <c r="E2020" s="371" t="str">
        <f t="shared" si="166"/>
        <v>たぐち　まきと</v>
      </c>
      <c r="F2020" s="39" t="s">
        <v>2323</v>
      </c>
      <c r="G2020" s="39" t="s">
        <v>7828</v>
      </c>
      <c r="H2020" s="39" t="str">
        <f>("2016/01/14")</f>
        <v>2016/01/14</v>
      </c>
      <c r="I2020" s="39">
        <v>4</v>
      </c>
      <c r="J2020" s="39" t="s">
        <v>1478</v>
      </c>
      <c r="K2020" s="39" t="s">
        <v>2122</v>
      </c>
      <c r="L2020" s="39" t="s">
        <v>7830</v>
      </c>
      <c r="M2020" s="39" t="s">
        <v>7831</v>
      </c>
      <c r="N2020" s="39" t="str">
        <f>("0472722")</f>
        <v>0472722</v>
      </c>
      <c r="P2020" s="39" t="s">
        <v>13477</v>
      </c>
      <c r="Q2020" s="39" t="s">
        <v>8568</v>
      </c>
      <c r="R2020" s="39" t="s">
        <v>8569</v>
      </c>
      <c r="S2020" s="39" t="s">
        <v>8570</v>
      </c>
      <c r="AK2020" s="39" t="str">
        <f>("2025/03/17")</f>
        <v>2025/03/17</v>
      </c>
      <c r="AL2020" s="39" t="str">
        <f t="shared" si="168"/>
        <v>2025/04/01</v>
      </c>
    </row>
    <row r="2021" spans="1:39" x14ac:dyDescent="0.25">
      <c r="A2021" s="39" t="str">
        <f>("1601140198")</f>
        <v>1601140198</v>
      </c>
      <c r="C2021" s="39"/>
      <c r="D2021" s="39" t="s">
        <v>9555</v>
      </c>
      <c r="E2021" s="371" t="str">
        <f t="shared" si="166"/>
        <v>かわぐち　だいち</v>
      </c>
      <c r="F2021" s="39" t="s">
        <v>2648</v>
      </c>
      <c r="G2021" s="39" t="s">
        <v>7828</v>
      </c>
      <c r="H2021" s="39" t="str">
        <f>("2016/01/14")</f>
        <v>2016/01/14</v>
      </c>
      <c r="I2021" s="39">
        <v>4</v>
      </c>
      <c r="J2021" s="39" t="s">
        <v>1478</v>
      </c>
      <c r="K2021" s="39" t="s">
        <v>2122</v>
      </c>
      <c r="L2021" s="39" t="s">
        <v>7830</v>
      </c>
      <c r="M2021" s="39" t="s">
        <v>7831</v>
      </c>
      <c r="N2021" s="39" t="str">
        <f>("1050097")</f>
        <v>1050097</v>
      </c>
      <c r="P2021" s="39" t="s">
        <v>13478</v>
      </c>
      <c r="Q2021" s="39" t="s">
        <v>8568</v>
      </c>
      <c r="R2021" s="39" t="s">
        <v>8569</v>
      </c>
      <c r="S2021" s="39" t="s">
        <v>8570</v>
      </c>
      <c r="AK2021" s="39" t="str">
        <f>("2025/09/02")</f>
        <v>2025/09/02</v>
      </c>
      <c r="AL2021" s="39" t="str">
        <f>("2025/09/02")</f>
        <v>2025/09/02</v>
      </c>
    </row>
    <row r="2022" spans="1:39" x14ac:dyDescent="0.25">
      <c r="A2022" s="39" t="str">
        <f>("1601150111")</f>
        <v>1601150111</v>
      </c>
      <c r="C2022" s="39"/>
      <c r="D2022" s="39" t="s">
        <v>9556</v>
      </c>
      <c r="E2022" s="371" t="str">
        <f t="shared" si="166"/>
        <v>かい　きっか</v>
      </c>
      <c r="F2022" s="39" t="s">
        <v>2323</v>
      </c>
      <c r="G2022" s="39" t="s">
        <v>7876</v>
      </c>
      <c r="H2022" s="39" t="str">
        <f>("2016/01/15")</f>
        <v>2016/01/15</v>
      </c>
      <c r="I2022" s="39">
        <v>4</v>
      </c>
      <c r="J2022" s="39" t="s">
        <v>1480</v>
      </c>
      <c r="K2022" s="39" t="s">
        <v>2122</v>
      </c>
      <c r="L2022" s="39" t="s">
        <v>7830</v>
      </c>
      <c r="M2022" s="39" t="s">
        <v>7831</v>
      </c>
      <c r="N2022" s="39" t="str">
        <f>("0472722")</f>
        <v>0472722</v>
      </c>
      <c r="P2022" s="39" t="s">
        <v>13479</v>
      </c>
      <c r="Q2022" s="39" t="s">
        <v>8568</v>
      </c>
      <c r="R2022" s="39" t="s">
        <v>8569</v>
      </c>
      <c r="S2022" s="39" t="s">
        <v>8570</v>
      </c>
      <c r="AK2022" s="39" t="str">
        <f>("2025/03/17")</f>
        <v>2025/03/17</v>
      </c>
      <c r="AL2022" s="39" t="str">
        <f>("2025/04/01")</f>
        <v>2025/04/01</v>
      </c>
      <c r="AM2022" s="39" t="str">
        <f>("2025/07/03")</f>
        <v>2025/07/03</v>
      </c>
    </row>
    <row r="2023" spans="1:39" x14ac:dyDescent="0.25">
      <c r="A2023" s="39" t="str">
        <f>("1601150140")</f>
        <v>1601150140</v>
      </c>
      <c r="C2023" s="39"/>
      <c r="D2023" s="39" t="s">
        <v>9557</v>
      </c>
      <c r="E2023" s="371" t="str">
        <f t="shared" si="166"/>
        <v>みえだ　ゆづき</v>
      </c>
      <c r="F2023" s="39" t="s">
        <v>8050</v>
      </c>
      <c r="G2023" s="39" t="s">
        <v>7828</v>
      </c>
      <c r="H2023" s="39" t="str">
        <f>("2016/01/15")</f>
        <v>2016/01/15</v>
      </c>
      <c r="I2023" s="39">
        <v>4</v>
      </c>
      <c r="J2023" s="39" t="s">
        <v>1480</v>
      </c>
      <c r="K2023" s="39" t="s">
        <v>2122</v>
      </c>
      <c r="L2023" s="39" t="s">
        <v>7830</v>
      </c>
      <c r="M2023" s="39" t="s">
        <v>7831</v>
      </c>
      <c r="N2023" s="39" t="str">
        <f>("0130015")</f>
        <v>0130015</v>
      </c>
      <c r="P2023" s="39" t="s">
        <v>13480</v>
      </c>
      <c r="Q2023" s="39" t="s">
        <v>8568</v>
      </c>
      <c r="R2023" s="39" t="s">
        <v>8569</v>
      </c>
      <c r="S2023" s="39" t="s">
        <v>8570</v>
      </c>
      <c r="AK2023" s="39" t="str">
        <f>("2025/03/17")</f>
        <v>2025/03/17</v>
      </c>
      <c r="AL2023" s="39" t="str">
        <f>("2025/04/01")</f>
        <v>2025/04/01</v>
      </c>
    </row>
    <row r="2024" spans="1:39" x14ac:dyDescent="0.25">
      <c r="A2024" s="39" t="str">
        <f>("1601150184")</f>
        <v>1601150184</v>
      </c>
      <c r="C2024" s="39"/>
      <c r="D2024" s="39" t="s">
        <v>9558</v>
      </c>
      <c r="E2024" s="371" t="str">
        <f t="shared" si="166"/>
        <v>しげた　らいと</v>
      </c>
      <c r="F2024" s="39" t="s">
        <v>1751</v>
      </c>
      <c r="G2024" s="39" t="s">
        <v>7828</v>
      </c>
      <c r="H2024" s="39" t="str">
        <f>("2016/01/15")</f>
        <v>2016/01/15</v>
      </c>
      <c r="I2024" s="39">
        <v>4</v>
      </c>
      <c r="J2024" s="39" t="s">
        <v>1478</v>
      </c>
      <c r="K2024" s="39" t="s">
        <v>2122</v>
      </c>
      <c r="L2024" s="39" t="s">
        <v>7830</v>
      </c>
      <c r="M2024" s="39" t="s">
        <v>7831</v>
      </c>
      <c r="N2024" s="39" t="str">
        <f>("0130453")</f>
        <v>0130453</v>
      </c>
      <c r="P2024" s="39" t="s">
        <v>13481</v>
      </c>
      <c r="Q2024" s="39" t="s">
        <v>8568</v>
      </c>
      <c r="R2024" s="39" t="s">
        <v>8569</v>
      </c>
      <c r="S2024" s="39" t="s">
        <v>8570</v>
      </c>
      <c r="AK2024" s="39" t="str">
        <f>("2025/07/28")</f>
        <v>2025/07/28</v>
      </c>
      <c r="AL2024" s="39" t="str">
        <f>("2025/07/28")</f>
        <v>2025/07/28</v>
      </c>
    </row>
    <row r="2025" spans="1:39" x14ac:dyDescent="0.25">
      <c r="A2025" s="39" t="str">
        <f>("1601160027")</f>
        <v>1601160027</v>
      </c>
      <c r="C2025" s="39"/>
      <c r="D2025" s="39" t="s">
        <v>9559</v>
      </c>
      <c r="E2025" s="371" t="str">
        <f t="shared" si="166"/>
        <v>かい　れな</v>
      </c>
      <c r="F2025" s="39" t="s">
        <v>8135</v>
      </c>
      <c r="G2025" s="39" t="s">
        <v>7828</v>
      </c>
      <c r="H2025" s="39" t="str">
        <f>("2016/01/16")</f>
        <v>2016/01/16</v>
      </c>
      <c r="I2025" s="39">
        <v>4</v>
      </c>
      <c r="J2025" s="39" t="s">
        <v>1480</v>
      </c>
      <c r="K2025" s="39" t="s">
        <v>2122</v>
      </c>
      <c r="L2025" s="39" t="s">
        <v>7830</v>
      </c>
      <c r="M2025" s="39" t="s">
        <v>7831</v>
      </c>
      <c r="N2025" s="39" t="str">
        <f>("0475567")</f>
        <v>0475567</v>
      </c>
      <c r="P2025" s="39" t="s">
        <v>13482</v>
      </c>
      <c r="Q2025" s="39" t="s">
        <v>8568</v>
      </c>
      <c r="R2025" s="39" t="s">
        <v>8569</v>
      </c>
      <c r="S2025" s="39" t="s">
        <v>8570</v>
      </c>
      <c r="AK2025" s="39" t="str">
        <f>("2025/03/24")</f>
        <v>2025/03/24</v>
      </c>
      <c r="AL2025" s="39" t="str">
        <f t="shared" ref="AL2025:AL2032" si="169">("2025/04/01")</f>
        <v>2025/04/01</v>
      </c>
    </row>
    <row r="2026" spans="1:39" x14ac:dyDescent="0.25">
      <c r="A2026" s="39" t="str">
        <f>("1601160096")</f>
        <v>1601160096</v>
      </c>
      <c r="C2026" s="39"/>
      <c r="D2026" s="39" t="s">
        <v>9560</v>
      </c>
      <c r="E2026" s="371" t="str">
        <f t="shared" si="166"/>
        <v>はなき　げんた</v>
      </c>
      <c r="F2026" s="39" t="s">
        <v>7864</v>
      </c>
      <c r="G2026" s="39" t="s">
        <v>7828</v>
      </c>
      <c r="H2026" s="39" t="str">
        <f>("2016/01/16")</f>
        <v>2016/01/16</v>
      </c>
      <c r="I2026" s="39">
        <v>4</v>
      </c>
      <c r="J2026" s="39" t="s">
        <v>1478</v>
      </c>
      <c r="K2026" s="39" t="s">
        <v>2122</v>
      </c>
      <c r="L2026" s="39" t="s">
        <v>7830</v>
      </c>
      <c r="M2026" s="39" t="s">
        <v>7831</v>
      </c>
      <c r="N2026" s="39" t="str">
        <f>("1039801")</f>
        <v>1039801</v>
      </c>
      <c r="P2026" s="39" t="s">
        <v>13483</v>
      </c>
      <c r="Q2026" s="39" t="s">
        <v>8568</v>
      </c>
      <c r="R2026" s="39" t="s">
        <v>8569</v>
      </c>
      <c r="S2026" s="39" t="s">
        <v>8570</v>
      </c>
      <c r="AK2026" s="39" t="str">
        <f>("2025/03/24")</f>
        <v>2025/03/24</v>
      </c>
      <c r="AL2026" s="39" t="str">
        <f t="shared" si="169"/>
        <v>2025/04/01</v>
      </c>
    </row>
    <row r="2027" spans="1:39" x14ac:dyDescent="0.25">
      <c r="A2027" s="39" t="str">
        <f>("1601160098")</f>
        <v>1601160098</v>
      </c>
      <c r="C2027" s="39"/>
      <c r="D2027" s="39" t="s">
        <v>9561</v>
      </c>
      <c r="E2027" s="371" t="str">
        <f t="shared" si="166"/>
        <v>いしだ　こうた</v>
      </c>
      <c r="F2027" s="39" t="s">
        <v>2469</v>
      </c>
      <c r="G2027" s="39" t="s">
        <v>7828</v>
      </c>
      <c r="H2027" s="39" t="str">
        <f>("2016/01/16")</f>
        <v>2016/01/16</v>
      </c>
      <c r="I2027" s="39">
        <v>4</v>
      </c>
      <c r="J2027" s="39" t="s">
        <v>1478</v>
      </c>
      <c r="K2027" s="39" t="s">
        <v>2122</v>
      </c>
      <c r="L2027" s="39" t="s">
        <v>7830</v>
      </c>
      <c r="M2027" s="39" t="s">
        <v>7831</v>
      </c>
      <c r="N2027" s="39" t="str">
        <f>("0129462")</f>
        <v>0129462</v>
      </c>
      <c r="P2027" s="39" t="s">
        <v>13484</v>
      </c>
      <c r="Q2027" s="39" t="s">
        <v>8568</v>
      </c>
      <c r="R2027" s="39" t="s">
        <v>8569</v>
      </c>
      <c r="S2027" s="39" t="s">
        <v>8570</v>
      </c>
      <c r="AK2027" s="39" t="str">
        <f>("2025/03/21")</f>
        <v>2025/03/21</v>
      </c>
      <c r="AL2027" s="39" t="str">
        <f t="shared" si="169"/>
        <v>2025/04/01</v>
      </c>
    </row>
    <row r="2028" spans="1:39" x14ac:dyDescent="0.25">
      <c r="A2028" s="39" t="str">
        <f>("1601160099")</f>
        <v>1601160099</v>
      </c>
      <c r="C2028" s="39"/>
      <c r="D2028" s="39" t="s">
        <v>9562</v>
      </c>
      <c r="E2028" s="371" t="str">
        <f t="shared" si="166"/>
        <v>ながお　そうご</v>
      </c>
      <c r="F2028" s="39" t="s">
        <v>2469</v>
      </c>
      <c r="G2028" s="39" t="s">
        <v>7876</v>
      </c>
      <c r="H2028" s="39" t="str">
        <f>("2016/01/16")</f>
        <v>2016/01/16</v>
      </c>
      <c r="I2028" s="39">
        <v>4</v>
      </c>
      <c r="J2028" s="39" t="s">
        <v>1478</v>
      </c>
      <c r="K2028" s="39" t="s">
        <v>2122</v>
      </c>
      <c r="L2028" s="39" t="s">
        <v>7830</v>
      </c>
      <c r="M2028" s="39" t="s">
        <v>7831</v>
      </c>
      <c r="N2028" s="39" t="str">
        <f>("0129462")</f>
        <v>0129462</v>
      </c>
      <c r="P2028" s="39" t="s">
        <v>13485</v>
      </c>
      <c r="Q2028" s="39" t="s">
        <v>8568</v>
      </c>
      <c r="R2028" s="39" t="s">
        <v>8569</v>
      </c>
      <c r="S2028" s="39" t="s">
        <v>8570</v>
      </c>
      <c r="AK2028" s="39" t="str">
        <f>("2025/03/21")</f>
        <v>2025/03/21</v>
      </c>
      <c r="AL2028" s="39" t="str">
        <f t="shared" si="169"/>
        <v>2025/04/01</v>
      </c>
      <c r="AM2028" s="39" t="str">
        <f>("2025/12/01")</f>
        <v>2025/12/01</v>
      </c>
    </row>
    <row r="2029" spans="1:39" x14ac:dyDescent="0.25">
      <c r="A2029" s="39" t="str">
        <f>("1601190114")</f>
        <v>1601190114</v>
      </c>
      <c r="C2029" s="39"/>
      <c r="D2029" s="39" t="s">
        <v>5626</v>
      </c>
      <c r="E2029" s="371" t="str">
        <f t="shared" si="166"/>
        <v>あない　いぶき</v>
      </c>
      <c r="F2029" s="39" t="s">
        <v>2469</v>
      </c>
      <c r="G2029" s="39" t="s">
        <v>7828</v>
      </c>
      <c r="H2029" s="39" t="str">
        <f>("2016/01/19")</f>
        <v>2016/01/19</v>
      </c>
      <c r="I2029" s="39">
        <v>4</v>
      </c>
      <c r="J2029" s="39" t="s">
        <v>1478</v>
      </c>
      <c r="K2029" s="39" t="s">
        <v>2122</v>
      </c>
      <c r="L2029" s="39" t="s">
        <v>7830</v>
      </c>
      <c r="M2029" s="39" t="s">
        <v>7831</v>
      </c>
      <c r="N2029" s="39" t="str">
        <f>("0129462")</f>
        <v>0129462</v>
      </c>
      <c r="P2029" s="39" t="s">
        <v>13486</v>
      </c>
      <c r="Q2029" s="39" t="s">
        <v>8568</v>
      </c>
      <c r="R2029" s="39" t="s">
        <v>8569</v>
      </c>
      <c r="S2029" s="39" t="s">
        <v>8570</v>
      </c>
      <c r="AK2029" s="39" t="str">
        <f>("2025/03/21")</f>
        <v>2025/03/21</v>
      </c>
      <c r="AL2029" s="39" t="str">
        <f t="shared" si="169"/>
        <v>2025/04/01</v>
      </c>
    </row>
    <row r="2030" spans="1:39" x14ac:dyDescent="0.25">
      <c r="A2030" s="39" t="str">
        <f>("1601190118")</f>
        <v>1601190118</v>
      </c>
      <c r="C2030" s="39"/>
      <c r="D2030" s="39" t="s">
        <v>9563</v>
      </c>
      <c r="E2030" s="371" t="str">
        <f t="shared" si="166"/>
        <v>まつした　こうせい</v>
      </c>
      <c r="F2030" s="39" t="s">
        <v>2243</v>
      </c>
      <c r="G2030" s="39" t="s">
        <v>7828</v>
      </c>
      <c r="H2030" s="39" t="str">
        <f>("2016/01/19")</f>
        <v>2016/01/19</v>
      </c>
      <c r="I2030" s="39">
        <v>4</v>
      </c>
      <c r="J2030" s="39" t="s">
        <v>1478</v>
      </c>
      <c r="K2030" s="39" t="s">
        <v>2122</v>
      </c>
      <c r="L2030" s="39" t="s">
        <v>7830</v>
      </c>
      <c r="M2030" s="39" t="s">
        <v>7831</v>
      </c>
      <c r="N2030" s="39" t="str">
        <f>("0130565")</f>
        <v>0130565</v>
      </c>
      <c r="P2030" s="39" t="s">
        <v>13487</v>
      </c>
      <c r="Q2030" s="39" t="s">
        <v>8568</v>
      </c>
      <c r="R2030" s="39" t="s">
        <v>8569</v>
      </c>
      <c r="S2030" s="39" t="s">
        <v>8570</v>
      </c>
      <c r="AK2030" s="39" t="str">
        <f>("2025/03/17")</f>
        <v>2025/03/17</v>
      </c>
      <c r="AL2030" s="39" t="str">
        <f t="shared" si="169"/>
        <v>2025/04/01</v>
      </c>
    </row>
    <row r="2031" spans="1:39" x14ac:dyDescent="0.25">
      <c r="A2031" s="39" t="str">
        <f>("1601200003")</f>
        <v>1601200003</v>
      </c>
      <c r="C2031" s="39"/>
      <c r="D2031" s="39" t="s">
        <v>9564</v>
      </c>
      <c r="E2031" s="371" t="str">
        <f t="shared" si="166"/>
        <v>はだの　そう</v>
      </c>
      <c r="F2031" s="39" t="s">
        <v>2575</v>
      </c>
      <c r="G2031" s="39" t="s">
        <v>7828</v>
      </c>
      <c r="H2031" s="39" t="str">
        <f>("2016/01/20")</f>
        <v>2016/01/20</v>
      </c>
      <c r="I2031" s="39">
        <v>4</v>
      </c>
      <c r="J2031" s="39" t="s">
        <v>1478</v>
      </c>
      <c r="K2031" s="39" t="s">
        <v>2122</v>
      </c>
      <c r="L2031" s="39" t="s">
        <v>7830</v>
      </c>
      <c r="M2031" s="39" t="s">
        <v>7831</v>
      </c>
      <c r="N2031" s="39" t="str">
        <f>("0303040")</f>
        <v>0303040</v>
      </c>
      <c r="P2031" s="39" t="s">
        <v>13488</v>
      </c>
      <c r="Q2031" s="39" t="s">
        <v>8568</v>
      </c>
      <c r="R2031" s="39" t="s">
        <v>8569</v>
      </c>
      <c r="S2031" s="39" t="s">
        <v>8570</v>
      </c>
      <c r="AK2031" s="39" t="str">
        <f>("2025/03/17")</f>
        <v>2025/03/17</v>
      </c>
      <c r="AL2031" s="39" t="str">
        <f t="shared" si="169"/>
        <v>2025/04/01</v>
      </c>
    </row>
    <row r="2032" spans="1:39" x14ac:dyDescent="0.25">
      <c r="A2032" s="39" t="str">
        <f>("1601200058")</f>
        <v>1601200058</v>
      </c>
      <c r="C2032" s="39"/>
      <c r="D2032" s="39" t="s">
        <v>9565</v>
      </c>
      <c r="E2032" s="371" t="str">
        <f t="shared" si="166"/>
        <v>わたなべ　そら</v>
      </c>
      <c r="F2032" s="39" t="s">
        <v>2024</v>
      </c>
      <c r="G2032" s="39" t="s">
        <v>7876</v>
      </c>
      <c r="H2032" s="39" t="str">
        <f>("2016/01/20")</f>
        <v>2016/01/20</v>
      </c>
      <c r="I2032" s="39">
        <v>4</v>
      </c>
      <c r="J2032" s="39" t="s">
        <v>1478</v>
      </c>
      <c r="K2032" s="39" t="s">
        <v>2122</v>
      </c>
      <c r="L2032" s="39" t="s">
        <v>7830</v>
      </c>
      <c r="M2032" s="39" t="s">
        <v>7831</v>
      </c>
      <c r="N2032" s="39" t="str">
        <f>("0130475")</f>
        <v>0130475</v>
      </c>
      <c r="P2032" s="39" t="s">
        <v>13489</v>
      </c>
      <c r="Q2032" s="39" t="s">
        <v>8568</v>
      </c>
      <c r="R2032" s="39" t="s">
        <v>8569</v>
      </c>
      <c r="S2032" s="39" t="s">
        <v>8570</v>
      </c>
      <c r="AK2032" s="39" t="str">
        <f>("2025/04/04")</f>
        <v>2025/04/04</v>
      </c>
      <c r="AL2032" s="39" t="str">
        <f t="shared" si="169"/>
        <v>2025/04/01</v>
      </c>
      <c r="AM2032" s="39" t="str">
        <f>("2025/12/23")</f>
        <v>2025/12/23</v>
      </c>
    </row>
    <row r="2033" spans="1:39" x14ac:dyDescent="0.25">
      <c r="A2033" s="39" t="str">
        <f>("1601200157")</f>
        <v>1601200157</v>
      </c>
      <c r="C2033" s="39"/>
      <c r="D2033" s="39" t="s">
        <v>9566</v>
      </c>
      <c r="E2033" s="371" t="str">
        <f t="shared" si="166"/>
        <v>すぎさき　りゅうせい</v>
      </c>
      <c r="F2033" s="39" t="s">
        <v>2587</v>
      </c>
      <c r="G2033" s="39" t="s">
        <v>7828</v>
      </c>
      <c r="H2033" s="39" t="str">
        <f>("2016/01/20")</f>
        <v>2016/01/20</v>
      </c>
      <c r="I2033" s="39">
        <v>4</v>
      </c>
      <c r="J2033" s="39" t="s">
        <v>1478</v>
      </c>
      <c r="K2033" s="39" t="s">
        <v>2122</v>
      </c>
      <c r="L2033" s="39" t="s">
        <v>7830</v>
      </c>
      <c r="M2033" s="39" t="s">
        <v>7831</v>
      </c>
      <c r="N2033" s="39" t="str">
        <f>("0387334")</f>
        <v>0387334</v>
      </c>
      <c r="P2033" s="39" t="s">
        <v>13490</v>
      </c>
      <c r="Q2033" s="39" t="s">
        <v>8568</v>
      </c>
      <c r="R2033" s="39" t="s">
        <v>8569</v>
      </c>
      <c r="S2033" s="39" t="s">
        <v>8570</v>
      </c>
      <c r="AK2033" s="39" t="str">
        <f>("2025/04/10")</f>
        <v>2025/04/10</v>
      </c>
      <c r="AL2033" s="39" t="str">
        <f>("2025/04/10")</f>
        <v>2025/04/10</v>
      </c>
    </row>
    <row r="2034" spans="1:39" x14ac:dyDescent="0.25">
      <c r="A2034" s="39" t="str">
        <f>("1601210141")</f>
        <v>1601210141</v>
      </c>
      <c r="C2034" s="39"/>
      <c r="D2034" s="39" t="s">
        <v>9567</v>
      </c>
      <c r="E2034" s="371" t="str">
        <f t="shared" si="166"/>
        <v>みやぞの　おうすけ</v>
      </c>
      <c r="F2034" s="39" t="s">
        <v>3866</v>
      </c>
      <c r="G2034" s="39" t="s">
        <v>7828</v>
      </c>
      <c r="H2034" s="39" t="str">
        <f>("2016/01/21")</f>
        <v>2016/01/21</v>
      </c>
      <c r="I2034" s="39">
        <v>4</v>
      </c>
      <c r="J2034" s="39" t="s">
        <v>1478</v>
      </c>
      <c r="K2034" s="39" t="s">
        <v>2122</v>
      </c>
      <c r="L2034" s="39" t="s">
        <v>7830</v>
      </c>
      <c r="M2034" s="39" t="s">
        <v>7831</v>
      </c>
      <c r="N2034" s="39" t="str">
        <f>("0129675")</f>
        <v>0129675</v>
      </c>
      <c r="P2034" s="39" t="s">
        <v>13491</v>
      </c>
      <c r="Q2034" s="39" t="s">
        <v>8568</v>
      </c>
      <c r="R2034" s="39" t="s">
        <v>8569</v>
      </c>
      <c r="S2034" s="39" t="s">
        <v>8570</v>
      </c>
      <c r="AK2034" s="39" t="str">
        <f>("2025/04/01")</f>
        <v>2025/04/01</v>
      </c>
      <c r="AL2034" s="39" t="str">
        <f>("2025/04/01")</f>
        <v>2025/04/01</v>
      </c>
    </row>
    <row r="2035" spans="1:39" x14ac:dyDescent="0.25">
      <c r="A2035" s="39" t="str">
        <f>("1601210164")</f>
        <v>1601210164</v>
      </c>
      <c r="C2035" s="39"/>
      <c r="D2035" s="39" t="s">
        <v>9568</v>
      </c>
      <c r="E2035" s="371" t="str">
        <f t="shared" si="166"/>
        <v>しまだ　がく</v>
      </c>
      <c r="F2035" s="39" t="s">
        <v>1095</v>
      </c>
      <c r="G2035" s="39" t="s">
        <v>7828</v>
      </c>
      <c r="H2035" s="39" t="str">
        <f>("2016/01/21")</f>
        <v>2016/01/21</v>
      </c>
      <c r="I2035" s="39">
        <v>4</v>
      </c>
      <c r="J2035" s="39" t="s">
        <v>1478</v>
      </c>
      <c r="K2035" s="39" t="s">
        <v>2122</v>
      </c>
      <c r="L2035" s="39" t="s">
        <v>7830</v>
      </c>
      <c r="M2035" s="39" t="s">
        <v>7831</v>
      </c>
      <c r="N2035" s="39" t="str">
        <f>("0487492")</f>
        <v>0487492</v>
      </c>
      <c r="P2035" s="39" t="s">
        <v>13492</v>
      </c>
      <c r="Q2035" s="39" t="s">
        <v>8568</v>
      </c>
      <c r="R2035" s="39" t="s">
        <v>8569</v>
      </c>
      <c r="S2035" s="39" t="s">
        <v>8570</v>
      </c>
      <c r="AK2035" s="39" t="str">
        <f>("2025/09/17")</f>
        <v>2025/09/17</v>
      </c>
      <c r="AL2035" s="39" t="str">
        <f>("2025/09/17")</f>
        <v>2025/09/17</v>
      </c>
    </row>
    <row r="2036" spans="1:39" x14ac:dyDescent="0.25">
      <c r="A2036" s="39" t="str">
        <f>("1601220026")</f>
        <v>1601220026</v>
      </c>
      <c r="C2036" s="39"/>
      <c r="D2036" s="39" t="s">
        <v>9569</v>
      </c>
      <c r="E2036" s="371" t="str">
        <f t="shared" si="166"/>
        <v>ごしま　りつき</v>
      </c>
      <c r="F2036" s="39" t="s">
        <v>2137</v>
      </c>
      <c r="G2036" s="39" t="s">
        <v>7828</v>
      </c>
      <c r="H2036" s="39" t="str">
        <f>("2016/01/22")</f>
        <v>2016/01/22</v>
      </c>
      <c r="I2036" s="39">
        <v>4</v>
      </c>
      <c r="J2036" s="39" t="s">
        <v>1478</v>
      </c>
      <c r="K2036" s="39" t="s">
        <v>2122</v>
      </c>
      <c r="L2036" s="39" t="s">
        <v>7830</v>
      </c>
      <c r="M2036" s="39" t="s">
        <v>7831</v>
      </c>
      <c r="N2036" s="39" t="str">
        <f>("0130510")</f>
        <v>0130510</v>
      </c>
      <c r="P2036" s="39" t="s">
        <v>13493</v>
      </c>
      <c r="Q2036" s="39" t="s">
        <v>8568</v>
      </c>
      <c r="R2036" s="39" t="s">
        <v>8569</v>
      </c>
      <c r="S2036" s="39" t="s">
        <v>8570</v>
      </c>
      <c r="AK2036" s="39" t="str">
        <f>("2025/03/21")</f>
        <v>2025/03/21</v>
      </c>
      <c r="AL2036" s="39" t="str">
        <f>("2025/04/01")</f>
        <v>2025/04/01</v>
      </c>
    </row>
    <row r="2037" spans="1:39" x14ac:dyDescent="0.25">
      <c r="A2037" s="39" t="str">
        <f>("1601220028")</f>
        <v>1601220028</v>
      </c>
      <c r="C2037" s="39"/>
      <c r="D2037" s="39" t="s">
        <v>9570</v>
      </c>
      <c r="E2037" s="371" t="str">
        <f t="shared" si="166"/>
        <v>ちかひろ　だいき</v>
      </c>
      <c r="F2037" s="39" t="s">
        <v>1917</v>
      </c>
      <c r="G2037" s="39" t="s">
        <v>7828</v>
      </c>
      <c r="H2037" s="39" t="str">
        <f>("2016/01/22")</f>
        <v>2016/01/22</v>
      </c>
      <c r="I2037" s="39">
        <v>4</v>
      </c>
      <c r="J2037" s="39" t="s">
        <v>1478</v>
      </c>
      <c r="K2037" s="39" t="s">
        <v>2122</v>
      </c>
      <c r="L2037" s="39" t="s">
        <v>7830</v>
      </c>
      <c r="M2037" s="39" t="s">
        <v>7831</v>
      </c>
      <c r="N2037" s="39" t="str">
        <f>("1032161")</f>
        <v>1032161</v>
      </c>
      <c r="P2037" s="39" t="s">
        <v>13494</v>
      </c>
      <c r="Q2037" s="39" t="s">
        <v>8568</v>
      </c>
      <c r="R2037" s="39" t="s">
        <v>8569</v>
      </c>
      <c r="S2037" s="39" t="s">
        <v>8570</v>
      </c>
      <c r="AA2037" s="39" t="s">
        <v>2122</v>
      </c>
      <c r="AB2037" s="39" t="s">
        <v>7830</v>
      </c>
      <c r="AC2037" s="39" t="s">
        <v>7831</v>
      </c>
      <c r="AD2037" s="39" t="str">
        <f>("0130701")</f>
        <v>0130701</v>
      </c>
      <c r="AE2037" s="39" t="s">
        <v>8818</v>
      </c>
      <c r="AK2037" s="39" t="str">
        <f>("2025/03/21")</f>
        <v>2025/03/21</v>
      </c>
      <c r="AL2037" s="39" t="str">
        <f>("2025/04/01")</f>
        <v>2025/04/01</v>
      </c>
    </row>
    <row r="2038" spans="1:39" x14ac:dyDescent="0.25">
      <c r="A2038" s="39" t="str">
        <f>("1601220126")</f>
        <v>1601220126</v>
      </c>
      <c r="C2038" s="39"/>
      <c r="D2038" s="39" t="s">
        <v>9571</v>
      </c>
      <c r="E2038" s="371" t="str">
        <f t="shared" si="166"/>
        <v>なかたに　あいと</v>
      </c>
      <c r="F2038" s="39" t="s">
        <v>829</v>
      </c>
      <c r="G2038" s="39" t="s">
        <v>7828</v>
      </c>
      <c r="H2038" s="39" t="str">
        <f>("2016/01/22")</f>
        <v>2016/01/22</v>
      </c>
      <c r="I2038" s="39">
        <v>4</v>
      </c>
      <c r="J2038" s="39" t="s">
        <v>1478</v>
      </c>
      <c r="K2038" s="39" t="s">
        <v>2122</v>
      </c>
      <c r="L2038" s="39" t="s">
        <v>7830</v>
      </c>
      <c r="M2038" s="39" t="s">
        <v>7831</v>
      </c>
      <c r="N2038" s="39" t="str">
        <f>("0426631")</f>
        <v>0426631</v>
      </c>
      <c r="P2038" s="39" t="s">
        <v>13495</v>
      </c>
      <c r="Q2038" s="39" t="s">
        <v>8568</v>
      </c>
      <c r="R2038" s="39" t="s">
        <v>8569</v>
      </c>
      <c r="S2038" s="39" t="s">
        <v>8570</v>
      </c>
      <c r="AK2038" s="39" t="str">
        <f>("2025/03/21")</f>
        <v>2025/03/21</v>
      </c>
      <c r="AL2038" s="39" t="str">
        <f>("2025/04/01")</f>
        <v>2025/04/01</v>
      </c>
    </row>
    <row r="2039" spans="1:39" x14ac:dyDescent="0.25">
      <c r="A2039" s="39" t="str">
        <f>("1601220127")</f>
        <v>1601220127</v>
      </c>
      <c r="C2039" s="39"/>
      <c r="D2039" s="39" t="s">
        <v>9572</v>
      </c>
      <c r="E2039" s="371" t="str">
        <f t="shared" si="166"/>
        <v>あべ　あきと</v>
      </c>
      <c r="F2039" s="39" t="s">
        <v>8485</v>
      </c>
      <c r="G2039" s="39" t="s">
        <v>7828</v>
      </c>
      <c r="H2039" s="39" t="str">
        <f>("2016/01/22")</f>
        <v>2016/01/22</v>
      </c>
      <c r="I2039" s="39">
        <v>4</v>
      </c>
      <c r="J2039" s="39" t="s">
        <v>1478</v>
      </c>
      <c r="K2039" s="39" t="s">
        <v>2122</v>
      </c>
      <c r="L2039" s="39" t="s">
        <v>7830</v>
      </c>
      <c r="M2039" s="39" t="s">
        <v>7831</v>
      </c>
      <c r="N2039" s="39" t="str">
        <f>("0130666")</f>
        <v>0130666</v>
      </c>
      <c r="P2039" s="39" t="s">
        <v>13496</v>
      </c>
      <c r="Q2039" s="39" t="s">
        <v>8568</v>
      </c>
      <c r="R2039" s="39" t="s">
        <v>8569</v>
      </c>
      <c r="S2039" s="39" t="s">
        <v>8570</v>
      </c>
      <c r="AK2039" s="39" t="str">
        <f>("2025/03/24")</f>
        <v>2025/03/24</v>
      </c>
      <c r="AL2039" s="39" t="str">
        <f>("2025/04/01")</f>
        <v>2025/04/01</v>
      </c>
    </row>
    <row r="2040" spans="1:39" x14ac:dyDescent="0.25">
      <c r="A2040" s="39" t="str">
        <f>("1601220144")</f>
        <v>1601220144</v>
      </c>
      <c r="C2040" s="39"/>
      <c r="D2040" s="39" t="s">
        <v>9573</v>
      </c>
      <c r="E2040" s="371" t="str">
        <f t="shared" si="166"/>
        <v>あべ　ひびと</v>
      </c>
      <c r="F2040" s="39" t="s">
        <v>2243</v>
      </c>
      <c r="G2040" s="39" t="s">
        <v>7828</v>
      </c>
      <c r="H2040" s="39" t="str">
        <f>("2016/01/22")</f>
        <v>2016/01/22</v>
      </c>
      <c r="I2040" s="39">
        <v>4</v>
      </c>
      <c r="J2040" s="39" t="s">
        <v>1478</v>
      </c>
      <c r="K2040" s="39" t="s">
        <v>2122</v>
      </c>
      <c r="L2040" s="39" t="s">
        <v>7830</v>
      </c>
      <c r="M2040" s="39" t="s">
        <v>7831</v>
      </c>
      <c r="N2040" s="39" t="str">
        <f>("0130565")</f>
        <v>0130565</v>
      </c>
      <c r="P2040" s="39" t="s">
        <v>13497</v>
      </c>
      <c r="Q2040" s="39" t="s">
        <v>8568</v>
      </c>
      <c r="R2040" s="39" t="s">
        <v>8569</v>
      </c>
      <c r="S2040" s="39" t="s">
        <v>8570</v>
      </c>
      <c r="AK2040" s="39" t="str">
        <f>("2025/04/04")</f>
        <v>2025/04/04</v>
      </c>
      <c r="AL2040" s="39" t="str">
        <f>("2025/04/04")</f>
        <v>2025/04/04</v>
      </c>
    </row>
    <row r="2041" spans="1:39" x14ac:dyDescent="0.25">
      <c r="A2041" s="39" t="str">
        <f>("1601230015")</f>
        <v>1601230015</v>
      </c>
      <c r="B2041" s="39" t="s">
        <v>9574</v>
      </c>
      <c r="C2041" s="39"/>
      <c r="D2041" s="39" t="s">
        <v>5713</v>
      </c>
      <c r="E2041" s="371" t="str">
        <f t="shared" si="166"/>
        <v>ひろせ　めい</v>
      </c>
      <c r="F2041" s="39" t="s">
        <v>2139</v>
      </c>
      <c r="G2041" s="39" t="s">
        <v>7828</v>
      </c>
      <c r="H2041" s="39" t="str">
        <f>("2016/01/23")</f>
        <v>2016/01/23</v>
      </c>
      <c r="I2041" s="39">
        <v>4</v>
      </c>
      <c r="J2041" s="39" t="s">
        <v>1480</v>
      </c>
      <c r="K2041" s="39" t="s">
        <v>2122</v>
      </c>
      <c r="L2041" s="39" t="s">
        <v>7830</v>
      </c>
      <c r="M2041" s="39" t="s">
        <v>7831</v>
      </c>
      <c r="N2041" s="39" t="str">
        <f>("0129798")</f>
        <v>0129798</v>
      </c>
      <c r="P2041" s="39" t="s">
        <v>13498</v>
      </c>
      <c r="Q2041" s="39" t="s">
        <v>8568</v>
      </c>
      <c r="R2041" s="39" t="s">
        <v>8569</v>
      </c>
      <c r="S2041" s="39" t="s">
        <v>8570</v>
      </c>
      <c r="AK2041" s="39" t="str">
        <f>("2025/03/27")</f>
        <v>2025/03/27</v>
      </c>
      <c r="AL2041" s="39" t="str">
        <f t="shared" ref="AL2041:AL2052" si="170">("2025/04/01")</f>
        <v>2025/04/01</v>
      </c>
    </row>
    <row r="2042" spans="1:39" x14ac:dyDescent="0.25">
      <c r="A2042" s="39" t="str">
        <f>("1601230046")</f>
        <v>1601230046</v>
      </c>
      <c r="C2042" s="39"/>
      <c r="D2042" s="39" t="s">
        <v>9575</v>
      </c>
      <c r="E2042" s="371" t="str">
        <f t="shared" si="166"/>
        <v>かさむら　ともき</v>
      </c>
      <c r="F2042" s="39" t="s">
        <v>2024</v>
      </c>
      <c r="G2042" s="39" t="s">
        <v>7828</v>
      </c>
      <c r="H2042" s="39" t="str">
        <f>("2016/01/23")</f>
        <v>2016/01/23</v>
      </c>
      <c r="I2042" s="39">
        <v>4</v>
      </c>
      <c r="J2042" s="39" t="s">
        <v>1478</v>
      </c>
      <c r="K2042" s="39" t="s">
        <v>2122</v>
      </c>
      <c r="L2042" s="39" t="s">
        <v>7830</v>
      </c>
      <c r="M2042" s="39" t="s">
        <v>7831</v>
      </c>
      <c r="N2042" s="39" t="str">
        <f>("0130475")</f>
        <v>0130475</v>
      </c>
      <c r="P2042" s="39" t="s">
        <v>13499</v>
      </c>
      <c r="Q2042" s="39" t="s">
        <v>8568</v>
      </c>
      <c r="R2042" s="39" t="s">
        <v>8569</v>
      </c>
      <c r="S2042" s="39" t="s">
        <v>8570</v>
      </c>
      <c r="AK2042" s="39" t="str">
        <f>("2025/04/04")</f>
        <v>2025/04/04</v>
      </c>
      <c r="AL2042" s="39" t="str">
        <f t="shared" si="170"/>
        <v>2025/04/01</v>
      </c>
    </row>
    <row r="2043" spans="1:39" x14ac:dyDescent="0.25">
      <c r="A2043" s="39" t="str">
        <f>("1601240051")</f>
        <v>1601240051</v>
      </c>
      <c r="C2043" s="39"/>
      <c r="D2043" s="39" t="s">
        <v>9576</v>
      </c>
      <c r="E2043" s="371" t="str">
        <f t="shared" si="166"/>
        <v>さかもと　しょうま</v>
      </c>
      <c r="F2043" s="39" t="s">
        <v>1481</v>
      </c>
      <c r="G2043" s="39" t="s">
        <v>7828</v>
      </c>
      <c r="H2043" s="39" t="str">
        <f>("2016/01/24")</f>
        <v>2016/01/24</v>
      </c>
      <c r="I2043" s="39">
        <v>4</v>
      </c>
      <c r="J2043" s="39" t="s">
        <v>1478</v>
      </c>
      <c r="K2043" s="39" t="s">
        <v>2122</v>
      </c>
      <c r="L2043" s="39" t="s">
        <v>7830</v>
      </c>
      <c r="M2043" s="39" t="s">
        <v>7831</v>
      </c>
      <c r="N2043" s="39" t="str">
        <f>("0129866")</f>
        <v>0129866</v>
      </c>
      <c r="P2043" s="39" t="s">
        <v>13500</v>
      </c>
      <c r="Q2043" s="39" t="s">
        <v>8568</v>
      </c>
      <c r="R2043" s="39" t="s">
        <v>8569</v>
      </c>
      <c r="S2043" s="39" t="s">
        <v>8570</v>
      </c>
      <c r="AK2043" s="39" t="str">
        <f>("2025/03/19")</f>
        <v>2025/03/19</v>
      </c>
      <c r="AL2043" s="39" t="str">
        <f t="shared" si="170"/>
        <v>2025/04/01</v>
      </c>
    </row>
    <row r="2044" spans="1:39" x14ac:dyDescent="0.25">
      <c r="A2044" s="39" t="str">
        <f>("1601250005")</f>
        <v>1601250005</v>
      </c>
      <c r="C2044" s="39"/>
      <c r="D2044" s="39" t="s">
        <v>9577</v>
      </c>
      <c r="E2044" s="371" t="str">
        <f t="shared" si="166"/>
        <v>ほり　けいせい</v>
      </c>
      <c r="F2044" s="39" t="s">
        <v>1014</v>
      </c>
      <c r="G2044" s="39" t="s">
        <v>7828</v>
      </c>
      <c r="H2044" s="39" t="str">
        <f>("2016/01/25")</f>
        <v>2016/01/25</v>
      </c>
      <c r="I2044" s="39">
        <v>4</v>
      </c>
      <c r="J2044" s="39" t="s">
        <v>1478</v>
      </c>
      <c r="K2044" s="39" t="s">
        <v>2122</v>
      </c>
      <c r="L2044" s="39" t="s">
        <v>7830</v>
      </c>
      <c r="M2044" s="39" t="s">
        <v>7831</v>
      </c>
      <c r="N2044" s="39" t="str">
        <f>("0513313")</f>
        <v>0513313</v>
      </c>
      <c r="P2044" s="39" t="s">
        <v>13501</v>
      </c>
      <c r="Q2044" s="39" t="s">
        <v>8568</v>
      </c>
      <c r="R2044" s="39" t="s">
        <v>8569</v>
      </c>
      <c r="S2044" s="39" t="s">
        <v>8570</v>
      </c>
      <c r="AA2044" s="39" t="s">
        <v>2122</v>
      </c>
      <c r="AB2044" s="39" t="s">
        <v>7830</v>
      </c>
      <c r="AC2044" s="39" t="s">
        <v>7831</v>
      </c>
      <c r="AD2044" s="39" t="str">
        <f>("0130644")</f>
        <v>0130644</v>
      </c>
      <c r="AE2044" s="39" t="s">
        <v>2544</v>
      </c>
      <c r="AK2044" s="39" t="str">
        <f>("2025/03/17")</f>
        <v>2025/03/17</v>
      </c>
      <c r="AL2044" s="39" t="str">
        <f t="shared" si="170"/>
        <v>2025/04/01</v>
      </c>
    </row>
    <row r="2045" spans="1:39" x14ac:dyDescent="0.25">
      <c r="A2045" s="39" t="str">
        <f>("1601250021")</f>
        <v>1601250021</v>
      </c>
      <c r="C2045" s="39"/>
      <c r="D2045" s="39" t="s">
        <v>9578</v>
      </c>
      <c r="E2045" s="371" t="str">
        <f t="shared" si="166"/>
        <v>そのだ　ひろと</v>
      </c>
      <c r="F2045" s="39" t="s">
        <v>1917</v>
      </c>
      <c r="G2045" s="39" t="s">
        <v>7828</v>
      </c>
      <c r="H2045" s="39" t="str">
        <f>("2016/01/25")</f>
        <v>2016/01/25</v>
      </c>
      <c r="I2045" s="39">
        <v>4</v>
      </c>
      <c r="J2045" s="39" t="s">
        <v>1478</v>
      </c>
      <c r="K2045" s="39" t="s">
        <v>2122</v>
      </c>
      <c r="L2045" s="39" t="s">
        <v>7830</v>
      </c>
      <c r="M2045" s="39" t="s">
        <v>7831</v>
      </c>
      <c r="N2045" s="39" t="str">
        <f>("1032161")</f>
        <v>1032161</v>
      </c>
      <c r="P2045" s="39" t="s">
        <v>13502</v>
      </c>
      <c r="Q2045" s="39" t="s">
        <v>8568</v>
      </c>
      <c r="R2045" s="39" t="s">
        <v>8569</v>
      </c>
      <c r="S2045" s="39" t="s">
        <v>8570</v>
      </c>
      <c r="AA2045" s="39" t="s">
        <v>2122</v>
      </c>
      <c r="AB2045" s="39" t="s">
        <v>7830</v>
      </c>
      <c r="AC2045" s="39" t="s">
        <v>7831</v>
      </c>
      <c r="AD2045" s="39" t="str">
        <f>("0130701")</f>
        <v>0130701</v>
      </c>
      <c r="AE2045" s="39" t="s">
        <v>8818</v>
      </c>
      <c r="AK2045" s="39" t="str">
        <f>("2025/03/21")</f>
        <v>2025/03/21</v>
      </c>
      <c r="AL2045" s="39" t="str">
        <f t="shared" si="170"/>
        <v>2025/04/01</v>
      </c>
    </row>
    <row r="2046" spans="1:39" x14ac:dyDescent="0.25">
      <c r="A2046" s="39" t="str">
        <f>("1601250022")</f>
        <v>1601250022</v>
      </c>
      <c r="C2046" s="39"/>
      <c r="D2046" s="39" t="s">
        <v>5824</v>
      </c>
      <c r="E2046" s="371" t="str">
        <f t="shared" si="166"/>
        <v>そのだ　みこと</v>
      </c>
      <c r="F2046" s="39" t="s">
        <v>5616</v>
      </c>
      <c r="G2046" s="39" t="s">
        <v>7828</v>
      </c>
      <c r="H2046" s="39" t="str">
        <f>("2016/01/25")</f>
        <v>2016/01/25</v>
      </c>
      <c r="I2046" s="39">
        <v>4</v>
      </c>
      <c r="J2046" s="39" t="s">
        <v>1478</v>
      </c>
      <c r="K2046" s="39" t="s">
        <v>2122</v>
      </c>
      <c r="L2046" s="39" t="s">
        <v>7830</v>
      </c>
      <c r="M2046" s="39" t="s">
        <v>7831</v>
      </c>
      <c r="N2046" s="39" t="str">
        <f>("0130385")</f>
        <v>0130385</v>
      </c>
      <c r="P2046" s="39" t="s">
        <v>13503</v>
      </c>
      <c r="Q2046" s="39" t="s">
        <v>8568</v>
      </c>
      <c r="R2046" s="39" t="s">
        <v>8569</v>
      </c>
      <c r="S2046" s="39" t="s">
        <v>8570</v>
      </c>
      <c r="AK2046" s="39" t="str">
        <f>("2025/03/17")</f>
        <v>2025/03/17</v>
      </c>
      <c r="AL2046" s="39" t="str">
        <f t="shared" si="170"/>
        <v>2025/04/01</v>
      </c>
    </row>
    <row r="2047" spans="1:39" x14ac:dyDescent="0.25">
      <c r="A2047" s="39" t="str">
        <f>("1601260063")</f>
        <v>1601260063</v>
      </c>
      <c r="B2047" s="39" t="s">
        <v>9579</v>
      </c>
      <c r="C2047" s="39"/>
      <c r="D2047" s="39" t="s">
        <v>9580</v>
      </c>
      <c r="E2047" s="371" t="str">
        <f t="shared" si="166"/>
        <v>あべ　かずよし</v>
      </c>
      <c r="F2047" s="39" t="s">
        <v>686</v>
      </c>
      <c r="G2047" s="39" t="s">
        <v>7828</v>
      </c>
      <c r="H2047" s="39" t="str">
        <f>("2016/01/26")</f>
        <v>2016/01/26</v>
      </c>
      <c r="I2047" s="39">
        <v>4</v>
      </c>
      <c r="J2047" s="39" t="s">
        <v>1478</v>
      </c>
      <c r="K2047" s="39" t="s">
        <v>2122</v>
      </c>
      <c r="L2047" s="39" t="s">
        <v>7830</v>
      </c>
      <c r="M2047" s="39" t="s">
        <v>7831</v>
      </c>
      <c r="N2047" s="39" t="str">
        <f>("0130745")</f>
        <v>0130745</v>
      </c>
      <c r="P2047" s="39" t="s">
        <v>13504</v>
      </c>
      <c r="Q2047" s="39" t="s">
        <v>8568</v>
      </c>
      <c r="R2047" s="39" t="s">
        <v>8569</v>
      </c>
      <c r="S2047" s="39" t="s">
        <v>8570</v>
      </c>
      <c r="AK2047" s="39" t="str">
        <f>("2025/03/17")</f>
        <v>2025/03/17</v>
      </c>
      <c r="AL2047" s="39" t="str">
        <f t="shared" si="170"/>
        <v>2025/04/01</v>
      </c>
    </row>
    <row r="2048" spans="1:39" x14ac:dyDescent="0.25">
      <c r="A2048" s="39" t="str">
        <f>("1601260095")</f>
        <v>1601260095</v>
      </c>
      <c r="C2048" s="39"/>
      <c r="D2048" s="39" t="s">
        <v>9581</v>
      </c>
      <c r="E2048" s="371" t="str">
        <f t="shared" si="166"/>
        <v>とべ　あおい</v>
      </c>
      <c r="F2048" s="39" t="s">
        <v>2619</v>
      </c>
      <c r="G2048" s="39" t="s">
        <v>7828</v>
      </c>
      <c r="H2048" s="39" t="str">
        <f>("2016/01/26")</f>
        <v>2016/01/26</v>
      </c>
      <c r="I2048" s="39">
        <v>4</v>
      </c>
      <c r="J2048" s="39" t="s">
        <v>1480</v>
      </c>
      <c r="K2048" s="39" t="s">
        <v>2122</v>
      </c>
      <c r="L2048" s="39" t="s">
        <v>7830</v>
      </c>
      <c r="M2048" s="39" t="s">
        <v>7831</v>
      </c>
      <c r="N2048" s="39" t="str">
        <f>("0472823")</f>
        <v>0472823</v>
      </c>
      <c r="P2048" s="39" t="s">
        <v>13505</v>
      </c>
      <c r="Q2048" s="39" t="s">
        <v>8568</v>
      </c>
      <c r="R2048" s="39" t="s">
        <v>8569</v>
      </c>
      <c r="S2048" s="39" t="s">
        <v>8570</v>
      </c>
      <c r="AK2048" s="39" t="str">
        <f>("2025/03/17")</f>
        <v>2025/03/17</v>
      </c>
      <c r="AL2048" s="39" t="str">
        <f t="shared" si="170"/>
        <v>2025/04/01</v>
      </c>
      <c r="AM2048" s="39" t="str">
        <f>("2026/01/09")</f>
        <v>2026/01/09</v>
      </c>
    </row>
    <row r="2049" spans="1:39" x14ac:dyDescent="0.25">
      <c r="A2049" s="39" t="str">
        <f>("1601260104")</f>
        <v>1601260104</v>
      </c>
      <c r="C2049" s="39"/>
      <c r="D2049" s="39" t="s">
        <v>5927</v>
      </c>
      <c r="E2049" s="371" t="str">
        <f t="shared" si="166"/>
        <v>くわはら　いっき</v>
      </c>
      <c r="F2049" s="39" t="s">
        <v>2422</v>
      </c>
      <c r="G2049" s="39" t="s">
        <v>7828</v>
      </c>
      <c r="H2049" s="39" t="str">
        <f>("2016/01/26")</f>
        <v>2016/01/26</v>
      </c>
      <c r="I2049" s="39">
        <v>4</v>
      </c>
      <c r="J2049" s="39" t="s">
        <v>1478</v>
      </c>
      <c r="K2049" s="39" t="s">
        <v>2122</v>
      </c>
      <c r="L2049" s="39" t="s">
        <v>7830</v>
      </c>
      <c r="M2049" s="39" t="s">
        <v>7831</v>
      </c>
      <c r="N2049" s="39" t="str">
        <f>("0130699")</f>
        <v>0130699</v>
      </c>
      <c r="P2049" s="39" t="s">
        <v>13506</v>
      </c>
      <c r="Q2049" s="39" t="s">
        <v>8568</v>
      </c>
      <c r="R2049" s="39" t="s">
        <v>8569</v>
      </c>
      <c r="S2049" s="39" t="s">
        <v>8570</v>
      </c>
      <c r="AK2049" s="39" t="str">
        <f>("2025/03/17")</f>
        <v>2025/03/17</v>
      </c>
      <c r="AL2049" s="39" t="str">
        <f t="shared" si="170"/>
        <v>2025/04/01</v>
      </c>
    </row>
    <row r="2050" spans="1:39" x14ac:dyDescent="0.25">
      <c r="A2050" s="39" t="str">
        <f>("1601270011")</f>
        <v>1601270011</v>
      </c>
      <c r="C2050" s="39"/>
      <c r="D2050" s="39" t="s">
        <v>9582</v>
      </c>
      <c r="E2050" s="371" t="str">
        <f t="shared" si="166"/>
        <v>たかくら　おうのすけ</v>
      </c>
      <c r="F2050" s="39" t="s">
        <v>3104</v>
      </c>
      <c r="G2050" s="39" t="s">
        <v>7828</v>
      </c>
      <c r="H2050" s="39" t="str">
        <f>("2016/01/27")</f>
        <v>2016/01/27</v>
      </c>
      <c r="I2050" s="39">
        <v>4</v>
      </c>
      <c r="J2050" s="39" t="s">
        <v>1478</v>
      </c>
      <c r="K2050" s="39" t="s">
        <v>2122</v>
      </c>
      <c r="L2050" s="39" t="s">
        <v>7830</v>
      </c>
      <c r="M2050" s="39" t="s">
        <v>7831</v>
      </c>
      <c r="N2050" s="39" t="str">
        <f>("1076189")</f>
        <v>1076189</v>
      </c>
      <c r="P2050" s="39" t="s">
        <v>13507</v>
      </c>
      <c r="Q2050" s="39" t="s">
        <v>8568</v>
      </c>
      <c r="R2050" s="39" t="s">
        <v>8569</v>
      </c>
      <c r="S2050" s="39" t="s">
        <v>8570</v>
      </c>
      <c r="AK2050" s="39" t="str">
        <f>("2025/03/24")</f>
        <v>2025/03/24</v>
      </c>
      <c r="AL2050" s="39" t="str">
        <f t="shared" si="170"/>
        <v>2025/04/01</v>
      </c>
    </row>
    <row r="2051" spans="1:39" x14ac:dyDescent="0.25">
      <c r="A2051" s="39" t="str">
        <f>("1601270034")</f>
        <v>1601270034</v>
      </c>
      <c r="C2051" s="39"/>
      <c r="D2051" s="39" t="s">
        <v>9583</v>
      </c>
      <c r="E2051" s="371" t="str">
        <f t="shared" ref="E2051:E2114" si="171">PHONETIC(P2051)</f>
        <v>おおえ　ななみ</v>
      </c>
      <c r="F2051" s="39" t="s">
        <v>2299</v>
      </c>
      <c r="G2051" s="39" t="s">
        <v>7828</v>
      </c>
      <c r="H2051" s="39" t="str">
        <f>("2016/01/27")</f>
        <v>2016/01/27</v>
      </c>
      <c r="I2051" s="39">
        <v>4</v>
      </c>
      <c r="J2051" s="39" t="s">
        <v>1480</v>
      </c>
      <c r="K2051" s="39" t="s">
        <v>2122</v>
      </c>
      <c r="L2051" s="39" t="s">
        <v>7830</v>
      </c>
      <c r="M2051" s="39" t="s">
        <v>7831</v>
      </c>
      <c r="N2051" s="39" t="str">
        <f>("1066647")</f>
        <v>1066647</v>
      </c>
      <c r="P2051" s="39" t="s">
        <v>13508</v>
      </c>
      <c r="Q2051" s="39" t="s">
        <v>8568</v>
      </c>
      <c r="R2051" s="39" t="s">
        <v>8569</v>
      </c>
      <c r="S2051" s="39" t="s">
        <v>8570</v>
      </c>
      <c r="AK2051" s="39" t="str">
        <f>("2025/03/21")</f>
        <v>2025/03/21</v>
      </c>
      <c r="AL2051" s="39" t="str">
        <f t="shared" si="170"/>
        <v>2025/04/01</v>
      </c>
    </row>
    <row r="2052" spans="1:39" x14ac:dyDescent="0.25">
      <c r="A2052" s="39" t="str">
        <f>("1601270092")</f>
        <v>1601270092</v>
      </c>
      <c r="C2052" s="39"/>
      <c r="D2052" s="39" t="s">
        <v>9584</v>
      </c>
      <c r="E2052" s="371" t="str">
        <f t="shared" si="171"/>
        <v>さかい　しゅうえい</v>
      </c>
      <c r="F2052" s="39" t="s">
        <v>827</v>
      </c>
      <c r="G2052" s="39" t="s">
        <v>7828</v>
      </c>
      <c r="H2052" s="39" t="str">
        <f>("2016/01/27")</f>
        <v>2016/01/27</v>
      </c>
      <c r="I2052" s="39">
        <v>4</v>
      </c>
      <c r="J2052" s="39" t="s">
        <v>1478</v>
      </c>
      <c r="K2052" s="39" t="s">
        <v>2122</v>
      </c>
      <c r="L2052" s="39" t="s">
        <v>7830</v>
      </c>
      <c r="M2052" s="39" t="s">
        <v>7831</v>
      </c>
      <c r="N2052" s="39" t="str">
        <f>("0504908")</f>
        <v>0504908</v>
      </c>
      <c r="P2052" s="39" t="s">
        <v>13509</v>
      </c>
      <c r="Q2052" s="39" t="s">
        <v>8568</v>
      </c>
      <c r="R2052" s="39" t="s">
        <v>8569</v>
      </c>
      <c r="S2052" s="39" t="s">
        <v>8570</v>
      </c>
      <c r="AK2052" s="39" t="str">
        <f>("2025/03/21")</f>
        <v>2025/03/21</v>
      </c>
      <c r="AL2052" s="39" t="str">
        <f t="shared" si="170"/>
        <v>2025/04/01</v>
      </c>
    </row>
    <row r="2053" spans="1:39" x14ac:dyDescent="0.25">
      <c r="A2053" s="39" t="str">
        <f>("1601270160")</f>
        <v>1601270160</v>
      </c>
      <c r="C2053" s="39"/>
      <c r="D2053" s="39" t="s">
        <v>9585</v>
      </c>
      <c r="E2053" s="371" t="str">
        <f t="shared" si="171"/>
        <v>うるま　とあ</v>
      </c>
      <c r="F2053" s="39" t="s">
        <v>1014</v>
      </c>
      <c r="G2053" s="39" t="s">
        <v>7828</v>
      </c>
      <c r="H2053" s="39" t="str">
        <f>("2016/01/27")</f>
        <v>2016/01/27</v>
      </c>
      <c r="I2053" s="39">
        <v>4</v>
      </c>
      <c r="J2053" s="39" t="s">
        <v>1480</v>
      </c>
      <c r="K2053" s="39" t="s">
        <v>2122</v>
      </c>
      <c r="L2053" s="39" t="s">
        <v>7830</v>
      </c>
      <c r="M2053" s="39" t="s">
        <v>7831</v>
      </c>
      <c r="N2053" s="39" t="str">
        <f>("0513313")</f>
        <v>0513313</v>
      </c>
      <c r="P2053" s="39" t="s">
        <v>13510</v>
      </c>
      <c r="Q2053" s="39" t="s">
        <v>8568</v>
      </c>
      <c r="R2053" s="39" t="s">
        <v>8569</v>
      </c>
      <c r="S2053" s="39" t="s">
        <v>8570</v>
      </c>
      <c r="AK2053" s="39" t="str">
        <f>("2025/05/12")</f>
        <v>2025/05/12</v>
      </c>
      <c r="AL2053" s="39" t="str">
        <f>("2025/05/12")</f>
        <v>2025/05/12</v>
      </c>
    </row>
    <row r="2054" spans="1:39" x14ac:dyDescent="0.25">
      <c r="A2054" s="39" t="str">
        <f>("1601270161")</f>
        <v>1601270161</v>
      </c>
      <c r="C2054" s="39"/>
      <c r="D2054" s="39" t="s">
        <v>9586</v>
      </c>
      <c r="E2054" s="371" t="str">
        <f t="shared" si="171"/>
        <v>やまもと　かなで</v>
      </c>
      <c r="F2054" s="39" t="s">
        <v>2485</v>
      </c>
      <c r="G2054" s="39" t="s">
        <v>7828</v>
      </c>
      <c r="H2054" s="39" t="str">
        <f>("2016/01/27")</f>
        <v>2016/01/27</v>
      </c>
      <c r="I2054" s="39">
        <v>4</v>
      </c>
      <c r="J2054" s="39" t="s">
        <v>1478</v>
      </c>
      <c r="K2054" s="39" t="s">
        <v>2122</v>
      </c>
      <c r="L2054" s="39" t="s">
        <v>7830</v>
      </c>
      <c r="M2054" s="39" t="s">
        <v>7831</v>
      </c>
      <c r="N2054" s="39" t="str">
        <f>("0129754")</f>
        <v>0129754</v>
      </c>
      <c r="P2054" s="39" t="s">
        <v>13511</v>
      </c>
      <c r="Q2054" s="39" t="s">
        <v>8568</v>
      </c>
      <c r="R2054" s="39" t="s">
        <v>8569</v>
      </c>
      <c r="S2054" s="39" t="s">
        <v>8570</v>
      </c>
      <c r="AK2054" s="39" t="str">
        <f>("2025/05/09")</f>
        <v>2025/05/09</v>
      </c>
      <c r="AL2054" s="39" t="str">
        <f>("2025/05/09")</f>
        <v>2025/05/09</v>
      </c>
    </row>
    <row r="2055" spans="1:39" x14ac:dyDescent="0.25">
      <c r="A2055" s="39" t="str">
        <f>("1601290133")</f>
        <v>1601290133</v>
      </c>
      <c r="C2055" s="39"/>
      <c r="D2055" s="39" t="s">
        <v>9587</v>
      </c>
      <c r="E2055" s="371" t="str">
        <f t="shared" si="171"/>
        <v>おおくぼ　ゆらと</v>
      </c>
      <c r="F2055" s="39" t="s">
        <v>2491</v>
      </c>
      <c r="G2055" s="39" t="s">
        <v>7876</v>
      </c>
      <c r="H2055" s="39" t="str">
        <f>("2016/01/29")</f>
        <v>2016/01/29</v>
      </c>
      <c r="I2055" s="39">
        <v>4</v>
      </c>
      <c r="J2055" s="39" t="s">
        <v>1478</v>
      </c>
      <c r="K2055" s="39" t="s">
        <v>2122</v>
      </c>
      <c r="L2055" s="39" t="s">
        <v>7830</v>
      </c>
      <c r="M2055" s="39" t="s">
        <v>7831</v>
      </c>
      <c r="N2055" s="39" t="str">
        <f>("0129822")</f>
        <v>0129822</v>
      </c>
      <c r="P2055" s="39" t="s">
        <v>13420</v>
      </c>
      <c r="Q2055" s="39" t="s">
        <v>8568</v>
      </c>
      <c r="R2055" s="39" t="s">
        <v>8569</v>
      </c>
      <c r="S2055" s="39" t="s">
        <v>8570</v>
      </c>
      <c r="AK2055" s="39" t="str">
        <f>("2025/03/17")</f>
        <v>2025/03/17</v>
      </c>
      <c r="AL2055" s="39" t="str">
        <f>("2025/04/01")</f>
        <v>2025/04/01</v>
      </c>
      <c r="AM2055" s="39" t="str">
        <f>("2025/06/11")</f>
        <v>2025/06/11</v>
      </c>
    </row>
    <row r="2056" spans="1:39" x14ac:dyDescent="0.25">
      <c r="A2056" s="39" t="str">
        <f>("1601310114")</f>
        <v>1601310114</v>
      </c>
      <c r="C2056" s="39"/>
      <c r="D2056" s="39" t="s">
        <v>9588</v>
      </c>
      <c r="E2056" s="371" t="str">
        <f t="shared" si="171"/>
        <v>きくち　しんご</v>
      </c>
      <c r="F2056" s="39" t="s">
        <v>5619</v>
      </c>
      <c r="G2056" s="39" t="s">
        <v>7828</v>
      </c>
      <c r="H2056" s="39" t="str">
        <f>("2016/01/31")</f>
        <v>2016/01/31</v>
      </c>
      <c r="I2056" s="39">
        <v>4</v>
      </c>
      <c r="J2056" s="39" t="s">
        <v>1478</v>
      </c>
      <c r="K2056" s="39" t="s">
        <v>2122</v>
      </c>
      <c r="L2056" s="39" t="s">
        <v>7830</v>
      </c>
      <c r="M2056" s="39" t="s">
        <v>7831</v>
      </c>
      <c r="N2056" s="39" t="str">
        <f>("1089004")</f>
        <v>1089004</v>
      </c>
      <c r="P2056" s="39" t="s">
        <v>13512</v>
      </c>
      <c r="Q2056" s="39" t="s">
        <v>8568</v>
      </c>
      <c r="R2056" s="39" t="s">
        <v>8569</v>
      </c>
      <c r="S2056" s="39" t="s">
        <v>8570</v>
      </c>
      <c r="AK2056" s="39" t="str">
        <f>("2025/05/27")</f>
        <v>2025/05/27</v>
      </c>
      <c r="AL2056" s="39" t="str">
        <f>("2025/05/27")</f>
        <v>2025/05/27</v>
      </c>
    </row>
    <row r="2057" spans="1:39" x14ac:dyDescent="0.25">
      <c r="A2057" s="39" t="str">
        <f>("1602010031")</f>
        <v>1602010031</v>
      </c>
      <c r="C2057" s="39"/>
      <c r="D2057" s="39" t="s">
        <v>9589</v>
      </c>
      <c r="E2057" s="371" t="str">
        <f t="shared" si="171"/>
        <v>やまむら　あきと</v>
      </c>
      <c r="F2057" s="39" t="s">
        <v>2821</v>
      </c>
      <c r="G2057" s="39" t="s">
        <v>7828</v>
      </c>
      <c r="H2057" s="39" t="str">
        <f>("2016/02/01")</f>
        <v>2016/02/01</v>
      </c>
      <c r="I2057" s="39">
        <v>4</v>
      </c>
      <c r="J2057" s="39" t="s">
        <v>1478</v>
      </c>
      <c r="K2057" s="39" t="s">
        <v>2122</v>
      </c>
      <c r="L2057" s="39" t="s">
        <v>7830</v>
      </c>
      <c r="M2057" s="39" t="s">
        <v>7831</v>
      </c>
      <c r="N2057" s="39" t="str">
        <f>("0237631")</f>
        <v>0237631</v>
      </c>
      <c r="P2057" s="39" t="s">
        <v>13513</v>
      </c>
      <c r="Q2057" s="39" t="s">
        <v>8568</v>
      </c>
      <c r="R2057" s="39" t="s">
        <v>8569</v>
      </c>
      <c r="S2057" s="39" t="s">
        <v>8570</v>
      </c>
      <c r="AK2057" s="39" t="str">
        <f>("2025/03/17")</f>
        <v>2025/03/17</v>
      </c>
      <c r="AL2057" s="39" t="str">
        <f t="shared" ref="AL2057:AL2065" si="172">("2025/04/01")</f>
        <v>2025/04/01</v>
      </c>
    </row>
    <row r="2058" spans="1:39" x14ac:dyDescent="0.25">
      <c r="A2058" s="39" t="str">
        <f>("1602010087")</f>
        <v>1602010087</v>
      </c>
      <c r="C2058" s="39"/>
      <c r="D2058" s="39" t="s">
        <v>9590</v>
      </c>
      <c r="E2058" s="371" t="str">
        <f t="shared" si="171"/>
        <v>なかしま　たお</v>
      </c>
      <c r="F2058" s="39" t="s">
        <v>2243</v>
      </c>
      <c r="G2058" s="39" t="s">
        <v>7828</v>
      </c>
      <c r="H2058" s="39" t="str">
        <f>("2016/02/01")</f>
        <v>2016/02/01</v>
      </c>
      <c r="I2058" s="39">
        <v>4</v>
      </c>
      <c r="J2058" s="39" t="s">
        <v>1478</v>
      </c>
      <c r="K2058" s="39" t="s">
        <v>2122</v>
      </c>
      <c r="L2058" s="39" t="s">
        <v>7830</v>
      </c>
      <c r="M2058" s="39" t="s">
        <v>7831</v>
      </c>
      <c r="N2058" s="39" t="str">
        <f>("0130565")</f>
        <v>0130565</v>
      </c>
      <c r="P2058" s="39" t="s">
        <v>13514</v>
      </c>
      <c r="Q2058" s="39" t="s">
        <v>8568</v>
      </c>
      <c r="R2058" s="39" t="s">
        <v>8569</v>
      </c>
      <c r="S2058" s="39" t="s">
        <v>8570</v>
      </c>
      <c r="AK2058" s="39" t="str">
        <f>("2025/03/17")</f>
        <v>2025/03/17</v>
      </c>
      <c r="AL2058" s="39" t="str">
        <f t="shared" si="172"/>
        <v>2025/04/01</v>
      </c>
    </row>
    <row r="2059" spans="1:39" x14ac:dyDescent="0.25">
      <c r="A2059" s="39" t="str">
        <f>("1602020008")</f>
        <v>1602020008</v>
      </c>
      <c r="C2059" s="39"/>
      <c r="D2059" s="39" t="s">
        <v>9591</v>
      </c>
      <c r="E2059" s="371" t="str">
        <f t="shared" si="171"/>
        <v>すぎやま　るい</v>
      </c>
      <c r="F2059" s="39" t="s">
        <v>2878</v>
      </c>
      <c r="G2059" s="39" t="s">
        <v>7828</v>
      </c>
      <c r="H2059" s="39" t="str">
        <f>("2016/02/02")</f>
        <v>2016/02/02</v>
      </c>
      <c r="I2059" s="39">
        <v>4</v>
      </c>
      <c r="J2059" s="39" t="s">
        <v>1478</v>
      </c>
      <c r="K2059" s="39" t="s">
        <v>2122</v>
      </c>
      <c r="L2059" s="39" t="s">
        <v>7830</v>
      </c>
      <c r="M2059" s="39" t="s">
        <v>7831</v>
      </c>
      <c r="N2059" s="39" t="str">
        <f>("0129484")</f>
        <v>0129484</v>
      </c>
      <c r="P2059" s="39" t="s">
        <v>13515</v>
      </c>
      <c r="Q2059" s="39" t="s">
        <v>8568</v>
      </c>
      <c r="R2059" s="39" t="s">
        <v>8569</v>
      </c>
      <c r="S2059" s="39" t="s">
        <v>8570</v>
      </c>
      <c r="AK2059" s="39" t="str">
        <f>("2025/03/17")</f>
        <v>2025/03/17</v>
      </c>
      <c r="AL2059" s="39" t="str">
        <f t="shared" si="172"/>
        <v>2025/04/01</v>
      </c>
    </row>
    <row r="2060" spans="1:39" x14ac:dyDescent="0.25">
      <c r="A2060" s="39" t="str">
        <f>("1602020017")</f>
        <v>1602020017</v>
      </c>
      <c r="C2060" s="39"/>
      <c r="D2060" s="39" t="s">
        <v>9592</v>
      </c>
      <c r="E2060" s="371" t="str">
        <f t="shared" si="171"/>
        <v>のだ　やすじろう</v>
      </c>
      <c r="F2060" s="39" t="s">
        <v>2544</v>
      </c>
      <c r="G2060" s="39" t="s">
        <v>7828</v>
      </c>
      <c r="H2060" s="39" t="str">
        <f>("2016/02/02")</f>
        <v>2016/02/02</v>
      </c>
      <c r="I2060" s="39">
        <v>4</v>
      </c>
      <c r="J2060" s="39" t="s">
        <v>1478</v>
      </c>
      <c r="K2060" s="39" t="s">
        <v>2122</v>
      </c>
      <c r="L2060" s="39" t="s">
        <v>7830</v>
      </c>
      <c r="M2060" s="39" t="s">
        <v>7831</v>
      </c>
      <c r="N2060" s="39" t="str">
        <f>("0130644")</f>
        <v>0130644</v>
      </c>
      <c r="P2060" s="39" t="s">
        <v>13516</v>
      </c>
      <c r="Q2060" s="39" t="s">
        <v>8568</v>
      </c>
      <c r="R2060" s="39" t="s">
        <v>8569</v>
      </c>
      <c r="S2060" s="39" t="s">
        <v>8570</v>
      </c>
      <c r="AK2060" s="39" t="str">
        <f>("2025/03/17")</f>
        <v>2025/03/17</v>
      </c>
      <c r="AL2060" s="39" t="str">
        <f t="shared" si="172"/>
        <v>2025/04/01</v>
      </c>
    </row>
    <row r="2061" spans="1:39" x14ac:dyDescent="0.25">
      <c r="A2061" s="39" t="str">
        <f>("1602020088")</f>
        <v>1602020088</v>
      </c>
      <c r="B2061" s="39" t="s">
        <v>9593</v>
      </c>
      <c r="C2061" s="39"/>
      <c r="D2061" s="39" t="s">
        <v>9594</v>
      </c>
      <c r="E2061" s="371" t="str">
        <f t="shared" si="171"/>
        <v>にしの　たいすけ</v>
      </c>
      <c r="F2061" s="39" t="s">
        <v>1190</v>
      </c>
      <c r="G2061" s="39" t="s">
        <v>7828</v>
      </c>
      <c r="H2061" s="39" t="str">
        <f>("2016/02/02")</f>
        <v>2016/02/02</v>
      </c>
      <c r="I2061" s="39">
        <v>4</v>
      </c>
      <c r="J2061" s="39" t="s">
        <v>1478</v>
      </c>
      <c r="K2061" s="39" t="s">
        <v>2122</v>
      </c>
      <c r="L2061" s="39" t="s">
        <v>7830</v>
      </c>
      <c r="M2061" s="39" t="s">
        <v>7831</v>
      </c>
      <c r="N2061" s="39" t="str">
        <f>("0130554")</f>
        <v>0130554</v>
      </c>
      <c r="P2061" s="39" t="s">
        <v>13517</v>
      </c>
      <c r="Q2061" s="39" t="s">
        <v>8568</v>
      </c>
      <c r="R2061" s="39" t="s">
        <v>8569</v>
      </c>
      <c r="S2061" s="39" t="s">
        <v>8570</v>
      </c>
      <c r="AK2061" s="39" t="str">
        <f>("2025/03/17")</f>
        <v>2025/03/17</v>
      </c>
      <c r="AL2061" s="39" t="str">
        <f t="shared" si="172"/>
        <v>2025/04/01</v>
      </c>
    </row>
    <row r="2062" spans="1:39" x14ac:dyDescent="0.25">
      <c r="A2062" s="39" t="str">
        <f>("1602030001")</f>
        <v>1602030001</v>
      </c>
      <c r="C2062" s="39"/>
      <c r="D2062" s="39" t="s">
        <v>9595</v>
      </c>
      <c r="E2062" s="371" t="str">
        <f t="shared" si="171"/>
        <v>いはら　あれん</v>
      </c>
      <c r="F2062" s="39" t="s">
        <v>3104</v>
      </c>
      <c r="G2062" s="39" t="s">
        <v>7828</v>
      </c>
      <c r="H2062" s="39" t="str">
        <f>("2016/02/03")</f>
        <v>2016/02/03</v>
      </c>
      <c r="I2062" s="39">
        <v>4</v>
      </c>
      <c r="J2062" s="39" t="s">
        <v>1478</v>
      </c>
      <c r="K2062" s="39" t="s">
        <v>2122</v>
      </c>
      <c r="L2062" s="39" t="s">
        <v>7830</v>
      </c>
      <c r="M2062" s="39" t="s">
        <v>7831</v>
      </c>
      <c r="N2062" s="39" t="str">
        <f>("1076189")</f>
        <v>1076189</v>
      </c>
      <c r="P2062" s="39" t="s">
        <v>13518</v>
      </c>
      <c r="Q2062" s="39" t="s">
        <v>8568</v>
      </c>
      <c r="R2062" s="39" t="s">
        <v>8569</v>
      </c>
      <c r="S2062" s="39" t="s">
        <v>8570</v>
      </c>
      <c r="AK2062" s="39" t="str">
        <f>("2025/03/24")</f>
        <v>2025/03/24</v>
      </c>
      <c r="AL2062" s="39" t="str">
        <f t="shared" si="172"/>
        <v>2025/04/01</v>
      </c>
    </row>
    <row r="2063" spans="1:39" x14ac:dyDescent="0.25">
      <c r="A2063" s="39" t="str">
        <f>("1602030007")</f>
        <v>1602030007</v>
      </c>
      <c r="C2063" s="39"/>
      <c r="D2063" s="39" t="s">
        <v>4751</v>
      </c>
      <c r="E2063" s="371" t="str">
        <f t="shared" si="171"/>
        <v>ゆきなが　あつと</v>
      </c>
      <c r="F2063" s="39" t="s">
        <v>2256</v>
      </c>
      <c r="G2063" s="39" t="s">
        <v>7828</v>
      </c>
      <c r="H2063" s="39" t="str">
        <f>("2016/02/03")</f>
        <v>2016/02/03</v>
      </c>
      <c r="I2063" s="39">
        <v>4</v>
      </c>
      <c r="J2063" s="39" t="s">
        <v>1478</v>
      </c>
      <c r="K2063" s="39" t="s">
        <v>2122</v>
      </c>
      <c r="L2063" s="39" t="s">
        <v>7830</v>
      </c>
      <c r="M2063" s="39" t="s">
        <v>7831</v>
      </c>
      <c r="N2063" s="39" t="str">
        <f>("0449119")</f>
        <v>0449119</v>
      </c>
      <c r="P2063" s="39" t="s">
        <v>13519</v>
      </c>
      <c r="Q2063" s="39" t="s">
        <v>8568</v>
      </c>
      <c r="R2063" s="39" t="s">
        <v>8569</v>
      </c>
      <c r="S2063" s="39" t="s">
        <v>8570</v>
      </c>
      <c r="AK2063" s="39" t="str">
        <f>("2025/03/17")</f>
        <v>2025/03/17</v>
      </c>
      <c r="AL2063" s="39" t="str">
        <f t="shared" si="172"/>
        <v>2025/04/01</v>
      </c>
    </row>
    <row r="2064" spans="1:39" x14ac:dyDescent="0.25">
      <c r="A2064" s="39" t="str">
        <f>("1602030017")</f>
        <v>1602030017</v>
      </c>
      <c r="C2064" s="39"/>
      <c r="D2064" s="39" t="s">
        <v>9596</v>
      </c>
      <c r="E2064" s="371" t="str">
        <f t="shared" si="171"/>
        <v>にしむら　りく</v>
      </c>
      <c r="F2064" s="39" t="s">
        <v>2349</v>
      </c>
      <c r="G2064" s="39" t="s">
        <v>7828</v>
      </c>
      <c r="H2064" s="39" t="str">
        <f>("2016/02/03")</f>
        <v>2016/02/03</v>
      </c>
      <c r="I2064" s="39">
        <v>4</v>
      </c>
      <c r="J2064" s="39" t="s">
        <v>1478</v>
      </c>
      <c r="K2064" s="39" t="s">
        <v>2122</v>
      </c>
      <c r="L2064" s="39" t="s">
        <v>7830</v>
      </c>
      <c r="M2064" s="39" t="s">
        <v>7831</v>
      </c>
      <c r="N2064" s="39" t="str">
        <f>("0292081")</f>
        <v>0292081</v>
      </c>
      <c r="P2064" s="39" t="s">
        <v>13520</v>
      </c>
      <c r="Q2064" s="39" t="s">
        <v>8568</v>
      </c>
      <c r="R2064" s="39" t="s">
        <v>8569</v>
      </c>
      <c r="S2064" s="39" t="s">
        <v>8570</v>
      </c>
      <c r="AK2064" s="39" t="str">
        <f>("2025/03/24")</f>
        <v>2025/03/24</v>
      </c>
      <c r="AL2064" s="39" t="str">
        <f t="shared" si="172"/>
        <v>2025/04/01</v>
      </c>
    </row>
    <row r="2065" spans="1:39" x14ac:dyDescent="0.25">
      <c r="A2065" s="39" t="str">
        <f>("1602030049")</f>
        <v>1602030049</v>
      </c>
      <c r="C2065" s="39"/>
      <c r="D2065" s="39" t="s">
        <v>9597</v>
      </c>
      <c r="E2065" s="371" t="str">
        <f t="shared" si="171"/>
        <v>だんづか　わたる</v>
      </c>
      <c r="F2065" s="39" t="s">
        <v>2024</v>
      </c>
      <c r="G2065" s="39" t="s">
        <v>7876</v>
      </c>
      <c r="H2065" s="39" t="str">
        <f>("2016/02/03")</f>
        <v>2016/02/03</v>
      </c>
      <c r="I2065" s="39">
        <v>4</v>
      </c>
      <c r="J2065" s="39" t="s">
        <v>1478</v>
      </c>
      <c r="K2065" s="39" t="s">
        <v>2122</v>
      </c>
      <c r="L2065" s="39" t="s">
        <v>7830</v>
      </c>
      <c r="M2065" s="39" t="s">
        <v>7831</v>
      </c>
      <c r="N2065" s="39" t="str">
        <f>("0130475")</f>
        <v>0130475</v>
      </c>
      <c r="P2065" s="39" t="s">
        <v>13521</v>
      </c>
      <c r="Q2065" s="39" t="s">
        <v>8568</v>
      </c>
      <c r="R2065" s="39" t="s">
        <v>8569</v>
      </c>
      <c r="S2065" s="39" t="s">
        <v>8570</v>
      </c>
      <c r="AK2065" s="39" t="str">
        <f>("2025/04/04")</f>
        <v>2025/04/04</v>
      </c>
      <c r="AL2065" s="39" t="str">
        <f t="shared" si="172"/>
        <v>2025/04/01</v>
      </c>
      <c r="AM2065" s="39" t="str">
        <f>("2025/12/23")</f>
        <v>2025/12/23</v>
      </c>
    </row>
    <row r="2066" spans="1:39" x14ac:dyDescent="0.25">
      <c r="A2066" s="39" t="str">
        <f>("1602030177")</f>
        <v>1602030177</v>
      </c>
      <c r="C2066" s="39"/>
      <c r="D2066" s="39" t="s">
        <v>9598</v>
      </c>
      <c r="E2066" s="371" t="str">
        <f t="shared" si="171"/>
        <v>なかむら　そういちろう</v>
      </c>
      <c r="F2066" s="39" t="s">
        <v>1751</v>
      </c>
      <c r="G2066" s="39" t="s">
        <v>7828</v>
      </c>
      <c r="H2066" s="39" t="str">
        <f>("2016/02/03")</f>
        <v>2016/02/03</v>
      </c>
      <c r="I2066" s="39">
        <v>4</v>
      </c>
      <c r="J2066" s="39" t="s">
        <v>1478</v>
      </c>
      <c r="K2066" s="39" t="s">
        <v>2122</v>
      </c>
      <c r="L2066" s="39" t="s">
        <v>7830</v>
      </c>
      <c r="M2066" s="39" t="s">
        <v>7831</v>
      </c>
      <c r="N2066" s="39" t="str">
        <f>("0130453")</f>
        <v>0130453</v>
      </c>
      <c r="P2066" s="39" t="s">
        <v>13522</v>
      </c>
      <c r="Q2066" s="39" t="s">
        <v>8568</v>
      </c>
      <c r="R2066" s="39" t="s">
        <v>8569</v>
      </c>
      <c r="S2066" s="39" t="s">
        <v>8570</v>
      </c>
      <c r="AK2066" s="39" t="str">
        <f>("2025/07/28")</f>
        <v>2025/07/28</v>
      </c>
      <c r="AL2066" s="39" t="str">
        <f>("2025/07/28")</f>
        <v>2025/07/28</v>
      </c>
    </row>
    <row r="2067" spans="1:39" x14ac:dyDescent="0.25">
      <c r="A2067" s="39" t="str">
        <f>("1602050110")</f>
        <v>1602050110</v>
      </c>
      <c r="C2067" s="39"/>
      <c r="D2067" s="39" t="s">
        <v>9599</v>
      </c>
      <c r="E2067" s="371" t="str">
        <f t="shared" si="171"/>
        <v>くどう　あまと</v>
      </c>
      <c r="F2067" s="39" t="s">
        <v>1446</v>
      </c>
      <c r="G2067" s="39" t="s">
        <v>7828</v>
      </c>
      <c r="H2067" s="39" t="str">
        <f>("2016/02/05")</f>
        <v>2016/02/05</v>
      </c>
      <c r="I2067" s="39">
        <v>4</v>
      </c>
      <c r="J2067" s="39" t="s">
        <v>1478</v>
      </c>
      <c r="K2067" s="39" t="s">
        <v>2122</v>
      </c>
      <c r="L2067" s="39" t="s">
        <v>7830</v>
      </c>
      <c r="M2067" s="39" t="s">
        <v>7831</v>
      </c>
      <c r="N2067" s="39" t="str">
        <f>("0478807")</f>
        <v>0478807</v>
      </c>
      <c r="P2067" s="39" t="s">
        <v>13523</v>
      </c>
      <c r="Q2067" s="39" t="s">
        <v>8568</v>
      </c>
      <c r="R2067" s="39" t="s">
        <v>8569</v>
      </c>
      <c r="S2067" s="39" t="s">
        <v>8570</v>
      </c>
      <c r="AA2067" s="39" t="s">
        <v>2122</v>
      </c>
      <c r="AB2067" s="39" t="s">
        <v>7830</v>
      </c>
      <c r="AC2067" s="39" t="s">
        <v>7831</v>
      </c>
      <c r="AD2067" s="39" t="str">
        <f>("0129765")</f>
        <v>0129765</v>
      </c>
      <c r="AE2067" s="39" t="s">
        <v>520</v>
      </c>
      <c r="AK2067" s="39" t="str">
        <f>("2025/09/17")</f>
        <v>2025/09/17</v>
      </c>
      <c r="AL2067" s="39" t="str">
        <f>("2025/09/17")</f>
        <v>2025/09/17</v>
      </c>
    </row>
    <row r="2068" spans="1:39" x14ac:dyDescent="0.25">
      <c r="A2068" s="39" t="str">
        <f>("1602050153")</f>
        <v>1602050153</v>
      </c>
      <c r="C2068" s="39"/>
      <c r="D2068" s="39" t="s">
        <v>9600</v>
      </c>
      <c r="E2068" s="371" t="str">
        <f t="shared" si="171"/>
        <v>あだにや　しゅう</v>
      </c>
      <c r="F2068" s="39" t="s">
        <v>2549</v>
      </c>
      <c r="G2068" s="39" t="s">
        <v>7828</v>
      </c>
      <c r="H2068" s="39" t="str">
        <f>("2016/02/05")</f>
        <v>2016/02/05</v>
      </c>
      <c r="I2068" s="39">
        <v>4</v>
      </c>
      <c r="J2068" s="39" t="s">
        <v>1478</v>
      </c>
      <c r="K2068" s="39" t="s">
        <v>2122</v>
      </c>
      <c r="L2068" s="39" t="s">
        <v>7830</v>
      </c>
      <c r="M2068" s="39" t="s">
        <v>7831</v>
      </c>
      <c r="N2068" s="39" t="str">
        <f>("0130688")</f>
        <v>0130688</v>
      </c>
      <c r="P2068" s="39" t="s">
        <v>13524</v>
      </c>
      <c r="Q2068" s="39" t="s">
        <v>8568</v>
      </c>
      <c r="R2068" s="39" t="s">
        <v>8569</v>
      </c>
      <c r="S2068" s="39" t="s">
        <v>8570</v>
      </c>
      <c r="AK2068" s="39" t="str">
        <f>("2025/03/31")</f>
        <v>2025/03/31</v>
      </c>
      <c r="AL2068" s="39" t="str">
        <f>("2025/04/01")</f>
        <v>2025/04/01</v>
      </c>
    </row>
    <row r="2069" spans="1:39" x14ac:dyDescent="0.25">
      <c r="A2069" s="39" t="str">
        <f>("1602050193")</f>
        <v>1602050193</v>
      </c>
      <c r="C2069" s="39"/>
      <c r="D2069" s="39" t="s">
        <v>9601</v>
      </c>
      <c r="E2069" s="371" t="str">
        <f t="shared" si="171"/>
        <v>あない　あきとし</v>
      </c>
      <c r="F2069" s="39" t="s">
        <v>5616</v>
      </c>
      <c r="G2069" s="39" t="s">
        <v>7828</v>
      </c>
      <c r="H2069" s="39" t="str">
        <f>("2016/02/05")</f>
        <v>2016/02/05</v>
      </c>
      <c r="I2069" s="39">
        <v>4</v>
      </c>
      <c r="J2069" s="39" t="s">
        <v>1478</v>
      </c>
      <c r="K2069" s="39" t="s">
        <v>2122</v>
      </c>
      <c r="L2069" s="39" t="s">
        <v>7830</v>
      </c>
      <c r="M2069" s="39" t="s">
        <v>7831</v>
      </c>
      <c r="N2069" s="39" t="str">
        <f>("0130385")</f>
        <v>0130385</v>
      </c>
      <c r="P2069" s="39" t="s">
        <v>13525</v>
      </c>
      <c r="Q2069" s="39" t="s">
        <v>8568</v>
      </c>
      <c r="R2069" s="39" t="s">
        <v>8569</v>
      </c>
      <c r="S2069" s="39" t="s">
        <v>8570</v>
      </c>
      <c r="AK2069" s="39" t="str">
        <f>("2025/10/07")</f>
        <v>2025/10/07</v>
      </c>
      <c r="AL2069" s="39" t="str">
        <f>("2025/10/07")</f>
        <v>2025/10/07</v>
      </c>
    </row>
    <row r="2070" spans="1:39" x14ac:dyDescent="0.25">
      <c r="A2070" s="39" t="str">
        <f>("1602060012")</f>
        <v>1602060012</v>
      </c>
      <c r="B2070" s="39" t="s">
        <v>9602</v>
      </c>
      <c r="C2070" s="39"/>
      <c r="D2070" s="39" t="s">
        <v>9603</v>
      </c>
      <c r="E2070" s="371" t="str">
        <f t="shared" si="171"/>
        <v>はやし　りきと</v>
      </c>
      <c r="F2070" s="39" t="s">
        <v>639</v>
      </c>
      <c r="G2070" s="39" t="s">
        <v>7828</v>
      </c>
      <c r="H2070" s="39" t="str">
        <f>("2016/02/06")</f>
        <v>2016/02/06</v>
      </c>
      <c r="I2070" s="39">
        <v>4</v>
      </c>
      <c r="J2070" s="39" t="s">
        <v>1478</v>
      </c>
      <c r="K2070" s="39" t="s">
        <v>2122</v>
      </c>
      <c r="L2070" s="39" t="s">
        <v>7830</v>
      </c>
      <c r="M2070" s="39" t="s">
        <v>7831</v>
      </c>
      <c r="N2070" s="39" t="str">
        <f>("0130633")</f>
        <v>0130633</v>
      </c>
      <c r="P2070" s="39" t="s">
        <v>13526</v>
      </c>
      <c r="Q2070" s="39" t="s">
        <v>8568</v>
      </c>
      <c r="R2070" s="39" t="s">
        <v>8569</v>
      </c>
      <c r="S2070" s="39" t="s">
        <v>8570</v>
      </c>
      <c r="AK2070" s="39" t="str">
        <f>("2025/03/17")</f>
        <v>2025/03/17</v>
      </c>
      <c r="AL2070" s="39" t="str">
        <f t="shared" ref="AL2070:AL2080" si="173">("2025/04/01")</f>
        <v>2025/04/01</v>
      </c>
    </row>
    <row r="2071" spans="1:39" x14ac:dyDescent="0.25">
      <c r="A2071" s="39" t="str">
        <f>("1602060068")</f>
        <v>1602060068</v>
      </c>
      <c r="C2071" s="39"/>
      <c r="D2071" s="39" t="s">
        <v>9604</v>
      </c>
      <c r="E2071" s="371" t="str">
        <f t="shared" si="171"/>
        <v>かねこ　ごうた</v>
      </c>
      <c r="F2071" s="39" t="s">
        <v>827</v>
      </c>
      <c r="G2071" s="39" t="s">
        <v>7876</v>
      </c>
      <c r="H2071" s="39" t="str">
        <f>("2016/02/06")</f>
        <v>2016/02/06</v>
      </c>
      <c r="I2071" s="39">
        <v>4</v>
      </c>
      <c r="J2071" s="39" t="s">
        <v>1478</v>
      </c>
      <c r="K2071" s="39" t="s">
        <v>2122</v>
      </c>
      <c r="L2071" s="39" t="s">
        <v>7830</v>
      </c>
      <c r="M2071" s="39" t="s">
        <v>7831</v>
      </c>
      <c r="N2071" s="39" t="str">
        <f>("0504908")</f>
        <v>0504908</v>
      </c>
      <c r="P2071" s="39" t="s">
        <v>13527</v>
      </c>
      <c r="Q2071" s="39" t="s">
        <v>8568</v>
      </c>
      <c r="R2071" s="39" t="s">
        <v>8569</v>
      </c>
      <c r="S2071" s="39" t="s">
        <v>8570</v>
      </c>
      <c r="AK2071" s="39" t="str">
        <f>("2025/03/21")</f>
        <v>2025/03/21</v>
      </c>
      <c r="AL2071" s="39" t="str">
        <f t="shared" si="173"/>
        <v>2025/04/01</v>
      </c>
      <c r="AM2071" s="39" t="str">
        <f>("2025/07/25")</f>
        <v>2025/07/25</v>
      </c>
    </row>
    <row r="2072" spans="1:39" x14ac:dyDescent="0.25">
      <c r="A2072" s="39" t="str">
        <f>("1602090019")</f>
        <v>1602090019</v>
      </c>
      <c r="B2072" s="39" t="s">
        <v>9605</v>
      </c>
      <c r="C2072" s="39"/>
      <c r="D2072" s="39" t="s">
        <v>9606</v>
      </c>
      <c r="E2072" s="371" t="str">
        <f t="shared" si="171"/>
        <v>かすたに　りんたろう</v>
      </c>
      <c r="F2072" s="39" t="s">
        <v>639</v>
      </c>
      <c r="G2072" s="39" t="s">
        <v>7828</v>
      </c>
      <c r="H2072" s="39" t="str">
        <f>("2016/02/09")</f>
        <v>2016/02/09</v>
      </c>
      <c r="I2072" s="39">
        <v>4</v>
      </c>
      <c r="J2072" s="39" t="s">
        <v>1478</v>
      </c>
      <c r="K2072" s="39" t="s">
        <v>2122</v>
      </c>
      <c r="L2072" s="39" t="s">
        <v>7830</v>
      </c>
      <c r="M2072" s="39" t="s">
        <v>7831</v>
      </c>
      <c r="N2072" s="39" t="str">
        <f>("0130633")</f>
        <v>0130633</v>
      </c>
      <c r="P2072" s="39" t="s">
        <v>13528</v>
      </c>
      <c r="Q2072" s="39" t="s">
        <v>8568</v>
      </c>
      <c r="R2072" s="39" t="s">
        <v>8569</v>
      </c>
      <c r="S2072" s="39" t="s">
        <v>8570</v>
      </c>
      <c r="AK2072" s="39" t="str">
        <f>("2025/03/17")</f>
        <v>2025/03/17</v>
      </c>
      <c r="AL2072" s="39" t="str">
        <f t="shared" si="173"/>
        <v>2025/04/01</v>
      </c>
    </row>
    <row r="2073" spans="1:39" x14ac:dyDescent="0.25">
      <c r="A2073" s="39" t="str">
        <f>("1602100135")</f>
        <v>1602100135</v>
      </c>
      <c r="C2073" s="39"/>
      <c r="D2073" s="39" t="s">
        <v>9607</v>
      </c>
      <c r="E2073" s="371" t="str">
        <f t="shared" si="171"/>
        <v>はやし　こうき</v>
      </c>
      <c r="F2073" s="39" t="s">
        <v>1917</v>
      </c>
      <c r="G2073" s="39" t="s">
        <v>7876</v>
      </c>
      <c r="H2073" s="39" t="str">
        <f>("2016/02/10")</f>
        <v>2016/02/10</v>
      </c>
      <c r="I2073" s="39">
        <v>4</v>
      </c>
      <c r="J2073" s="39" t="s">
        <v>1478</v>
      </c>
      <c r="K2073" s="39" t="s">
        <v>2122</v>
      </c>
      <c r="L2073" s="39" t="s">
        <v>7830</v>
      </c>
      <c r="M2073" s="39" t="s">
        <v>7831</v>
      </c>
      <c r="N2073" s="39" t="str">
        <f>("1032161")</f>
        <v>1032161</v>
      </c>
      <c r="P2073" s="39" t="s">
        <v>13529</v>
      </c>
      <c r="Q2073" s="39" t="s">
        <v>8568</v>
      </c>
      <c r="R2073" s="39" t="s">
        <v>8569</v>
      </c>
      <c r="S2073" s="39" t="s">
        <v>8570</v>
      </c>
      <c r="AK2073" s="39" t="str">
        <f>("2025/03/21")</f>
        <v>2025/03/21</v>
      </c>
      <c r="AL2073" s="39" t="str">
        <f t="shared" si="173"/>
        <v>2025/04/01</v>
      </c>
      <c r="AM2073" s="39" t="str">
        <f>("2025/08/29")</f>
        <v>2025/08/29</v>
      </c>
    </row>
    <row r="2074" spans="1:39" x14ac:dyDescent="0.25">
      <c r="A2074" s="39" t="str">
        <f>("1602110059")</f>
        <v>1602110059</v>
      </c>
      <c r="C2074" s="39"/>
      <c r="D2074" s="39" t="s">
        <v>9608</v>
      </c>
      <c r="E2074" s="371" t="str">
        <f t="shared" si="171"/>
        <v>あべ　たいせい</v>
      </c>
      <c r="F2074" s="39" t="s">
        <v>3866</v>
      </c>
      <c r="G2074" s="39" t="s">
        <v>7828</v>
      </c>
      <c r="H2074" s="39" t="str">
        <f>("2016/02/11")</f>
        <v>2016/02/11</v>
      </c>
      <c r="I2074" s="39">
        <v>4</v>
      </c>
      <c r="J2074" s="39" t="s">
        <v>1478</v>
      </c>
      <c r="K2074" s="39" t="s">
        <v>2122</v>
      </c>
      <c r="L2074" s="39" t="s">
        <v>7830</v>
      </c>
      <c r="M2074" s="39" t="s">
        <v>7831</v>
      </c>
      <c r="N2074" s="39" t="str">
        <f>("0129675")</f>
        <v>0129675</v>
      </c>
      <c r="P2074" s="39" t="s">
        <v>13530</v>
      </c>
      <c r="Q2074" s="39" t="s">
        <v>8568</v>
      </c>
      <c r="R2074" s="39" t="s">
        <v>8569</v>
      </c>
      <c r="S2074" s="39" t="s">
        <v>8570</v>
      </c>
      <c r="AK2074" s="39" t="str">
        <f>("2025/04/01")</f>
        <v>2025/04/01</v>
      </c>
      <c r="AL2074" s="39" t="str">
        <f t="shared" si="173"/>
        <v>2025/04/01</v>
      </c>
    </row>
    <row r="2075" spans="1:39" x14ac:dyDescent="0.25">
      <c r="A2075" s="39" t="str">
        <f>("1602120122")</f>
        <v>1602120122</v>
      </c>
      <c r="B2075" s="39" t="s">
        <v>9609</v>
      </c>
      <c r="C2075" s="39"/>
      <c r="D2075" s="39" t="s">
        <v>9610</v>
      </c>
      <c r="E2075" s="371" t="str">
        <f t="shared" si="171"/>
        <v>なかむら　そうた</v>
      </c>
      <c r="F2075" s="39" t="s">
        <v>1344</v>
      </c>
      <c r="G2075" s="39" t="s">
        <v>7828</v>
      </c>
      <c r="H2075" s="39" t="str">
        <f>("2016/02/12")</f>
        <v>2016/02/12</v>
      </c>
      <c r="I2075" s="39">
        <v>4</v>
      </c>
      <c r="J2075" s="39" t="s">
        <v>1478</v>
      </c>
      <c r="K2075" s="39" t="s">
        <v>2122</v>
      </c>
      <c r="L2075" s="39" t="s">
        <v>7830</v>
      </c>
      <c r="M2075" s="39" t="s">
        <v>7831</v>
      </c>
      <c r="N2075" s="39" t="str">
        <f>("0130587")</f>
        <v>0130587</v>
      </c>
      <c r="P2075" s="39" t="s">
        <v>13531</v>
      </c>
      <c r="Q2075" s="39" t="s">
        <v>8568</v>
      </c>
      <c r="R2075" s="39" t="s">
        <v>8569</v>
      </c>
      <c r="S2075" s="39" t="s">
        <v>8570</v>
      </c>
      <c r="AK2075" s="39" t="str">
        <f>("2025/03/21")</f>
        <v>2025/03/21</v>
      </c>
      <c r="AL2075" s="39" t="str">
        <f t="shared" si="173"/>
        <v>2025/04/01</v>
      </c>
    </row>
    <row r="2076" spans="1:39" x14ac:dyDescent="0.25">
      <c r="A2076" s="39" t="str">
        <f>("1602140069")</f>
        <v>1602140069</v>
      </c>
      <c r="C2076" s="39"/>
      <c r="D2076" s="39" t="s">
        <v>9611</v>
      </c>
      <c r="E2076" s="371" t="str">
        <f t="shared" si="171"/>
        <v>つねひろ　かなる</v>
      </c>
      <c r="F2076" s="39" t="s">
        <v>2274</v>
      </c>
      <c r="G2076" s="39" t="s">
        <v>7828</v>
      </c>
      <c r="H2076" s="39" t="str">
        <f>("2016/02/14")</f>
        <v>2016/02/14</v>
      </c>
      <c r="I2076" s="39">
        <v>4</v>
      </c>
      <c r="J2076" s="39" t="s">
        <v>1478</v>
      </c>
      <c r="K2076" s="39" t="s">
        <v>2122</v>
      </c>
      <c r="L2076" s="39" t="s">
        <v>7830</v>
      </c>
      <c r="M2076" s="39" t="s">
        <v>7831</v>
      </c>
      <c r="N2076" s="39" t="str">
        <f>("0129563")</f>
        <v>0129563</v>
      </c>
      <c r="P2076" s="39" t="s">
        <v>13532</v>
      </c>
      <c r="Q2076" s="39" t="s">
        <v>8568</v>
      </c>
      <c r="R2076" s="39" t="s">
        <v>8569</v>
      </c>
      <c r="S2076" s="39" t="s">
        <v>8570</v>
      </c>
      <c r="AK2076" s="39" t="str">
        <f>("2025/03/17")</f>
        <v>2025/03/17</v>
      </c>
      <c r="AL2076" s="39" t="str">
        <f t="shared" si="173"/>
        <v>2025/04/01</v>
      </c>
    </row>
    <row r="2077" spans="1:39" x14ac:dyDescent="0.25">
      <c r="A2077" s="39" t="str">
        <f>("1602140075")</f>
        <v>1602140075</v>
      </c>
      <c r="C2077" s="39"/>
      <c r="D2077" s="39" t="s">
        <v>5748</v>
      </c>
      <c r="E2077" s="371" t="str">
        <f t="shared" si="171"/>
        <v>なかしま　りん</v>
      </c>
      <c r="F2077" s="39" t="s">
        <v>2918</v>
      </c>
      <c r="G2077" s="39" t="s">
        <v>7876</v>
      </c>
      <c r="H2077" s="39" t="str">
        <f>("2016/02/14")</f>
        <v>2016/02/14</v>
      </c>
      <c r="I2077" s="39">
        <v>4</v>
      </c>
      <c r="J2077" s="39" t="s">
        <v>1478</v>
      </c>
      <c r="K2077" s="39" t="s">
        <v>2122</v>
      </c>
      <c r="L2077" s="39" t="s">
        <v>7830</v>
      </c>
      <c r="M2077" s="39" t="s">
        <v>7831</v>
      </c>
      <c r="N2077" s="39" t="str">
        <f>("0129912")</f>
        <v>0129912</v>
      </c>
      <c r="P2077" s="39" t="s">
        <v>13533</v>
      </c>
      <c r="Q2077" s="39" t="s">
        <v>8568</v>
      </c>
      <c r="R2077" s="39" t="s">
        <v>8569</v>
      </c>
      <c r="S2077" s="39" t="s">
        <v>8570</v>
      </c>
      <c r="AK2077" s="39" t="str">
        <f>("2025/03/17")</f>
        <v>2025/03/17</v>
      </c>
      <c r="AL2077" s="39" t="str">
        <f t="shared" si="173"/>
        <v>2025/04/01</v>
      </c>
      <c r="AM2077" s="39" t="str">
        <f>("2025/10/10")</f>
        <v>2025/10/10</v>
      </c>
    </row>
    <row r="2078" spans="1:39" x14ac:dyDescent="0.25">
      <c r="A2078" s="39" t="str">
        <f>("1602140084")</f>
        <v>1602140084</v>
      </c>
      <c r="C2078" s="39"/>
      <c r="D2078" s="39" t="s">
        <v>9612</v>
      </c>
      <c r="E2078" s="371" t="str">
        <f t="shared" si="171"/>
        <v>ごとう　ゆうたろう</v>
      </c>
      <c r="F2078" s="39" t="s">
        <v>2648</v>
      </c>
      <c r="G2078" s="39" t="s">
        <v>7828</v>
      </c>
      <c r="H2078" s="39" t="str">
        <f>("2016/02/14")</f>
        <v>2016/02/14</v>
      </c>
      <c r="I2078" s="39">
        <v>4</v>
      </c>
      <c r="J2078" s="39" t="s">
        <v>1478</v>
      </c>
      <c r="K2078" s="39" t="s">
        <v>2122</v>
      </c>
      <c r="L2078" s="39" t="s">
        <v>7830</v>
      </c>
      <c r="M2078" s="39" t="s">
        <v>7831</v>
      </c>
      <c r="N2078" s="39" t="str">
        <f>("1050097")</f>
        <v>1050097</v>
      </c>
      <c r="P2078" s="39" t="s">
        <v>13534</v>
      </c>
      <c r="Q2078" s="39" t="s">
        <v>8568</v>
      </c>
      <c r="R2078" s="39" t="s">
        <v>8569</v>
      </c>
      <c r="S2078" s="39" t="s">
        <v>8570</v>
      </c>
      <c r="AK2078" s="39" t="str">
        <f>("2025/03/25")</f>
        <v>2025/03/25</v>
      </c>
      <c r="AL2078" s="39" t="str">
        <f t="shared" si="173"/>
        <v>2025/04/01</v>
      </c>
    </row>
    <row r="2079" spans="1:39" x14ac:dyDescent="0.25">
      <c r="A2079" s="39" t="str">
        <f>("1602150039")</f>
        <v>1602150039</v>
      </c>
      <c r="C2079" s="39"/>
      <c r="D2079" s="39" t="s">
        <v>9613</v>
      </c>
      <c r="E2079" s="371" t="str">
        <f t="shared" si="171"/>
        <v>うまこし　わたる</v>
      </c>
      <c r="F2079" s="39" t="s">
        <v>2821</v>
      </c>
      <c r="G2079" s="39" t="s">
        <v>7876</v>
      </c>
      <c r="H2079" s="39" t="str">
        <f>("2016/02/15")</f>
        <v>2016/02/15</v>
      </c>
      <c r="I2079" s="39">
        <v>4</v>
      </c>
      <c r="J2079" s="39" t="s">
        <v>1478</v>
      </c>
      <c r="K2079" s="39" t="s">
        <v>2122</v>
      </c>
      <c r="L2079" s="39" t="s">
        <v>7830</v>
      </c>
      <c r="M2079" s="39" t="s">
        <v>7831</v>
      </c>
      <c r="N2079" s="39" t="str">
        <f>("0237631")</f>
        <v>0237631</v>
      </c>
      <c r="P2079" s="39" t="s">
        <v>13535</v>
      </c>
      <c r="Q2079" s="39" t="s">
        <v>8568</v>
      </c>
      <c r="R2079" s="39" t="s">
        <v>8569</v>
      </c>
      <c r="S2079" s="39" t="s">
        <v>8570</v>
      </c>
      <c r="AK2079" s="39" t="str">
        <f>("2025/03/17")</f>
        <v>2025/03/17</v>
      </c>
      <c r="AL2079" s="39" t="str">
        <f t="shared" si="173"/>
        <v>2025/04/01</v>
      </c>
      <c r="AM2079" s="39" t="str">
        <f>("2025/09/16")</f>
        <v>2025/09/16</v>
      </c>
    </row>
    <row r="2080" spans="1:39" x14ac:dyDescent="0.25">
      <c r="A2080" s="39" t="str">
        <f>("1602160046")</f>
        <v>1602160046</v>
      </c>
      <c r="B2080" s="39" t="s">
        <v>9614</v>
      </c>
      <c r="C2080" s="39"/>
      <c r="D2080" s="39" t="s">
        <v>5769</v>
      </c>
      <c r="E2080" s="371" t="str">
        <f t="shared" si="171"/>
        <v>いがうえ　りょうた</v>
      </c>
      <c r="F2080" s="39" t="s">
        <v>156</v>
      </c>
      <c r="G2080" s="39" t="s">
        <v>7828</v>
      </c>
      <c r="H2080" s="39" t="str">
        <f>("2016/02/16")</f>
        <v>2016/02/16</v>
      </c>
      <c r="I2080" s="39">
        <v>4</v>
      </c>
      <c r="J2080" s="39" t="s">
        <v>1478</v>
      </c>
      <c r="K2080" s="39" t="s">
        <v>2122</v>
      </c>
      <c r="L2080" s="39" t="s">
        <v>7830</v>
      </c>
      <c r="M2080" s="39" t="s">
        <v>7831</v>
      </c>
      <c r="N2080" s="39" t="str">
        <f>("0130037")</f>
        <v>0130037</v>
      </c>
      <c r="P2080" s="39" t="s">
        <v>13536</v>
      </c>
      <c r="Q2080" s="39" t="s">
        <v>8568</v>
      </c>
      <c r="R2080" s="39" t="s">
        <v>8569</v>
      </c>
      <c r="S2080" s="39" t="s">
        <v>8570</v>
      </c>
      <c r="AK2080" s="39" t="str">
        <f>("2025/03/17")</f>
        <v>2025/03/17</v>
      </c>
      <c r="AL2080" s="39" t="str">
        <f t="shared" si="173"/>
        <v>2025/04/01</v>
      </c>
    </row>
    <row r="2081" spans="1:39" x14ac:dyDescent="0.25">
      <c r="A2081" s="39" t="str">
        <f>("1602180157")</f>
        <v>1602180157</v>
      </c>
      <c r="C2081" s="39"/>
      <c r="D2081" s="39" t="s">
        <v>9615</v>
      </c>
      <c r="E2081" s="371" t="str">
        <f t="shared" si="171"/>
        <v>かない　けいすけ</v>
      </c>
      <c r="F2081" s="39" t="s">
        <v>2531</v>
      </c>
      <c r="G2081" s="39" t="s">
        <v>7828</v>
      </c>
      <c r="H2081" s="39" t="str">
        <f>("2016/02/18")</f>
        <v>2016/02/18</v>
      </c>
      <c r="I2081" s="39">
        <v>4</v>
      </c>
      <c r="J2081" s="39" t="s">
        <v>1478</v>
      </c>
      <c r="K2081" s="39" t="s">
        <v>2122</v>
      </c>
      <c r="L2081" s="39" t="s">
        <v>7830</v>
      </c>
      <c r="M2081" s="39" t="s">
        <v>7831</v>
      </c>
      <c r="N2081" s="39" t="str">
        <f>("0130419")</f>
        <v>0130419</v>
      </c>
      <c r="P2081" s="39" t="s">
        <v>13537</v>
      </c>
      <c r="Q2081" s="39" t="s">
        <v>8568</v>
      </c>
      <c r="R2081" s="39" t="s">
        <v>8569</v>
      </c>
      <c r="S2081" s="39" t="s">
        <v>8570</v>
      </c>
      <c r="AK2081" s="39" t="str">
        <f>("2025/06/10")</f>
        <v>2025/06/10</v>
      </c>
      <c r="AL2081" s="39" t="str">
        <f>("2025/06/10")</f>
        <v>2025/06/10</v>
      </c>
    </row>
    <row r="2082" spans="1:39" x14ac:dyDescent="0.25">
      <c r="A2082" s="39" t="str">
        <f>("1602190006")</f>
        <v>1602190006</v>
      </c>
      <c r="C2082" s="39"/>
      <c r="D2082" s="39" t="s">
        <v>5928</v>
      </c>
      <c r="E2082" s="371" t="str">
        <f t="shared" si="171"/>
        <v>どうじょう　はると</v>
      </c>
      <c r="F2082" s="39" t="s">
        <v>2422</v>
      </c>
      <c r="G2082" s="39" t="s">
        <v>7828</v>
      </c>
      <c r="H2082" s="39" t="str">
        <f>("2016/02/19")</f>
        <v>2016/02/19</v>
      </c>
      <c r="I2082" s="39">
        <v>4</v>
      </c>
      <c r="J2082" s="39" t="s">
        <v>1478</v>
      </c>
      <c r="K2082" s="39" t="s">
        <v>2122</v>
      </c>
      <c r="L2082" s="39" t="s">
        <v>7830</v>
      </c>
      <c r="M2082" s="39" t="s">
        <v>7831</v>
      </c>
      <c r="N2082" s="39" t="str">
        <f>("0130699")</f>
        <v>0130699</v>
      </c>
      <c r="P2082" s="39" t="s">
        <v>13538</v>
      </c>
      <c r="Q2082" s="39" t="s">
        <v>8568</v>
      </c>
      <c r="R2082" s="39" t="s">
        <v>8569</v>
      </c>
      <c r="S2082" s="39" t="s">
        <v>8570</v>
      </c>
      <c r="AK2082" s="39" t="str">
        <f>("2025/03/17")</f>
        <v>2025/03/17</v>
      </c>
      <c r="AL2082" s="39" t="str">
        <f t="shared" ref="AL2082:AL2092" si="174">("2025/04/01")</f>
        <v>2025/04/01</v>
      </c>
    </row>
    <row r="2083" spans="1:39" x14ac:dyDescent="0.25">
      <c r="A2083" s="39" t="str">
        <f>("1602190055")</f>
        <v>1602190055</v>
      </c>
      <c r="C2083" s="39"/>
      <c r="D2083" s="39" t="s">
        <v>9616</v>
      </c>
      <c r="E2083" s="371" t="str">
        <f t="shared" si="171"/>
        <v>おおつか　あん</v>
      </c>
      <c r="F2083" s="39" t="s">
        <v>2557</v>
      </c>
      <c r="G2083" s="39" t="s">
        <v>7828</v>
      </c>
      <c r="H2083" s="39" t="str">
        <f>("2014/02/19")</f>
        <v>2014/02/19</v>
      </c>
      <c r="I2083" s="39">
        <v>6</v>
      </c>
      <c r="J2083" s="39" t="s">
        <v>1480</v>
      </c>
      <c r="K2083" s="39" t="s">
        <v>2122</v>
      </c>
      <c r="L2083" s="39" t="s">
        <v>7830</v>
      </c>
      <c r="M2083" s="39" t="s">
        <v>7831</v>
      </c>
      <c r="N2083" s="39" t="str">
        <f>("0130723")</f>
        <v>0130723</v>
      </c>
      <c r="P2083" s="39" t="s">
        <v>13539</v>
      </c>
      <c r="Q2083" s="39" t="s">
        <v>8568</v>
      </c>
      <c r="R2083" s="39" t="s">
        <v>8569</v>
      </c>
      <c r="S2083" s="39" t="s">
        <v>8570</v>
      </c>
      <c r="AK2083" s="39" t="str">
        <f>("2025/03/17")</f>
        <v>2025/03/17</v>
      </c>
      <c r="AL2083" s="39" t="str">
        <f t="shared" si="174"/>
        <v>2025/04/01</v>
      </c>
      <c r="AM2083" s="39" t="str">
        <f>("2025/03/25")</f>
        <v>2025/03/25</v>
      </c>
    </row>
    <row r="2084" spans="1:39" x14ac:dyDescent="0.25">
      <c r="A2084" s="39" t="str">
        <f>("1602190116")</f>
        <v>1602190116</v>
      </c>
      <c r="C2084" s="39"/>
      <c r="D2084" s="39" t="s">
        <v>9617</v>
      </c>
      <c r="E2084" s="371" t="str">
        <f t="shared" si="171"/>
        <v>まき　かなと</v>
      </c>
      <c r="F2084" s="39" t="s">
        <v>2648</v>
      </c>
      <c r="G2084" s="39" t="s">
        <v>7828</v>
      </c>
      <c r="H2084" s="39" t="str">
        <f>("2016/02/19")</f>
        <v>2016/02/19</v>
      </c>
      <c r="I2084" s="39">
        <v>4</v>
      </c>
      <c r="J2084" s="39" t="s">
        <v>1478</v>
      </c>
      <c r="K2084" s="39" t="s">
        <v>2122</v>
      </c>
      <c r="L2084" s="39" t="s">
        <v>7830</v>
      </c>
      <c r="M2084" s="39" t="s">
        <v>7831</v>
      </c>
      <c r="N2084" s="39" t="str">
        <f>("1050097")</f>
        <v>1050097</v>
      </c>
      <c r="P2084" s="39" t="s">
        <v>13540</v>
      </c>
      <c r="Q2084" s="39" t="s">
        <v>8568</v>
      </c>
      <c r="R2084" s="39" t="s">
        <v>8569</v>
      </c>
      <c r="S2084" s="39" t="s">
        <v>8570</v>
      </c>
      <c r="AK2084" s="39" t="str">
        <f>("2025/03/25")</f>
        <v>2025/03/25</v>
      </c>
      <c r="AL2084" s="39" t="str">
        <f t="shared" si="174"/>
        <v>2025/04/01</v>
      </c>
    </row>
    <row r="2085" spans="1:39" x14ac:dyDescent="0.25">
      <c r="A2085" s="39" t="str">
        <f>("1602200069")</f>
        <v>1602200069</v>
      </c>
      <c r="C2085" s="39"/>
      <c r="D2085" s="39" t="s">
        <v>9618</v>
      </c>
      <c r="E2085" s="371" t="str">
        <f t="shared" si="171"/>
        <v>たなか　ゆうしん</v>
      </c>
      <c r="F2085" s="39" t="s">
        <v>1917</v>
      </c>
      <c r="G2085" s="39" t="s">
        <v>7828</v>
      </c>
      <c r="H2085" s="39" t="str">
        <f>("2016/02/20")</f>
        <v>2016/02/20</v>
      </c>
      <c r="I2085" s="39">
        <v>4</v>
      </c>
      <c r="J2085" s="39" t="s">
        <v>1478</v>
      </c>
      <c r="K2085" s="39" t="s">
        <v>2122</v>
      </c>
      <c r="L2085" s="39" t="s">
        <v>7830</v>
      </c>
      <c r="M2085" s="39" t="s">
        <v>7831</v>
      </c>
      <c r="N2085" s="39" t="str">
        <f>("1032161")</f>
        <v>1032161</v>
      </c>
      <c r="P2085" s="39" t="s">
        <v>13541</v>
      </c>
      <c r="Q2085" s="39" t="s">
        <v>8568</v>
      </c>
      <c r="R2085" s="39" t="s">
        <v>8569</v>
      </c>
      <c r="S2085" s="39" t="s">
        <v>8570</v>
      </c>
      <c r="AK2085" s="39" t="str">
        <f>("2025/03/21")</f>
        <v>2025/03/21</v>
      </c>
      <c r="AL2085" s="39" t="str">
        <f t="shared" si="174"/>
        <v>2025/04/01</v>
      </c>
    </row>
    <row r="2086" spans="1:39" x14ac:dyDescent="0.25">
      <c r="A2086" s="39" t="str">
        <f>("1602200100")</f>
        <v>1602200100</v>
      </c>
      <c r="C2086" s="39"/>
      <c r="D2086" s="39" t="s">
        <v>9619</v>
      </c>
      <c r="E2086" s="371" t="str">
        <f t="shared" si="171"/>
        <v>のがみ　かんた</v>
      </c>
      <c r="F2086" s="39" t="s">
        <v>2491</v>
      </c>
      <c r="G2086" s="39" t="s">
        <v>7828</v>
      </c>
      <c r="H2086" s="39" t="str">
        <f>("2016/02/20")</f>
        <v>2016/02/20</v>
      </c>
      <c r="I2086" s="39">
        <v>4</v>
      </c>
      <c r="J2086" s="39" t="s">
        <v>1478</v>
      </c>
      <c r="K2086" s="39" t="s">
        <v>2122</v>
      </c>
      <c r="L2086" s="39" t="s">
        <v>7830</v>
      </c>
      <c r="M2086" s="39" t="s">
        <v>7831</v>
      </c>
      <c r="N2086" s="39" t="str">
        <f>("0129822")</f>
        <v>0129822</v>
      </c>
      <c r="P2086" s="39" t="s">
        <v>13542</v>
      </c>
      <c r="Q2086" s="39" t="s">
        <v>8568</v>
      </c>
      <c r="R2086" s="39" t="s">
        <v>8569</v>
      </c>
      <c r="S2086" s="39" t="s">
        <v>8570</v>
      </c>
      <c r="AK2086" s="39" t="str">
        <f>("2025/03/17")</f>
        <v>2025/03/17</v>
      </c>
      <c r="AL2086" s="39" t="str">
        <f t="shared" si="174"/>
        <v>2025/04/01</v>
      </c>
    </row>
    <row r="2087" spans="1:39" x14ac:dyDescent="0.25">
      <c r="A2087" s="39" t="str">
        <f>("1602200108")</f>
        <v>1602200108</v>
      </c>
      <c r="C2087" s="39"/>
      <c r="D2087" s="39" t="s">
        <v>9620</v>
      </c>
      <c r="E2087" s="371" t="str">
        <f t="shared" si="171"/>
        <v>いとう　とあ</v>
      </c>
      <c r="F2087" s="39" t="s">
        <v>2033</v>
      </c>
      <c r="G2087" s="39" t="s">
        <v>7828</v>
      </c>
      <c r="H2087" s="39" t="str">
        <f>("2016/02/20")</f>
        <v>2016/02/20</v>
      </c>
      <c r="I2087" s="39">
        <v>4</v>
      </c>
      <c r="J2087" s="39" t="s">
        <v>1478</v>
      </c>
      <c r="K2087" s="39" t="s">
        <v>2122</v>
      </c>
      <c r="L2087" s="39" t="s">
        <v>7830</v>
      </c>
      <c r="M2087" s="39" t="s">
        <v>7831</v>
      </c>
      <c r="N2087" s="39" t="str">
        <f>("0130442")</f>
        <v>0130442</v>
      </c>
      <c r="P2087" s="39" t="s">
        <v>13543</v>
      </c>
      <c r="Q2087" s="39" t="s">
        <v>8568</v>
      </c>
      <c r="R2087" s="39" t="s">
        <v>8569</v>
      </c>
      <c r="S2087" s="39" t="s">
        <v>8570</v>
      </c>
      <c r="AK2087" s="39" t="str">
        <f>("2025/04/04")</f>
        <v>2025/04/04</v>
      </c>
      <c r="AL2087" s="39" t="str">
        <f t="shared" si="174"/>
        <v>2025/04/01</v>
      </c>
    </row>
    <row r="2088" spans="1:39" x14ac:dyDescent="0.25">
      <c r="A2088" s="39" t="str">
        <f>("1602220032")</f>
        <v>1602220032</v>
      </c>
      <c r="C2088" s="39"/>
      <c r="D2088" s="39" t="s">
        <v>6098</v>
      </c>
      <c r="E2088" s="371" t="str">
        <f t="shared" si="171"/>
        <v>しらい　みなと</v>
      </c>
      <c r="F2088" s="39" t="s">
        <v>2602</v>
      </c>
      <c r="G2088" s="39" t="s">
        <v>7828</v>
      </c>
      <c r="H2088" s="39" t="str">
        <f>("2016/02/22")</f>
        <v>2016/02/22</v>
      </c>
      <c r="I2088" s="39">
        <v>4</v>
      </c>
      <c r="J2088" s="39" t="s">
        <v>1478</v>
      </c>
      <c r="K2088" s="39" t="s">
        <v>2122</v>
      </c>
      <c r="L2088" s="39" t="s">
        <v>7830</v>
      </c>
      <c r="M2088" s="39" t="s">
        <v>7831</v>
      </c>
      <c r="N2088" s="39" t="str">
        <f>("0430119")</f>
        <v>0430119</v>
      </c>
      <c r="P2088" s="39" t="s">
        <v>13544</v>
      </c>
      <c r="Q2088" s="39" t="s">
        <v>8568</v>
      </c>
      <c r="R2088" s="39" t="s">
        <v>8569</v>
      </c>
      <c r="S2088" s="39" t="s">
        <v>8570</v>
      </c>
      <c r="AK2088" s="39" t="str">
        <f>("2025/03/17")</f>
        <v>2025/03/17</v>
      </c>
      <c r="AL2088" s="39" t="str">
        <f t="shared" si="174"/>
        <v>2025/04/01</v>
      </c>
    </row>
    <row r="2089" spans="1:39" x14ac:dyDescent="0.25">
      <c r="A2089" s="39" t="str">
        <f>("1602220102")</f>
        <v>1602220102</v>
      </c>
      <c r="C2089" s="39"/>
      <c r="D2089" s="39" t="s">
        <v>6134</v>
      </c>
      <c r="E2089" s="371" t="str">
        <f t="shared" si="171"/>
        <v>ふじい　さくたろう</v>
      </c>
      <c r="F2089" s="39" t="s">
        <v>2256</v>
      </c>
      <c r="G2089" s="39" t="s">
        <v>7828</v>
      </c>
      <c r="H2089" s="39" t="str">
        <f>("2016/02/22")</f>
        <v>2016/02/22</v>
      </c>
      <c r="I2089" s="39">
        <v>4</v>
      </c>
      <c r="J2089" s="39" t="s">
        <v>1478</v>
      </c>
      <c r="K2089" s="39" t="s">
        <v>2122</v>
      </c>
      <c r="L2089" s="39" t="s">
        <v>7830</v>
      </c>
      <c r="M2089" s="39" t="s">
        <v>7831</v>
      </c>
      <c r="N2089" s="39" t="str">
        <f>("0449119")</f>
        <v>0449119</v>
      </c>
      <c r="P2089" s="39" t="s">
        <v>13545</v>
      </c>
      <c r="Q2089" s="39" t="s">
        <v>8568</v>
      </c>
      <c r="R2089" s="39" t="s">
        <v>8569</v>
      </c>
      <c r="S2089" s="39" t="s">
        <v>8570</v>
      </c>
      <c r="AK2089" s="39" t="str">
        <f>("2025/03/17")</f>
        <v>2025/03/17</v>
      </c>
      <c r="AL2089" s="39" t="str">
        <f t="shared" si="174"/>
        <v>2025/04/01</v>
      </c>
    </row>
    <row r="2090" spans="1:39" x14ac:dyDescent="0.25">
      <c r="A2090" s="39" t="str">
        <f>("1602220142")</f>
        <v>1602220142</v>
      </c>
      <c r="C2090" s="39"/>
      <c r="D2090" s="39" t="s">
        <v>9621</v>
      </c>
      <c r="E2090" s="371" t="str">
        <f t="shared" si="171"/>
        <v>ひろせ　そら</v>
      </c>
      <c r="F2090" s="39" t="s">
        <v>5619</v>
      </c>
      <c r="G2090" s="39" t="s">
        <v>7828</v>
      </c>
      <c r="H2090" s="39" t="str">
        <f>("2016/02/22")</f>
        <v>2016/02/22</v>
      </c>
      <c r="I2090" s="39">
        <v>4</v>
      </c>
      <c r="J2090" s="39" t="s">
        <v>1478</v>
      </c>
      <c r="K2090" s="39" t="s">
        <v>2122</v>
      </c>
      <c r="L2090" s="39" t="s">
        <v>7830</v>
      </c>
      <c r="M2090" s="39" t="s">
        <v>7831</v>
      </c>
      <c r="N2090" s="39" t="str">
        <f>("1089004")</f>
        <v>1089004</v>
      </c>
      <c r="P2090" s="39" t="s">
        <v>13546</v>
      </c>
      <c r="Q2090" s="39" t="s">
        <v>8568</v>
      </c>
      <c r="R2090" s="39" t="s">
        <v>8569</v>
      </c>
      <c r="S2090" s="39" t="s">
        <v>8570</v>
      </c>
      <c r="AK2090" s="39" t="str">
        <f>("2025/03/27")</f>
        <v>2025/03/27</v>
      </c>
      <c r="AL2090" s="39" t="str">
        <f t="shared" si="174"/>
        <v>2025/04/01</v>
      </c>
    </row>
    <row r="2091" spans="1:39" x14ac:dyDescent="0.25">
      <c r="A2091" s="39" t="str">
        <f>("1602230068")</f>
        <v>1602230068</v>
      </c>
      <c r="C2091" s="39"/>
      <c r="D2091" s="39" t="s">
        <v>9622</v>
      </c>
      <c r="E2091" s="371" t="str">
        <f t="shared" si="171"/>
        <v>うつのみや　せな</v>
      </c>
      <c r="F2091" s="39" t="s">
        <v>2573</v>
      </c>
      <c r="G2091" s="39" t="s">
        <v>7828</v>
      </c>
      <c r="H2091" s="39" t="str">
        <f>("2016/02/23")</f>
        <v>2016/02/23</v>
      </c>
      <c r="I2091" s="39">
        <v>4</v>
      </c>
      <c r="J2091" s="39" t="s">
        <v>1478</v>
      </c>
      <c r="K2091" s="39" t="s">
        <v>2122</v>
      </c>
      <c r="L2091" s="39" t="s">
        <v>7830</v>
      </c>
      <c r="M2091" s="39" t="s">
        <v>7831</v>
      </c>
      <c r="N2091" s="39" t="str">
        <f>("0230982")</f>
        <v>0230982</v>
      </c>
      <c r="P2091" s="39" t="s">
        <v>13547</v>
      </c>
      <c r="Q2091" s="39" t="s">
        <v>8568</v>
      </c>
      <c r="R2091" s="39" t="s">
        <v>8569</v>
      </c>
      <c r="S2091" s="39" t="s">
        <v>8570</v>
      </c>
      <c r="AK2091" s="39" t="str">
        <f>("2025/03/17")</f>
        <v>2025/03/17</v>
      </c>
      <c r="AL2091" s="39" t="str">
        <f t="shared" si="174"/>
        <v>2025/04/01</v>
      </c>
    </row>
    <row r="2092" spans="1:39" x14ac:dyDescent="0.25">
      <c r="A2092" s="39" t="str">
        <f>("1602240126")</f>
        <v>1602240126</v>
      </c>
      <c r="C2092" s="39"/>
      <c r="D2092" s="39" t="s">
        <v>9623</v>
      </c>
      <c r="E2092" s="371" t="str">
        <f t="shared" si="171"/>
        <v>おの　わくと</v>
      </c>
      <c r="F2092" s="39" t="s">
        <v>2557</v>
      </c>
      <c r="G2092" s="39" t="s">
        <v>7828</v>
      </c>
      <c r="H2092" s="39" t="str">
        <f>("2016/02/24")</f>
        <v>2016/02/24</v>
      </c>
      <c r="I2092" s="39">
        <v>4</v>
      </c>
      <c r="J2092" s="39" t="s">
        <v>1478</v>
      </c>
      <c r="K2092" s="39" t="s">
        <v>2122</v>
      </c>
      <c r="L2092" s="39" t="s">
        <v>7830</v>
      </c>
      <c r="M2092" s="39" t="s">
        <v>7831</v>
      </c>
      <c r="N2092" s="39" t="str">
        <f>("0130723")</f>
        <v>0130723</v>
      </c>
      <c r="P2092" s="39" t="s">
        <v>13548</v>
      </c>
      <c r="Q2092" s="39" t="s">
        <v>8568</v>
      </c>
      <c r="R2092" s="39" t="s">
        <v>8569</v>
      </c>
      <c r="S2092" s="39" t="s">
        <v>8570</v>
      </c>
      <c r="AK2092" s="39" t="str">
        <f>("2025/03/17")</f>
        <v>2025/03/17</v>
      </c>
      <c r="AL2092" s="39" t="str">
        <f t="shared" si="174"/>
        <v>2025/04/01</v>
      </c>
    </row>
    <row r="2093" spans="1:39" x14ac:dyDescent="0.25">
      <c r="A2093" s="39" t="str">
        <f>("1602240163")</f>
        <v>1602240163</v>
      </c>
      <c r="C2093" s="39"/>
      <c r="D2093" s="39" t="s">
        <v>9624</v>
      </c>
      <c r="E2093" s="371" t="str">
        <f t="shared" si="171"/>
        <v>くどう　たいが</v>
      </c>
      <c r="F2093" s="39" t="s">
        <v>1751</v>
      </c>
      <c r="G2093" s="39" t="s">
        <v>7828</v>
      </c>
      <c r="H2093" s="39" t="str">
        <f>("2016/02/24")</f>
        <v>2016/02/24</v>
      </c>
      <c r="I2093" s="39">
        <v>4</v>
      </c>
      <c r="J2093" s="39" t="s">
        <v>1478</v>
      </c>
      <c r="K2093" s="39" t="s">
        <v>2122</v>
      </c>
      <c r="L2093" s="39" t="s">
        <v>7830</v>
      </c>
      <c r="M2093" s="39" t="s">
        <v>7831</v>
      </c>
      <c r="N2093" s="39" t="str">
        <f>("0130453")</f>
        <v>0130453</v>
      </c>
      <c r="P2093" s="39" t="s">
        <v>13549</v>
      </c>
      <c r="Q2093" s="39" t="s">
        <v>8568</v>
      </c>
      <c r="R2093" s="39" t="s">
        <v>8569</v>
      </c>
      <c r="S2093" s="39" t="s">
        <v>8570</v>
      </c>
      <c r="AK2093" s="39" t="str">
        <f>("2025/09/10")</f>
        <v>2025/09/10</v>
      </c>
      <c r="AL2093" s="39" t="str">
        <f>("2025/09/10")</f>
        <v>2025/09/10</v>
      </c>
    </row>
    <row r="2094" spans="1:39" x14ac:dyDescent="0.25">
      <c r="A2094" s="39" t="str">
        <f>("1602250083")</f>
        <v>1602250083</v>
      </c>
      <c r="C2094" s="39"/>
      <c r="D2094" s="39" t="s">
        <v>9625</v>
      </c>
      <c r="E2094" s="371" t="str">
        <f t="shared" si="171"/>
        <v>まつおか　こうた</v>
      </c>
      <c r="F2094" s="39" t="s">
        <v>2477</v>
      </c>
      <c r="G2094" s="39" t="s">
        <v>7876</v>
      </c>
      <c r="H2094" s="39" t="str">
        <f>("2016/02/25")</f>
        <v>2016/02/25</v>
      </c>
      <c r="I2094" s="39">
        <v>4</v>
      </c>
      <c r="J2094" s="39" t="s">
        <v>1478</v>
      </c>
      <c r="K2094" s="39" t="s">
        <v>2122</v>
      </c>
      <c r="L2094" s="39" t="s">
        <v>7830</v>
      </c>
      <c r="M2094" s="39" t="s">
        <v>7831</v>
      </c>
      <c r="N2094" s="39" t="str">
        <f>("0129541")</f>
        <v>0129541</v>
      </c>
      <c r="P2094" s="39" t="s">
        <v>12329</v>
      </c>
      <c r="Q2094" s="39" t="s">
        <v>8568</v>
      </c>
      <c r="R2094" s="39" t="s">
        <v>8569</v>
      </c>
      <c r="S2094" s="39" t="s">
        <v>8570</v>
      </c>
      <c r="AK2094" s="39" t="str">
        <f>("2025/03/27")</f>
        <v>2025/03/27</v>
      </c>
      <c r="AL2094" s="39" t="str">
        <f>("2025/04/01")</f>
        <v>2025/04/01</v>
      </c>
      <c r="AM2094" s="39" t="str">
        <f>("2025/09/22")</f>
        <v>2025/09/22</v>
      </c>
    </row>
    <row r="2095" spans="1:39" x14ac:dyDescent="0.25">
      <c r="A2095" s="39" t="str">
        <f>("1602250155")</f>
        <v>1602250155</v>
      </c>
      <c r="C2095" s="39"/>
      <c r="D2095" s="39" t="s">
        <v>9626</v>
      </c>
      <c r="E2095" s="371" t="str">
        <f t="shared" si="171"/>
        <v>いいくら　りゅうと</v>
      </c>
      <c r="F2095" s="39" t="s">
        <v>7864</v>
      </c>
      <c r="G2095" s="39" t="s">
        <v>7828</v>
      </c>
      <c r="H2095" s="39" t="str">
        <f>("2016/02/25")</f>
        <v>2016/02/25</v>
      </c>
      <c r="I2095" s="39">
        <v>4</v>
      </c>
      <c r="J2095" s="39" t="s">
        <v>1478</v>
      </c>
      <c r="K2095" s="39" t="s">
        <v>2122</v>
      </c>
      <c r="L2095" s="39" t="s">
        <v>7830</v>
      </c>
      <c r="M2095" s="39" t="s">
        <v>7831</v>
      </c>
      <c r="N2095" s="39" t="str">
        <f>("1039801")</f>
        <v>1039801</v>
      </c>
      <c r="P2095" s="39" t="s">
        <v>13550</v>
      </c>
      <c r="Q2095" s="39" t="s">
        <v>8568</v>
      </c>
      <c r="R2095" s="39" t="s">
        <v>8569</v>
      </c>
      <c r="S2095" s="39" t="s">
        <v>8570</v>
      </c>
      <c r="AK2095" s="39" t="str">
        <f>("2025/07/30")</f>
        <v>2025/07/30</v>
      </c>
      <c r="AL2095" s="39" t="str">
        <f>("2025/07/30")</f>
        <v>2025/07/30</v>
      </c>
    </row>
    <row r="2096" spans="1:39" x14ac:dyDescent="0.25">
      <c r="A2096" s="39" t="str">
        <f>("1602260099")</f>
        <v>1602260099</v>
      </c>
      <c r="B2096" s="39" t="s">
        <v>9627</v>
      </c>
      <c r="C2096" s="39"/>
      <c r="D2096" s="39" t="s">
        <v>9628</v>
      </c>
      <c r="E2096" s="371" t="str">
        <f t="shared" si="171"/>
        <v>まつばら　あき</v>
      </c>
      <c r="F2096" s="39" t="s">
        <v>2584</v>
      </c>
      <c r="G2096" s="39" t="s">
        <v>7828</v>
      </c>
      <c r="H2096" s="39" t="str">
        <f>("2016/02/26")</f>
        <v>2016/02/26</v>
      </c>
      <c r="I2096" s="39">
        <v>4</v>
      </c>
      <c r="J2096" s="39" t="s">
        <v>1478</v>
      </c>
      <c r="K2096" s="39" t="s">
        <v>2122</v>
      </c>
      <c r="L2096" s="39" t="s">
        <v>7830</v>
      </c>
      <c r="M2096" s="39" t="s">
        <v>7831</v>
      </c>
      <c r="N2096" s="39" t="str">
        <f>("0374071")</f>
        <v>0374071</v>
      </c>
      <c r="P2096" s="39" t="s">
        <v>13551</v>
      </c>
      <c r="Q2096" s="39" t="s">
        <v>8568</v>
      </c>
      <c r="R2096" s="39" t="s">
        <v>8569</v>
      </c>
      <c r="S2096" s="39" t="s">
        <v>8570</v>
      </c>
      <c r="AK2096" s="39" t="str">
        <f>("2025/03/17")</f>
        <v>2025/03/17</v>
      </c>
      <c r="AL2096" s="39" t="str">
        <f>("2025/04/01")</f>
        <v>2025/04/01</v>
      </c>
    </row>
    <row r="2097" spans="1:39" x14ac:dyDescent="0.25">
      <c r="A2097" s="39" t="str">
        <f>("1602270013")</f>
        <v>1602270013</v>
      </c>
      <c r="C2097" s="39"/>
      <c r="D2097" s="39" t="s">
        <v>9629</v>
      </c>
      <c r="E2097" s="371" t="str">
        <f t="shared" si="171"/>
        <v>あだち　きょうしろう</v>
      </c>
      <c r="F2097" s="39" t="s">
        <v>2139</v>
      </c>
      <c r="G2097" s="39" t="s">
        <v>7828</v>
      </c>
      <c r="H2097" s="39" t="str">
        <f>("2016/02/27")</f>
        <v>2016/02/27</v>
      </c>
      <c r="I2097" s="39">
        <v>4</v>
      </c>
      <c r="J2097" s="39" t="s">
        <v>1478</v>
      </c>
      <c r="K2097" s="39" t="s">
        <v>2122</v>
      </c>
      <c r="L2097" s="39" t="s">
        <v>7830</v>
      </c>
      <c r="M2097" s="39" t="s">
        <v>7831</v>
      </c>
      <c r="N2097" s="39" t="str">
        <f>("0129798")</f>
        <v>0129798</v>
      </c>
      <c r="P2097" s="39" t="s">
        <v>13552</v>
      </c>
      <c r="Q2097" s="39" t="s">
        <v>8568</v>
      </c>
      <c r="R2097" s="39" t="s">
        <v>8569</v>
      </c>
      <c r="S2097" s="39" t="s">
        <v>8570</v>
      </c>
      <c r="AK2097" s="39" t="str">
        <f>("2025/03/27")</f>
        <v>2025/03/27</v>
      </c>
      <c r="AL2097" s="39" t="str">
        <f>("2025/04/01")</f>
        <v>2025/04/01</v>
      </c>
    </row>
    <row r="2098" spans="1:39" x14ac:dyDescent="0.25">
      <c r="A2098" s="39" t="str">
        <f>("1602270061")</f>
        <v>1602270061</v>
      </c>
      <c r="C2098" s="39"/>
      <c r="D2098" s="39" t="s">
        <v>9630</v>
      </c>
      <c r="E2098" s="371" t="str">
        <f t="shared" si="171"/>
        <v>たにぐち　りくと</v>
      </c>
      <c r="F2098" s="39" t="s">
        <v>1014</v>
      </c>
      <c r="G2098" s="39" t="s">
        <v>7828</v>
      </c>
      <c r="H2098" s="39" t="str">
        <f>("2016/05/27")</f>
        <v>2016/05/27</v>
      </c>
      <c r="I2098" s="39">
        <v>3</v>
      </c>
      <c r="J2098" s="39" t="s">
        <v>1478</v>
      </c>
      <c r="K2098" s="39" t="s">
        <v>2122</v>
      </c>
      <c r="L2098" s="39" t="s">
        <v>7830</v>
      </c>
      <c r="M2098" s="39" t="s">
        <v>7831</v>
      </c>
      <c r="N2098" s="39" t="str">
        <f>("0513313")</f>
        <v>0513313</v>
      </c>
      <c r="P2098" s="39" t="s">
        <v>13553</v>
      </c>
      <c r="Q2098" s="39" t="s">
        <v>8568</v>
      </c>
      <c r="R2098" s="39" t="s">
        <v>8569</v>
      </c>
      <c r="S2098" s="39" t="s">
        <v>8570</v>
      </c>
      <c r="AA2098" s="39" t="s">
        <v>2122</v>
      </c>
      <c r="AB2098" s="39" t="s">
        <v>7830</v>
      </c>
      <c r="AC2098" s="39" t="s">
        <v>7831</v>
      </c>
      <c r="AD2098" s="39" t="str">
        <f>("0395254")</f>
        <v>0395254</v>
      </c>
      <c r="AE2098" s="39" t="s">
        <v>1977</v>
      </c>
      <c r="AK2098" s="39" t="str">
        <f>("2025/08/27")</f>
        <v>2025/08/27</v>
      </c>
      <c r="AL2098" s="39" t="str">
        <f>("2025/08/27")</f>
        <v>2025/08/27</v>
      </c>
    </row>
    <row r="2099" spans="1:39" x14ac:dyDescent="0.25">
      <c r="A2099" s="39" t="str">
        <f>("1602280062")</f>
        <v>1602280062</v>
      </c>
      <c r="C2099" s="39"/>
      <c r="D2099" s="39" t="s">
        <v>5767</v>
      </c>
      <c r="E2099" s="371" t="str">
        <f t="shared" si="171"/>
        <v>なかむら　げん</v>
      </c>
      <c r="F2099" s="39" t="s">
        <v>156</v>
      </c>
      <c r="G2099" s="39" t="s">
        <v>7828</v>
      </c>
      <c r="H2099" s="39" t="str">
        <f>("2016/02/28")</f>
        <v>2016/02/28</v>
      </c>
      <c r="I2099" s="39">
        <v>4</v>
      </c>
      <c r="J2099" s="39" t="s">
        <v>1478</v>
      </c>
      <c r="K2099" s="39" t="s">
        <v>2122</v>
      </c>
      <c r="L2099" s="39" t="s">
        <v>7830</v>
      </c>
      <c r="M2099" s="39" t="s">
        <v>7831</v>
      </c>
      <c r="N2099" s="39" t="str">
        <f>("0130037")</f>
        <v>0130037</v>
      </c>
      <c r="P2099" s="39" t="s">
        <v>13554</v>
      </c>
      <c r="Q2099" s="39" t="s">
        <v>8568</v>
      </c>
      <c r="R2099" s="39" t="s">
        <v>8569</v>
      </c>
      <c r="S2099" s="39" t="s">
        <v>8570</v>
      </c>
      <c r="AK2099" s="39" t="str">
        <f>("2025/03/17")</f>
        <v>2025/03/17</v>
      </c>
      <c r="AL2099" s="39" t="str">
        <f>("2025/04/01")</f>
        <v>2025/04/01</v>
      </c>
    </row>
    <row r="2100" spans="1:39" x14ac:dyDescent="0.25">
      <c r="A2100" s="39" t="str">
        <f>("1602290135")</f>
        <v>1602290135</v>
      </c>
      <c r="C2100" s="39"/>
      <c r="D2100" s="39" t="s">
        <v>9631</v>
      </c>
      <c r="E2100" s="371" t="str">
        <f t="shared" si="171"/>
        <v>さとう　ふうと</v>
      </c>
      <c r="F2100" s="39" t="s">
        <v>7864</v>
      </c>
      <c r="G2100" s="39" t="s">
        <v>7828</v>
      </c>
      <c r="H2100" s="39" t="str">
        <f>("2016/02/29")</f>
        <v>2016/02/29</v>
      </c>
      <c r="I2100" s="39">
        <v>4</v>
      </c>
      <c r="J2100" s="39" t="s">
        <v>1478</v>
      </c>
      <c r="K2100" s="39" t="s">
        <v>2122</v>
      </c>
      <c r="L2100" s="39" t="s">
        <v>7830</v>
      </c>
      <c r="M2100" s="39" t="s">
        <v>7831</v>
      </c>
      <c r="N2100" s="39" t="str">
        <f>("1039801")</f>
        <v>1039801</v>
      </c>
      <c r="P2100" s="39" t="s">
        <v>13555</v>
      </c>
      <c r="Q2100" s="39" t="s">
        <v>8568</v>
      </c>
      <c r="R2100" s="39" t="s">
        <v>8569</v>
      </c>
      <c r="S2100" s="39" t="s">
        <v>8570</v>
      </c>
      <c r="AK2100" s="39" t="str">
        <f>("2025/07/30")</f>
        <v>2025/07/30</v>
      </c>
      <c r="AL2100" s="39" t="str">
        <f>("2025/07/30")</f>
        <v>2025/07/30</v>
      </c>
    </row>
    <row r="2101" spans="1:39" x14ac:dyDescent="0.25">
      <c r="A2101" s="39" t="str">
        <f>("1603010047")</f>
        <v>1603010047</v>
      </c>
      <c r="C2101" s="39"/>
      <c r="D2101" s="39" t="s">
        <v>9632</v>
      </c>
      <c r="E2101" s="371" t="str">
        <f t="shared" si="171"/>
        <v>こんどう　きょうご</v>
      </c>
      <c r="F2101" s="39" t="s">
        <v>928</v>
      </c>
      <c r="G2101" s="39" t="s">
        <v>7828</v>
      </c>
      <c r="H2101" s="39" t="str">
        <f>("2016/03/01")</f>
        <v>2016/03/01</v>
      </c>
      <c r="I2101" s="39">
        <v>4</v>
      </c>
      <c r="J2101" s="39" t="s">
        <v>1478</v>
      </c>
      <c r="K2101" s="39" t="s">
        <v>2122</v>
      </c>
      <c r="L2101" s="39" t="s">
        <v>7830</v>
      </c>
      <c r="M2101" s="39" t="s">
        <v>7831</v>
      </c>
      <c r="N2101" s="39" t="str">
        <f>("0130532")</f>
        <v>0130532</v>
      </c>
      <c r="P2101" s="39" t="s">
        <v>13556</v>
      </c>
      <c r="Q2101" s="39" t="s">
        <v>8568</v>
      </c>
      <c r="R2101" s="39" t="s">
        <v>8569</v>
      </c>
      <c r="S2101" s="39" t="s">
        <v>8570</v>
      </c>
      <c r="AK2101" s="39" t="str">
        <f>("2025/03/17")</f>
        <v>2025/03/17</v>
      </c>
      <c r="AL2101" s="39" t="str">
        <f>("2025/04/01")</f>
        <v>2025/04/01</v>
      </c>
    </row>
    <row r="2102" spans="1:39" x14ac:dyDescent="0.25">
      <c r="A2102" s="39" t="str">
        <f>("1603010075")</f>
        <v>1603010075</v>
      </c>
      <c r="C2102" s="39"/>
      <c r="D2102" s="39" t="s">
        <v>5798</v>
      </c>
      <c r="E2102" s="371" t="str">
        <f t="shared" si="171"/>
        <v>しろみず　そら</v>
      </c>
      <c r="F2102" s="39" t="s">
        <v>856</v>
      </c>
      <c r="G2102" s="39" t="s">
        <v>7828</v>
      </c>
      <c r="H2102" s="39" t="str">
        <f>("2016/03/01")</f>
        <v>2016/03/01</v>
      </c>
      <c r="I2102" s="39">
        <v>4</v>
      </c>
      <c r="J2102" s="39" t="s">
        <v>1478</v>
      </c>
      <c r="K2102" s="39" t="s">
        <v>2122</v>
      </c>
      <c r="L2102" s="39" t="s">
        <v>7830</v>
      </c>
      <c r="M2102" s="39" t="s">
        <v>7831</v>
      </c>
      <c r="N2102" s="39" t="str">
        <f>("0130149")</f>
        <v>0130149</v>
      </c>
      <c r="P2102" s="39" t="s">
        <v>13557</v>
      </c>
      <c r="Q2102" s="39" t="s">
        <v>8568</v>
      </c>
      <c r="R2102" s="39" t="s">
        <v>8569</v>
      </c>
      <c r="S2102" s="39" t="s">
        <v>8570</v>
      </c>
      <c r="AK2102" s="39" t="str">
        <f>("2025/03/17")</f>
        <v>2025/03/17</v>
      </c>
      <c r="AL2102" s="39" t="str">
        <f>("2025/04/01")</f>
        <v>2025/04/01</v>
      </c>
    </row>
    <row r="2103" spans="1:39" x14ac:dyDescent="0.25">
      <c r="A2103" s="39" t="str">
        <f>("1603010138")</f>
        <v>1603010138</v>
      </c>
      <c r="C2103" s="39"/>
      <c r="D2103" s="39" t="s">
        <v>9633</v>
      </c>
      <c r="E2103" s="371" t="str">
        <f t="shared" si="171"/>
        <v>おくもと　けんしん</v>
      </c>
      <c r="F2103" s="39" t="s">
        <v>1446</v>
      </c>
      <c r="G2103" s="39" t="s">
        <v>7828</v>
      </c>
      <c r="H2103" s="39" t="str">
        <f>("2016/03/01")</f>
        <v>2016/03/01</v>
      </c>
      <c r="I2103" s="39">
        <v>4</v>
      </c>
      <c r="J2103" s="39" t="s">
        <v>1478</v>
      </c>
      <c r="K2103" s="39" t="s">
        <v>2122</v>
      </c>
      <c r="L2103" s="39" t="s">
        <v>7830</v>
      </c>
      <c r="M2103" s="39" t="s">
        <v>7831</v>
      </c>
      <c r="N2103" s="39" t="str">
        <f>("0478807")</f>
        <v>0478807</v>
      </c>
      <c r="P2103" s="39" t="s">
        <v>13558</v>
      </c>
      <c r="Q2103" s="39" t="s">
        <v>8568</v>
      </c>
      <c r="R2103" s="39" t="s">
        <v>8569</v>
      </c>
      <c r="S2103" s="39" t="s">
        <v>8570</v>
      </c>
      <c r="AA2103" s="39" t="s">
        <v>2122</v>
      </c>
      <c r="AB2103" s="39" t="s">
        <v>7830</v>
      </c>
      <c r="AC2103" s="39" t="s">
        <v>7831</v>
      </c>
      <c r="AD2103" s="39" t="str">
        <f>("0129765")</f>
        <v>0129765</v>
      </c>
      <c r="AE2103" s="39" t="s">
        <v>520</v>
      </c>
      <c r="AK2103" s="39" t="str">
        <f>("2025/09/12")</f>
        <v>2025/09/12</v>
      </c>
      <c r="AL2103" s="39" t="str">
        <f>("2025/09/12")</f>
        <v>2025/09/12</v>
      </c>
    </row>
    <row r="2104" spans="1:39" x14ac:dyDescent="0.25">
      <c r="A2104" s="39" t="str">
        <f>("1603010166")</f>
        <v>1603010166</v>
      </c>
      <c r="C2104" s="39"/>
      <c r="D2104" s="39" t="s">
        <v>9634</v>
      </c>
      <c r="E2104" s="371" t="str">
        <f t="shared" si="171"/>
        <v>あらた　ゆうた</v>
      </c>
      <c r="F2104" s="39" t="s">
        <v>2587</v>
      </c>
      <c r="G2104" s="39" t="s">
        <v>7828</v>
      </c>
      <c r="H2104" s="39" t="str">
        <f>("2016/03/01")</f>
        <v>2016/03/01</v>
      </c>
      <c r="I2104" s="39">
        <v>4</v>
      </c>
      <c r="J2104" s="39" t="s">
        <v>1478</v>
      </c>
      <c r="K2104" s="39" t="s">
        <v>2122</v>
      </c>
      <c r="L2104" s="39" t="s">
        <v>7830</v>
      </c>
      <c r="M2104" s="39" t="s">
        <v>7831</v>
      </c>
      <c r="N2104" s="39" t="str">
        <f>("0387334")</f>
        <v>0387334</v>
      </c>
      <c r="P2104" s="39" t="s">
        <v>13559</v>
      </c>
      <c r="Q2104" s="39" t="s">
        <v>8568</v>
      </c>
      <c r="R2104" s="39" t="s">
        <v>8569</v>
      </c>
      <c r="S2104" s="39" t="s">
        <v>8570</v>
      </c>
      <c r="AK2104" s="39" t="str">
        <f>("2025/09/09")</f>
        <v>2025/09/09</v>
      </c>
      <c r="AL2104" s="39" t="str">
        <f>("2025/09/09")</f>
        <v>2025/09/09</v>
      </c>
    </row>
    <row r="2105" spans="1:39" x14ac:dyDescent="0.25">
      <c r="A2105" s="39" t="str">
        <f>("1603020171")</f>
        <v>1603020171</v>
      </c>
      <c r="C2105" s="39"/>
      <c r="D2105" s="39" t="s">
        <v>9635</v>
      </c>
      <c r="E2105" s="371" t="str">
        <f t="shared" si="171"/>
        <v>はやし　かいと</v>
      </c>
      <c r="F2105" s="39" t="s">
        <v>7864</v>
      </c>
      <c r="G2105" s="39" t="s">
        <v>7828</v>
      </c>
      <c r="H2105" s="39" t="str">
        <f>("2016/03/02")</f>
        <v>2016/03/02</v>
      </c>
      <c r="I2105" s="39">
        <v>4</v>
      </c>
      <c r="J2105" s="39" t="s">
        <v>1478</v>
      </c>
      <c r="K2105" s="39" t="s">
        <v>2122</v>
      </c>
      <c r="L2105" s="39" t="s">
        <v>7830</v>
      </c>
      <c r="M2105" s="39" t="s">
        <v>7831</v>
      </c>
      <c r="N2105" s="39" t="str">
        <f>("1039801")</f>
        <v>1039801</v>
      </c>
      <c r="P2105" s="39" t="s">
        <v>13560</v>
      </c>
      <c r="Q2105" s="39" t="s">
        <v>8568</v>
      </c>
      <c r="R2105" s="39" t="s">
        <v>8569</v>
      </c>
      <c r="S2105" s="39" t="s">
        <v>8570</v>
      </c>
      <c r="AK2105" s="39" t="str">
        <f>("2025/07/30")</f>
        <v>2025/07/30</v>
      </c>
      <c r="AL2105" s="39" t="str">
        <f>("2025/07/30")</f>
        <v>2025/07/30</v>
      </c>
    </row>
    <row r="2106" spans="1:39" x14ac:dyDescent="0.25">
      <c r="A2106" s="39" t="str">
        <f>("1603030013")</f>
        <v>1603030013</v>
      </c>
      <c r="C2106" s="39"/>
      <c r="D2106" s="39" t="s">
        <v>9636</v>
      </c>
      <c r="E2106" s="371" t="str">
        <f t="shared" si="171"/>
        <v>ほり　ひろと</v>
      </c>
      <c r="F2106" s="39" t="s">
        <v>8714</v>
      </c>
      <c r="G2106" s="39" t="s">
        <v>7828</v>
      </c>
      <c r="H2106" s="39" t="str">
        <f>("2016/03/03")</f>
        <v>2016/03/03</v>
      </c>
      <c r="I2106" s="39">
        <v>4</v>
      </c>
      <c r="J2106" s="39" t="s">
        <v>1478</v>
      </c>
      <c r="K2106" s="39" t="s">
        <v>2122</v>
      </c>
      <c r="L2106" s="39" t="s">
        <v>7830</v>
      </c>
      <c r="M2106" s="39" t="s">
        <v>7831</v>
      </c>
      <c r="N2106" s="39" t="str">
        <f>("1032147")</f>
        <v>1032147</v>
      </c>
      <c r="P2106" s="39" t="s">
        <v>13561</v>
      </c>
      <c r="Q2106" s="39" t="s">
        <v>8568</v>
      </c>
      <c r="R2106" s="39" t="s">
        <v>8569</v>
      </c>
      <c r="S2106" s="39" t="s">
        <v>8570</v>
      </c>
      <c r="AK2106" s="39" t="str">
        <f>("2025/03/17")</f>
        <v>2025/03/17</v>
      </c>
      <c r="AL2106" s="39" t="str">
        <f>("2025/04/01")</f>
        <v>2025/04/01</v>
      </c>
    </row>
    <row r="2107" spans="1:39" x14ac:dyDescent="0.25">
      <c r="A2107" s="39" t="str">
        <f>("1603030075")</f>
        <v>1603030075</v>
      </c>
      <c r="C2107" s="39"/>
      <c r="D2107" s="39" t="s">
        <v>9637</v>
      </c>
      <c r="E2107" s="371" t="str">
        <f t="shared" si="171"/>
        <v>おの　ひな</v>
      </c>
      <c r="F2107" s="39" t="s">
        <v>188</v>
      </c>
      <c r="G2107" s="39" t="s">
        <v>7828</v>
      </c>
      <c r="H2107" s="39" t="str">
        <f>("2016/03/03")</f>
        <v>2016/03/03</v>
      </c>
      <c r="I2107" s="39">
        <v>4</v>
      </c>
      <c r="J2107" s="39" t="s">
        <v>1480</v>
      </c>
      <c r="K2107" s="39" t="s">
        <v>2122</v>
      </c>
      <c r="L2107" s="39" t="s">
        <v>7830</v>
      </c>
      <c r="M2107" s="39" t="s">
        <v>7831</v>
      </c>
      <c r="N2107" s="39" t="str">
        <f>("0130734")</f>
        <v>0130734</v>
      </c>
      <c r="P2107" s="39" t="s">
        <v>13562</v>
      </c>
      <c r="Q2107" s="39" t="s">
        <v>8568</v>
      </c>
      <c r="R2107" s="39" t="s">
        <v>8569</v>
      </c>
      <c r="S2107" s="39" t="s">
        <v>8570</v>
      </c>
      <c r="AK2107" s="39" t="str">
        <f>("2025/03/17")</f>
        <v>2025/03/17</v>
      </c>
      <c r="AL2107" s="39" t="str">
        <f>("2025/04/01")</f>
        <v>2025/04/01</v>
      </c>
    </row>
    <row r="2108" spans="1:39" x14ac:dyDescent="0.25">
      <c r="A2108" s="39" t="str">
        <f>("1603030076")</f>
        <v>1603030076</v>
      </c>
      <c r="C2108" s="39"/>
      <c r="D2108" s="39" t="s">
        <v>9638</v>
      </c>
      <c r="E2108" s="371" t="str">
        <f t="shared" si="171"/>
        <v>おの　ゆめ</v>
      </c>
      <c r="F2108" s="39" t="s">
        <v>188</v>
      </c>
      <c r="G2108" s="39" t="s">
        <v>7828</v>
      </c>
      <c r="H2108" s="39" t="str">
        <f>("2016/03/03")</f>
        <v>2016/03/03</v>
      </c>
      <c r="I2108" s="39">
        <v>4</v>
      </c>
      <c r="J2108" s="39" t="s">
        <v>1480</v>
      </c>
      <c r="K2108" s="39" t="s">
        <v>2122</v>
      </c>
      <c r="L2108" s="39" t="s">
        <v>7830</v>
      </c>
      <c r="M2108" s="39" t="s">
        <v>7831</v>
      </c>
      <c r="N2108" s="39" t="str">
        <f>("0130734")</f>
        <v>0130734</v>
      </c>
      <c r="P2108" s="39" t="s">
        <v>13563</v>
      </c>
      <c r="Q2108" s="39" t="s">
        <v>8568</v>
      </c>
      <c r="R2108" s="39" t="s">
        <v>8569</v>
      </c>
      <c r="S2108" s="39" t="s">
        <v>8570</v>
      </c>
      <c r="AK2108" s="39" t="str">
        <f>("2025/03/17")</f>
        <v>2025/03/17</v>
      </c>
      <c r="AL2108" s="39" t="str">
        <f>("2025/04/01")</f>
        <v>2025/04/01</v>
      </c>
    </row>
    <row r="2109" spans="1:39" x14ac:dyDescent="0.25">
      <c r="A2109" s="39" t="str">
        <f>("1603030122")</f>
        <v>1603030122</v>
      </c>
      <c r="C2109" s="39"/>
      <c r="D2109" s="39" t="s">
        <v>9639</v>
      </c>
      <c r="E2109" s="371" t="str">
        <f t="shared" si="171"/>
        <v>しぶた　こう</v>
      </c>
      <c r="F2109" s="39" t="s">
        <v>3867</v>
      </c>
      <c r="G2109" s="39" t="s">
        <v>7828</v>
      </c>
      <c r="H2109" s="39" t="str">
        <f>("2016/03/03")</f>
        <v>2016/03/03</v>
      </c>
      <c r="I2109" s="39">
        <v>4</v>
      </c>
      <c r="J2109" s="39" t="s">
        <v>1478</v>
      </c>
      <c r="K2109" s="39" t="s">
        <v>2122</v>
      </c>
      <c r="L2109" s="39" t="s">
        <v>7830</v>
      </c>
      <c r="M2109" s="39" t="s">
        <v>7831</v>
      </c>
      <c r="N2109" s="39" t="str">
        <f>("0129990")</f>
        <v>0129990</v>
      </c>
      <c r="P2109" s="39" t="s">
        <v>13564</v>
      </c>
      <c r="Q2109" s="39" t="s">
        <v>8568</v>
      </c>
      <c r="R2109" s="39" t="s">
        <v>8569</v>
      </c>
      <c r="S2109" s="39" t="s">
        <v>8570</v>
      </c>
      <c r="AK2109" s="39" t="str">
        <f>("2025/04/01")</f>
        <v>2025/04/01</v>
      </c>
      <c r="AL2109" s="39" t="str">
        <f>("2025/04/01")</f>
        <v>2025/04/01</v>
      </c>
      <c r="AM2109" s="39" t="str">
        <f>("2025/04/08")</f>
        <v>2025/04/08</v>
      </c>
    </row>
    <row r="2110" spans="1:39" x14ac:dyDescent="0.25">
      <c r="A2110" s="39" t="str">
        <f>("1603040091")</f>
        <v>1603040091</v>
      </c>
      <c r="C2110" s="39"/>
      <c r="D2110" s="39" t="s">
        <v>9640</v>
      </c>
      <c r="E2110" s="371" t="str">
        <f t="shared" si="171"/>
        <v>まつだ　げん</v>
      </c>
      <c r="F2110" s="39" t="s">
        <v>2573</v>
      </c>
      <c r="G2110" s="39" t="s">
        <v>7828</v>
      </c>
      <c r="H2110" s="39" t="str">
        <f>("2016/03/04")</f>
        <v>2016/03/04</v>
      </c>
      <c r="I2110" s="39">
        <v>4</v>
      </c>
      <c r="J2110" s="39" t="s">
        <v>1478</v>
      </c>
      <c r="K2110" s="39" t="s">
        <v>2122</v>
      </c>
      <c r="L2110" s="39" t="s">
        <v>7830</v>
      </c>
      <c r="M2110" s="39" t="s">
        <v>7831</v>
      </c>
      <c r="N2110" s="39" t="str">
        <f>("0230982")</f>
        <v>0230982</v>
      </c>
      <c r="P2110" s="39" t="s">
        <v>13565</v>
      </c>
      <c r="Q2110" s="39" t="s">
        <v>8568</v>
      </c>
      <c r="R2110" s="39" t="s">
        <v>8569</v>
      </c>
      <c r="S2110" s="39" t="s">
        <v>8570</v>
      </c>
      <c r="AK2110" s="39" t="str">
        <f>("2025/03/17")</f>
        <v>2025/03/17</v>
      </c>
      <c r="AL2110" s="39" t="str">
        <f>("2025/04/01")</f>
        <v>2025/04/01</v>
      </c>
    </row>
    <row r="2111" spans="1:39" x14ac:dyDescent="0.25">
      <c r="A2111" s="39" t="str">
        <f>("1603050122")</f>
        <v>1603050122</v>
      </c>
      <c r="C2111" s="39"/>
      <c r="D2111" s="39" t="s">
        <v>9641</v>
      </c>
      <c r="E2111" s="371" t="str">
        <f t="shared" si="171"/>
        <v>ながせ　はるひさ</v>
      </c>
      <c r="F2111" s="39" t="s">
        <v>1968</v>
      </c>
      <c r="G2111" s="39" t="s">
        <v>7828</v>
      </c>
      <c r="H2111" s="39" t="str">
        <f>("2016/03/05")</f>
        <v>2016/03/05</v>
      </c>
      <c r="I2111" s="39">
        <v>4</v>
      </c>
      <c r="J2111" s="39" t="s">
        <v>1478</v>
      </c>
      <c r="K2111" s="39" t="s">
        <v>2122</v>
      </c>
      <c r="L2111" s="39" t="s">
        <v>7830</v>
      </c>
      <c r="M2111" s="39" t="s">
        <v>7831</v>
      </c>
      <c r="N2111" s="39" t="str">
        <f>("0129507")</f>
        <v>0129507</v>
      </c>
      <c r="P2111" s="39" t="s">
        <v>13566</v>
      </c>
      <c r="Q2111" s="39" t="s">
        <v>8568</v>
      </c>
      <c r="R2111" s="39" t="s">
        <v>8569</v>
      </c>
      <c r="S2111" s="39" t="s">
        <v>8570</v>
      </c>
      <c r="AK2111" s="39" t="str">
        <f>("2025/08/22")</f>
        <v>2025/08/22</v>
      </c>
      <c r="AL2111" s="39" t="str">
        <f>("2025/08/22")</f>
        <v>2025/08/22</v>
      </c>
    </row>
    <row r="2112" spans="1:39" x14ac:dyDescent="0.25">
      <c r="A2112" s="39" t="str">
        <f>("1603050124")</f>
        <v>1603050124</v>
      </c>
      <c r="C2112" s="39"/>
      <c r="D2112" s="39" t="s">
        <v>9642</v>
      </c>
      <c r="E2112" s="371" t="str">
        <f t="shared" si="171"/>
        <v>あそう　しおん</v>
      </c>
      <c r="F2112" s="39" t="s">
        <v>2139</v>
      </c>
      <c r="G2112" s="39" t="s">
        <v>7828</v>
      </c>
      <c r="H2112" s="39" t="str">
        <f>("2016/03/05")</f>
        <v>2016/03/05</v>
      </c>
      <c r="I2112" s="39">
        <v>4</v>
      </c>
      <c r="J2112" s="39" t="s">
        <v>1478</v>
      </c>
      <c r="K2112" s="39" t="s">
        <v>2122</v>
      </c>
      <c r="L2112" s="39" t="s">
        <v>7830</v>
      </c>
      <c r="M2112" s="39" t="s">
        <v>7831</v>
      </c>
      <c r="N2112" s="39" t="str">
        <f>("0129798")</f>
        <v>0129798</v>
      </c>
      <c r="P2112" s="39" t="s">
        <v>13567</v>
      </c>
      <c r="Q2112" s="39" t="s">
        <v>8568</v>
      </c>
      <c r="R2112" s="39" t="s">
        <v>8569</v>
      </c>
      <c r="S2112" s="39" t="s">
        <v>8570</v>
      </c>
      <c r="AK2112" s="39" t="str">
        <f>("2025/09/03")</f>
        <v>2025/09/03</v>
      </c>
      <c r="AL2112" s="39" t="str">
        <f>("2025/09/03")</f>
        <v>2025/09/03</v>
      </c>
    </row>
    <row r="2113" spans="1:39" x14ac:dyDescent="0.25">
      <c r="A2113" s="39" t="str">
        <f>("1603060031")</f>
        <v>1603060031</v>
      </c>
      <c r="C2113" s="39"/>
      <c r="D2113" s="39" t="s">
        <v>9643</v>
      </c>
      <c r="E2113" s="371" t="str">
        <f t="shared" si="171"/>
        <v>のじり　りくや</v>
      </c>
      <c r="F2113" s="39" t="s">
        <v>1977</v>
      </c>
      <c r="G2113" s="39" t="s">
        <v>7828</v>
      </c>
      <c r="H2113" s="39" t="str">
        <f>("2016/03/06")</f>
        <v>2016/03/06</v>
      </c>
      <c r="I2113" s="39">
        <v>4</v>
      </c>
      <c r="J2113" s="39" t="s">
        <v>1478</v>
      </c>
      <c r="K2113" s="39" t="s">
        <v>2122</v>
      </c>
      <c r="L2113" s="39" t="s">
        <v>7830</v>
      </c>
      <c r="M2113" s="39" t="s">
        <v>7831</v>
      </c>
      <c r="N2113" s="39" t="str">
        <f>("0395254")</f>
        <v>0395254</v>
      </c>
      <c r="P2113" s="39" t="s">
        <v>13568</v>
      </c>
      <c r="Q2113" s="39" t="s">
        <v>8568</v>
      </c>
      <c r="R2113" s="39" t="s">
        <v>8569</v>
      </c>
      <c r="S2113" s="39" t="s">
        <v>8570</v>
      </c>
      <c r="AK2113" s="39" t="str">
        <f>("2025/03/17")</f>
        <v>2025/03/17</v>
      </c>
      <c r="AL2113" s="39" t="str">
        <f>("2025/04/01")</f>
        <v>2025/04/01</v>
      </c>
    </row>
    <row r="2114" spans="1:39" x14ac:dyDescent="0.25">
      <c r="A2114" s="39" t="str">
        <f>("1603070010")</f>
        <v>1603070010</v>
      </c>
      <c r="C2114" s="39"/>
      <c r="D2114" s="39" t="s">
        <v>9644</v>
      </c>
      <c r="E2114" s="371" t="str">
        <f t="shared" si="171"/>
        <v>なかの　こうし</v>
      </c>
      <c r="F2114" s="39" t="s">
        <v>838</v>
      </c>
      <c r="G2114" s="39" t="s">
        <v>7828</v>
      </c>
      <c r="H2114" s="39" t="str">
        <f>("2016/03/07")</f>
        <v>2016/03/07</v>
      </c>
      <c r="I2114" s="39">
        <v>4</v>
      </c>
      <c r="J2114" s="39" t="s">
        <v>1478</v>
      </c>
      <c r="K2114" s="39" t="s">
        <v>2122</v>
      </c>
      <c r="L2114" s="39" t="s">
        <v>7830</v>
      </c>
      <c r="M2114" s="39" t="s">
        <v>7831</v>
      </c>
      <c r="N2114" s="39" t="str">
        <f>("0360021")</f>
        <v>0360021</v>
      </c>
      <c r="P2114" s="39" t="s">
        <v>13569</v>
      </c>
      <c r="Q2114" s="39" t="s">
        <v>8568</v>
      </c>
      <c r="R2114" s="39" t="s">
        <v>8569</v>
      </c>
      <c r="S2114" s="39" t="s">
        <v>8570</v>
      </c>
      <c r="AA2114" s="39" t="s">
        <v>2122</v>
      </c>
      <c r="AB2114" s="39" t="s">
        <v>7830</v>
      </c>
      <c r="AC2114" s="39" t="s">
        <v>7831</v>
      </c>
      <c r="AD2114" s="39" t="str">
        <f>("0230982")</f>
        <v>0230982</v>
      </c>
      <c r="AE2114" s="39" t="s">
        <v>2573</v>
      </c>
      <c r="AK2114" s="39" t="str">
        <f>("2025/04/10")</f>
        <v>2025/04/10</v>
      </c>
      <c r="AL2114" s="39" t="str">
        <f>("2025/04/10")</f>
        <v>2025/04/10</v>
      </c>
    </row>
    <row r="2115" spans="1:39" x14ac:dyDescent="0.25">
      <c r="A2115" s="39" t="str">
        <f>("1603070171")</f>
        <v>1603070171</v>
      </c>
      <c r="C2115" s="39"/>
      <c r="D2115" s="39" t="s">
        <v>9645</v>
      </c>
      <c r="E2115" s="371" t="str">
        <f t="shared" ref="E2115:E2178" si="175">PHONETIC(P2115)</f>
        <v>わだ　はるた</v>
      </c>
      <c r="F2115" s="39" t="s">
        <v>1481</v>
      </c>
      <c r="G2115" s="39" t="s">
        <v>7828</v>
      </c>
      <c r="H2115" s="39" t="str">
        <f>("2016/03/07")</f>
        <v>2016/03/07</v>
      </c>
      <c r="I2115" s="39">
        <v>4</v>
      </c>
      <c r="J2115" s="39" t="s">
        <v>1478</v>
      </c>
      <c r="K2115" s="39" t="s">
        <v>2122</v>
      </c>
      <c r="L2115" s="39" t="s">
        <v>7830</v>
      </c>
      <c r="M2115" s="39" t="s">
        <v>7831</v>
      </c>
      <c r="N2115" s="39" t="str">
        <f>("0129866")</f>
        <v>0129866</v>
      </c>
      <c r="P2115" s="39" t="s">
        <v>13570</v>
      </c>
      <c r="Q2115" s="39" t="s">
        <v>8568</v>
      </c>
      <c r="R2115" s="39" t="s">
        <v>8569</v>
      </c>
      <c r="S2115" s="39" t="s">
        <v>8570</v>
      </c>
      <c r="AK2115" s="39" t="str">
        <f>("2025/04/10")</f>
        <v>2025/04/10</v>
      </c>
      <c r="AL2115" s="39" t="str">
        <f>("2025/04/10")</f>
        <v>2025/04/10</v>
      </c>
    </row>
    <row r="2116" spans="1:39" x14ac:dyDescent="0.25">
      <c r="A2116" s="39" t="str">
        <f>("1603090064")</f>
        <v>1603090064</v>
      </c>
      <c r="C2116" s="39"/>
      <c r="D2116" s="39" t="s">
        <v>9646</v>
      </c>
      <c r="E2116" s="371" t="str">
        <f t="shared" si="175"/>
        <v>いなば　かずま</v>
      </c>
      <c r="F2116" s="39" t="s">
        <v>2138</v>
      </c>
      <c r="G2116" s="39" t="s">
        <v>7828</v>
      </c>
      <c r="H2116" s="39" t="str">
        <f>("2016/03/09")</f>
        <v>2016/03/09</v>
      </c>
      <c r="I2116" s="39">
        <v>4</v>
      </c>
      <c r="J2116" s="39" t="s">
        <v>1478</v>
      </c>
      <c r="K2116" s="39" t="s">
        <v>2122</v>
      </c>
      <c r="L2116" s="39" t="s">
        <v>7830</v>
      </c>
      <c r="M2116" s="39" t="s">
        <v>7831</v>
      </c>
      <c r="N2116" s="39" t="str">
        <f>("0130082")</f>
        <v>0130082</v>
      </c>
      <c r="P2116" s="39" t="s">
        <v>13571</v>
      </c>
      <c r="Q2116" s="39" t="s">
        <v>8568</v>
      </c>
      <c r="R2116" s="39" t="s">
        <v>8569</v>
      </c>
      <c r="S2116" s="39" t="s">
        <v>8570</v>
      </c>
      <c r="AK2116" s="39" t="str">
        <f>("2025/03/17")</f>
        <v>2025/03/17</v>
      </c>
      <c r="AL2116" s="39" t="str">
        <f>("2025/04/01")</f>
        <v>2025/04/01</v>
      </c>
    </row>
    <row r="2117" spans="1:39" x14ac:dyDescent="0.25">
      <c r="A2117" s="39" t="str">
        <f>("1603090087")</f>
        <v>1603090087</v>
      </c>
      <c r="C2117" s="39"/>
      <c r="D2117" s="39" t="s">
        <v>9647</v>
      </c>
      <c r="E2117" s="371" t="str">
        <f t="shared" si="175"/>
        <v>えとう　だいな</v>
      </c>
      <c r="F2117" s="39" t="s">
        <v>2477</v>
      </c>
      <c r="G2117" s="39" t="s">
        <v>7828</v>
      </c>
      <c r="H2117" s="39" t="str">
        <f>("2016/03/09")</f>
        <v>2016/03/09</v>
      </c>
      <c r="I2117" s="39">
        <v>4</v>
      </c>
      <c r="J2117" s="39" t="s">
        <v>1478</v>
      </c>
      <c r="K2117" s="39" t="s">
        <v>2122</v>
      </c>
      <c r="L2117" s="39" t="s">
        <v>7830</v>
      </c>
      <c r="M2117" s="39" t="s">
        <v>7831</v>
      </c>
      <c r="N2117" s="39" t="str">
        <f>("0129541")</f>
        <v>0129541</v>
      </c>
      <c r="P2117" s="39" t="s">
        <v>13572</v>
      </c>
      <c r="Q2117" s="39" t="s">
        <v>8568</v>
      </c>
      <c r="R2117" s="39" t="s">
        <v>8569</v>
      </c>
      <c r="S2117" s="39" t="s">
        <v>8570</v>
      </c>
      <c r="AK2117" s="39" t="str">
        <f>("2025/03/27")</f>
        <v>2025/03/27</v>
      </c>
      <c r="AL2117" s="39" t="str">
        <f>("2025/04/01")</f>
        <v>2025/04/01</v>
      </c>
    </row>
    <row r="2118" spans="1:39" x14ac:dyDescent="0.25">
      <c r="A2118" s="39" t="str">
        <f>("1603100030")</f>
        <v>1603100030</v>
      </c>
      <c r="C2118" s="39"/>
      <c r="D2118" s="39" t="s">
        <v>9648</v>
      </c>
      <c r="E2118" s="371" t="str">
        <f t="shared" si="175"/>
        <v>かわむら　れお</v>
      </c>
      <c r="F2118" s="39" t="s">
        <v>2137</v>
      </c>
      <c r="G2118" s="39" t="s">
        <v>7828</v>
      </c>
      <c r="H2118" s="39" t="str">
        <f>("2016/03/10")</f>
        <v>2016/03/10</v>
      </c>
      <c r="I2118" s="39">
        <v>4</v>
      </c>
      <c r="J2118" s="39" t="s">
        <v>1478</v>
      </c>
      <c r="K2118" s="39" t="s">
        <v>2122</v>
      </c>
      <c r="L2118" s="39" t="s">
        <v>7830</v>
      </c>
      <c r="M2118" s="39" t="s">
        <v>7831</v>
      </c>
      <c r="N2118" s="39" t="str">
        <f>("0130510")</f>
        <v>0130510</v>
      </c>
      <c r="P2118" s="39" t="s">
        <v>13573</v>
      </c>
      <c r="Q2118" s="39" t="s">
        <v>8568</v>
      </c>
      <c r="R2118" s="39" t="s">
        <v>8569</v>
      </c>
      <c r="S2118" s="39" t="s">
        <v>8570</v>
      </c>
      <c r="AK2118" s="39" t="str">
        <f>("2025/03/21")</f>
        <v>2025/03/21</v>
      </c>
      <c r="AL2118" s="39" t="str">
        <f>("2025/04/01")</f>
        <v>2025/04/01</v>
      </c>
    </row>
    <row r="2119" spans="1:39" x14ac:dyDescent="0.25">
      <c r="A2119" s="39" t="str">
        <f>("1603100159")</f>
        <v>1603100159</v>
      </c>
      <c r="C2119" s="39"/>
      <c r="D2119" s="39" t="s">
        <v>9649</v>
      </c>
      <c r="E2119" s="371" t="str">
        <f t="shared" si="175"/>
        <v>くぼ　ひろと</v>
      </c>
      <c r="F2119" s="39" t="s">
        <v>2619</v>
      </c>
      <c r="G2119" s="39" t="s">
        <v>7828</v>
      </c>
      <c r="H2119" s="39" t="str">
        <f>("2016/03/10")</f>
        <v>2016/03/10</v>
      </c>
      <c r="I2119" s="39">
        <v>4</v>
      </c>
      <c r="J2119" s="39" t="s">
        <v>1478</v>
      </c>
      <c r="K2119" s="39" t="s">
        <v>2122</v>
      </c>
      <c r="L2119" s="39" t="s">
        <v>7830</v>
      </c>
      <c r="M2119" s="39" t="s">
        <v>7831</v>
      </c>
      <c r="N2119" s="39" t="str">
        <f>("0472823")</f>
        <v>0472823</v>
      </c>
      <c r="P2119" s="39" t="s">
        <v>13574</v>
      </c>
      <c r="Q2119" s="39" t="s">
        <v>8568</v>
      </c>
      <c r="R2119" s="39" t="s">
        <v>8569</v>
      </c>
      <c r="S2119" s="39" t="s">
        <v>8570</v>
      </c>
      <c r="AK2119" s="39" t="str">
        <f>("2025/07/30")</f>
        <v>2025/07/30</v>
      </c>
      <c r="AL2119" s="39" t="str">
        <f>("2025/07/30")</f>
        <v>2025/07/30</v>
      </c>
    </row>
    <row r="2120" spans="1:39" x14ac:dyDescent="0.25">
      <c r="A2120" s="39" t="str">
        <f>("1603110075")</f>
        <v>1603110075</v>
      </c>
      <c r="C2120" s="39"/>
      <c r="D2120" s="39" t="s">
        <v>9650</v>
      </c>
      <c r="E2120" s="371" t="str">
        <f t="shared" si="175"/>
        <v>たかじ　なおき</v>
      </c>
      <c r="F2120" s="39" t="s">
        <v>1977</v>
      </c>
      <c r="G2120" s="39" t="s">
        <v>7876</v>
      </c>
      <c r="H2120" s="39" t="str">
        <f>("2016/03/11")</f>
        <v>2016/03/11</v>
      </c>
      <c r="I2120" s="39">
        <v>4</v>
      </c>
      <c r="J2120" s="39" t="s">
        <v>1478</v>
      </c>
      <c r="K2120" s="39" t="s">
        <v>2122</v>
      </c>
      <c r="L2120" s="39" t="s">
        <v>7830</v>
      </c>
      <c r="M2120" s="39" t="s">
        <v>7831</v>
      </c>
      <c r="N2120" s="39" t="str">
        <f>("0395254")</f>
        <v>0395254</v>
      </c>
      <c r="P2120" s="39" t="s">
        <v>13575</v>
      </c>
      <c r="Q2120" s="39" t="s">
        <v>8568</v>
      </c>
      <c r="R2120" s="39" t="s">
        <v>8569</v>
      </c>
      <c r="S2120" s="39" t="s">
        <v>8570</v>
      </c>
      <c r="AK2120" s="39" t="str">
        <f>("2025/03/17")</f>
        <v>2025/03/17</v>
      </c>
      <c r="AL2120" s="39" t="str">
        <f>("2025/04/01")</f>
        <v>2025/04/01</v>
      </c>
      <c r="AM2120" s="39" t="str">
        <f>("2025/08/07")</f>
        <v>2025/08/07</v>
      </c>
    </row>
    <row r="2121" spans="1:39" x14ac:dyDescent="0.25">
      <c r="A2121" s="39" t="str">
        <f>("1603110138")</f>
        <v>1603110138</v>
      </c>
      <c r="C2121" s="39"/>
      <c r="D2121" s="39" t="s">
        <v>9651</v>
      </c>
      <c r="E2121" s="371" t="str">
        <f t="shared" si="175"/>
        <v>いわお　りく</v>
      </c>
      <c r="F2121" s="39" t="s">
        <v>1207</v>
      </c>
      <c r="G2121" s="39" t="s">
        <v>7828</v>
      </c>
      <c r="H2121" s="39" t="str">
        <f>("2016/03/11")</f>
        <v>2016/03/11</v>
      </c>
      <c r="I2121" s="39">
        <v>4</v>
      </c>
      <c r="J2121" s="39" t="s">
        <v>1478</v>
      </c>
      <c r="K2121" s="39" t="s">
        <v>2122</v>
      </c>
      <c r="L2121" s="39" t="s">
        <v>7830</v>
      </c>
      <c r="M2121" s="39" t="s">
        <v>7831</v>
      </c>
      <c r="N2121" s="39" t="str">
        <f>("0381608")</f>
        <v>0381608</v>
      </c>
      <c r="P2121" s="39" t="s">
        <v>13576</v>
      </c>
      <c r="Q2121" s="39" t="s">
        <v>8568</v>
      </c>
      <c r="R2121" s="39" t="s">
        <v>8569</v>
      </c>
      <c r="S2121" s="39" t="s">
        <v>8570</v>
      </c>
      <c r="AK2121" s="39" t="str">
        <f>("2025/04/23")</f>
        <v>2025/04/23</v>
      </c>
      <c r="AL2121" s="39" t="str">
        <f>("2025/04/23")</f>
        <v>2025/04/23</v>
      </c>
    </row>
    <row r="2122" spans="1:39" x14ac:dyDescent="0.25">
      <c r="A2122" s="39" t="str">
        <f>("1603110148")</f>
        <v>1603110148</v>
      </c>
      <c r="C2122" s="39"/>
      <c r="D2122" s="39" t="s">
        <v>9652</v>
      </c>
      <c r="E2122" s="371" t="str">
        <f t="shared" si="175"/>
        <v>しゅとう　たくや</v>
      </c>
      <c r="F2122" s="39" t="s">
        <v>2243</v>
      </c>
      <c r="G2122" s="39" t="s">
        <v>7828</v>
      </c>
      <c r="H2122" s="39" t="str">
        <f>("2016/03/11")</f>
        <v>2016/03/11</v>
      </c>
      <c r="I2122" s="39">
        <v>4</v>
      </c>
      <c r="J2122" s="39" t="s">
        <v>1478</v>
      </c>
      <c r="K2122" s="39" t="s">
        <v>2122</v>
      </c>
      <c r="L2122" s="39" t="s">
        <v>7830</v>
      </c>
      <c r="M2122" s="39" t="s">
        <v>7831</v>
      </c>
      <c r="N2122" s="39" t="str">
        <f>("0130565")</f>
        <v>0130565</v>
      </c>
      <c r="P2122" s="39" t="s">
        <v>13577</v>
      </c>
      <c r="Q2122" s="39" t="s">
        <v>8568</v>
      </c>
      <c r="R2122" s="39" t="s">
        <v>8569</v>
      </c>
      <c r="S2122" s="39" t="s">
        <v>8570</v>
      </c>
      <c r="AK2122" s="39" t="str">
        <f>("2025/05/29")</f>
        <v>2025/05/29</v>
      </c>
      <c r="AL2122" s="39" t="str">
        <f>("2025/05/29")</f>
        <v>2025/05/29</v>
      </c>
    </row>
    <row r="2123" spans="1:39" x14ac:dyDescent="0.25">
      <c r="A2123" s="39" t="str">
        <f>("1603120012")</f>
        <v>1603120012</v>
      </c>
      <c r="C2123" s="39"/>
      <c r="D2123" s="39" t="s">
        <v>9653</v>
      </c>
      <c r="E2123" s="371" t="str">
        <f t="shared" si="175"/>
        <v>みやざき　こうだい</v>
      </c>
      <c r="F2123" s="39" t="s">
        <v>2477</v>
      </c>
      <c r="G2123" s="39" t="s">
        <v>7828</v>
      </c>
      <c r="H2123" s="39" t="str">
        <f>("2016/03/12")</f>
        <v>2016/03/12</v>
      </c>
      <c r="I2123" s="39">
        <v>4</v>
      </c>
      <c r="J2123" s="39" t="s">
        <v>1478</v>
      </c>
      <c r="K2123" s="39" t="s">
        <v>2122</v>
      </c>
      <c r="L2123" s="39" t="s">
        <v>7830</v>
      </c>
      <c r="M2123" s="39" t="s">
        <v>7831</v>
      </c>
      <c r="N2123" s="39" t="str">
        <f>("0129541")</f>
        <v>0129541</v>
      </c>
      <c r="P2123" s="39" t="s">
        <v>13578</v>
      </c>
      <c r="Q2123" s="39" t="s">
        <v>8568</v>
      </c>
      <c r="R2123" s="39" t="s">
        <v>8569</v>
      </c>
      <c r="S2123" s="39" t="s">
        <v>8570</v>
      </c>
      <c r="AA2123" s="39" t="s">
        <v>2122</v>
      </c>
      <c r="AB2123" s="39" t="s">
        <v>7830</v>
      </c>
      <c r="AC2123" s="39" t="s">
        <v>7831</v>
      </c>
      <c r="AD2123" s="39" t="str">
        <f>("0129462")</f>
        <v>0129462</v>
      </c>
      <c r="AE2123" s="39" t="s">
        <v>2469</v>
      </c>
      <c r="AK2123" s="39" t="str">
        <f>("2025/08/25")</f>
        <v>2025/08/25</v>
      </c>
      <c r="AL2123" s="39" t="str">
        <f>("2025/08/25")</f>
        <v>2025/08/25</v>
      </c>
    </row>
    <row r="2124" spans="1:39" x14ac:dyDescent="0.25">
      <c r="A2124" s="39" t="str">
        <f>("1603130026")</f>
        <v>1603130026</v>
      </c>
      <c r="B2124" s="39" t="s">
        <v>9654</v>
      </c>
      <c r="C2124" s="39"/>
      <c r="D2124" s="39" t="s">
        <v>5716</v>
      </c>
      <c r="E2124" s="371" t="str">
        <f t="shared" si="175"/>
        <v>とおや　はやと</v>
      </c>
      <c r="F2124" s="39" t="s">
        <v>2139</v>
      </c>
      <c r="G2124" s="39" t="s">
        <v>7828</v>
      </c>
      <c r="H2124" s="39" t="str">
        <f>("2016/03/13")</f>
        <v>2016/03/13</v>
      </c>
      <c r="I2124" s="39">
        <v>4</v>
      </c>
      <c r="J2124" s="39" t="s">
        <v>1478</v>
      </c>
      <c r="K2124" s="39" t="s">
        <v>2122</v>
      </c>
      <c r="L2124" s="39" t="s">
        <v>7830</v>
      </c>
      <c r="M2124" s="39" t="s">
        <v>7831</v>
      </c>
      <c r="N2124" s="39" t="str">
        <f>("0129798")</f>
        <v>0129798</v>
      </c>
      <c r="P2124" s="39" t="s">
        <v>13579</v>
      </c>
      <c r="Q2124" s="39" t="s">
        <v>8568</v>
      </c>
      <c r="R2124" s="39" t="s">
        <v>8569</v>
      </c>
      <c r="S2124" s="39" t="s">
        <v>8570</v>
      </c>
      <c r="AK2124" s="39" t="str">
        <f>("2025/03/27")</f>
        <v>2025/03/27</v>
      </c>
      <c r="AL2124" s="39" t="str">
        <f t="shared" ref="AL2124:AL2130" si="176">("2025/04/01")</f>
        <v>2025/04/01</v>
      </c>
    </row>
    <row r="2125" spans="1:39" x14ac:dyDescent="0.25">
      <c r="A2125" s="39" t="str">
        <f>("1603130035")</f>
        <v>1603130035</v>
      </c>
      <c r="C2125" s="39"/>
      <c r="D2125" s="39" t="s">
        <v>9655</v>
      </c>
      <c r="E2125" s="371" t="str">
        <f t="shared" si="175"/>
        <v>はまだ　はるま</v>
      </c>
      <c r="F2125" s="39" t="s">
        <v>8714</v>
      </c>
      <c r="G2125" s="39" t="s">
        <v>7828</v>
      </c>
      <c r="H2125" s="39" t="str">
        <f>("2016/03/13")</f>
        <v>2016/03/13</v>
      </c>
      <c r="I2125" s="39">
        <v>4</v>
      </c>
      <c r="J2125" s="39" t="s">
        <v>1478</v>
      </c>
      <c r="K2125" s="39" t="s">
        <v>2122</v>
      </c>
      <c r="L2125" s="39" t="s">
        <v>7830</v>
      </c>
      <c r="M2125" s="39" t="s">
        <v>7831</v>
      </c>
      <c r="N2125" s="39" t="str">
        <f>("1032147")</f>
        <v>1032147</v>
      </c>
      <c r="P2125" s="39" t="s">
        <v>13580</v>
      </c>
      <c r="Q2125" s="39" t="s">
        <v>8568</v>
      </c>
      <c r="R2125" s="39" t="s">
        <v>8569</v>
      </c>
      <c r="S2125" s="39" t="s">
        <v>8570</v>
      </c>
      <c r="AK2125" s="39" t="str">
        <f>("2025/03/17")</f>
        <v>2025/03/17</v>
      </c>
      <c r="AL2125" s="39" t="str">
        <f t="shared" si="176"/>
        <v>2025/04/01</v>
      </c>
    </row>
    <row r="2126" spans="1:39" x14ac:dyDescent="0.25">
      <c r="A2126" s="39" t="str">
        <f>("1603130055")</f>
        <v>1603130055</v>
      </c>
      <c r="C2126" s="39"/>
      <c r="D2126" s="39" t="s">
        <v>9656</v>
      </c>
      <c r="E2126" s="371" t="str">
        <f t="shared" si="175"/>
        <v>あべ　けいご</v>
      </c>
      <c r="F2126" s="39" t="s">
        <v>1977</v>
      </c>
      <c r="G2126" s="39" t="s">
        <v>7828</v>
      </c>
      <c r="H2126" s="39" t="str">
        <f>("2016/03/13")</f>
        <v>2016/03/13</v>
      </c>
      <c r="I2126" s="39">
        <v>4</v>
      </c>
      <c r="J2126" s="39" t="s">
        <v>1478</v>
      </c>
      <c r="K2126" s="39" t="s">
        <v>2122</v>
      </c>
      <c r="L2126" s="39" t="s">
        <v>7830</v>
      </c>
      <c r="M2126" s="39" t="s">
        <v>7831</v>
      </c>
      <c r="N2126" s="39" t="str">
        <f>("0395254")</f>
        <v>0395254</v>
      </c>
      <c r="P2126" s="39" t="s">
        <v>13581</v>
      </c>
      <c r="Q2126" s="39" t="s">
        <v>8568</v>
      </c>
      <c r="R2126" s="39" t="s">
        <v>8569</v>
      </c>
      <c r="S2126" s="39" t="s">
        <v>8570</v>
      </c>
      <c r="AK2126" s="39" t="str">
        <f>("2025/03/17")</f>
        <v>2025/03/17</v>
      </c>
      <c r="AL2126" s="39" t="str">
        <f t="shared" si="176"/>
        <v>2025/04/01</v>
      </c>
    </row>
    <row r="2127" spans="1:39" x14ac:dyDescent="0.25">
      <c r="A2127" s="39" t="str">
        <f>("1603140133")</f>
        <v>1603140133</v>
      </c>
      <c r="B2127" s="39" t="s">
        <v>9657</v>
      </c>
      <c r="C2127" s="39"/>
      <c r="D2127" s="39" t="s">
        <v>9658</v>
      </c>
      <c r="E2127" s="371" t="str">
        <f t="shared" si="175"/>
        <v>くわはら　ひびと</v>
      </c>
      <c r="F2127" s="39" t="s">
        <v>856</v>
      </c>
      <c r="G2127" s="39" t="s">
        <v>7828</v>
      </c>
      <c r="H2127" s="39" t="str">
        <f>("2016/03/14")</f>
        <v>2016/03/14</v>
      </c>
      <c r="I2127" s="39">
        <v>4</v>
      </c>
      <c r="J2127" s="39" t="s">
        <v>1478</v>
      </c>
      <c r="K2127" s="39" t="s">
        <v>2122</v>
      </c>
      <c r="L2127" s="39" t="s">
        <v>7830</v>
      </c>
      <c r="M2127" s="39" t="s">
        <v>7831</v>
      </c>
      <c r="N2127" s="39" t="str">
        <f>("0130149")</f>
        <v>0130149</v>
      </c>
      <c r="P2127" s="39" t="s">
        <v>13582</v>
      </c>
      <c r="Q2127" s="39" t="s">
        <v>8568</v>
      </c>
      <c r="R2127" s="39" t="s">
        <v>8569</v>
      </c>
      <c r="S2127" s="39" t="s">
        <v>8570</v>
      </c>
      <c r="AK2127" s="39" t="str">
        <f>("2025/04/01")</f>
        <v>2025/04/01</v>
      </c>
      <c r="AL2127" s="39" t="str">
        <f t="shared" si="176"/>
        <v>2025/04/01</v>
      </c>
    </row>
    <row r="2128" spans="1:39" x14ac:dyDescent="0.25">
      <c r="A2128" s="39" t="str">
        <f>("1603160002")</f>
        <v>1603160002</v>
      </c>
      <c r="C2128" s="39"/>
      <c r="D2128" s="39" t="s">
        <v>9659</v>
      </c>
      <c r="E2128" s="371" t="str">
        <f t="shared" si="175"/>
        <v>あおき　ねね</v>
      </c>
      <c r="F2128" s="39" t="s">
        <v>2574</v>
      </c>
      <c r="G2128" s="39" t="s">
        <v>7828</v>
      </c>
      <c r="H2128" s="39" t="str">
        <f>("2016/03/16")</f>
        <v>2016/03/16</v>
      </c>
      <c r="I2128" s="39">
        <v>4</v>
      </c>
      <c r="J2128" s="39" t="s">
        <v>1480</v>
      </c>
      <c r="K2128" s="39" t="s">
        <v>2122</v>
      </c>
      <c r="L2128" s="39" t="s">
        <v>7830</v>
      </c>
      <c r="M2128" s="39" t="s">
        <v>7831</v>
      </c>
      <c r="N2128" s="39" t="str">
        <f>("0237620")</f>
        <v>0237620</v>
      </c>
      <c r="P2128" s="39" t="s">
        <v>13583</v>
      </c>
      <c r="Q2128" s="39" t="s">
        <v>8568</v>
      </c>
      <c r="R2128" s="39" t="s">
        <v>8569</v>
      </c>
      <c r="S2128" s="39" t="s">
        <v>8570</v>
      </c>
      <c r="AK2128" s="39" t="str">
        <f>("2025/03/17")</f>
        <v>2025/03/17</v>
      </c>
      <c r="AL2128" s="39" t="str">
        <f t="shared" si="176"/>
        <v>2025/04/01</v>
      </c>
    </row>
    <row r="2129" spans="1:39" x14ac:dyDescent="0.25">
      <c r="A2129" s="39" t="str">
        <f>("1603160133")</f>
        <v>1603160133</v>
      </c>
      <c r="C2129" s="39"/>
      <c r="D2129" s="39" t="s">
        <v>9660</v>
      </c>
      <c r="E2129" s="371" t="str">
        <f t="shared" si="175"/>
        <v>しが　はると</v>
      </c>
      <c r="F2129" s="39" t="s">
        <v>1977</v>
      </c>
      <c r="G2129" s="39" t="s">
        <v>7828</v>
      </c>
      <c r="H2129" s="39" t="str">
        <f>("2016/03/16")</f>
        <v>2016/03/16</v>
      </c>
      <c r="I2129" s="39">
        <v>4</v>
      </c>
      <c r="J2129" s="39" t="s">
        <v>1478</v>
      </c>
      <c r="K2129" s="39" t="s">
        <v>2122</v>
      </c>
      <c r="L2129" s="39" t="s">
        <v>7830</v>
      </c>
      <c r="M2129" s="39" t="s">
        <v>7831</v>
      </c>
      <c r="N2129" s="39" t="str">
        <f>("0395254")</f>
        <v>0395254</v>
      </c>
      <c r="P2129" s="39" t="s">
        <v>13584</v>
      </c>
      <c r="Q2129" s="39" t="s">
        <v>8568</v>
      </c>
      <c r="R2129" s="39" t="s">
        <v>8569</v>
      </c>
      <c r="S2129" s="39" t="s">
        <v>8570</v>
      </c>
      <c r="AK2129" s="39" t="str">
        <f>("2025/03/17")</f>
        <v>2025/03/17</v>
      </c>
      <c r="AL2129" s="39" t="str">
        <f t="shared" si="176"/>
        <v>2025/04/01</v>
      </c>
    </row>
    <row r="2130" spans="1:39" x14ac:dyDescent="0.25">
      <c r="A2130" s="39" t="str">
        <f>("1603180128")</f>
        <v>1603180128</v>
      </c>
      <c r="C2130" s="39"/>
      <c r="D2130" s="39" t="s">
        <v>9661</v>
      </c>
      <c r="E2130" s="371" t="str">
        <f t="shared" si="175"/>
        <v>やました　あさひ</v>
      </c>
      <c r="F2130" s="39" t="s">
        <v>2557</v>
      </c>
      <c r="G2130" s="39" t="s">
        <v>7828</v>
      </c>
      <c r="H2130" s="39" t="str">
        <f>("2016/03/18")</f>
        <v>2016/03/18</v>
      </c>
      <c r="I2130" s="39">
        <v>4</v>
      </c>
      <c r="J2130" s="39" t="s">
        <v>1478</v>
      </c>
      <c r="K2130" s="39" t="s">
        <v>2122</v>
      </c>
      <c r="L2130" s="39" t="s">
        <v>7830</v>
      </c>
      <c r="M2130" s="39" t="s">
        <v>7831</v>
      </c>
      <c r="N2130" s="39" t="str">
        <f>("0130723")</f>
        <v>0130723</v>
      </c>
      <c r="P2130" s="39" t="s">
        <v>13585</v>
      </c>
      <c r="Q2130" s="39" t="s">
        <v>8568</v>
      </c>
      <c r="R2130" s="39" t="s">
        <v>8569</v>
      </c>
      <c r="S2130" s="39" t="s">
        <v>8570</v>
      </c>
      <c r="AK2130" s="39" t="str">
        <f>("2025/04/01")</f>
        <v>2025/04/01</v>
      </c>
      <c r="AL2130" s="39" t="str">
        <f t="shared" si="176"/>
        <v>2025/04/01</v>
      </c>
    </row>
    <row r="2131" spans="1:39" x14ac:dyDescent="0.25">
      <c r="A2131" s="39" t="str">
        <f>("1603190116")</f>
        <v>1603190116</v>
      </c>
      <c r="C2131" s="39"/>
      <c r="D2131" s="39" t="s">
        <v>9662</v>
      </c>
      <c r="E2131" s="371" t="str">
        <f t="shared" si="175"/>
        <v>なかむら　そうし</v>
      </c>
      <c r="F2131" s="39" t="s">
        <v>2477</v>
      </c>
      <c r="G2131" s="39" t="s">
        <v>7876</v>
      </c>
      <c r="H2131" s="39" t="str">
        <f>("2016/03/19")</f>
        <v>2016/03/19</v>
      </c>
      <c r="I2131" s="39">
        <v>4</v>
      </c>
      <c r="J2131" s="39" t="s">
        <v>1478</v>
      </c>
      <c r="K2131" s="39" t="s">
        <v>2122</v>
      </c>
      <c r="L2131" s="39" t="s">
        <v>7830</v>
      </c>
      <c r="M2131" s="39" t="s">
        <v>7831</v>
      </c>
      <c r="N2131" s="39" t="str">
        <f>("0129541")</f>
        <v>0129541</v>
      </c>
      <c r="P2131" s="39" t="s">
        <v>13586</v>
      </c>
      <c r="Q2131" s="39" t="s">
        <v>8568</v>
      </c>
      <c r="R2131" s="39" t="s">
        <v>8569</v>
      </c>
      <c r="S2131" s="39" t="s">
        <v>8570</v>
      </c>
      <c r="AK2131" s="39" t="str">
        <f>("2025/05/12")</f>
        <v>2025/05/12</v>
      </c>
      <c r="AL2131" s="39" t="str">
        <f>("2025/05/12")</f>
        <v>2025/05/12</v>
      </c>
      <c r="AM2131" s="39" t="str">
        <f>("2025/09/22")</f>
        <v>2025/09/22</v>
      </c>
    </row>
    <row r="2132" spans="1:39" x14ac:dyDescent="0.25">
      <c r="A2132" s="39" t="str">
        <f>("1603210077")</f>
        <v>1603210077</v>
      </c>
      <c r="C2132" s="39"/>
      <c r="D2132" s="39" t="s">
        <v>9663</v>
      </c>
      <c r="E2132" s="371" t="str">
        <f t="shared" si="175"/>
        <v>たけだ　いつき</v>
      </c>
      <c r="F2132" s="39" t="s">
        <v>2491</v>
      </c>
      <c r="G2132" s="39" t="s">
        <v>7828</v>
      </c>
      <c r="H2132" s="39" t="str">
        <f>("2016/03/21")</f>
        <v>2016/03/21</v>
      </c>
      <c r="I2132" s="39">
        <v>4</v>
      </c>
      <c r="J2132" s="39" t="s">
        <v>1478</v>
      </c>
      <c r="K2132" s="39" t="s">
        <v>2122</v>
      </c>
      <c r="L2132" s="39" t="s">
        <v>7830</v>
      </c>
      <c r="M2132" s="39" t="s">
        <v>7831</v>
      </c>
      <c r="N2132" s="39" t="str">
        <f>("0129822")</f>
        <v>0129822</v>
      </c>
      <c r="P2132" s="39" t="s">
        <v>13587</v>
      </c>
      <c r="Q2132" s="39" t="s">
        <v>8568</v>
      </c>
      <c r="R2132" s="39" t="s">
        <v>8569</v>
      </c>
      <c r="S2132" s="39" t="s">
        <v>8570</v>
      </c>
      <c r="AK2132" s="39" t="str">
        <f>("2025/03/17")</f>
        <v>2025/03/17</v>
      </c>
      <c r="AL2132" s="39" t="str">
        <f>("2025/04/01")</f>
        <v>2025/04/01</v>
      </c>
    </row>
    <row r="2133" spans="1:39" x14ac:dyDescent="0.25">
      <c r="A2133" s="39" t="str">
        <f>("1603210093")</f>
        <v>1603210093</v>
      </c>
      <c r="C2133" s="39"/>
      <c r="D2133" s="39" t="s">
        <v>9664</v>
      </c>
      <c r="E2133" s="371" t="str">
        <f t="shared" si="175"/>
        <v>いしだ　おうすけ</v>
      </c>
      <c r="F2133" s="39" t="s">
        <v>2544</v>
      </c>
      <c r="G2133" s="39" t="s">
        <v>7828</v>
      </c>
      <c r="H2133" s="39" t="str">
        <f>("2016/03/21")</f>
        <v>2016/03/21</v>
      </c>
      <c r="I2133" s="39">
        <v>4</v>
      </c>
      <c r="J2133" s="39" t="s">
        <v>1478</v>
      </c>
      <c r="K2133" s="39" t="s">
        <v>2122</v>
      </c>
      <c r="L2133" s="39" t="s">
        <v>7830</v>
      </c>
      <c r="M2133" s="39" t="s">
        <v>7831</v>
      </c>
      <c r="N2133" s="39" t="str">
        <f>("0130644")</f>
        <v>0130644</v>
      </c>
      <c r="P2133" s="39" t="s">
        <v>13588</v>
      </c>
      <c r="Q2133" s="39" t="s">
        <v>8568</v>
      </c>
      <c r="R2133" s="39" t="s">
        <v>8569</v>
      </c>
      <c r="S2133" s="39" t="s">
        <v>8570</v>
      </c>
      <c r="AK2133" s="39" t="str">
        <f>("2025/04/14")</f>
        <v>2025/04/14</v>
      </c>
      <c r="AL2133" s="39" t="str">
        <f>("2025/04/14")</f>
        <v>2025/04/14</v>
      </c>
    </row>
    <row r="2134" spans="1:39" x14ac:dyDescent="0.25">
      <c r="A2134" s="39" t="str">
        <f>("1603220003")</f>
        <v>1603220003</v>
      </c>
      <c r="C2134" s="39"/>
      <c r="D2134" s="39" t="s">
        <v>6183</v>
      </c>
      <c r="E2134" s="371" t="str">
        <f t="shared" si="175"/>
        <v>いとう　ふぇいらん</v>
      </c>
      <c r="F2134" s="39" t="s">
        <v>2630</v>
      </c>
      <c r="G2134" s="39" t="s">
        <v>7828</v>
      </c>
      <c r="H2134" s="39" t="str">
        <f>("2016/03/22")</f>
        <v>2016/03/22</v>
      </c>
      <c r="I2134" s="39">
        <v>4</v>
      </c>
      <c r="J2134" s="39" t="s">
        <v>1478</v>
      </c>
      <c r="K2134" s="39" t="s">
        <v>2122</v>
      </c>
      <c r="L2134" s="39" t="s">
        <v>7830</v>
      </c>
      <c r="M2134" s="39" t="s">
        <v>7831</v>
      </c>
      <c r="N2134" s="39" t="str">
        <f>("0506269")</f>
        <v>0506269</v>
      </c>
      <c r="P2134" s="39" t="s">
        <v>13589</v>
      </c>
      <c r="Q2134" s="39" t="s">
        <v>8568</v>
      </c>
      <c r="R2134" s="39" t="s">
        <v>8569</v>
      </c>
      <c r="S2134" s="39" t="s">
        <v>8570</v>
      </c>
      <c r="AK2134" s="39" t="str">
        <f>("2025/03/17")</f>
        <v>2025/03/17</v>
      </c>
      <c r="AL2134" s="39" t="str">
        <f>("2025/04/01")</f>
        <v>2025/04/01</v>
      </c>
    </row>
    <row r="2135" spans="1:39" x14ac:dyDescent="0.25">
      <c r="A2135" s="39" t="str">
        <f>("1603220097")</f>
        <v>1603220097</v>
      </c>
      <c r="C2135" s="39"/>
      <c r="D2135" s="39" t="s">
        <v>9665</v>
      </c>
      <c r="E2135" s="371" t="str">
        <f t="shared" si="175"/>
        <v>おがわ　きっぺい</v>
      </c>
      <c r="F2135" s="39" t="s">
        <v>1207</v>
      </c>
      <c r="G2135" s="39" t="s">
        <v>7828</v>
      </c>
      <c r="H2135" s="39" t="str">
        <f>("2016/03/22")</f>
        <v>2016/03/22</v>
      </c>
      <c r="I2135" s="39">
        <v>4</v>
      </c>
      <c r="J2135" s="39" t="s">
        <v>1478</v>
      </c>
      <c r="K2135" s="39" t="s">
        <v>2122</v>
      </c>
      <c r="L2135" s="39" t="s">
        <v>7830</v>
      </c>
      <c r="M2135" s="39" t="s">
        <v>7831</v>
      </c>
      <c r="N2135" s="39" t="str">
        <f>("0381608")</f>
        <v>0381608</v>
      </c>
      <c r="P2135" s="39" t="s">
        <v>13249</v>
      </c>
      <c r="Q2135" s="39" t="s">
        <v>8568</v>
      </c>
      <c r="R2135" s="39" t="s">
        <v>8569</v>
      </c>
      <c r="S2135" s="39" t="s">
        <v>8570</v>
      </c>
      <c r="AK2135" s="39" t="str">
        <f>("2025/03/21")</f>
        <v>2025/03/21</v>
      </c>
      <c r="AL2135" s="39" t="str">
        <f>("2025/04/01")</f>
        <v>2025/04/01</v>
      </c>
    </row>
    <row r="2136" spans="1:39" x14ac:dyDescent="0.25">
      <c r="A2136" s="39" t="str">
        <f>("1603220133")</f>
        <v>1603220133</v>
      </c>
      <c r="C2136" s="39"/>
      <c r="D2136" s="39" t="s">
        <v>9666</v>
      </c>
      <c r="E2136" s="371" t="str">
        <f t="shared" si="175"/>
        <v>たかさき　はやと</v>
      </c>
      <c r="F2136" s="39" t="s">
        <v>2530</v>
      </c>
      <c r="G2136" s="39" t="s">
        <v>7876</v>
      </c>
      <c r="H2136" s="39" t="str">
        <f>("2016/03/22")</f>
        <v>2016/03/22</v>
      </c>
      <c r="I2136" s="39">
        <v>4</v>
      </c>
      <c r="J2136" s="39" t="s">
        <v>1478</v>
      </c>
      <c r="K2136" s="39" t="s">
        <v>2122</v>
      </c>
      <c r="L2136" s="39" t="s">
        <v>7830</v>
      </c>
      <c r="M2136" s="39" t="s">
        <v>7831</v>
      </c>
      <c r="N2136" s="39" t="str">
        <f>("0338756")</f>
        <v>0338756</v>
      </c>
      <c r="P2136" s="39" t="s">
        <v>13590</v>
      </c>
      <c r="Q2136" s="39" t="s">
        <v>8568</v>
      </c>
      <c r="R2136" s="39" t="s">
        <v>8569</v>
      </c>
      <c r="S2136" s="39" t="s">
        <v>8570</v>
      </c>
      <c r="AK2136" s="39" t="str">
        <f>("2025/04/01")</f>
        <v>2025/04/01</v>
      </c>
      <c r="AL2136" s="39" t="str">
        <f>("2025/04/01")</f>
        <v>2025/04/01</v>
      </c>
      <c r="AM2136" s="39" t="str">
        <f>("2025/12/05")</f>
        <v>2025/12/05</v>
      </c>
    </row>
    <row r="2137" spans="1:39" x14ac:dyDescent="0.25">
      <c r="A2137" s="39" t="str">
        <f>("1603230037")</f>
        <v>1603230037</v>
      </c>
      <c r="B2137" s="39" t="s">
        <v>9667</v>
      </c>
      <c r="C2137" s="39"/>
      <c r="D2137" s="39" t="s">
        <v>9668</v>
      </c>
      <c r="E2137" s="371" t="str">
        <f t="shared" si="175"/>
        <v>うめき　しょうよう</v>
      </c>
      <c r="F2137" s="39" t="s">
        <v>2469</v>
      </c>
      <c r="G2137" s="39" t="s">
        <v>7828</v>
      </c>
      <c r="H2137" s="39" t="str">
        <f>("2016/03/23")</f>
        <v>2016/03/23</v>
      </c>
      <c r="I2137" s="39">
        <v>4</v>
      </c>
      <c r="J2137" s="39" t="s">
        <v>1478</v>
      </c>
      <c r="K2137" s="39" t="s">
        <v>2122</v>
      </c>
      <c r="L2137" s="39" t="s">
        <v>7830</v>
      </c>
      <c r="M2137" s="39" t="s">
        <v>7831</v>
      </c>
      <c r="N2137" s="39" t="str">
        <f>("0129462")</f>
        <v>0129462</v>
      </c>
      <c r="P2137" s="39" t="s">
        <v>13591</v>
      </c>
      <c r="Q2137" s="39" t="s">
        <v>8568</v>
      </c>
      <c r="R2137" s="39" t="s">
        <v>8569</v>
      </c>
      <c r="S2137" s="39" t="s">
        <v>8570</v>
      </c>
      <c r="AK2137" s="39" t="str">
        <f>("2025/03/21")</f>
        <v>2025/03/21</v>
      </c>
      <c r="AL2137" s="39" t="str">
        <f>("2025/04/01")</f>
        <v>2025/04/01</v>
      </c>
    </row>
    <row r="2138" spans="1:39" x14ac:dyDescent="0.25">
      <c r="A2138" s="39" t="str">
        <f>("1603230158")</f>
        <v>1603230158</v>
      </c>
      <c r="C2138" s="39"/>
      <c r="D2138" s="39" t="s">
        <v>9669</v>
      </c>
      <c r="E2138" s="371" t="str">
        <f t="shared" si="175"/>
        <v>こばやし　こうき</v>
      </c>
      <c r="F2138" s="39" t="s">
        <v>5618</v>
      </c>
      <c r="G2138" s="39" t="s">
        <v>7828</v>
      </c>
      <c r="H2138" s="39" t="str">
        <f>("2016/03/23")</f>
        <v>2016/03/23</v>
      </c>
      <c r="I2138" s="39">
        <v>4</v>
      </c>
      <c r="J2138" s="39" t="s">
        <v>1478</v>
      </c>
      <c r="K2138" s="39" t="s">
        <v>2122</v>
      </c>
      <c r="L2138" s="39" t="s">
        <v>7830</v>
      </c>
      <c r="M2138" s="39" t="s">
        <v>7831</v>
      </c>
      <c r="N2138" s="39" t="str">
        <f>("0433235")</f>
        <v>0433235</v>
      </c>
      <c r="P2138" s="39" t="s">
        <v>13592</v>
      </c>
      <c r="Q2138" s="39" t="s">
        <v>8568</v>
      </c>
      <c r="R2138" s="39" t="s">
        <v>8569</v>
      </c>
      <c r="S2138" s="39" t="s">
        <v>8570</v>
      </c>
      <c r="AK2138" s="39" t="str">
        <f>("2025/09/09")</f>
        <v>2025/09/09</v>
      </c>
      <c r="AL2138" s="39" t="str">
        <f>("2025/09/09")</f>
        <v>2025/09/09</v>
      </c>
    </row>
    <row r="2139" spans="1:39" x14ac:dyDescent="0.25">
      <c r="A2139" s="39" t="str">
        <f>("1603230174")</f>
        <v>1603230174</v>
      </c>
      <c r="C2139" s="39"/>
      <c r="D2139" s="39" t="s">
        <v>9670</v>
      </c>
      <c r="E2139" s="371" t="str">
        <f t="shared" si="175"/>
        <v>うえき　ひろと</v>
      </c>
      <c r="F2139" s="39" t="s">
        <v>2821</v>
      </c>
      <c r="G2139" s="39" t="s">
        <v>7828</v>
      </c>
      <c r="H2139" s="39" t="str">
        <f>("2016/03/23")</f>
        <v>2016/03/23</v>
      </c>
      <c r="I2139" s="39">
        <v>4</v>
      </c>
      <c r="J2139" s="39" t="s">
        <v>1478</v>
      </c>
      <c r="K2139" s="39" t="s">
        <v>2122</v>
      </c>
      <c r="L2139" s="39" t="s">
        <v>7830</v>
      </c>
      <c r="M2139" s="39" t="s">
        <v>7831</v>
      </c>
      <c r="N2139" s="39" t="str">
        <f>("0237631")</f>
        <v>0237631</v>
      </c>
      <c r="P2139" s="39" t="s">
        <v>13593</v>
      </c>
      <c r="Q2139" s="39" t="s">
        <v>8568</v>
      </c>
      <c r="R2139" s="39" t="s">
        <v>8569</v>
      </c>
      <c r="S2139" s="39" t="s">
        <v>8570</v>
      </c>
      <c r="AK2139" s="39" t="str">
        <f>("2026/01/08")</f>
        <v>2026/01/08</v>
      </c>
      <c r="AL2139" s="39" t="str">
        <f>("2026/01/08")</f>
        <v>2026/01/08</v>
      </c>
    </row>
    <row r="2140" spans="1:39" x14ac:dyDescent="0.25">
      <c r="A2140" s="39" t="str">
        <f>("1603250086")</f>
        <v>1603250086</v>
      </c>
      <c r="C2140" s="39"/>
      <c r="D2140" s="39" t="s">
        <v>9671</v>
      </c>
      <c r="E2140" s="371" t="str">
        <f t="shared" si="175"/>
        <v>おの　みこの</v>
      </c>
      <c r="F2140" s="39" t="s">
        <v>2531</v>
      </c>
      <c r="G2140" s="39" t="s">
        <v>7828</v>
      </c>
      <c r="H2140" s="39" t="str">
        <f>("2016/03/25")</f>
        <v>2016/03/25</v>
      </c>
      <c r="I2140" s="39">
        <v>4</v>
      </c>
      <c r="J2140" s="39" t="s">
        <v>1480</v>
      </c>
      <c r="K2140" s="39" t="s">
        <v>2122</v>
      </c>
      <c r="L2140" s="39" t="s">
        <v>7830</v>
      </c>
      <c r="M2140" s="39" t="s">
        <v>7831</v>
      </c>
      <c r="N2140" s="39" t="str">
        <f>("0130419")</f>
        <v>0130419</v>
      </c>
      <c r="P2140" s="39" t="s">
        <v>13594</v>
      </c>
      <c r="Q2140" s="39" t="s">
        <v>8568</v>
      </c>
      <c r="R2140" s="39" t="s">
        <v>8569</v>
      </c>
      <c r="S2140" s="39" t="s">
        <v>8570</v>
      </c>
      <c r="AK2140" s="39" t="str">
        <f>("2025/03/17")</f>
        <v>2025/03/17</v>
      </c>
      <c r="AL2140" s="39" t="str">
        <f>("2025/04/01")</f>
        <v>2025/04/01</v>
      </c>
    </row>
    <row r="2141" spans="1:39" x14ac:dyDescent="0.25">
      <c r="A2141" s="39" t="str">
        <f>("1603260019")</f>
        <v>1603260019</v>
      </c>
      <c r="B2141" s="39" t="s">
        <v>9672</v>
      </c>
      <c r="C2141" s="39"/>
      <c r="D2141" s="39" t="s">
        <v>9673</v>
      </c>
      <c r="E2141" s="371" t="str">
        <f t="shared" si="175"/>
        <v>おおはら　さくと</v>
      </c>
      <c r="F2141" s="39" t="s">
        <v>1977</v>
      </c>
      <c r="G2141" s="39" t="s">
        <v>7828</v>
      </c>
      <c r="H2141" s="39" t="str">
        <f>("2016/03/26")</f>
        <v>2016/03/26</v>
      </c>
      <c r="I2141" s="39">
        <v>4</v>
      </c>
      <c r="J2141" s="39" t="s">
        <v>1478</v>
      </c>
      <c r="K2141" s="39" t="s">
        <v>2122</v>
      </c>
      <c r="L2141" s="39" t="s">
        <v>7830</v>
      </c>
      <c r="M2141" s="39" t="s">
        <v>7831</v>
      </c>
      <c r="N2141" s="39" t="str">
        <f>("0395254")</f>
        <v>0395254</v>
      </c>
      <c r="P2141" s="39" t="s">
        <v>13595</v>
      </c>
      <c r="Q2141" s="39" t="s">
        <v>8568</v>
      </c>
      <c r="R2141" s="39" t="s">
        <v>8569</v>
      </c>
      <c r="S2141" s="39" t="s">
        <v>8570</v>
      </c>
      <c r="AK2141" s="39" t="str">
        <f>("2025/03/17")</f>
        <v>2025/03/17</v>
      </c>
      <c r="AL2141" s="39" t="str">
        <f>("2025/04/01")</f>
        <v>2025/04/01</v>
      </c>
    </row>
    <row r="2142" spans="1:39" x14ac:dyDescent="0.25">
      <c r="A2142" s="39" t="str">
        <f>("1603260087")</f>
        <v>1603260087</v>
      </c>
      <c r="C2142" s="39"/>
      <c r="D2142" s="39" t="s">
        <v>9674</v>
      </c>
      <c r="E2142" s="371" t="str">
        <f t="shared" si="175"/>
        <v>ごとう　ゆきや</v>
      </c>
      <c r="F2142" s="39" t="s">
        <v>2557</v>
      </c>
      <c r="G2142" s="39" t="s">
        <v>7828</v>
      </c>
      <c r="H2142" s="39" t="str">
        <f>("2016/03/26")</f>
        <v>2016/03/26</v>
      </c>
      <c r="I2142" s="39">
        <v>4</v>
      </c>
      <c r="J2142" s="39" t="s">
        <v>1478</v>
      </c>
      <c r="K2142" s="39" t="s">
        <v>2122</v>
      </c>
      <c r="L2142" s="39" t="s">
        <v>7830</v>
      </c>
      <c r="M2142" s="39" t="s">
        <v>7831</v>
      </c>
      <c r="N2142" s="39" t="str">
        <f>("0130723")</f>
        <v>0130723</v>
      </c>
      <c r="P2142" s="39" t="s">
        <v>13596</v>
      </c>
      <c r="Q2142" s="39" t="s">
        <v>8568</v>
      </c>
      <c r="R2142" s="39" t="s">
        <v>8569</v>
      </c>
      <c r="S2142" s="39" t="s">
        <v>8570</v>
      </c>
      <c r="AK2142" s="39" t="str">
        <f>("2025/03/17")</f>
        <v>2025/03/17</v>
      </c>
      <c r="AL2142" s="39" t="str">
        <f>("2025/04/01")</f>
        <v>2025/04/01</v>
      </c>
    </row>
    <row r="2143" spans="1:39" x14ac:dyDescent="0.25">
      <c r="A2143" s="39" t="str">
        <f>("1603270057")</f>
        <v>1603270057</v>
      </c>
      <c r="C2143" s="39"/>
      <c r="D2143" s="39" t="s">
        <v>9675</v>
      </c>
      <c r="E2143" s="371" t="str">
        <f t="shared" si="175"/>
        <v>あなん　はると</v>
      </c>
      <c r="F2143" s="39" t="s">
        <v>2533</v>
      </c>
      <c r="G2143" s="39" t="s">
        <v>7828</v>
      </c>
      <c r="H2143" s="39" t="str">
        <f>("2016/03/27")</f>
        <v>2016/03/27</v>
      </c>
      <c r="I2143" s="39">
        <v>4</v>
      </c>
      <c r="J2143" s="39" t="s">
        <v>1478</v>
      </c>
      <c r="K2143" s="39" t="s">
        <v>2122</v>
      </c>
      <c r="L2143" s="39" t="s">
        <v>7830</v>
      </c>
      <c r="M2143" s="39" t="s">
        <v>7831</v>
      </c>
      <c r="N2143" s="39" t="str">
        <f>("0130497")</f>
        <v>0130497</v>
      </c>
      <c r="P2143" s="39" t="s">
        <v>13597</v>
      </c>
      <c r="Q2143" s="39" t="s">
        <v>8568</v>
      </c>
      <c r="R2143" s="39" t="s">
        <v>8569</v>
      </c>
      <c r="S2143" s="39" t="s">
        <v>8570</v>
      </c>
      <c r="AK2143" s="39" t="str">
        <f>("2025/03/17")</f>
        <v>2025/03/17</v>
      </c>
      <c r="AL2143" s="39" t="str">
        <f>("2025/04/01")</f>
        <v>2025/04/01</v>
      </c>
    </row>
    <row r="2144" spans="1:39" x14ac:dyDescent="0.25">
      <c r="A2144" s="39" t="str">
        <f>("1603280116")</f>
        <v>1603280116</v>
      </c>
      <c r="C2144" s="39"/>
      <c r="D2144" s="39" t="s">
        <v>9676</v>
      </c>
      <c r="E2144" s="371" t="str">
        <f t="shared" si="175"/>
        <v>ふくだ　たいし</v>
      </c>
      <c r="F2144" s="39" t="s">
        <v>2557</v>
      </c>
      <c r="G2144" s="39" t="s">
        <v>7828</v>
      </c>
      <c r="H2144" s="39" t="str">
        <f>("2016/03/28")</f>
        <v>2016/03/28</v>
      </c>
      <c r="I2144" s="39">
        <v>4</v>
      </c>
      <c r="J2144" s="39" t="s">
        <v>1478</v>
      </c>
      <c r="K2144" s="39" t="s">
        <v>2122</v>
      </c>
      <c r="L2144" s="39" t="s">
        <v>7830</v>
      </c>
      <c r="M2144" s="39" t="s">
        <v>7831</v>
      </c>
      <c r="N2144" s="39" t="str">
        <f>("0130723")</f>
        <v>0130723</v>
      </c>
      <c r="P2144" s="39" t="s">
        <v>13598</v>
      </c>
      <c r="Q2144" s="39" t="s">
        <v>8568</v>
      </c>
      <c r="R2144" s="39" t="s">
        <v>8569</v>
      </c>
      <c r="S2144" s="39" t="s">
        <v>8570</v>
      </c>
      <c r="AK2144" s="39" t="str">
        <f>("2025/03/17")</f>
        <v>2025/03/17</v>
      </c>
      <c r="AL2144" s="39" t="str">
        <f>("2025/04/01")</f>
        <v>2025/04/01</v>
      </c>
    </row>
    <row r="2145" spans="1:38" x14ac:dyDescent="0.25">
      <c r="A2145" s="39" t="str">
        <f>("1603280146")</f>
        <v>1603280146</v>
      </c>
      <c r="C2145" s="39"/>
      <c r="D2145" s="39" t="s">
        <v>9677</v>
      </c>
      <c r="E2145" s="371" t="str">
        <f t="shared" si="175"/>
        <v>ささき　はるたか</v>
      </c>
      <c r="F2145" s="39" t="s">
        <v>2619</v>
      </c>
      <c r="G2145" s="39" t="s">
        <v>7828</v>
      </c>
      <c r="H2145" s="39" t="str">
        <f>("2016/03/28")</f>
        <v>2016/03/28</v>
      </c>
      <c r="I2145" s="39">
        <v>4</v>
      </c>
      <c r="J2145" s="39" t="s">
        <v>1478</v>
      </c>
      <c r="K2145" s="39" t="s">
        <v>2122</v>
      </c>
      <c r="L2145" s="39" t="s">
        <v>7830</v>
      </c>
      <c r="M2145" s="39" t="s">
        <v>7831</v>
      </c>
      <c r="N2145" s="39" t="str">
        <f>("0472823")</f>
        <v>0472823</v>
      </c>
      <c r="P2145" s="39" t="s">
        <v>13599</v>
      </c>
      <c r="Q2145" s="39" t="s">
        <v>8568</v>
      </c>
      <c r="R2145" s="39" t="s">
        <v>8569</v>
      </c>
      <c r="S2145" s="39" t="s">
        <v>8570</v>
      </c>
      <c r="AK2145" s="39" t="str">
        <f>("2025/07/30")</f>
        <v>2025/07/30</v>
      </c>
      <c r="AL2145" s="39" t="str">
        <f>("2025/07/30")</f>
        <v>2025/07/30</v>
      </c>
    </row>
    <row r="2146" spans="1:38" x14ac:dyDescent="0.25">
      <c r="A2146" s="39" t="str">
        <f>("1603290006")</f>
        <v>1603290006</v>
      </c>
      <c r="C2146" s="39"/>
      <c r="D2146" s="39" t="s">
        <v>9678</v>
      </c>
      <c r="E2146" s="371" t="str">
        <f t="shared" si="175"/>
        <v>わたなべ　りこ</v>
      </c>
      <c r="F2146" s="39" t="s">
        <v>2878</v>
      </c>
      <c r="G2146" s="39" t="s">
        <v>7828</v>
      </c>
      <c r="H2146" s="39" t="str">
        <f>("2016/03/29")</f>
        <v>2016/03/29</v>
      </c>
      <c r="I2146" s="39">
        <v>4</v>
      </c>
      <c r="J2146" s="39" t="s">
        <v>1480</v>
      </c>
      <c r="K2146" s="39" t="s">
        <v>2122</v>
      </c>
      <c r="L2146" s="39" t="s">
        <v>7830</v>
      </c>
      <c r="M2146" s="39" t="s">
        <v>7831</v>
      </c>
      <c r="N2146" s="39" t="str">
        <f>("0129484")</f>
        <v>0129484</v>
      </c>
      <c r="P2146" s="39" t="s">
        <v>13600</v>
      </c>
      <c r="Q2146" s="39" t="s">
        <v>8568</v>
      </c>
      <c r="R2146" s="39" t="s">
        <v>8569</v>
      </c>
      <c r="S2146" s="39" t="s">
        <v>8570</v>
      </c>
      <c r="AK2146" s="39" t="str">
        <f>("2025/03/17")</f>
        <v>2025/03/17</v>
      </c>
      <c r="AL2146" s="39" t="str">
        <f>("2025/04/01")</f>
        <v>2025/04/01</v>
      </c>
    </row>
    <row r="2147" spans="1:38" x14ac:dyDescent="0.25">
      <c r="A2147" s="39" t="str">
        <f>("1603290123")</f>
        <v>1603290123</v>
      </c>
      <c r="C2147" s="39"/>
      <c r="D2147" s="39" t="s">
        <v>9679</v>
      </c>
      <c r="E2147" s="371" t="str">
        <f t="shared" si="175"/>
        <v>あそう　こうた</v>
      </c>
      <c r="F2147" s="39" t="s">
        <v>1207</v>
      </c>
      <c r="G2147" s="39" t="s">
        <v>7828</v>
      </c>
      <c r="H2147" s="39" t="str">
        <f>("2016/03/29")</f>
        <v>2016/03/29</v>
      </c>
      <c r="I2147" s="39">
        <v>4</v>
      </c>
      <c r="J2147" s="39" t="s">
        <v>1478</v>
      </c>
      <c r="K2147" s="39" t="s">
        <v>2122</v>
      </c>
      <c r="L2147" s="39" t="s">
        <v>7830</v>
      </c>
      <c r="M2147" s="39" t="s">
        <v>7831</v>
      </c>
      <c r="N2147" s="39" t="str">
        <f>("0381608")</f>
        <v>0381608</v>
      </c>
      <c r="P2147" s="39" t="s">
        <v>13601</v>
      </c>
      <c r="Q2147" s="39" t="s">
        <v>8568</v>
      </c>
      <c r="R2147" s="39" t="s">
        <v>8569</v>
      </c>
      <c r="S2147" s="39" t="s">
        <v>8570</v>
      </c>
      <c r="AK2147" s="39" t="str">
        <f>("2025/04/23")</f>
        <v>2025/04/23</v>
      </c>
      <c r="AL2147" s="39" t="str">
        <f>("2025/04/23")</f>
        <v>2025/04/23</v>
      </c>
    </row>
    <row r="2148" spans="1:38" x14ac:dyDescent="0.25">
      <c r="A2148" s="39" t="str">
        <f>("1603290152")</f>
        <v>1603290152</v>
      </c>
      <c r="C2148" s="39"/>
      <c r="D2148" s="39" t="s">
        <v>8468</v>
      </c>
      <c r="E2148" s="371" t="str">
        <f t="shared" si="175"/>
        <v>ごとう　りんたろう</v>
      </c>
      <c r="F2148" s="39" t="s">
        <v>2821</v>
      </c>
      <c r="G2148" s="39" t="s">
        <v>7828</v>
      </c>
      <c r="H2148" s="39" t="str">
        <f>("2016/03/29")</f>
        <v>2016/03/29</v>
      </c>
      <c r="I2148" s="39">
        <v>4</v>
      </c>
      <c r="J2148" s="39" t="s">
        <v>1478</v>
      </c>
      <c r="K2148" s="39" t="s">
        <v>2122</v>
      </c>
      <c r="L2148" s="39" t="s">
        <v>7830</v>
      </c>
      <c r="M2148" s="39" t="s">
        <v>7831</v>
      </c>
      <c r="N2148" s="39" t="str">
        <f>("0237631")</f>
        <v>0237631</v>
      </c>
      <c r="P2148" s="39" t="s">
        <v>12892</v>
      </c>
      <c r="Q2148" s="39" t="s">
        <v>8568</v>
      </c>
      <c r="R2148" s="39" t="s">
        <v>8569</v>
      </c>
      <c r="S2148" s="39" t="s">
        <v>8570</v>
      </c>
      <c r="AK2148" s="39" t="str">
        <f>("2026/01/08")</f>
        <v>2026/01/08</v>
      </c>
      <c r="AL2148" s="39" t="str">
        <f>("2026/01/08")</f>
        <v>2026/01/08</v>
      </c>
    </row>
    <row r="2149" spans="1:38" x14ac:dyDescent="0.25">
      <c r="A2149" s="39" t="str">
        <f>("1603300092")</f>
        <v>1603300092</v>
      </c>
      <c r="C2149" s="39"/>
      <c r="D2149" s="39" t="s">
        <v>9680</v>
      </c>
      <c r="E2149" s="371" t="str">
        <f t="shared" si="175"/>
        <v>むらなか　はると</v>
      </c>
      <c r="F2149" s="39" t="s">
        <v>2594</v>
      </c>
      <c r="G2149" s="39" t="s">
        <v>7828</v>
      </c>
      <c r="H2149" s="39" t="str">
        <f>("2016/03/30")</f>
        <v>2016/03/30</v>
      </c>
      <c r="I2149" s="39">
        <v>4</v>
      </c>
      <c r="J2149" s="39" t="s">
        <v>1478</v>
      </c>
      <c r="K2149" s="39" t="s">
        <v>2122</v>
      </c>
      <c r="L2149" s="39" t="s">
        <v>7830</v>
      </c>
      <c r="M2149" s="39" t="s">
        <v>7831</v>
      </c>
      <c r="N2149" s="39" t="str">
        <f>("0424583")</f>
        <v>0424583</v>
      </c>
      <c r="P2149" s="39" t="s">
        <v>13602</v>
      </c>
      <c r="Q2149" s="39" t="s">
        <v>8568</v>
      </c>
      <c r="R2149" s="39" t="s">
        <v>8569</v>
      </c>
      <c r="S2149" s="39" t="s">
        <v>8570</v>
      </c>
      <c r="AK2149" s="39" t="str">
        <f>("2025/03/17")</f>
        <v>2025/03/17</v>
      </c>
      <c r="AL2149" s="39" t="str">
        <f t="shared" ref="AL2149:AL2156" si="177">("2025/04/01")</f>
        <v>2025/04/01</v>
      </c>
    </row>
    <row r="2150" spans="1:38" x14ac:dyDescent="0.25">
      <c r="A2150" s="39" t="str">
        <f>("1603310083")</f>
        <v>1603310083</v>
      </c>
      <c r="C2150" s="39"/>
      <c r="D2150" s="39" t="s">
        <v>6263</v>
      </c>
      <c r="E2150" s="371" t="str">
        <f t="shared" si="175"/>
        <v>はしもと　らぶ</v>
      </c>
      <c r="F2150" s="39" t="s">
        <v>5619</v>
      </c>
      <c r="G2150" s="39" t="s">
        <v>7828</v>
      </c>
      <c r="H2150" s="39" t="str">
        <f>("2016/03/31")</f>
        <v>2016/03/31</v>
      </c>
      <c r="I2150" s="39">
        <v>4</v>
      </c>
      <c r="J2150" s="39" t="s">
        <v>1478</v>
      </c>
      <c r="K2150" s="39" t="s">
        <v>2122</v>
      </c>
      <c r="L2150" s="39" t="s">
        <v>7830</v>
      </c>
      <c r="M2150" s="39" t="s">
        <v>7831</v>
      </c>
      <c r="N2150" s="39" t="str">
        <f>("1089004")</f>
        <v>1089004</v>
      </c>
      <c r="P2150" s="39" t="s">
        <v>13603</v>
      </c>
      <c r="Q2150" s="39" t="s">
        <v>8568</v>
      </c>
      <c r="R2150" s="39" t="s">
        <v>8569</v>
      </c>
      <c r="S2150" s="39" t="s">
        <v>8570</v>
      </c>
      <c r="AK2150" s="39" t="str">
        <f>("2025/03/27")</f>
        <v>2025/03/27</v>
      </c>
      <c r="AL2150" s="39" t="str">
        <f t="shared" si="177"/>
        <v>2025/04/01</v>
      </c>
    </row>
    <row r="2151" spans="1:38" x14ac:dyDescent="0.25">
      <c r="A2151" s="39" t="str">
        <f>("1604020012")</f>
        <v>1604020012</v>
      </c>
      <c r="B2151" s="39" t="s">
        <v>9681</v>
      </c>
      <c r="C2151" s="39"/>
      <c r="D2151" s="39" t="s">
        <v>4294</v>
      </c>
      <c r="E2151" s="371" t="str">
        <f t="shared" si="175"/>
        <v>ひろせ　とうま</v>
      </c>
      <c r="F2151" s="39" t="s">
        <v>2139</v>
      </c>
      <c r="G2151" s="39" t="s">
        <v>7828</v>
      </c>
      <c r="H2151" s="39" t="str">
        <f>("2016/04/02")</f>
        <v>2016/04/02</v>
      </c>
      <c r="I2151" s="39">
        <v>3</v>
      </c>
      <c r="J2151" s="39" t="s">
        <v>1478</v>
      </c>
      <c r="K2151" s="39" t="s">
        <v>2122</v>
      </c>
      <c r="L2151" s="39" t="s">
        <v>7830</v>
      </c>
      <c r="M2151" s="39" t="s">
        <v>7831</v>
      </c>
      <c r="N2151" s="39" t="str">
        <f>("0129798")</f>
        <v>0129798</v>
      </c>
      <c r="P2151" s="39" t="s">
        <v>13604</v>
      </c>
      <c r="Q2151" s="39" t="s">
        <v>8568</v>
      </c>
      <c r="R2151" s="39" t="s">
        <v>8569</v>
      </c>
      <c r="S2151" s="39" t="s">
        <v>8570</v>
      </c>
      <c r="AK2151" s="39" t="str">
        <f>("2025/03/27")</f>
        <v>2025/03/27</v>
      </c>
      <c r="AL2151" s="39" t="str">
        <f t="shared" si="177"/>
        <v>2025/04/01</v>
      </c>
    </row>
    <row r="2152" spans="1:38" x14ac:dyDescent="0.25">
      <c r="A2152" s="39" t="str">
        <f>("1604020073")</f>
        <v>1604020073</v>
      </c>
      <c r="C2152" s="39"/>
      <c r="D2152" s="39" t="s">
        <v>9682</v>
      </c>
      <c r="E2152" s="371" t="str">
        <f t="shared" si="175"/>
        <v>さかた　ゆずは</v>
      </c>
      <c r="F2152" s="39" t="s">
        <v>834</v>
      </c>
      <c r="G2152" s="39" t="s">
        <v>7828</v>
      </c>
      <c r="H2152" s="39" t="str">
        <f>("2016/04/02")</f>
        <v>2016/04/02</v>
      </c>
      <c r="I2152" s="39">
        <v>3</v>
      </c>
      <c r="J2152" s="39" t="s">
        <v>1480</v>
      </c>
      <c r="K2152" s="39" t="s">
        <v>2122</v>
      </c>
      <c r="L2152" s="39" t="s">
        <v>7830</v>
      </c>
      <c r="M2152" s="39" t="s">
        <v>7831</v>
      </c>
      <c r="N2152" s="39" t="str">
        <f>("0129844")</f>
        <v>0129844</v>
      </c>
      <c r="P2152" s="39" t="s">
        <v>13605</v>
      </c>
      <c r="Q2152" s="39" t="s">
        <v>8568</v>
      </c>
      <c r="R2152" s="39" t="s">
        <v>8569</v>
      </c>
      <c r="S2152" s="39" t="s">
        <v>8570</v>
      </c>
      <c r="AK2152" s="39" t="str">
        <f>("2025/03/17")</f>
        <v>2025/03/17</v>
      </c>
      <c r="AL2152" s="39" t="str">
        <f t="shared" si="177"/>
        <v>2025/04/01</v>
      </c>
    </row>
    <row r="2153" spans="1:38" x14ac:dyDescent="0.25">
      <c r="A2153" s="39" t="str">
        <f>("1604030042")</f>
        <v>1604030042</v>
      </c>
      <c r="C2153" s="39"/>
      <c r="D2153" s="39" t="s">
        <v>9683</v>
      </c>
      <c r="E2153" s="371" t="str">
        <f t="shared" si="175"/>
        <v>いのくち　はるき</v>
      </c>
      <c r="F2153" s="39" t="s">
        <v>1207</v>
      </c>
      <c r="G2153" s="39" t="s">
        <v>7828</v>
      </c>
      <c r="H2153" s="39" t="str">
        <f>("2016/04/03")</f>
        <v>2016/04/03</v>
      </c>
      <c r="I2153" s="39">
        <v>3</v>
      </c>
      <c r="J2153" s="39" t="s">
        <v>1478</v>
      </c>
      <c r="K2153" s="39" t="s">
        <v>2122</v>
      </c>
      <c r="L2153" s="39" t="s">
        <v>7830</v>
      </c>
      <c r="M2153" s="39" t="s">
        <v>7831</v>
      </c>
      <c r="N2153" s="39" t="str">
        <f>("0381608")</f>
        <v>0381608</v>
      </c>
      <c r="P2153" s="39" t="s">
        <v>13606</v>
      </c>
      <c r="Q2153" s="39" t="s">
        <v>8568</v>
      </c>
      <c r="R2153" s="39" t="s">
        <v>8569</v>
      </c>
      <c r="S2153" s="39" t="s">
        <v>8570</v>
      </c>
      <c r="AK2153" s="39" t="str">
        <f>("2025/03/21")</f>
        <v>2025/03/21</v>
      </c>
      <c r="AL2153" s="39" t="str">
        <f t="shared" si="177"/>
        <v>2025/04/01</v>
      </c>
    </row>
    <row r="2154" spans="1:38" x14ac:dyDescent="0.25">
      <c r="A2154" s="39" t="str">
        <f>("1604050018")</f>
        <v>1604050018</v>
      </c>
      <c r="C2154" s="39"/>
      <c r="D2154" s="39" t="s">
        <v>9684</v>
      </c>
      <c r="E2154" s="371" t="str">
        <f t="shared" si="175"/>
        <v>すずき　みなと</v>
      </c>
      <c r="F2154" s="39" t="s">
        <v>2878</v>
      </c>
      <c r="G2154" s="39" t="s">
        <v>7828</v>
      </c>
      <c r="H2154" s="39" t="str">
        <f>("2016/04/05")</f>
        <v>2016/04/05</v>
      </c>
      <c r="I2154" s="39">
        <v>3</v>
      </c>
      <c r="J2154" s="39" t="s">
        <v>1478</v>
      </c>
      <c r="K2154" s="39" t="s">
        <v>2122</v>
      </c>
      <c r="L2154" s="39" t="s">
        <v>7830</v>
      </c>
      <c r="M2154" s="39" t="s">
        <v>7831</v>
      </c>
      <c r="N2154" s="39" t="str">
        <f>("0129484")</f>
        <v>0129484</v>
      </c>
      <c r="P2154" s="39" t="s">
        <v>13607</v>
      </c>
      <c r="Q2154" s="39" t="s">
        <v>8568</v>
      </c>
      <c r="R2154" s="39" t="s">
        <v>8569</v>
      </c>
      <c r="S2154" s="39" t="s">
        <v>8570</v>
      </c>
      <c r="AK2154" s="39" t="str">
        <f>("2025/03/17")</f>
        <v>2025/03/17</v>
      </c>
      <c r="AL2154" s="39" t="str">
        <f t="shared" si="177"/>
        <v>2025/04/01</v>
      </c>
    </row>
    <row r="2155" spans="1:38" x14ac:dyDescent="0.25">
      <c r="A2155" s="39" t="str">
        <f>("1604050056")</f>
        <v>1604050056</v>
      </c>
      <c r="C2155" s="39"/>
      <c r="D2155" s="39" t="s">
        <v>9685</v>
      </c>
      <c r="E2155" s="371" t="str">
        <f t="shared" si="175"/>
        <v>もうり　そうた</v>
      </c>
      <c r="F2155" s="39" t="s">
        <v>8032</v>
      </c>
      <c r="G2155" s="39" t="s">
        <v>7828</v>
      </c>
      <c r="H2155" s="39" t="str">
        <f>("2016/04/05")</f>
        <v>2016/04/05</v>
      </c>
      <c r="I2155" s="39">
        <v>3</v>
      </c>
      <c r="J2155" s="39" t="s">
        <v>1478</v>
      </c>
      <c r="K2155" s="39" t="s">
        <v>2122</v>
      </c>
      <c r="L2155" s="39" t="s">
        <v>7830</v>
      </c>
      <c r="M2155" s="39" t="s">
        <v>7831</v>
      </c>
      <c r="N2155" s="39" t="str">
        <f>("0452911")</f>
        <v>0452911</v>
      </c>
      <c r="P2155" s="39" t="s">
        <v>13608</v>
      </c>
      <c r="Q2155" s="39" t="s">
        <v>8568</v>
      </c>
      <c r="R2155" s="39" t="s">
        <v>8569</v>
      </c>
      <c r="S2155" s="39" t="s">
        <v>8570</v>
      </c>
      <c r="AK2155" s="39" t="str">
        <f>("2025/04/10")</f>
        <v>2025/04/10</v>
      </c>
      <c r="AL2155" s="39" t="str">
        <f t="shared" si="177"/>
        <v>2025/04/01</v>
      </c>
    </row>
    <row r="2156" spans="1:38" x14ac:dyDescent="0.25">
      <c r="A2156" s="39" t="str">
        <f>("1604060008")</f>
        <v>1604060008</v>
      </c>
      <c r="C2156" s="39"/>
      <c r="D2156" s="39" t="s">
        <v>9686</v>
      </c>
      <c r="E2156" s="371" t="str">
        <f t="shared" si="175"/>
        <v>はだの　いつき</v>
      </c>
      <c r="F2156" s="39" t="s">
        <v>2325</v>
      </c>
      <c r="G2156" s="39" t="s">
        <v>7828</v>
      </c>
      <c r="H2156" s="39" t="str">
        <f>("2016/04/06")</f>
        <v>2016/04/06</v>
      </c>
      <c r="I2156" s="39">
        <v>3</v>
      </c>
      <c r="J2156" s="39" t="s">
        <v>1478</v>
      </c>
      <c r="K2156" s="39" t="s">
        <v>2122</v>
      </c>
      <c r="L2156" s="39" t="s">
        <v>7830</v>
      </c>
      <c r="M2156" s="39" t="s">
        <v>7831</v>
      </c>
      <c r="N2156" s="39" t="str">
        <f>("0155034")</f>
        <v>0155034</v>
      </c>
      <c r="P2156" s="39" t="s">
        <v>13609</v>
      </c>
      <c r="Q2156" s="39" t="s">
        <v>8568</v>
      </c>
      <c r="R2156" s="39" t="s">
        <v>8569</v>
      </c>
      <c r="S2156" s="39" t="s">
        <v>8570</v>
      </c>
      <c r="AK2156" s="39" t="str">
        <f>("2025/03/17")</f>
        <v>2025/03/17</v>
      </c>
      <c r="AL2156" s="39" t="str">
        <f t="shared" si="177"/>
        <v>2025/04/01</v>
      </c>
    </row>
    <row r="2157" spans="1:38" x14ac:dyDescent="0.25">
      <c r="A2157" s="39" t="str">
        <f>("1604060113")</f>
        <v>1604060113</v>
      </c>
      <c r="C2157" s="39"/>
      <c r="D2157" s="39" t="s">
        <v>9687</v>
      </c>
      <c r="E2157" s="371" t="str">
        <f t="shared" si="175"/>
        <v>わたなべ　ゆうひ</v>
      </c>
      <c r="F2157" s="39" t="s">
        <v>2024</v>
      </c>
      <c r="G2157" s="39" t="s">
        <v>7828</v>
      </c>
      <c r="H2157" s="39" t="str">
        <f>("2016/04/06")</f>
        <v>2016/04/06</v>
      </c>
      <c r="I2157" s="39">
        <v>3</v>
      </c>
      <c r="J2157" s="39" t="s">
        <v>1478</v>
      </c>
      <c r="K2157" s="39" t="s">
        <v>2122</v>
      </c>
      <c r="L2157" s="39" t="s">
        <v>7830</v>
      </c>
      <c r="M2157" s="39" t="s">
        <v>7831</v>
      </c>
      <c r="N2157" s="39" t="str">
        <f>("0130475")</f>
        <v>0130475</v>
      </c>
      <c r="P2157" s="39" t="s">
        <v>13610</v>
      </c>
      <c r="Q2157" s="39" t="s">
        <v>8568</v>
      </c>
      <c r="R2157" s="39" t="s">
        <v>8569</v>
      </c>
      <c r="S2157" s="39" t="s">
        <v>8570</v>
      </c>
      <c r="AK2157" s="39" t="str">
        <f>("2025/06/10")</f>
        <v>2025/06/10</v>
      </c>
      <c r="AL2157" s="39" t="str">
        <f>("2025/06/10")</f>
        <v>2025/06/10</v>
      </c>
    </row>
    <row r="2158" spans="1:38" x14ac:dyDescent="0.25">
      <c r="A2158" s="39" t="str">
        <f>("1604060127")</f>
        <v>1604060127</v>
      </c>
      <c r="C2158" s="39"/>
      <c r="D2158" s="39" t="s">
        <v>9688</v>
      </c>
      <c r="E2158" s="371" t="str">
        <f t="shared" si="175"/>
        <v>たて　えいと</v>
      </c>
      <c r="F2158" s="39" t="s">
        <v>1968</v>
      </c>
      <c r="G2158" s="39" t="s">
        <v>7828</v>
      </c>
      <c r="H2158" s="39" t="str">
        <f>("2016/04/06")</f>
        <v>2016/04/06</v>
      </c>
      <c r="I2158" s="39">
        <v>3</v>
      </c>
      <c r="J2158" s="39" t="s">
        <v>1478</v>
      </c>
      <c r="K2158" s="39" t="s">
        <v>2122</v>
      </c>
      <c r="L2158" s="39" t="s">
        <v>7830</v>
      </c>
      <c r="M2158" s="39" t="s">
        <v>7831</v>
      </c>
      <c r="N2158" s="39" t="str">
        <f>("0129507")</f>
        <v>0129507</v>
      </c>
      <c r="P2158" s="39" t="s">
        <v>13611</v>
      </c>
      <c r="Q2158" s="39" t="s">
        <v>8568</v>
      </c>
      <c r="R2158" s="39" t="s">
        <v>8569</v>
      </c>
      <c r="S2158" s="39" t="s">
        <v>8570</v>
      </c>
      <c r="AK2158" s="39" t="str">
        <f>("2025/08/22")</f>
        <v>2025/08/22</v>
      </c>
      <c r="AL2158" s="39" t="str">
        <f>("2025/08/22")</f>
        <v>2025/08/22</v>
      </c>
    </row>
    <row r="2159" spans="1:38" x14ac:dyDescent="0.25">
      <c r="A2159" s="39" t="str">
        <f>("1604060131")</f>
        <v>1604060131</v>
      </c>
      <c r="C2159" s="39"/>
      <c r="D2159" s="39" t="s">
        <v>9689</v>
      </c>
      <c r="E2159" s="371" t="str">
        <f t="shared" si="175"/>
        <v>かわの　ふくた</v>
      </c>
      <c r="F2159" s="39" t="s">
        <v>2350</v>
      </c>
      <c r="G2159" s="39" t="s">
        <v>7828</v>
      </c>
      <c r="H2159" s="39" t="str">
        <f>("2016/04/06")</f>
        <v>2016/04/06</v>
      </c>
      <c r="I2159" s="39">
        <v>3</v>
      </c>
      <c r="J2159" s="39" t="s">
        <v>1478</v>
      </c>
      <c r="K2159" s="39" t="s">
        <v>2122</v>
      </c>
      <c r="L2159" s="39" t="s">
        <v>7830</v>
      </c>
      <c r="M2159" s="39" t="s">
        <v>7831</v>
      </c>
      <c r="N2159" s="39" t="str">
        <f>("0360032")</f>
        <v>0360032</v>
      </c>
      <c r="P2159" s="39" t="s">
        <v>13612</v>
      </c>
      <c r="Q2159" s="39" t="s">
        <v>8568</v>
      </c>
      <c r="R2159" s="39" t="s">
        <v>8569</v>
      </c>
      <c r="S2159" s="39" t="s">
        <v>8570</v>
      </c>
      <c r="AK2159" s="39" t="str">
        <f>("2025/09/03")</f>
        <v>2025/09/03</v>
      </c>
      <c r="AL2159" s="39" t="str">
        <f>("2025/09/03")</f>
        <v>2025/09/03</v>
      </c>
    </row>
    <row r="2160" spans="1:38" x14ac:dyDescent="0.25">
      <c r="A2160" s="39" t="str">
        <f>("1604070029")</f>
        <v>1604070029</v>
      </c>
      <c r="C2160" s="39"/>
      <c r="D2160" s="39" t="s">
        <v>9690</v>
      </c>
      <c r="E2160" s="371" t="str">
        <f t="shared" si="175"/>
        <v>なかにし　えいたろう</v>
      </c>
      <c r="F2160" s="39" t="s">
        <v>2485</v>
      </c>
      <c r="G2160" s="39" t="s">
        <v>7828</v>
      </c>
      <c r="H2160" s="39" t="str">
        <f>("2016/04/07")</f>
        <v>2016/04/07</v>
      </c>
      <c r="I2160" s="39">
        <v>3</v>
      </c>
      <c r="J2160" s="39" t="s">
        <v>1478</v>
      </c>
      <c r="K2160" s="39" t="s">
        <v>2122</v>
      </c>
      <c r="L2160" s="39" t="s">
        <v>7830</v>
      </c>
      <c r="M2160" s="39" t="s">
        <v>7831</v>
      </c>
      <c r="N2160" s="39" t="str">
        <f>("0129754")</f>
        <v>0129754</v>
      </c>
      <c r="P2160" s="39" t="s">
        <v>13613</v>
      </c>
      <c r="Q2160" s="39" t="s">
        <v>8568</v>
      </c>
      <c r="R2160" s="39" t="s">
        <v>8569</v>
      </c>
      <c r="S2160" s="39" t="s">
        <v>8570</v>
      </c>
      <c r="AK2160" s="39" t="str">
        <f>("2025/03/24")</f>
        <v>2025/03/24</v>
      </c>
      <c r="AL2160" s="39" t="str">
        <f>("2025/04/01")</f>
        <v>2025/04/01</v>
      </c>
    </row>
    <row r="2161" spans="1:39" x14ac:dyDescent="0.25">
      <c r="A2161" s="39" t="str">
        <f>("1604070133")</f>
        <v>1604070133</v>
      </c>
      <c r="C2161" s="39"/>
      <c r="D2161" s="39" t="s">
        <v>9691</v>
      </c>
      <c r="E2161" s="371" t="str">
        <f t="shared" si="175"/>
        <v>ごうじ　じょうたろう</v>
      </c>
      <c r="F2161" s="39" t="s">
        <v>2024</v>
      </c>
      <c r="G2161" s="39" t="s">
        <v>7828</v>
      </c>
      <c r="H2161" s="39" t="str">
        <f>("2016/04/07")</f>
        <v>2016/04/07</v>
      </c>
      <c r="I2161" s="39">
        <v>3</v>
      </c>
      <c r="J2161" s="39" t="s">
        <v>1478</v>
      </c>
      <c r="K2161" s="39" t="s">
        <v>2122</v>
      </c>
      <c r="L2161" s="39" t="s">
        <v>7830</v>
      </c>
      <c r="M2161" s="39" t="s">
        <v>7831</v>
      </c>
      <c r="N2161" s="39" t="str">
        <f>("0130475")</f>
        <v>0130475</v>
      </c>
      <c r="P2161" s="39" t="s">
        <v>13614</v>
      </c>
      <c r="Q2161" s="39" t="s">
        <v>8568</v>
      </c>
      <c r="R2161" s="39" t="s">
        <v>8569</v>
      </c>
      <c r="S2161" s="39" t="s">
        <v>8570</v>
      </c>
      <c r="AK2161" s="39" t="str">
        <f>("2025/06/10")</f>
        <v>2025/06/10</v>
      </c>
      <c r="AL2161" s="39" t="str">
        <f>("2025/06/10")</f>
        <v>2025/06/10</v>
      </c>
    </row>
    <row r="2162" spans="1:39" x14ac:dyDescent="0.25">
      <c r="A2162" s="39" t="str">
        <f>("1604080014")</f>
        <v>1604080014</v>
      </c>
      <c r="B2162" s="39" t="s">
        <v>9692</v>
      </c>
      <c r="C2162" s="39"/>
      <c r="D2162" s="39" t="s">
        <v>9693</v>
      </c>
      <c r="E2162" s="371" t="str">
        <f t="shared" si="175"/>
        <v>あやべ　りく</v>
      </c>
      <c r="F2162" s="39" t="s">
        <v>2325</v>
      </c>
      <c r="G2162" s="39" t="s">
        <v>7828</v>
      </c>
      <c r="H2162" s="39" t="str">
        <f>("2016/04/08")</f>
        <v>2016/04/08</v>
      </c>
      <c r="I2162" s="39">
        <v>3</v>
      </c>
      <c r="J2162" s="39" t="s">
        <v>1478</v>
      </c>
      <c r="K2162" s="39" t="s">
        <v>2122</v>
      </c>
      <c r="L2162" s="39" t="s">
        <v>7830</v>
      </c>
      <c r="M2162" s="39" t="s">
        <v>7831</v>
      </c>
      <c r="N2162" s="39" t="str">
        <f>("0155034")</f>
        <v>0155034</v>
      </c>
      <c r="P2162" s="39" t="s">
        <v>13615</v>
      </c>
      <c r="Q2162" s="39" t="s">
        <v>8568</v>
      </c>
      <c r="R2162" s="39" t="s">
        <v>8569</v>
      </c>
      <c r="S2162" s="39" t="s">
        <v>8570</v>
      </c>
      <c r="AK2162" s="39" t="str">
        <f>("2025/03/17")</f>
        <v>2025/03/17</v>
      </c>
      <c r="AL2162" s="39" t="str">
        <f>("2025/04/01")</f>
        <v>2025/04/01</v>
      </c>
    </row>
    <row r="2163" spans="1:39" x14ac:dyDescent="0.25">
      <c r="A2163" s="39" t="str">
        <f>("1604090066")</f>
        <v>1604090066</v>
      </c>
      <c r="C2163" s="39"/>
      <c r="D2163" s="39" t="s">
        <v>9694</v>
      </c>
      <c r="E2163" s="371" t="str">
        <f t="shared" si="175"/>
        <v>たかくら　よしと</v>
      </c>
      <c r="F2163" s="39" t="s">
        <v>1330</v>
      </c>
      <c r="G2163" s="39" t="s">
        <v>7828</v>
      </c>
      <c r="H2163" s="39" t="str">
        <f>("2016/04/09")</f>
        <v>2016/04/09</v>
      </c>
      <c r="I2163" s="39">
        <v>3</v>
      </c>
      <c r="J2163" s="39" t="s">
        <v>1478</v>
      </c>
      <c r="K2163" s="39" t="s">
        <v>2122</v>
      </c>
      <c r="L2163" s="39" t="s">
        <v>7830</v>
      </c>
      <c r="M2163" s="39" t="s">
        <v>7831</v>
      </c>
      <c r="N2163" s="39" t="str">
        <f>("0130598")</f>
        <v>0130598</v>
      </c>
      <c r="P2163" s="39" t="s">
        <v>13616</v>
      </c>
      <c r="Q2163" s="39" t="s">
        <v>8568</v>
      </c>
      <c r="R2163" s="39" t="s">
        <v>8569</v>
      </c>
      <c r="S2163" s="39" t="s">
        <v>8570</v>
      </c>
      <c r="AK2163" s="39" t="str">
        <f>("2025/03/17")</f>
        <v>2025/03/17</v>
      </c>
      <c r="AL2163" s="39" t="str">
        <f>("2025/04/01")</f>
        <v>2025/04/01</v>
      </c>
    </row>
    <row r="2164" spans="1:39" x14ac:dyDescent="0.25">
      <c r="A2164" s="39" t="str">
        <f>("1604100025")</f>
        <v>1604100025</v>
      </c>
      <c r="C2164" s="39"/>
      <c r="D2164" s="39" t="s">
        <v>9695</v>
      </c>
      <c r="E2164" s="371" t="str">
        <f t="shared" si="175"/>
        <v>ふくみつ　はるま</v>
      </c>
      <c r="F2164" s="39" t="s">
        <v>639</v>
      </c>
      <c r="G2164" s="39" t="s">
        <v>7828</v>
      </c>
      <c r="H2164" s="39" t="str">
        <f>("2016/04/10")</f>
        <v>2016/04/10</v>
      </c>
      <c r="I2164" s="39">
        <v>3</v>
      </c>
      <c r="J2164" s="39" t="s">
        <v>1478</v>
      </c>
      <c r="K2164" s="39" t="s">
        <v>2122</v>
      </c>
      <c r="L2164" s="39" t="s">
        <v>7830</v>
      </c>
      <c r="M2164" s="39" t="s">
        <v>7831</v>
      </c>
      <c r="N2164" s="39" t="str">
        <f>("0130633")</f>
        <v>0130633</v>
      </c>
      <c r="P2164" s="39" t="s">
        <v>13617</v>
      </c>
      <c r="Q2164" s="39" t="s">
        <v>8568</v>
      </c>
      <c r="R2164" s="39" t="s">
        <v>8569</v>
      </c>
      <c r="S2164" s="39" t="s">
        <v>8570</v>
      </c>
      <c r="AK2164" s="39" t="str">
        <f>("2025/03/17")</f>
        <v>2025/03/17</v>
      </c>
      <c r="AL2164" s="39" t="str">
        <f>("2025/04/01")</f>
        <v>2025/04/01</v>
      </c>
    </row>
    <row r="2165" spans="1:39" x14ac:dyDescent="0.25">
      <c r="A2165" s="39" t="str">
        <f>("1604100095")</f>
        <v>1604100095</v>
      </c>
      <c r="C2165" s="39"/>
      <c r="D2165" s="39" t="s">
        <v>9696</v>
      </c>
      <c r="E2165" s="371" t="str">
        <f t="shared" si="175"/>
        <v>とうどう　しゅうじ</v>
      </c>
      <c r="F2165" s="39" t="s">
        <v>1865</v>
      </c>
      <c r="G2165" s="39" t="s">
        <v>7828</v>
      </c>
      <c r="H2165" s="39" t="str">
        <f>("2016/04/10")</f>
        <v>2016/04/10</v>
      </c>
      <c r="I2165" s="39">
        <v>3</v>
      </c>
      <c r="J2165" s="39" t="s">
        <v>1478</v>
      </c>
      <c r="K2165" s="39" t="s">
        <v>2122</v>
      </c>
      <c r="L2165" s="39" t="s">
        <v>7830</v>
      </c>
      <c r="M2165" s="39" t="s">
        <v>7831</v>
      </c>
      <c r="N2165" s="39" t="str">
        <f>("0310565")</f>
        <v>0310565</v>
      </c>
      <c r="P2165" s="39" t="s">
        <v>13618</v>
      </c>
      <c r="Q2165" s="39" t="s">
        <v>8568</v>
      </c>
      <c r="R2165" s="39" t="s">
        <v>8569</v>
      </c>
      <c r="S2165" s="39" t="s">
        <v>8570</v>
      </c>
      <c r="AK2165" s="39" t="str">
        <f>("2025/09/09")</f>
        <v>2025/09/09</v>
      </c>
      <c r="AL2165" s="39" t="str">
        <f>("2025/09/09")</f>
        <v>2025/09/09</v>
      </c>
    </row>
    <row r="2166" spans="1:39" x14ac:dyDescent="0.25">
      <c r="A2166" s="39" t="str">
        <f>("1604110106")</f>
        <v>1604110106</v>
      </c>
      <c r="C2166" s="39"/>
      <c r="D2166" s="39" t="s">
        <v>9697</v>
      </c>
      <c r="E2166" s="371" t="str">
        <f t="shared" si="175"/>
        <v>あべ　りょうへい</v>
      </c>
      <c r="F2166" s="39" t="s">
        <v>2587</v>
      </c>
      <c r="G2166" s="39" t="s">
        <v>7828</v>
      </c>
      <c r="H2166" s="39" t="str">
        <f>("2016/04/11")</f>
        <v>2016/04/11</v>
      </c>
      <c r="I2166" s="39">
        <v>3</v>
      </c>
      <c r="J2166" s="39" t="s">
        <v>1478</v>
      </c>
      <c r="K2166" s="39" t="s">
        <v>2122</v>
      </c>
      <c r="L2166" s="39" t="s">
        <v>7830</v>
      </c>
      <c r="M2166" s="39" t="s">
        <v>7831</v>
      </c>
      <c r="N2166" s="39" t="str">
        <f>("0387334")</f>
        <v>0387334</v>
      </c>
      <c r="P2166" s="39" t="s">
        <v>13619</v>
      </c>
      <c r="Q2166" s="39" t="s">
        <v>8568</v>
      </c>
      <c r="R2166" s="39" t="s">
        <v>8569</v>
      </c>
      <c r="S2166" s="39" t="s">
        <v>8570</v>
      </c>
      <c r="AK2166" s="39" t="str">
        <f>("2025/04/10")</f>
        <v>2025/04/10</v>
      </c>
      <c r="AL2166" s="39" t="str">
        <f>("2025/04/10")</f>
        <v>2025/04/10</v>
      </c>
    </row>
    <row r="2167" spans="1:39" x14ac:dyDescent="0.25">
      <c r="A2167" s="39" t="str">
        <f>("1604120044")</f>
        <v>1604120044</v>
      </c>
      <c r="B2167" s="39" t="s">
        <v>9698</v>
      </c>
      <c r="C2167" s="39"/>
      <c r="D2167" s="39" t="s">
        <v>9699</v>
      </c>
      <c r="E2167" s="371" t="str">
        <f t="shared" si="175"/>
        <v>たかはし　けいじ</v>
      </c>
      <c r="F2167" s="39" t="s">
        <v>1912</v>
      </c>
      <c r="G2167" s="39" t="s">
        <v>7828</v>
      </c>
      <c r="H2167" s="39" t="str">
        <f>("2016/04/12")</f>
        <v>2016/04/12</v>
      </c>
      <c r="I2167" s="39">
        <v>3</v>
      </c>
      <c r="J2167" s="39" t="s">
        <v>1478</v>
      </c>
      <c r="K2167" s="39" t="s">
        <v>2122</v>
      </c>
      <c r="L2167" s="39" t="s">
        <v>7830</v>
      </c>
      <c r="M2167" s="39" t="s">
        <v>7831</v>
      </c>
      <c r="N2167" s="39" t="str">
        <f>("0130363")</f>
        <v>0130363</v>
      </c>
      <c r="P2167" s="39" t="s">
        <v>13620</v>
      </c>
      <c r="Q2167" s="39" t="s">
        <v>8568</v>
      </c>
      <c r="R2167" s="39" t="s">
        <v>8569</v>
      </c>
      <c r="S2167" s="39" t="s">
        <v>8570</v>
      </c>
      <c r="AK2167" s="39" t="str">
        <f>("2025/03/17")</f>
        <v>2025/03/17</v>
      </c>
      <c r="AL2167" s="39" t="str">
        <f>("2025/04/01")</f>
        <v>2025/04/01</v>
      </c>
    </row>
    <row r="2168" spans="1:39" x14ac:dyDescent="0.25">
      <c r="A2168" s="39" t="str">
        <f>("1604120086")</f>
        <v>1604120086</v>
      </c>
      <c r="C2168" s="39"/>
      <c r="D2168" s="39" t="s">
        <v>9700</v>
      </c>
      <c r="E2168" s="371" t="str">
        <f t="shared" si="175"/>
        <v>いちはら　れお</v>
      </c>
      <c r="F2168" s="39" t="s">
        <v>1330</v>
      </c>
      <c r="G2168" s="39" t="s">
        <v>7828</v>
      </c>
      <c r="H2168" s="39" t="str">
        <f>("2016/04/12")</f>
        <v>2016/04/12</v>
      </c>
      <c r="I2168" s="39">
        <v>3</v>
      </c>
      <c r="J2168" s="39" t="s">
        <v>1478</v>
      </c>
      <c r="K2168" s="39" t="s">
        <v>2122</v>
      </c>
      <c r="L2168" s="39" t="s">
        <v>7830</v>
      </c>
      <c r="M2168" s="39" t="s">
        <v>7831</v>
      </c>
      <c r="N2168" s="39" t="str">
        <f>("0130598")</f>
        <v>0130598</v>
      </c>
      <c r="P2168" s="39" t="s">
        <v>13621</v>
      </c>
      <c r="Q2168" s="39" t="s">
        <v>8568</v>
      </c>
      <c r="R2168" s="39" t="s">
        <v>8569</v>
      </c>
      <c r="S2168" s="39" t="s">
        <v>8570</v>
      </c>
      <c r="AK2168" s="39" t="str">
        <f>("2025/03/17")</f>
        <v>2025/03/17</v>
      </c>
      <c r="AL2168" s="39" t="str">
        <f>("2025/04/01")</f>
        <v>2025/04/01</v>
      </c>
    </row>
    <row r="2169" spans="1:39" x14ac:dyDescent="0.25">
      <c r="A2169" s="39" t="str">
        <f>("1604150003")</f>
        <v>1604150003</v>
      </c>
      <c r="C2169" s="39"/>
      <c r="D2169" s="39" t="s">
        <v>9701</v>
      </c>
      <c r="E2169" s="371" t="str">
        <f t="shared" si="175"/>
        <v>あいべ　みなと</v>
      </c>
      <c r="F2169" s="39" t="s">
        <v>5615</v>
      </c>
      <c r="G2169" s="39" t="s">
        <v>7828</v>
      </c>
      <c r="H2169" s="39" t="str">
        <f>("2016/04/15")</f>
        <v>2016/04/15</v>
      </c>
      <c r="I2169" s="39">
        <v>3</v>
      </c>
      <c r="J2169" s="39" t="s">
        <v>1478</v>
      </c>
      <c r="K2169" s="39" t="s">
        <v>2122</v>
      </c>
      <c r="L2169" s="39" t="s">
        <v>7830</v>
      </c>
      <c r="M2169" s="39" t="s">
        <v>7831</v>
      </c>
      <c r="N2169" s="39" t="str">
        <f>("0129642")</f>
        <v>0129642</v>
      </c>
      <c r="P2169" s="39" t="s">
        <v>13622</v>
      </c>
      <c r="Q2169" s="39" t="s">
        <v>8568</v>
      </c>
      <c r="R2169" s="39" t="s">
        <v>8569</v>
      </c>
      <c r="S2169" s="39" t="s">
        <v>8570</v>
      </c>
      <c r="AK2169" s="39" t="str">
        <f>("2025/03/24")</f>
        <v>2025/03/24</v>
      </c>
      <c r="AL2169" s="39" t="str">
        <f>("2025/04/01")</f>
        <v>2025/04/01</v>
      </c>
    </row>
    <row r="2170" spans="1:39" x14ac:dyDescent="0.25">
      <c r="A2170" s="39" t="str">
        <f>("1604170088")</f>
        <v>1604170088</v>
      </c>
      <c r="C2170" s="39"/>
      <c r="D2170" s="39" t="s">
        <v>9702</v>
      </c>
      <c r="E2170" s="371" t="str">
        <f t="shared" si="175"/>
        <v>たかなみ　りゅうたろう</v>
      </c>
      <c r="F2170" s="39" t="s">
        <v>1968</v>
      </c>
      <c r="G2170" s="39" t="s">
        <v>7828</v>
      </c>
      <c r="H2170" s="39" t="str">
        <f>("2016/04/17")</f>
        <v>2016/04/17</v>
      </c>
      <c r="I2170" s="39">
        <v>3</v>
      </c>
      <c r="J2170" s="39" t="s">
        <v>1478</v>
      </c>
      <c r="K2170" s="39" t="s">
        <v>2122</v>
      </c>
      <c r="L2170" s="39" t="s">
        <v>7830</v>
      </c>
      <c r="M2170" s="39" t="s">
        <v>7831</v>
      </c>
      <c r="N2170" s="39" t="str">
        <f>("0129507")</f>
        <v>0129507</v>
      </c>
      <c r="P2170" s="39" t="s">
        <v>13623</v>
      </c>
      <c r="Q2170" s="39" t="s">
        <v>8568</v>
      </c>
      <c r="R2170" s="39" t="s">
        <v>8569</v>
      </c>
      <c r="S2170" s="39" t="s">
        <v>8570</v>
      </c>
      <c r="AK2170" s="39" t="str">
        <f>("2025/08/22")</f>
        <v>2025/08/22</v>
      </c>
      <c r="AL2170" s="39" t="str">
        <f>("2025/08/22")</f>
        <v>2025/08/22</v>
      </c>
    </row>
    <row r="2171" spans="1:39" x14ac:dyDescent="0.25">
      <c r="A2171" s="39" t="str">
        <f>("1604180008")</f>
        <v>1604180008</v>
      </c>
      <c r="C2171" s="39"/>
      <c r="D2171" s="39" t="s">
        <v>9703</v>
      </c>
      <c r="E2171" s="371" t="str">
        <f t="shared" si="175"/>
        <v>はしい　そら</v>
      </c>
      <c r="F2171" s="39" t="s">
        <v>2138</v>
      </c>
      <c r="G2171" s="39" t="s">
        <v>7828</v>
      </c>
      <c r="H2171" s="39" t="str">
        <f>("2016/04/18")</f>
        <v>2016/04/18</v>
      </c>
      <c r="I2171" s="39">
        <v>3</v>
      </c>
      <c r="J2171" s="39" t="s">
        <v>1478</v>
      </c>
      <c r="K2171" s="39" t="s">
        <v>2122</v>
      </c>
      <c r="L2171" s="39" t="s">
        <v>7830</v>
      </c>
      <c r="M2171" s="39" t="s">
        <v>7831</v>
      </c>
      <c r="N2171" s="39" t="str">
        <f>("0130082")</f>
        <v>0130082</v>
      </c>
      <c r="P2171" s="39" t="s">
        <v>13624</v>
      </c>
      <c r="Q2171" s="39" t="s">
        <v>8568</v>
      </c>
      <c r="R2171" s="39" t="s">
        <v>8569</v>
      </c>
      <c r="S2171" s="39" t="s">
        <v>8570</v>
      </c>
      <c r="AK2171" s="39" t="str">
        <f>("2025/03/17")</f>
        <v>2025/03/17</v>
      </c>
      <c r="AL2171" s="39" t="str">
        <f>("2025/04/01")</f>
        <v>2025/04/01</v>
      </c>
    </row>
    <row r="2172" spans="1:39" x14ac:dyDescent="0.25">
      <c r="A2172" s="39" t="str">
        <f>("1604180042")</f>
        <v>1604180042</v>
      </c>
      <c r="C2172" s="39"/>
      <c r="D2172" s="39" t="s">
        <v>5714</v>
      </c>
      <c r="E2172" s="371" t="str">
        <f t="shared" si="175"/>
        <v>しばせき　いっしん</v>
      </c>
      <c r="F2172" s="39" t="s">
        <v>2139</v>
      </c>
      <c r="G2172" s="39" t="s">
        <v>7828</v>
      </c>
      <c r="H2172" s="39" t="str">
        <f>("2016/04/18")</f>
        <v>2016/04/18</v>
      </c>
      <c r="I2172" s="39">
        <v>4</v>
      </c>
      <c r="J2172" s="39" t="s">
        <v>1478</v>
      </c>
      <c r="K2172" s="39" t="s">
        <v>2122</v>
      </c>
      <c r="L2172" s="39" t="s">
        <v>7830</v>
      </c>
      <c r="M2172" s="39" t="s">
        <v>7831</v>
      </c>
      <c r="N2172" s="39" t="str">
        <f>("0129798")</f>
        <v>0129798</v>
      </c>
      <c r="P2172" s="39" t="s">
        <v>13625</v>
      </c>
      <c r="Q2172" s="39" t="s">
        <v>8568</v>
      </c>
      <c r="R2172" s="39" t="s">
        <v>8569</v>
      </c>
      <c r="S2172" s="39" t="s">
        <v>8570</v>
      </c>
      <c r="AK2172" s="39" t="str">
        <f>("2025/03/27")</f>
        <v>2025/03/27</v>
      </c>
      <c r="AL2172" s="39" t="str">
        <f>("2025/04/01")</f>
        <v>2025/04/01</v>
      </c>
    </row>
    <row r="2173" spans="1:39" x14ac:dyDescent="0.25">
      <c r="A2173" s="39" t="str">
        <f>("1604180083")</f>
        <v>1604180083</v>
      </c>
      <c r="C2173" s="39"/>
      <c r="D2173" s="39" t="s">
        <v>9704</v>
      </c>
      <c r="E2173" s="371" t="str">
        <f t="shared" si="175"/>
        <v>なかお　ひなた</v>
      </c>
      <c r="F2173" s="39" t="s">
        <v>2516</v>
      </c>
      <c r="G2173" s="39" t="s">
        <v>7828</v>
      </c>
      <c r="H2173" s="39" t="str">
        <f>("2016/04/18")</f>
        <v>2016/04/18</v>
      </c>
      <c r="I2173" s="39">
        <v>3</v>
      </c>
      <c r="J2173" s="39" t="s">
        <v>1478</v>
      </c>
      <c r="K2173" s="39" t="s">
        <v>2122</v>
      </c>
      <c r="L2173" s="39" t="s">
        <v>7830</v>
      </c>
      <c r="M2173" s="39" t="s">
        <v>7831</v>
      </c>
      <c r="N2173" s="39" t="str">
        <f>("0130116")</f>
        <v>0130116</v>
      </c>
      <c r="P2173" s="39" t="s">
        <v>13626</v>
      </c>
      <c r="Q2173" s="39" t="s">
        <v>8568</v>
      </c>
      <c r="R2173" s="39" t="s">
        <v>8569</v>
      </c>
      <c r="S2173" s="39" t="s">
        <v>8570</v>
      </c>
      <c r="AK2173" s="39" t="str">
        <f>("2025/03/25")</f>
        <v>2025/03/25</v>
      </c>
      <c r="AL2173" s="39" t="str">
        <f>("2025/04/01")</f>
        <v>2025/04/01</v>
      </c>
    </row>
    <row r="2174" spans="1:39" x14ac:dyDescent="0.25">
      <c r="A2174" s="39" t="str">
        <f>("1604180112")</f>
        <v>1604180112</v>
      </c>
      <c r="C2174" s="39"/>
      <c r="D2174" s="39" t="s">
        <v>9705</v>
      </c>
      <c r="E2174" s="371" t="str">
        <f t="shared" si="175"/>
        <v>うえだ　はると</v>
      </c>
      <c r="F2174" s="39" t="s">
        <v>2256</v>
      </c>
      <c r="G2174" s="39" t="s">
        <v>7828</v>
      </c>
      <c r="H2174" s="39" t="str">
        <f>("2016/04/18")</f>
        <v>2016/04/18</v>
      </c>
      <c r="I2174" s="39">
        <v>3</v>
      </c>
      <c r="J2174" s="39" t="s">
        <v>1478</v>
      </c>
      <c r="K2174" s="39" t="s">
        <v>2122</v>
      </c>
      <c r="L2174" s="39" t="s">
        <v>7830</v>
      </c>
      <c r="M2174" s="39" t="s">
        <v>7831</v>
      </c>
      <c r="N2174" s="39" t="str">
        <f>("0449119")</f>
        <v>0449119</v>
      </c>
      <c r="P2174" s="39" t="s">
        <v>13627</v>
      </c>
      <c r="Q2174" s="39" t="s">
        <v>8568</v>
      </c>
      <c r="R2174" s="39" t="s">
        <v>8569</v>
      </c>
      <c r="S2174" s="39" t="s">
        <v>8570</v>
      </c>
      <c r="AK2174" s="39" t="str">
        <f t="shared" ref="AK2174:AL2176" si="178">("2025/05/07")</f>
        <v>2025/05/07</v>
      </c>
      <c r="AL2174" s="39" t="str">
        <f t="shared" si="178"/>
        <v>2025/05/07</v>
      </c>
    </row>
    <row r="2175" spans="1:39" x14ac:dyDescent="0.25">
      <c r="A2175" s="39" t="str">
        <f>("1604180113")</f>
        <v>1604180113</v>
      </c>
      <c r="C2175" s="39"/>
      <c r="D2175" s="39" t="s">
        <v>9706</v>
      </c>
      <c r="E2175" s="371" t="str">
        <f t="shared" si="175"/>
        <v>たかはし　いっしん</v>
      </c>
      <c r="F2175" s="39" t="s">
        <v>2256</v>
      </c>
      <c r="G2175" s="39" t="s">
        <v>7828</v>
      </c>
      <c r="H2175" s="39" t="str">
        <f>("2016/04/18")</f>
        <v>2016/04/18</v>
      </c>
      <c r="I2175" s="39">
        <v>3</v>
      </c>
      <c r="J2175" s="39" t="s">
        <v>1478</v>
      </c>
      <c r="K2175" s="39" t="s">
        <v>2122</v>
      </c>
      <c r="L2175" s="39" t="s">
        <v>7830</v>
      </c>
      <c r="M2175" s="39" t="s">
        <v>7831</v>
      </c>
      <c r="N2175" s="39" t="str">
        <f>("0449119")</f>
        <v>0449119</v>
      </c>
      <c r="P2175" s="39" t="s">
        <v>13628</v>
      </c>
      <c r="Q2175" s="39" t="s">
        <v>8568</v>
      </c>
      <c r="R2175" s="39" t="s">
        <v>8569</v>
      </c>
      <c r="S2175" s="39" t="s">
        <v>8570</v>
      </c>
      <c r="AK2175" s="39" t="str">
        <f t="shared" si="178"/>
        <v>2025/05/07</v>
      </c>
      <c r="AL2175" s="39" t="str">
        <f t="shared" si="178"/>
        <v>2025/05/07</v>
      </c>
    </row>
    <row r="2176" spans="1:39" x14ac:dyDescent="0.25">
      <c r="A2176" s="39" t="str">
        <f>("1604190131")</f>
        <v>1604190131</v>
      </c>
      <c r="C2176" s="39"/>
      <c r="D2176" s="39" t="s">
        <v>9707</v>
      </c>
      <c r="E2176" s="371" t="str">
        <f t="shared" si="175"/>
        <v>ごとう　あおと</v>
      </c>
      <c r="F2176" s="39" t="s">
        <v>928</v>
      </c>
      <c r="G2176" s="39" t="s">
        <v>7828</v>
      </c>
      <c r="H2176" s="39" t="str">
        <f>("2016/04/19")</f>
        <v>2016/04/19</v>
      </c>
      <c r="I2176" s="39">
        <v>3</v>
      </c>
      <c r="J2176" s="39" t="s">
        <v>1478</v>
      </c>
      <c r="K2176" s="39" t="s">
        <v>2122</v>
      </c>
      <c r="L2176" s="39" t="s">
        <v>7830</v>
      </c>
      <c r="M2176" s="39" t="s">
        <v>7831</v>
      </c>
      <c r="N2176" s="39" t="str">
        <f>("0130532")</f>
        <v>0130532</v>
      </c>
      <c r="P2176" s="39" t="s">
        <v>13629</v>
      </c>
      <c r="Q2176" s="39" t="s">
        <v>8568</v>
      </c>
      <c r="R2176" s="39" t="s">
        <v>8569</v>
      </c>
      <c r="S2176" s="39" t="s">
        <v>8570</v>
      </c>
      <c r="AK2176" s="39" t="str">
        <f t="shared" si="178"/>
        <v>2025/05/07</v>
      </c>
      <c r="AL2176" s="39" t="str">
        <f t="shared" si="178"/>
        <v>2025/05/07</v>
      </c>
      <c r="AM2176" s="39" t="str">
        <f>("2025/05/14")</f>
        <v>2025/05/14</v>
      </c>
    </row>
    <row r="2177" spans="1:38" x14ac:dyDescent="0.25">
      <c r="A2177" s="39" t="str">
        <f>("1604190147")</f>
        <v>1604190147</v>
      </c>
      <c r="C2177" s="39"/>
      <c r="D2177" s="39" t="s">
        <v>9708</v>
      </c>
      <c r="E2177" s="371" t="str">
        <f t="shared" si="175"/>
        <v>はせべ　りょうへい</v>
      </c>
      <c r="F2177" s="39" t="s">
        <v>827</v>
      </c>
      <c r="G2177" s="39" t="s">
        <v>7828</v>
      </c>
      <c r="H2177" s="39" t="str">
        <f>("2016/04/19")</f>
        <v>2016/04/19</v>
      </c>
      <c r="I2177" s="39">
        <v>3</v>
      </c>
      <c r="J2177" s="39" t="s">
        <v>1478</v>
      </c>
      <c r="K2177" s="39" t="s">
        <v>2122</v>
      </c>
      <c r="L2177" s="39" t="s">
        <v>7830</v>
      </c>
      <c r="M2177" s="39" t="s">
        <v>7831</v>
      </c>
      <c r="N2177" s="39" t="str">
        <f>("0504908")</f>
        <v>0504908</v>
      </c>
      <c r="P2177" s="39" t="s">
        <v>13630</v>
      </c>
      <c r="Q2177" s="39" t="s">
        <v>8568</v>
      </c>
      <c r="R2177" s="39" t="s">
        <v>8569</v>
      </c>
      <c r="S2177" s="39" t="s">
        <v>8570</v>
      </c>
      <c r="AK2177" s="39" t="str">
        <f>("2025/09/04")</f>
        <v>2025/09/04</v>
      </c>
      <c r="AL2177" s="39" t="str">
        <f>("2025/09/04")</f>
        <v>2025/09/04</v>
      </c>
    </row>
    <row r="2178" spans="1:38" x14ac:dyDescent="0.25">
      <c r="A2178" s="39" t="str">
        <f>("1604200143")</f>
        <v>1604200143</v>
      </c>
      <c r="C2178" s="39"/>
      <c r="D2178" s="39" t="s">
        <v>9709</v>
      </c>
      <c r="E2178" s="371" t="str">
        <f t="shared" si="175"/>
        <v>にしもと　しゅんた</v>
      </c>
      <c r="F2178" s="39" t="s">
        <v>1692</v>
      </c>
      <c r="G2178" s="39" t="s">
        <v>7828</v>
      </c>
      <c r="H2178" s="39" t="str">
        <f>("2016/04/20")</f>
        <v>2016/04/20</v>
      </c>
      <c r="I2178" s="39">
        <v>3</v>
      </c>
      <c r="J2178" s="39" t="s">
        <v>1478</v>
      </c>
      <c r="K2178" s="39" t="s">
        <v>2122</v>
      </c>
      <c r="L2178" s="39" t="s">
        <v>7830</v>
      </c>
      <c r="M2178" s="39" t="s">
        <v>7831</v>
      </c>
      <c r="N2178" s="39" t="str">
        <f>("1052299")</f>
        <v>1052299</v>
      </c>
      <c r="P2178" s="39" t="s">
        <v>13631</v>
      </c>
      <c r="Q2178" s="39" t="s">
        <v>8568</v>
      </c>
      <c r="R2178" s="39" t="s">
        <v>8569</v>
      </c>
      <c r="S2178" s="39" t="s">
        <v>8570</v>
      </c>
      <c r="AK2178" s="39" t="str">
        <f>("2025/08/29")</f>
        <v>2025/08/29</v>
      </c>
      <c r="AL2178" s="39" t="str">
        <f>("2025/08/29")</f>
        <v>2025/08/29</v>
      </c>
    </row>
    <row r="2179" spans="1:38" x14ac:dyDescent="0.25">
      <c r="A2179" s="39" t="str">
        <f>("1604210094")</f>
        <v>1604210094</v>
      </c>
      <c r="C2179" s="39"/>
      <c r="D2179" s="39" t="s">
        <v>9710</v>
      </c>
      <c r="E2179" s="371" t="str">
        <f t="shared" ref="E2179:E2242" si="179">PHONETIC(P2179)</f>
        <v>むちま　そうた</v>
      </c>
      <c r="F2179" s="39" t="s">
        <v>1330</v>
      </c>
      <c r="G2179" s="39" t="s">
        <v>7828</v>
      </c>
      <c r="H2179" s="39" t="str">
        <f>("2016/04/21")</f>
        <v>2016/04/21</v>
      </c>
      <c r="I2179" s="39">
        <v>3</v>
      </c>
      <c r="J2179" s="39" t="s">
        <v>1478</v>
      </c>
      <c r="K2179" s="39" t="s">
        <v>2122</v>
      </c>
      <c r="L2179" s="39" t="s">
        <v>7830</v>
      </c>
      <c r="M2179" s="39" t="s">
        <v>7831</v>
      </c>
      <c r="N2179" s="39" t="str">
        <f>("0130598")</f>
        <v>0130598</v>
      </c>
      <c r="P2179" s="39" t="s">
        <v>13632</v>
      </c>
      <c r="Q2179" s="39" t="s">
        <v>8568</v>
      </c>
      <c r="R2179" s="39" t="s">
        <v>8569</v>
      </c>
      <c r="S2179" s="39" t="s">
        <v>8570</v>
      </c>
      <c r="AK2179" s="39" t="str">
        <f>("2025/03/17")</f>
        <v>2025/03/17</v>
      </c>
      <c r="AL2179" s="39" t="str">
        <f>("2025/04/01")</f>
        <v>2025/04/01</v>
      </c>
    </row>
    <row r="2180" spans="1:38" x14ac:dyDescent="0.25">
      <c r="A2180" s="39" t="str">
        <f>("1604210137")</f>
        <v>1604210137</v>
      </c>
      <c r="C2180" s="39"/>
      <c r="D2180" s="39" t="s">
        <v>9711</v>
      </c>
      <c r="E2180" s="371" t="str">
        <f t="shared" si="179"/>
        <v>ごとう　はる</v>
      </c>
      <c r="F2180" s="39" t="s">
        <v>1751</v>
      </c>
      <c r="G2180" s="39" t="s">
        <v>7828</v>
      </c>
      <c r="H2180" s="39" t="str">
        <f>("2016/04/21")</f>
        <v>2016/04/21</v>
      </c>
      <c r="I2180" s="39">
        <v>3</v>
      </c>
      <c r="J2180" s="39" t="s">
        <v>1478</v>
      </c>
      <c r="K2180" s="39" t="s">
        <v>2122</v>
      </c>
      <c r="L2180" s="39" t="s">
        <v>7830</v>
      </c>
      <c r="M2180" s="39" t="s">
        <v>7831</v>
      </c>
      <c r="N2180" s="39" t="str">
        <f>("0130453")</f>
        <v>0130453</v>
      </c>
      <c r="P2180" s="39" t="s">
        <v>13633</v>
      </c>
      <c r="Q2180" s="39" t="s">
        <v>8568</v>
      </c>
      <c r="R2180" s="39" t="s">
        <v>8569</v>
      </c>
      <c r="S2180" s="39" t="s">
        <v>8570</v>
      </c>
      <c r="AK2180" s="39" t="str">
        <f>("2025/07/28")</f>
        <v>2025/07/28</v>
      </c>
      <c r="AL2180" s="39" t="str">
        <f>("2025/07/28")</f>
        <v>2025/07/28</v>
      </c>
    </row>
    <row r="2181" spans="1:38" x14ac:dyDescent="0.25">
      <c r="A2181" s="39" t="str">
        <f>("1604220021")</f>
        <v>1604220021</v>
      </c>
      <c r="B2181" s="39" t="s">
        <v>9712</v>
      </c>
      <c r="C2181" s="39"/>
      <c r="D2181" s="39" t="s">
        <v>9713</v>
      </c>
      <c r="E2181" s="371" t="str">
        <f t="shared" si="179"/>
        <v>しゅとう　わたる</v>
      </c>
      <c r="F2181" s="39" t="s">
        <v>2325</v>
      </c>
      <c r="G2181" s="39" t="s">
        <v>7828</v>
      </c>
      <c r="H2181" s="39" t="str">
        <f>("2016/04/22")</f>
        <v>2016/04/22</v>
      </c>
      <c r="I2181" s="39">
        <v>3</v>
      </c>
      <c r="J2181" s="39" t="s">
        <v>1478</v>
      </c>
      <c r="K2181" s="39" t="s">
        <v>2122</v>
      </c>
      <c r="L2181" s="39" t="s">
        <v>7830</v>
      </c>
      <c r="M2181" s="39" t="s">
        <v>7831</v>
      </c>
      <c r="N2181" s="39" t="str">
        <f>("0155034")</f>
        <v>0155034</v>
      </c>
      <c r="P2181" s="39" t="s">
        <v>13634</v>
      </c>
      <c r="Q2181" s="39" t="s">
        <v>8568</v>
      </c>
      <c r="R2181" s="39" t="s">
        <v>8569</v>
      </c>
      <c r="S2181" s="39" t="s">
        <v>8570</v>
      </c>
      <c r="AK2181" s="39" t="str">
        <f>("2025/03/17")</f>
        <v>2025/03/17</v>
      </c>
      <c r="AL2181" s="39" t="str">
        <f>("2025/04/01")</f>
        <v>2025/04/01</v>
      </c>
    </row>
    <row r="2182" spans="1:38" x14ac:dyDescent="0.25">
      <c r="A2182" s="39" t="str">
        <f>("1604220142")</f>
        <v>1604220142</v>
      </c>
      <c r="C2182" s="39"/>
      <c r="D2182" s="39" t="s">
        <v>9714</v>
      </c>
      <c r="E2182" s="371" t="str">
        <f t="shared" si="179"/>
        <v>ひろせ　つむぎ</v>
      </c>
      <c r="F2182" s="39" t="s">
        <v>2138</v>
      </c>
      <c r="G2182" s="39" t="s">
        <v>7828</v>
      </c>
      <c r="H2182" s="39" t="str">
        <f>("2016/04/22")</f>
        <v>2016/04/22</v>
      </c>
      <c r="I2182" s="39">
        <v>3</v>
      </c>
      <c r="J2182" s="39" t="s">
        <v>1478</v>
      </c>
      <c r="K2182" s="39" t="s">
        <v>2122</v>
      </c>
      <c r="L2182" s="39" t="s">
        <v>7830</v>
      </c>
      <c r="M2182" s="39" t="s">
        <v>7831</v>
      </c>
      <c r="N2182" s="39" t="str">
        <f>("0130082")</f>
        <v>0130082</v>
      </c>
      <c r="P2182" s="39" t="s">
        <v>13635</v>
      </c>
      <c r="Q2182" s="39" t="s">
        <v>8568</v>
      </c>
      <c r="R2182" s="39" t="s">
        <v>8569</v>
      </c>
      <c r="S2182" s="39" t="s">
        <v>8570</v>
      </c>
      <c r="AK2182" s="39" t="str">
        <f>("2025/06/03")</f>
        <v>2025/06/03</v>
      </c>
      <c r="AL2182" s="39" t="str">
        <f>("2025/06/03")</f>
        <v>2025/06/03</v>
      </c>
    </row>
    <row r="2183" spans="1:38" x14ac:dyDescent="0.25">
      <c r="A2183" s="39" t="str">
        <f>("1604230068")</f>
        <v>1604230068</v>
      </c>
      <c r="C2183" s="39"/>
      <c r="D2183" s="39" t="s">
        <v>9715</v>
      </c>
      <c r="E2183" s="371" t="str">
        <f t="shared" si="179"/>
        <v>どうじょう　あかり</v>
      </c>
      <c r="F2183" s="39" t="s">
        <v>2505</v>
      </c>
      <c r="G2183" s="39" t="s">
        <v>7828</v>
      </c>
      <c r="H2183" s="39" t="str">
        <f>("2016/04/23")</f>
        <v>2016/04/23</v>
      </c>
      <c r="I2183" s="39">
        <v>3</v>
      </c>
      <c r="J2183" s="39" t="s">
        <v>1478</v>
      </c>
      <c r="K2183" s="39" t="s">
        <v>2122</v>
      </c>
      <c r="L2183" s="39" t="s">
        <v>7830</v>
      </c>
      <c r="M2183" s="39" t="s">
        <v>7831</v>
      </c>
      <c r="N2183" s="39" t="str">
        <f>("0129923")</f>
        <v>0129923</v>
      </c>
      <c r="P2183" s="39" t="s">
        <v>13636</v>
      </c>
      <c r="Q2183" s="39" t="s">
        <v>8568</v>
      </c>
      <c r="R2183" s="39" t="s">
        <v>8569</v>
      </c>
      <c r="S2183" s="39" t="s">
        <v>8570</v>
      </c>
      <c r="AK2183" s="39" t="str">
        <f>("2025/03/17")</f>
        <v>2025/03/17</v>
      </c>
      <c r="AL2183" s="39" t="str">
        <f>("2025/04/01")</f>
        <v>2025/04/01</v>
      </c>
    </row>
    <row r="2184" spans="1:38" x14ac:dyDescent="0.25">
      <c r="A2184" s="39" t="str">
        <f>("1604240077")</f>
        <v>1604240077</v>
      </c>
      <c r="C2184" s="39"/>
      <c r="D2184" s="39" t="s">
        <v>9716</v>
      </c>
      <c r="E2184" s="371" t="str">
        <f t="shared" si="179"/>
        <v>さとう　みはや</v>
      </c>
      <c r="F2184" s="39" t="s">
        <v>2587</v>
      </c>
      <c r="G2184" s="39" t="s">
        <v>7828</v>
      </c>
      <c r="H2184" s="39" t="str">
        <f>("2016/04/24")</f>
        <v>2016/04/24</v>
      </c>
      <c r="I2184" s="39">
        <v>3</v>
      </c>
      <c r="J2184" s="39" t="s">
        <v>1478</v>
      </c>
      <c r="K2184" s="39" t="s">
        <v>2122</v>
      </c>
      <c r="L2184" s="39" t="s">
        <v>7830</v>
      </c>
      <c r="M2184" s="39" t="s">
        <v>7831</v>
      </c>
      <c r="N2184" s="39" t="str">
        <f>("0387334")</f>
        <v>0387334</v>
      </c>
      <c r="P2184" s="39" t="s">
        <v>13637</v>
      </c>
      <c r="Q2184" s="39" t="s">
        <v>8568</v>
      </c>
      <c r="R2184" s="39" t="s">
        <v>8569</v>
      </c>
      <c r="S2184" s="39" t="s">
        <v>8570</v>
      </c>
      <c r="AK2184" s="39" t="str">
        <f>("2025/04/10")</f>
        <v>2025/04/10</v>
      </c>
      <c r="AL2184" s="39" t="str">
        <f>("2025/04/10")</f>
        <v>2025/04/10</v>
      </c>
    </row>
    <row r="2185" spans="1:38" x14ac:dyDescent="0.25">
      <c r="A2185" s="39" t="str">
        <f>("1604240082")</f>
        <v>1604240082</v>
      </c>
      <c r="C2185" s="39"/>
      <c r="D2185" s="39" t="s">
        <v>9717</v>
      </c>
      <c r="E2185" s="371" t="str">
        <f t="shared" si="179"/>
        <v>おばた　えいと</v>
      </c>
      <c r="F2185" s="39" t="s">
        <v>2477</v>
      </c>
      <c r="G2185" s="39" t="s">
        <v>7828</v>
      </c>
      <c r="H2185" s="39" t="str">
        <f>("2016/04/24")</f>
        <v>2016/04/24</v>
      </c>
      <c r="I2185" s="39">
        <v>3</v>
      </c>
      <c r="J2185" s="39" t="s">
        <v>1478</v>
      </c>
      <c r="K2185" s="39" t="s">
        <v>2122</v>
      </c>
      <c r="L2185" s="39" t="s">
        <v>7830</v>
      </c>
      <c r="M2185" s="39" t="s">
        <v>7831</v>
      </c>
      <c r="N2185" s="39" t="str">
        <f>("0129541")</f>
        <v>0129541</v>
      </c>
      <c r="P2185" s="39" t="s">
        <v>13638</v>
      </c>
      <c r="Q2185" s="39" t="s">
        <v>8568</v>
      </c>
      <c r="R2185" s="39" t="s">
        <v>8569</v>
      </c>
      <c r="S2185" s="39" t="s">
        <v>8570</v>
      </c>
      <c r="AK2185" s="39" t="str">
        <f>("2025/05/12")</f>
        <v>2025/05/12</v>
      </c>
      <c r="AL2185" s="39" t="str">
        <f>("2025/05/12")</f>
        <v>2025/05/12</v>
      </c>
    </row>
    <row r="2186" spans="1:38" x14ac:dyDescent="0.25">
      <c r="A2186" s="39" t="str">
        <f>("1604250015")</f>
        <v>1604250015</v>
      </c>
      <c r="C2186" s="39"/>
      <c r="D2186" s="39" t="s">
        <v>9718</v>
      </c>
      <c r="E2186" s="371" t="str">
        <f t="shared" si="179"/>
        <v>ひろはた　いつき</v>
      </c>
      <c r="F2186" s="39" t="s">
        <v>2023</v>
      </c>
      <c r="G2186" s="39" t="s">
        <v>7828</v>
      </c>
      <c r="H2186" s="39" t="str">
        <f>("2016/04/25")</f>
        <v>2016/04/25</v>
      </c>
      <c r="I2186" s="39">
        <v>3</v>
      </c>
      <c r="J2186" s="39" t="s">
        <v>1478</v>
      </c>
      <c r="K2186" s="39" t="s">
        <v>2122</v>
      </c>
      <c r="L2186" s="39" t="s">
        <v>7830</v>
      </c>
      <c r="M2186" s="39" t="s">
        <v>7831</v>
      </c>
      <c r="N2186" s="39" t="str">
        <f>("0129967")</f>
        <v>0129967</v>
      </c>
      <c r="P2186" s="39" t="s">
        <v>13639</v>
      </c>
      <c r="Q2186" s="39" t="s">
        <v>8568</v>
      </c>
      <c r="R2186" s="39" t="s">
        <v>8569</v>
      </c>
      <c r="S2186" s="39" t="s">
        <v>8570</v>
      </c>
      <c r="AK2186" s="39" t="str">
        <f>("2025/03/17")</f>
        <v>2025/03/17</v>
      </c>
      <c r="AL2186" s="39" t="str">
        <f>("2025/04/01")</f>
        <v>2025/04/01</v>
      </c>
    </row>
    <row r="2187" spans="1:38" x14ac:dyDescent="0.25">
      <c r="A2187" s="39" t="str">
        <f>("1604250135")</f>
        <v>1604250135</v>
      </c>
      <c r="C2187" s="39"/>
      <c r="D2187" s="39" t="s">
        <v>9719</v>
      </c>
      <c r="E2187" s="371" t="str">
        <f t="shared" si="179"/>
        <v>しまむら　とわ</v>
      </c>
      <c r="F2187" s="39" t="s">
        <v>2299</v>
      </c>
      <c r="G2187" s="39" t="s">
        <v>7828</v>
      </c>
      <c r="H2187" s="39" t="str">
        <f>("2016/04/25")</f>
        <v>2016/04/25</v>
      </c>
      <c r="I2187" s="39">
        <v>3</v>
      </c>
      <c r="J2187" s="39" t="s">
        <v>1478</v>
      </c>
      <c r="K2187" s="39" t="s">
        <v>2122</v>
      </c>
      <c r="L2187" s="39" t="s">
        <v>7830</v>
      </c>
      <c r="M2187" s="39" t="s">
        <v>7831</v>
      </c>
      <c r="N2187" s="39" t="str">
        <f>("1066647")</f>
        <v>1066647</v>
      </c>
      <c r="P2187" s="39" t="s">
        <v>13640</v>
      </c>
      <c r="Q2187" s="39" t="s">
        <v>8568</v>
      </c>
      <c r="R2187" s="39" t="s">
        <v>8569</v>
      </c>
      <c r="S2187" s="39" t="s">
        <v>8570</v>
      </c>
      <c r="AK2187" s="39" t="str">
        <f>("2025/04/23")</f>
        <v>2025/04/23</v>
      </c>
      <c r="AL2187" s="39" t="str">
        <f>("2025/04/23")</f>
        <v>2025/04/23</v>
      </c>
    </row>
    <row r="2188" spans="1:38" x14ac:dyDescent="0.25">
      <c r="A2188" s="39" t="str">
        <f>("1604260036")</f>
        <v>1604260036</v>
      </c>
      <c r="C2188" s="39"/>
      <c r="D2188" s="39" t="s">
        <v>5918</v>
      </c>
      <c r="E2188" s="371" t="str">
        <f t="shared" si="179"/>
        <v>ふかた　こう</v>
      </c>
      <c r="F2188" s="39" t="s">
        <v>2549</v>
      </c>
      <c r="G2188" s="39" t="s">
        <v>7828</v>
      </c>
      <c r="H2188" s="39" t="str">
        <f>("2016/04/26")</f>
        <v>2016/04/26</v>
      </c>
      <c r="I2188" s="39">
        <v>3</v>
      </c>
      <c r="J2188" s="39" t="s">
        <v>1478</v>
      </c>
      <c r="K2188" s="39" t="s">
        <v>2122</v>
      </c>
      <c r="L2188" s="39" t="s">
        <v>7830</v>
      </c>
      <c r="M2188" s="39" t="s">
        <v>7831</v>
      </c>
      <c r="N2188" s="39" t="str">
        <f>("0130688")</f>
        <v>0130688</v>
      </c>
      <c r="P2188" s="39" t="s">
        <v>13641</v>
      </c>
      <c r="Q2188" s="39" t="s">
        <v>8568</v>
      </c>
      <c r="R2188" s="39" t="s">
        <v>8569</v>
      </c>
      <c r="S2188" s="39" t="s">
        <v>8570</v>
      </c>
      <c r="AK2188" s="39" t="str">
        <f>("2025/03/17")</f>
        <v>2025/03/17</v>
      </c>
      <c r="AL2188" s="39" t="str">
        <f>("2025/04/01")</f>
        <v>2025/04/01</v>
      </c>
    </row>
    <row r="2189" spans="1:38" x14ac:dyDescent="0.25">
      <c r="A2189" s="39" t="str">
        <f>("1604260038")</f>
        <v>1604260038</v>
      </c>
      <c r="C2189" s="39"/>
      <c r="D2189" s="39" t="s">
        <v>9720</v>
      </c>
      <c r="E2189" s="371" t="str">
        <f t="shared" si="179"/>
        <v>いそべ　はる</v>
      </c>
      <c r="F2189" s="39" t="s">
        <v>2274</v>
      </c>
      <c r="G2189" s="39" t="s">
        <v>7828</v>
      </c>
      <c r="H2189" s="39" t="str">
        <f>("2016/04/26")</f>
        <v>2016/04/26</v>
      </c>
      <c r="I2189" s="39">
        <v>3</v>
      </c>
      <c r="J2189" s="39" t="s">
        <v>1478</v>
      </c>
      <c r="K2189" s="39" t="s">
        <v>2122</v>
      </c>
      <c r="L2189" s="39" t="s">
        <v>7830</v>
      </c>
      <c r="M2189" s="39" t="s">
        <v>7831</v>
      </c>
      <c r="N2189" s="39" t="str">
        <f>("0129563")</f>
        <v>0129563</v>
      </c>
      <c r="P2189" s="39" t="s">
        <v>13642</v>
      </c>
      <c r="Q2189" s="39" t="s">
        <v>8568</v>
      </c>
      <c r="R2189" s="39" t="s">
        <v>8569</v>
      </c>
      <c r="S2189" s="39" t="s">
        <v>8570</v>
      </c>
      <c r="AK2189" s="39" t="str">
        <f>("2025/03/17")</f>
        <v>2025/03/17</v>
      </c>
      <c r="AL2189" s="39" t="str">
        <f>("2025/04/01")</f>
        <v>2025/04/01</v>
      </c>
    </row>
    <row r="2190" spans="1:38" x14ac:dyDescent="0.25">
      <c r="A2190" s="39" t="str">
        <f>("1604280149")</f>
        <v>1604280149</v>
      </c>
      <c r="C2190" s="39"/>
      <c r="D2190" s="39" t="s">
        <v>9721</v>
      </c>
      <c r="E2190" s="371" t="str">
        <f t="shared" si="179"/>
        <v>おか　あおい</v>
      </c>
      <c r="F2190" s="39" t="s">
        <v>2573</v>
      </c>
      <c r="G2190" s="39" t="s">
        <v>7828</v>
      </c>
      <c r="H2190" s="39" t="str">
        <f>("2016/04/28")</f>
        <v>2016/04/28</v>
      </c>
      <c r="I2190" s="39">
        <v>3</v>
      </c>
      <c r="J2190" s="39" t="s">
        <v>1478</v>
      </c>
      <c r="K2190" s="39" t="s">
        <v>2122</v>
      </c>
      <c r="L2190" s="39" t="s">
        <v>7830</v>
      </c>
      <c r="M2190" s="39" t="s">
        <v>7831</v>
      </c>
      <c r="N2190" s="39" t="str">
        <f>("0230982")</f>
        <v>0230982</v>
      </c>
      <c r="P2190" s="39" t="s">
        <v>13643</v>
      </c>
      <c r="Q2190" s="39" t="s">
        <v>8568</v>
      </c>
      <c r="R2190" s="39" t="s">
        <v>8569</v>
      </c>
      <c r="S2190" s="39" t="s">
        <v>8570</v>
      </c>
      <c r="AK2190" s="39" t="str">
        <f>("2025/09/24")</f>
        <v>2025/09/24</v>
      </c>
      <c r="AL2190" s="39" t="str">
        <f>("2025/09/24")</f>
        <v>2025/09/24</v>
      </c>
    </row>
    <row r="2191" spans="1:38" x14ac:dyDescent="0.25">
      <c r="A2191" s="39" t="str">
        <f>("1605010008")</f>
        <v>1605010008</v>
      </c>
      <c r="C2191" s="39"/>
      <c r="D2191" s="39" t="s">
        <v>9722</v>
      </c>
      <c r="E2191" s="371" t="str">
        <f t="shared" si="179"/>
        <v>いわお　なおき</v>
      </c>
      <c r="F2191" s="39" t="s">
        <v>5620</v>
      </c>
      <c r="G2191" s="39" t="s">
        <v>7828</v>
      </c>
      <c r="H2191" s="39" t="str">
        <f>("2016/05/01")</f>
        <v>2016/05/01</v>
      </c>
      <c r="I2191" s="39">
        <v>3</v>
      </c>
      <c r="J2191" s="39" t="s">
        <v>1478</v>
      </c>
      <c r="K2191" s="39" t="s">
        <v>2122</v>
      </c>
      <c r="L2191" s="39" t="s">
        <v>7830</v>
      </c>
      <c r="M2191" s="39" t="s">
        <v>7831</v>
      </c>
      <c r="N2191" s="39" t="str">
        <f>("1101553")</f>
        <v>1101553</v>
      </c>
      <c r="P2191" s="39" t="s">
        <v>13644</v>
      </c>
      <c r="Q2191" s="39" t="s">
        <v>8568</v>
      </c>
      <c r="R2191" s="39" t="s">
        <v>8569</v>
      </c>
      <c r="S2191" s="39" t="s">
        <v>8570</v>
      </c>
      <c r="AA2191" s="39" t="s">
        <v>2122</v>
      </c>
      <c r="AB2191" s="39" t="s">
        <v>7830</v>
      </c>
      <c r="AC2191" s="39" t="s">
        <v>7831</v>
      </c>
      <c r="AD2191" s="39" t="str">
        <f>("1032147")</f>
        <v>1032147</v>
      </c>
      <c r="AE2191" s="39" t="s">
        <v>8714</v>
      </c>
      <c r="AK2191" s="39" t="str">
        <f>("2025/03/19")</f>
        <v>2025/03/19</v>
      </c>
      <c r="AL2191" s="39" t="str">
        <f>("2025/04/01")</f>
        <v>2025/04/01</v>
      </c>
    </row>
    <row r="2192" spans="1:38" x14ac:dyDescent="0.25">
      <c r="A2192" s="39" t="str">
        <f>("1605020097")</f>
        <v>1605020097</v>
      </c>
      <c r="C2192" s="39"/>
      <c r="D2192" s="39" t="s">
        <v>9723</v>
      </c>
      <c r="E2192" s="371" t="str">
        <f t="shared" si="179"/>
        <v>ふじわら　あおし</v>
      </c>
      <c r="F2192" s="39" t="s">
        <v>1330</v>
      </c>
      <c r="G2192" s="39" t="s">
        <v>7828</v>
      </c>
      <c r="H2192" s="39" t="str">
        <f>("2016/05/02")</f>
        <v>2016/05/02</v>
      </c>
      <c r="I2192" s="39">
        <v>3</v>
      </c>
      <c r="J2192" s="39" t="s">
        <v>1478</v>
      </c>
      <c r="K2192" s="39" t="s">
        <v>2122</v>
      </c>
      <c r="L2192" s="39" t="s">
        <v>7830</v>
      </c>
      <c r="M2192" s="39" t="s">
        <v>7831</v>
      </c>
      <c r="N2192" s="39" t="str">
        <f>("0130598")</f>
        <v>0130598</v>
      </c>
      <c r="P2192" s="39" t="s">
        <v>13645</v>
      </c>
      <c r="Q2192" s="39" t="s">
        <v>8568</v>
      </c>
      <c r="R2192" s="39" t="s">
        <v>8569</v>
      </c>
      <c r="S2192" s="39" t="s">
        <v>8570</v>
      </c>
      <c r="AK2192" s="39" t="str">
        <f>("2025/03/17")</f>
        <v>2025/03/17</v>
      </c>
      <c r="AL2192" s="39" t="str">
        <f>("2025/04/01")</f>
        <v>2025/04/01</v>
      </c>
    </row>
    <row r="2193" spans="1:39" x14ac:dyDescent="0.25">
      <c r="A2193" s="39" t="str">
        <f>("1605030025")</f>
        <v>1605030025</v>
      </c>
      <c r="B2193" s="39" t="s">
        <v>9724</v>
      </c>
      <c r="C2193" s="39"/>
      <c r="D2193" s="39" t="s">
        <v>9725</v>
      </c>
      <c r="E2193" s="371" t="str">
        <f t="shared" si="179"/>
        <v>やつなみ　こはく</v>
      </c>
      <c r="F2193" s="39" t="s">
        <v>5615</v>
      </c>
      <c r="G2193" s="39" t="s">
        <v>7828</v>
      </c>
      <c r="H2193" s="39" t="str">
        <f>("2016/05/03")</f>
        <v>2016/05/03</v>
      </c>
      <c r="I2193" s="39">
        <v>3</v>
      </c>
      <c r="J2193" s="39" t="s">
        <v>1478</v>
      </c>
      <c r="K2193" s="39" t="s">
        <v>2122</v>
      </c>
      <c r="L2193" s="39" t="s">
        <v>7830</v>
      </c>
      <c r="M2193" s="39" t="s">
        <v>7831</v>
      </c>
      <c r="N2193" s="39" t="str">
        <f>("0129642")</f>
        <v>0129642</v>
      </c>
      <c r="P2193" s="39" t="s">
        <v>13646</v>
      </c>
      <c r="Q2193" s="39" t="s">
        <v>8568</v>
      </c>
      <c r="R2193" s="39" t="s">
        <v>8569</v>
      </c>
      <c r="S2193" s="39" t="s">
        <v>8570</v>
      </c>
      <c r="AK2193" s="39" t="str">
        <f>("2025/03/24")</f>
        <v>2025/03/24</v>
      </c>
      <c r="AL2193" s="39" t="str">
        <f>("2025/04/01")</f>
        <v>2025/04/01</v>
      </c>
    </row>
    <row r="2194" spans="1:39" x14ac:dyDescent="0.25">
      <c r="A2194" s="39" t="str">
        <f>("1605030026")</f>
        <v>1605030026</v>
      </c>
      <c r="C2194" s="39"/>
      <c r="D2194" s="39" t="s">
        <v>9726</v>
      </c>
      <c r="E2194" s="371" t="str">
        <f t="shared" si="179"/>
        <v>おしだ　すばる</v>
      </c>
      <c r="F2194" s="39" t="s">
        <v>3104</v>
      </c>
      <c r="G2194" s="39" t="s">
        <v>7828</v>
      </c>
      <c r="H2194" s="39" t="str">
        <f>("2016/05/03")</f>
        <v>2016/05/03</v>
      </c>
      <c r="I2194" s="39">
        <v>3</v>
      </c>
      <c r="J2194" s="39" t="s">
        <v>1478</v>
      </c>
      <c r="K2194" s="39" t="s">
        <v>2122</v>
      </c>
      <c r="L2194" s="39" t="s">
        <v>7830</v>
      </c>
      <c r="M2194" s="39" t="s">
        <v>7831</v>
      </c>
      <c r="N2194" s="39" t="str">
        <f>("1076189")</f>
        <v>1076189</v>
      </c>
      <c r="P2194" s="39" t="s">
        <v>13647</v>
      </c>
      <c r="Q2194" s="39" t="s">
        <v>8568</v>
      </c>
      <c r="R2194" s="39" t="s">
        <v>8569</v>
      </c>
      <c r="S2194" s="39" t="s">
        <v>8570</v>
      </c>
      <c r="AK2194" s="39" t="str">
        <f>("2025/03/24")</f>
        <v>2025/03/24</v>
      </c>
      <c r="AL2194" s="39" t="str">
        <f>("2025/04/01")</f>
        <v>2025/04/01</v>
      </c>
    </row>
    <row r="2195" spans="1:39" x14ac:dyDescent="0.25">
      <c r="A2195" s="39" t="str">
        <f>("1605040035")</f>
        <v>1605040035</v>
      </c>
      <c r="C2195" s="39"/>
      <c r="D2195" s="39" t="s">
        <v>9727</v>
      </c>
      <c r="E2195" s="371" t="str">
        <f t="shared" si="179"/>
        <v>おかざき　せいご</v>
      </c>
      <c r="F2195" s="39" t="s">
        <v>2648</v>
      </c>
      <c r="G2195" s="39" t="s">
        <v>7828</v>
      </c>
      <c r="H2195" s="39" t="str">
        <f>("2016/05/04")</f>
        <v>2016/05/04</v>
      </c>
      <c r="I2195" s="39">
        <v>3</v>
      </c>
      <c r="J2195" s="39" t="s">
        <v>1478</v>
      </c>
      <c r="K2195" s="39" t="s">
        <v>2122</v>
      </c>
      <c r="L2195" s="39" t="s">
        <v>7830</v>
      </c>
      <c r="M2195" s="39" t="s">
        <v>7831</v>
      </c>
      <c r="N2195" s="39" t="str">
        <f>("1050097")</f>
        <v>1050097</v>
      </c>
      <c r="P2195" s="39" t="s">
        <v>13648</v>
      </c>
      <c r="Q2195" s="39" t="s">
        <v>8568</v>
      </c>
      <c r="R2195" s="39" t="s">
        <v>8569</v>
      </c>
      <c r="S2195" s="39" t="s">
        <v>8570</v>
      </c>
      <c r="AK2195" s="39" t="str">
        <f>("2025/03/25")</f>
        <v>2025/03/25</v>
      </c>
      <c r="AL2195" s="39" t="str">
        <f>("2025/04/01")</f>
        <v>2025/04/01</v>
      </c>
    </row>
    <row r="2196" spans="1:39" x14ac:dyDescent="0.25">
      <c r="A2196" s="39" t="str">
        <f>("1605040100")</f>
        <v>1605040100</v>
      </c>
      <c r="C2196" s="39"/>
      <c r="D2196" s="39" t="s">
        <v>9728</v>
      </c>
      <c r="E2196" s="371" t="str">
        <f t="shared" si="179"/>
        <v>かしま　ぬい</v>
      </c>
      <c r="F2196" s="39" t="s">
        <v>1239</v>
      </c>
      <c r="G2196" s="39" t="s">
        <v>7828</v>
      </c>
      <c r="H2196" s="39" t="str">
        <f>("2016/05/04")</f>
        <v>2016/05/04</v>
      </c>
      <c r="I2196" s="39">
        <v>3</v>
      </c>
      <c r="J2196" s="39" t="s">
        <v>1478</v>
      </c>
      <c r="K2196" s="39" t="s">
        <v>2122</v>
      </c>
      <c r="L2196" s="39" t="s">
        <v>7830</v>
      </c>
      <c r="M2196" s="39" t="s">
        <v>7831</v>
      </c>
      <c r="N2196" s="39" t="str">
        <f>("0129585")</f>
        <v>0129585</v>
      </c>
      <c r="P2196" s="39" t="s">
        <v>13649</v>
      </c>
      <c r="Q2196" s="39" t="s">
        <v>8568</v>
      </c>
      <c r="R2196" s="39" t="s">
        <v>8569</v>
      </c>
      <c r="S2196" s="39" t="s">
        <v>8570</v>
      </c>
      <c r="AK2196" s="39" t="str">
        <f>("2025/10/02")</f>
        <v>2025/10/02</v>
      </c>
      <c r="AL2196" s="39" t="str">
        <f>("2025/10/02")</f>
        <v>2025/10/02</v>
      </c>
    </row>
    <row r="2197" spans="1:39" x14ac:dyDescent="0.25">
      <c r="A2197" s="39" t="str">
        <f>("1605060029")</f>
        <v>1605060029</v>
      </c>
      <c r="C2197" s="39"/>
      <c r="D2197" s="39" t="s">
        <v>5884</v>
      </c>
      <c r="E2197" s="371" t="str">
        <f t="shared" si="179"/>
        <v>ひろせ　こう</v>
      </c>
      <c r="F2197" s="39" t="s">
        <v>4220</v>
      </c>
      <c r="G2197" s="39" t="s">
        <v>7828</v>
      </c>
      <c r="H2197" s="39" t="str">
        <f>("2016/05/06")</f>
        <v>2016/05/06</v>
      </c>
      <c r="I2197" s="39">
        <v>3</v>
      </c>
      <c r="J2197" s="39" t="s">
        <v>1478</v>
      </c>
      <c r="K2197" s="39" t="s">
        <v>2122</v>
      </c>
      <c r="L2197" s="39" t="s">
        <v>7830</v>
      </c>
      <c r="M2197" s="39" t="s">
        <v>7831</v>
      </c>
      <c r="N2197" s="39" t="str">
        <f>("0130543")</f>
        <v>0130543</v>
      </c>
      <c r="P2197" s="39" t="s">
        <v>13650</v>
      </c>
      <c r="Q2197" s="39" t="s">
        <v>8568</v>
      </c>
      <c r="R2197" s="39" t="s">
        <v>8569</v>
      </c>
      <c r="S2197" s="39" t="s">
        <v>8570</v>
      </c>
      <c r="AK2197" s="39" t="str">
        <f>("2025/03/17")</f>
        <v>2025/03/17</v>
      </c>
      <c r="AL2197" s="39" t="str">
        <f>("2025/04/01")</f>
        <v>2025/04/01</v>
      </c>
    </row>
    <row r="2198" spans="1:39" x14ac:dyDescent="0.25">
      <c r="A2198" s="39" t="str">
        <f>("1605060131")</f>
        <v>1605060131</v>
      </c>
      <c r="C2198" s="39"/>
      <c r="D2198" s="39" t="s">
        <v>9729</v>
      </c>
      <c r="E2198" s="371" t="str">
        <f t="shared" si="179"/>
        <v>かわい　ひなた</v>
      </c>
      <c r="F2198" s="39" t="s">
        <v>1968</v>
      </c>
      <c r="G2198" s="39" t="s">
        <v>7828</v>
      </c>
      <c r="H2198" s="39" t="str">
        <f>("2016/05/06")</f>
        <v>2016/05/06</v>
      </c>
      <c r="I2198" s="39">
        <v>3</v>
      </c>
      <c r="J2198" s="39" t="s">
        <v>1478</v>
      </c>
      <c r="K2198" s="39" t="s">
        <v>2122</v>
      </c>
      <c r="L2198" s="39" t="s">
        <v>7830</v>
      </c>
      <c r="M2198" s="39" t="s">
        <v>7831</v>
      </c>
      <c r="N2198" s="39" t="str">
        <f>("0129507")</f>
        <v>0129507</v>
      </c>
      <c r="P2198" s="39" t="s">
        <v>13651</v>
      </c>
      <c r="Q2198" s="39" t="s">
        <v>8568</v>
      </c>
      <c r="R2198" s="39" t="s">
        <v>8569</v>
      </c>
      <c r="S2198" s="39" t="s">
        <v>8570</v>
      </c>
      <c r="AK2198" s="39" t="str">
        <f>("2025/08/22")</f>
        <v>2025/08/22</v>
      </c>
      <c r="AL2198" s="39" t="str">
        <f>("2025/08/22")</f>
        <v>2025/08/22</v>
      </c>
    </row>
    <row r="2199" spans="1:39" x14ac:dyDescent="0.25">
      <c r="A2199" s="39" t="str">
        <f>("1605060137")</f>
        <v>1605060137</v>
      </c>
      <c r="C2199" s="39"/>
      <c r="D2199" s="39" t="s">
        <v>9730</v>
      </c>
      <c r="E2199" s="371" t="str">
        <f t="shared" si="179"/>
        <v>こじま　はるき</v>
      </c>
      <c r="F2199" s="39" t="s">
        <v>1865</v>
      </c>
      <c r="G2199" s="39" t="s">
        <v>7828</v>
      </c>
      <c r="H2199" s="39" t="str">
        <f>("2016/05/06")</f>
        <v>2016/05/06</v>
      </c>
      <c r="I2199" s="39">
        <v>3</v>
      </c>
      <c r="J2199" s="39" t="s">
        <v>1478</v>
      </c>
      <c r="K2199" s="39" t="s">
        <v>2122</v>
      </c>
      <c r="L2199" s="39" t="s">
        <v>7830</v>
      </c>
      <c r="M2199" s="39" t="s">
        <v>7831</v>
      </c>
      <c r="N2199" s="39" t="str">
        <f>("0310565")</f>
        <v>0310565</v>
      </c>
      <c r="P2199" s="39" t="s">
        <v>13652</v>
      </c>
      <c r="Q2199" s="39" t="s">
        <v>8568</v>
      </c>
      <c r="R2199" s="39" t="s">
        <v>8569</v>
      </c>
      <c r="S2199" s="39" t="s">
        <v>8570</v>
      </c>
      <c r="AK2199" s="39" t="str">
        <f>("2025/09/09")</f>
        <v>2025/09/09</v>
      </c>
      <c r="AL2199" s="39" t="str">
        <f>("2025/09/09")</f>
        <v>2025/09/09</v>
      </c>
    </row>
    <row r="2200" spans="1:39" x14ac:dyDescent="0.25">
      <c r="A2200" s="39" t="str">
        <f>("1605070011")</f>
        <v>1605070011</v>
      </c>
      <c r="C2200" s="39"/>
      <c r="D2200" s="39" t="s">
        <v>9731</v>
      </c>
      <c r="E2200" s="371" t="str">
        <f t="shared" si="179"/>
        <v>ともまつ　しゅん</v>
      </c>
      <c r="F2200" s="39" t="s">
        <v>2023</v>
      </c>
      <c r="G2200" s="39" t="s">
        <v>7828</v>
      </c>
      <c r="H2200" s="39" t="str">
        <f>("2016/05/07")</f>
        <v>2016/05/07</v>
      </c>
      <c r="I2200" s="39">
        <v>3</v>
      </c>
      <c r="J2200" s="39" t="s">
        <v>1478</v>
      </c>
      <c r="K2200" s="39" t="s">
        <v>2122</v>
      </c>
      <c r="L2200" s="39" t="s">
        <v>7830</v>
      </c>
      <c r="M2200" s="39" t="s">
        <v>7831</v>
      </c>
      <c r="N2200" s="39" t="str">
        <f>("0129967")</f>
        <v>0129967</v>
      </c>
      <c r="P2200" s="39" t="s">
        <v>13653</v>
      </c>
      <c r="Q2200" s="39" t="s">
        <v>8568</v>
      </c>
      <c r="R2200" s="39" t="s">
        <v>8569</v>
      </c>
      <c r="S2200" s="39" t="s">
        <v>8570</v>
      </c>
      <c r="AK2200" s="39" t="str">
        <f>("2025/03/17")</f>
        <v>2025/03/17</v>
      </c>
      <c r="AL2200" s="39" t="str">
        <f>("2025/04/01")</f>
        <v>2025/04/01</v>
      </c>
    </row>
    <row r="2201" spans="1:39" x14ac:dyDescent="0.25">
      <c r="A2201" s="39" t="str">
        <f>("1605080026")</f>
        <v>1605080026</v>
      </c>
      <c r="C2201" s="39"/>
      <c r="D2201" s="39" t="s">
        <v>9732</v>
      </c>
      <c r="E2201" s="371" t="str">
        <f t="shared" si="179"/>
        <v>ごうし　けんと</v>
      </c>
      <c r="F2201" s="39" t="s">
        <v>2469</v>
      </c>
      <c r="G2201" s="39" t="s">
        <v>7828</v>
      </c>
      <c r="H2201" s="39" t="str">
        <f>("2016/05/08")</f>
        <v>2016/05/08</v>
      </c>
      <c r="I2201" s="39">
        <v>3</v>
      </c>
      <c r="J2201" s="39" t="s">
        <v>1478</v>
      </c>
      <c r="K2201" s="39" t="s">
        <v>2122</v>
      </c>
      <c r="L2201" s="39" t="s">
        <v>7830</v>
      </c>
      <c r="M2201" s="39" t="s">
        <v>7831</v>
      </c>
      <c r="N2201" s="39" t="str">
        <f>("0129462")</f>
        <v>0129462</v>
      </c>
      <c r="P2201" s="39" t="s">
        <v>13654</v>
      </c>
      <c r="Q2201" s="39" t="s">
        <v>8568</v>
      </c>
      <c r="R2201" s="39" t="s">
        <v>8569</v>
      </c>
      <c r="S2201" s="39" t="s">
        <v>8570</v>
      </c>
      <c r="AK2201" s="39" t="str">
        <f>("2025/03/21")</f>
        <v>2025/03/21</v>
      </c>
      <c r="AL2201" s="39" t="str">
        <f>("2025/04/01")</f>
        <v>2025/04/01</v>
      </c>
    </row>
    <row r="2202" spans="1:39" x14ac:dyDescent="0.25">
      <c r="A2202" s="39" t="str">
        <f>("1605100030")</f>
        <v>1605100030</v>
      </c>
      <c r="C2202" s="39"/>
      <c r="D2202" s="39" t="s">
        <v>9733</v>
      </c>
      <c r="E2202" s="371" t="str">
        <f t="shared" si="179"/>
        <v>すが　りょうた</v>
      </c>
      <c r="F2202" s="39" t="s">
        <v>5620</v>
      </c>
      <c r="G2202" s="39" t="s">
        <v>7828</v>
      </c>
      <c r="H2202" s="39" t="str">
        <f>("2016/05/10")</f>
        <v>2016/05/10</v>
      </c>
      <c r="I2202" s="39">
        <v>3</v>
      </c>
      <c r="J2202" s="39" t="s">
        <v>1478</v>
      </c>
      <c r="K2202" s="39" t="s">
        <v>2122</v>
      </c>
      <c r="L2202" s="39" t="s">
        <v>7830</v>
      </c>
      <c r="M2202" s="39" t="s">
        <v>7831</v>
      </c>
      <c r="N2202" s="39" t="str">
        <f>("1101553")</f>
        <v>1101553</v>
      </c>
      <c r="P2202" s="39" t="s">
        <v>13655</v>
      </c>
      <c r="Q2202" s="39" t="s">
        <v>8568</v>
      </c>
      <c r="R2202" s="39" t="s">
        <v>8569</v>
      </c>
      <c r="S2202" s="39" t="s">
        <v>8570</v>
      </c>
      <c r="AK2202" s="39" t="str">
        <f>("2025/03/19")</f>
        <v>2025/03/19</v>
      </c>
      <c r="AL2202" s="39" t="str">
        <f>("2025/04/01")</f>
        <v>2025/04/01</v>
      </c>
    </row>
    <row r="2203" spans="1:39" x14ac:dyDescent="0.25">
      <c r="A2203" s="39" t="str">
        <f>("1605100041")</f>
        <v>1605100041</v>
      </c>
      <c r="C2203" s="39"/>
      <c r="D2203" s="39" t="s">
        <v>6184</v>
      </c>
      <c r="E2203" s="371" t="str">
        <f t="shared" si="179"/>
        <v>よしだ　こうき</v>
      </c>
      <c r="F2203" s="39" t="s">
        <v>2630</v>
      </c>
      <c r="G2203" s="39" t="s">
        <v>7828</v>
      </c>
      <c r="H2203" s="39" t="str">
        <f>("2016/05/10")</f>
        <v>2016/05/10</v>
      </c>
      <c r="I2203" s="39">
        <v>3</v>
      </c>
      <c r="J2203" s="39" t="s">
        <v>1478</v>
      </c>
      <c r="K2203" s="39" t="s">
        <v>2122</v>
      </c>
      <c r="L2203" s="39" t="s">
        <v>7830</v>
      </c>
      <c r="M2203" s="39" t="s">
        <v>7831</v>
      </c>
      <c r="N2203" s="39" t="str">
        <f>("0506269")</f>
        <v>0506269</v>
      </c>
      <c r="P2203" s="39" t="s">
        <v>13656</v>
      </c>
      <c r="Q2203" s="39" t="s">
        <v>8568</v>
      </c>
      <c r="R2203" s="39" t="s">
        <v>8569</v>
      </c>
      <c r="S2203" s="39" t="s">
        <v>8570</v>
      </c>
      <c r="AK2203" s="39" t="str">
        <f>("2025/03/17")</f>
        <v>2025/03/17</v>
      </c>
      <c r="AL2203" s="39" t="str">
        <f>("2025/04/01")</f>
        <v>2025/04/01</v>
      </c>
    </row>
    <row r="2204" spans="1:39" x14ac:dyDescent="0.25">
      <c r="A2204" s="39" t="str">
        <f>("1605100142")</f>
        <v>1605100142</v>
      </c>
      <c r="C2204" s="39"/>
      <c r="D2204" s="39" t="s">
        <v>9734</v>
      </c>
      <c r="E2204" s="371" t="str">
        <f t="shared" si="179"/>
        <v>たかまつ　げんのすけ</v>
      </c>
      <c r="F2204" s="39" t="s">
        <v>1207</v>
      </c>
      <c r="G2204" s="39" t="s">
        <v>7828</v>
      </c>
      <c r="H2204" s="39" t="str">
        <f>("2016/05/10")</f>
        <v>2016/05/10</v>
      </c>
      <c r="I2204" s="39">
        <v>4</v>
      </c>
      <c r="J2204" s="39" t="s">
        <v>1478</v>
      </c>
      <c r="K2204" s="39" t="s">
        <v>2122</v>
      </c>
      <c r="L2204" s="39" t="s">
        <v>7830</v>
      </c>
      <c r="M2204" s="39" t="s">
        <v>7831</v>
      </c>
      <c r="N2204" s="39" t="str">
        <f>("0381608")</f>
        <v>0381608</v>
      </c>
      <c r="P2204" s="39" t="s">
        <v>13657</v>
      </c>
      <c r="Q2204" s="39" t="s">
        <v>8568</v>
      </c>
      <c r="R2204" s="39" t="s">
        <v>8569</v>
      </c>
      <c r="S2204" s="39" t="s">
        <v>8570</v>
      </c>
      <c r="AK2204" s="39" t="str">
        <f>("2025/04/23")</f>
        <v>2025/04/23</v>
      </c>
      <c r="AL2204" s="39" t="str">
        <f>("2025/04/23")</f>
        <v>2025/04/23</v>
      </c>
    </row>
    <row r="2205" spans="1:39" x14ac:dyDescent="0.25">
      <c r="A2205" s="39" t="str">
        <f>("1605110014")</f>
        <v>1605110014</v>
      </c>
      <c r="C2205" s="39"/>
      <c r="D2205" s="39" t="s">
        <v>9735</v>
      </c>
      <c r="E2205" s="371" t="str">
        <f t="shared" si="179"/>
        <v>やまさき　そうた</v>
      </c>
      <c r="F2205" s="39" t="s">
        <v>1977</v>
      </c>
      <c r="G2205" s="39" t="s">
        <v>7876</v>
      </c>
      <c r="H2205" s="39" t="str">
        <f>("2016/05/11")</f>
        <v>2016/05/11</v>
      </c>
      <c r="I2205" s="39">
        <v>3</v>
      </c>
      <c r="J2205" s="39" t="s">
        <v>1478</v>
      </c>
      <c r="K2205" s="39" t="s">
        <v>2122</v>
      </c>
      <c r="L2205" s="39" t="s">
        <v>7830</v>
      </c>
      <c r="M2205" s="39" t="s">
        <v>7831</v>
      </c>
      <c r="N2205" s="39" t="str">
        <f>("0395254")</f>
        <v>0395254</v>
      </c>
      <c r="P2205" s="39" t="s">
        <v>11653</v>
      </c>
      <c r="Q2205" s="39" t="s">
        <v>8568</v>
      </c>
      <c r="R2205" s="39" t="s">
        <v>8569</v>
      </c>
      <c r="S2205" s="39" t="s">
        <v>8570</v>
      </c>
      <c r="AK2205" s="39" t="str">
        <f>("2025/03/17")</f>
        <v>2025/03/17</v>
      </c>
      <c r="AL2205" s="39" t="str">
        <f>("2025/04/01")</f>
        <v>2025/04/01</v>
      </c>
      <c r="AM2205" s="39" t="str">
        <f>("2025/08/07")</f>
        <v>2025/08/07</v>
      </c>
    </row>
    <row r="2206" spans="1:39" x14ac:dyDescent="0.25">
      <c r="A2206" s="39" t="str">
        <f>("1605110027")</f>
        <v>1605110027</v>
      </c>
      <c r="C2206" s="39"/>
      <c r="D2206" s="39" t="s">
        <v>9736</v>
      </c>
      <c r="E2206" s="371" t="str">
        <f t="shared" si="179"/>
        <v>わたなべ　えりか</v>
      </c>
      <c r="F2206" s="39" t="s">
        <v>3104</v>
      </c>
      <c r="G2206" s="39" t="s">
        <v>7828</v>
      </c>
      <c r="H2206" s="39" t="str">
        <f>("2016/05/11")</f>
        <v>2016/05/11</v>
      </c>
      <c r="I2206" s="39">
        <v>3</v>
      </c>
      <c r="J2206" s="39" t="s">
        <v>1480</v>
      </c>
      <c r="K2206" s="39" t="s">
        <v>2122</v>
      </c>
      <c r="L2206" s="39" t="s">
        <v>7830</v>
      </c>
      <c r="M2206" s="39" t="s">
        <v>7831</v>
      </c>
      <c r="N2206" s="39" t="str">
        <f>("1076189")</f>
        <v>1076189</v>
      </c>
      <c r="P2206" s="39" t="s">
        <v>13658</v>
      </c>
      <c r="Q2206" s="39" t="s">
        <v>8568</v>
      </c>
      <c r="R2206" s="39" t="s">
        <v>8569</v>
      </c>
      <c r="S2206" s="39" t="s">
        <v>8570</v>
      </c>
      <c r="AK2206" s="39" t="str">
        <f>("2025/03/24")</f>
        <v>2025/03/24</v>
      </c>
      <c r="AL2206" s="39" t="str">
        <f>("2025/04/01")</f>
        <v>2025/04/01</v>
      </c>
    </row>
    <row r="2207" spans="1:39" x14ac:dyDescent="0.25">
      <c r="A2207" s="39" t="str">
        <f>("1605110075")</f>
        <v>1605110075</v>
      </c>
      <c r="C2207" s="39"/>
      <c r="D2207" s="39" t="s">
        <v>9737</v>
      </c>
      <c r="E2207" s="371" t="str">
        <f t="shared" si="179"/>
        <v>くろだ　たいよう</v>
      </c>
      <c r="F2207" s="39" t="s">
        <v>686</v>
      </c>
      <c r="G2207" s="39" t="s">
        <v>7828</v>
      </c>
      <c r="H2207" s="39" t="str">
        <f>("2016/05/11")</f>
        <v>2016/05/11</v>
      </c>
      <c r="I2207" s="39">
        <v>3</v>
      </c>
      <c r="J2207" s="39" t="s">
        <v>1478</v>
      </c>
      <c r="K2207" s="39" t="s">
        <v>2122</v>
      </c>
      <c r="L2207" s="39" t="s">
        <v>7830</v>
      </c>
      <c r="M2207" s="39" t="s">
        <v>7831</v>
      </c>
      <c r="N2207" s="39" t="str">
        <f>("0130745")</f>
        <v>0130745</v>
      </c>
      <c r="P2207" s="39" t="s">
        <v>13659</v>
      </c>
      <c r="Q2207" s="39" t="s">
        <v>8568</v>
      </c>
      <c r="R2207" s="39" t="s">
        <v>8569</v>
      </c>
      <c r="S2207" s="39" t="s">
        <v>8570</v>
      </c>
      <c r="AK2207" s="39" t="str">
        <f>("2025/03/17")</f>
        <v>2025/03/17</v>
      </c>
      <c r="AL2207" s="39" t="str">
        <f>("2025/04/01")</f>
        <v>2025/04/01</v>
      </c>
    </row>
    <row r="2208" spans="1:39" x14ac:dyDescent="0.25">
      <c r="A2208" s="39" t="str">
        <f>("1605110112")</f>
        <v>1605110112</v>
      </c>
      <c r="C2208" s="39"/>
      <c r="D2208" s="39" t="s">
        <v>9738</v>
      </c>
      <c r="E2208" s="371" t="str">
        <f t="shared" si="179"/>
        <v>おの　たける</v>
      </c>
      <c r="F2208" s="39" t="s">
        <v>2274</v>
      </c>
      <c r="G2208" s="39" t="s">
        <v>7828</v>
      </c>
      <c r="H2208" s="39" t="str">
        <f>("2016/05/11")</f>
        <v>2016/05/11</v>
      </c>
      <c r="I2208" s="39">
        <v>3</v>
      </c>
      <c r="J2208" s="39" t="s">
        <v>1478</v>
      </c>
      <c r="K2208" s="39" t="s">
        <v>2122</v>
      </c>
      <c r="L2208" s="39" t="s">
        <v>7830</v>
      </c>
      <c r="M2208" s="39" t="s">
        <v>7831</v>
      </c>
      <c r="N2208" s="39" t="str">
        <f>("0129563")</f>
        <v>0129563</v>
      </c>
      <c r="P2208" s="39" t="s">
        <v>13660</v>
      </c>
      <c r="Q2208" s="39" t="s">
        <v>8568</v>
      </c>
      <c r="R2208" s="39" t="s">
        <v>8569</v>
      </c>
      <c r="S2208" s="39" t="s">
        <v>8570</v>
      </c>
      <c r="AK2208" s="39" t="str">
        <f>("2025/04/16")</f>
        <v>2025/04/16</v>
      </c>
      <c r="AL2208" s="39" t="str">
        <f>("2025/04/16")</f>
        <v>2025/04/16</v>
      </c>
    </row>
    <row r="2209" spans="1:38" x14ac:dyDescent="0.25">
      <c r="A2209" s="39" t="str">
        <f>("1605120045")</f>
        <v>1605120045</v>
      </c>
      <c r="C2209" s="39"/>
      <c r="D2209" s="39" t="s">
        <v>9739</v>
      </c>
      <c r="E2209" s="371" t="str">
        <f t="shared" si="179"/>
        <v>さかい　おうが</v>
      </c>
      <c r="F2209" s="39" t="s">
        <v>2274</v>
      </c>
      <c r="G2209" s="39" t="s">
        <v>7828</v>
      </c>
      <c r="H2209" s="39" t="str">
        <f>("2016/05/12")</f>
        <v>2016/05/12</v>
      </c>
      <c r="I2209" s="39">
        <v>3</v>
      </c>
      <c r="J2209" s="39" t="s">
        <v>1478</v>
      </c>
      <c r="K2209" s="39" t="s">
        <v>2122</v>
      </c>
      <c r="L2209" s="39" t="s">
        <v>7830</v>
      </c>
      <c r="M2209" s="39" t="s">
        <v>7831</v>
      </c>
      <c r="N2209" s="39" t="str">
        <f>("0129563")</f>
        <v>0129563</v>
      </c>
      <c r="P2209" s="39" t="s">
        <v>13661</v>
      </c>
      <c r="Q2209" s="39" t="s">
        <v>8568</v>
      </c>
      <c r="R2209" s="39" t="s">
        <v>8569</v>
      </c>
      <c r="S2209" s="39" t="s">
        <v>8570</v>
      </c>
      <c r="AK2209" s="39" t="str">
        <f>("2025/03/17")</f>
        <v>2025/03/17</v>
      </c>
      <c r="AL2209" s="39" t="str">
        <f>("2025/04/01")</f>
        <v>2025/04/01</v>
      </c>
    </row>
    <row r="2210" spans="1:38" x14ac:dyDescent="0.25">
      <c r="A2210" s="39" t="str">
        <f>("1605130037")</f>
        <v>1605130037</v>
      </c>
      <c r="C2210" s="39"/>
      <c r="D2210" s="39" t="s">
        <v>9740</v>
      </c>
      <c r="E2210" s="371" t="str">
        <f t="shared" si="179"/>
        <v>あかみね　しょう</v>
      </c>
      <c r="F2210" s="39" t="s">
        <v>2139</v>
      </c>
      <c r="G2210" s="39" t="s">
        <v>7828</v>
      </c>
      <c r="H2210" s="39" t="str">
        <f>("2016/05/13")</f>
        <v>2016/05/13</v>
      </c>
      <c r="I2210" s="39">
        <v>3</v>
      </c>
      <c r="J2210" s="39" t="s">
        <v>1478</v>
      </c>
      <c r="K2210" s="39" t="s">
        <v>2122</v>
      </c>
      <c r="L2210" s="39" t="s">
        <v>7830</v>
      </c>
      <c r="M2210" s="39" t="s">
        <v>7831</v>
      </c>
      <c r="N2210" s="39" t="str">
        <f>("0129798")</f>
        <v>0129798</v>
      </c>
      <c r="P2210" s="39" t="s">
        <v>13662</v>
      </c>
      <c r="Q2210" s="39" t="s">
        <v>8568</v>
      </c>
      <c r="R2210" s="39" t="s">
        <v>8569</v>
      </c>
      <c r="S2210" s="39" t="s">
        <v>8570</v>
      </c>
      <c r="AK2210" s="39" t="str">
        <f>("2025/03/27")</f>
        <v>2025/03/27</v>
      </c>
      <c r="AL2210" s="39" t="str">
        <f>("2025/04/01")</f>
        <v>2025/04/01</v>
      </c>
    </row>
    <row r="2211" spans="1:38" x14ac:dyDescent="0.25">
      <c r="A2211" s="39" t="str">
        <f>("1605130091")</f>
        <v>1605130091</v>
      </c>
      <c r="C2211" s="39"/>
      <c r="D2211" s="39" t="s">
        <v>9741</v>
      </c>
      <c r="E2211" s="371" t="str">
        <f t="shared" si="179"/>
        <v>ふるしょう　ひなた</v>
      </c>
      <c r="F2211" s="39" t="s">
        <v>834</v>
      </c>
      <c r="G2211" s="39" t="s">
        <v>7828</v>
      </c>
      <c r="H2211" s="39" t="str">
        <f>("2016/05/13")</f>
        <v>2016/05/13</v>
      </c>
      <c r="I2211" s="39">
        <v>3</v>
      </c>
      <c r="J2211" s="39" t="s">
        <v>1478</v>
      </c>
      <c r="K2211" s="39" t="s">
        <v>2122</v>
      </c>
      <c r="L2211" s="39" t="s">
        <v>7830</v>
      </c>
      <c r="M2211" s="39" t="s">
        <v>7831</v>
      </c>
      <c r="N2211" s="39" t="str">
        <f>("0129844")</f>
        <v>0129844</v>
      </c>
      <c r="P2211" s="39" t="s">
        <v>13663</v>
      </c>
      <c r="Q2211" s="39" t="s">
        <v>8568</v>
      </c>
      <c r="R2211" s="39" t="s">
        <v>8569</v>
      </c>
      <c r="S2211" s="39" t="s">
        <v>8570</v>
      </c>
      <c r="AK2211" s="39" t="str">
        <f>("2025/03/17")</f>
        <v>2025/03/17</v>
      </c>
      <c r="AL2211" s="39" t="str">
        <f>("2025/04/01")</f>
        <v>2025/04/01</v>
      </c>
    </row>
    <row r="2212" spans="1:38" x14ac:dyDescent="0.25">
      <c r="A2212" s="39" t="str">
        <f>("1605140091")</f>
        <v>1605140091</v>
      </c>
      <c r="C2212" s="39"/>
      <c r="D2212" s="39" t="s">
        <v>9742</v>
      </c>
      <c r="E2212" s="371" t="str">
        <f t="shared" si="179"/>
        <v>いそがわ　さく</v>
      </c>
      <c r="F2212" s="39" t="s">
        <v>2587</v>
      </c>
      <c r="G2212" s="39" t="s">
        <v>7828</v>
      </c>
      <c r="H2212" s="39" t="str">
        <f>("2016/05/14")</f>
        <v>2016/05/14</v>
      </c>
      <c r="I2212" s="39">
        <v>3</v>
      </c>
      <c r="J2212" s="39" t="s">
        <v>1478</v>
      </c>
      <c r="K2212" s="39" t="s">
        <v>2122</v>
      </c>
      <c r="L2212" s="39" t="s">
        <v>7830</v>
      </c>
      <c r="M2212" s="39" t="s">
        <v>7831</v>
      </c>
      <c r="N2212" s="39" t="str">
        <f>("0387334")</f>
        <v>0387334</v>
      </c>
      <c r="P2212" s="39" t="s">
        <v>13664</v>
      </c>
      <c r="Q2212" s="39" t="s">
        <v>8568</v>
      </c>
      <c r="R2212" s="39" t="s">
        <v>8569</v>
      </c>
      <c r="S2212" s="39" t="s">
        <v>8570</v>
      </c>
      <c r="AK2212" s="39" t="str">
        <f>("2025/04/10")</f>
        <v>2025/04/10</v>
      </c>
      <c r="AL2212" s="39" t="str">
        <f>("2025/04/10")</f>
        <v>2025/04/10</v>
      </c>
    </row>
    <row r="2213" spans="1:38" x14ac:dyDescent="0.25">
      <c r="A2213" s="39" t="str">
        <f>("1605150007")</f>
        <v>1605150007</v>
      </c>
      <c r="C2213" s="39"/>
      <c r="D2213" s="39" t="s">
        <v>9743</v>
      </c>
      <c r="E2213" s="371" t="str">
        <f t="shared" si="179"/>
        <v>いとう　ゆうま</v>
      </c>
      <c r="F2213" s="39" t="s">
        <v>2878</v>
      </c>
      <c r="G2213" s="39" t="s">
        <v>7828</v>
      </c>
      <c r="H2213" s="39" t="str">
        <f>("2016/05/15")</f>
        <v>2016/05/15</v>
      </c>
      <c r="I2213" s="39">
        <v>3</v>
      </c>
      <c r="J2213" s="39" t="s">
        <v>1478</v>
      </c>
      <c r="K2213" s="39" t="s">
        <v>2122</v>
      </c>
      <c r="L2213" s="39" t="s">
        <v>7830</v>
      </c>
      <c r="M2213" s="39" t="s">
        <v>7831</v>
      </c>
      <c r="N2213" s="39" t="str">
        <f>("0129484")</f>
        <v>0129484</v>
      </c>
      <c r="P2213" s="39" t="s">
        <v>13665</v>
      </c>
      <c r="Q2213" s="39" t="s">
        <v>8568</v>
      </c>
      <c r="R2213" s="39" t="s">
        <v>8569</v>
      </c>
      <c r="S2213" s="39" t="s">
        <v>8570</v>
      </c>
      <c r="AK2213" s="39" t="str">
        <f>("2025/03/17")</f>
        <v>2025/03/17</v>
      </c>
      <c r="AL2213" s="39" t="str">
        <f>("2025/04/01")</f>
        <v>2025/04/01</v>
      </c>
    </row>
    <row r="2214" spans="1:38" x14ac:dyDescent="0.25">
      <c r="A2214" s="39" t="str">
        <f>("1605150026")</f>
        <v>1605150026</v>
      </c>
      <c r="C2214" s="39"/>
      <c r="D2214" s="39" t="s">
        <v>9744</v>
      </c>
      <c r="E2214" s="371" t="str">
        <f t="shared" si="179"/>
        <v>かわそこ　れお</v>
      </c>
      <c r="F2214" s="39" t="s">
        <v>2299</v>
      </c>
      <c r="G2214" s="39" t="s">
        <v>7828</v>
      </c>
      <c r="H2214" s="39" t="str">
        <f>("2016/05/15")</f>
        <v>2016/05/15</v>
      </c>
      <c r="I2214" s="39">
        <v>3</v>
      </c>
      <c r="J2214" s="39" t="s">
        <v>1478</v>
      </c>
      <c r="K2214" s="39" t="s">
        <v>2122</v>
      </c>
      <c r="L2214" s="39" t="s">
        <v>7830</v>
      </c>
      <c r="M2214" s="39" t="s">
        <v>7831</v>
      </c>
      <c r="N2214" s="39" t="str">
        <f>("1066647")</f>
        <v>1066647</v>
      </c>
      <c r="P2214" s="39" t="s">
        <v>13666</v>
      </c>
      <c r="Q2214" s="39" t="s">
        <v>8568</v>
      </c>
      <c r="R2214" s="39" t="s">
        <v>8569</v>
      </c>
      <c r="S2214" s="39" t="s">
        <v>8570</v>
      </c>
      <c r="AK2214" s="39" t="str">
        <f>("2025/03/21")</f>
        <v>2025/03/21</v>
      </c>
      <c r="AL2214" s="39" t="str">
        <f>("2025/04/01")</f>
        <v>2025/04/01</v>
      </c>
    </row>
    <row r="2215" spans="1:38" x14ac:dyDescent="0.25">
      <c r="A2215" s="39" t="str">
        <f>("1605160008")</f>
        <v>1605160008</v>
      </c>
      <c r="C2215" s="39"/>
      <c r="D2215" s="39" t="s">
        <v>9745</v>
      </c>
      <c r="E2215" s="371" t="str">
        <f t="shared" si="179"/>
        <v>あべ　ゆうのすけ</v>
      </c>
      <c r="F2215" s="39" t="s">
        <v>8032</v>
      </c>
      <c r="G2215" s="39" t="s">
        <v>7828</v>
      </c>
      <c r="H2215" s="39" t="str">
        <f>("2016/05/16")</f>
        <v>2016/05/16</v>
      </c>
      <c r="I2215" s="39">
        <v>3</v>
      </c>
      <c r="J2215" s="39" t="s">
        <v>1478</v>
      </c>
      <c r="K2215" s="39" t="s">
        <v>2122</v>
      </c>
      <c r="L2215" s="39" t="s">
        <v>7830</v>
      </c>
      <c r="M2215" s="39" t="s">
        <v>7831</v>
      </c>
      <c r="N2215" s="39" t="str">
        <f>("0452911")</f>
        <v>0452911</v>
      </c>
      <c r="P2215" s="39" t="s">
        <v>13667</v>
      </c>
      <c r="Q2215" s="39" t="s">
        <v>8568</v>
      </c>
      <c r="R2215" s="39" t="s">
        <v>8569</v>
      </c>
      <c r="S2215" s="39" t="s">
        <v>8570</v>
      </c>
      <c r="AK2215" s="39" t="str">
        <f>("2025/04/10")</f>
        <v>2025/04/10</v>
      </c>
      <c r="AL2215" s="39" t="str">
        <f>("2025/04/01")</f>
        <v>2025/04/01</v>
      </c>
    </row>
    <row r="2216" spans="1:38" x14ac:dyDescent="0.25">
      <c r="A2216" s="39" t="str">
        <f>("1605160123")</f>
        <v>1605160123</v>
      </c>
      <c r="C2216" s="39"/>
      <c r="D2216" s="39" t="s">
        <v>9746</v>
      </c>
      <c r="E2216" s="371" t="str">
        <f t="shared" si="179"/>
        <v>もりぐち　かい</v>
      </c>
      <c r="F2216" s="39" t="s">
        <v>1207</v>
      </c>
      <c r="G2216" s="39" t="s">
        <v>7828</v>
      </c>
      <c r="H2216" s="39" t="str">
        <f>("2016/05/16")</f>
        <v>2016/05/16</v>
      </c>
      <c r="I2216" s="39">
        <v>3</v>
      </c>
      <c r="J2216" s="39" t="s">
        <v>1478</v>
      </c>
      <c r="K2216" s="39" t="s">
        <v>2122</v>
      </c>
      <c r="L2216" s="39" t="s">
        <v>7830</v>
      </c>
      <c r="M2216" s="39" t="s">
        <v>7831</v>
      </c>
      <c r="N2216" s="39" t="str">
        <f>("0381608")</f>
        <v>0381608</v>
      </c>
      <c r="P2216" s="39" t="s">
        <v>13668</v>
      </c>
      <c r="Q2216" s="39" t="s">
        <v>8568</v>
      </c>
      <c r="R2216" s="39" t="s">
        <v>8569</v>
      </c>
      <c r="S2216" s="39" t="s">
        <v>8570</v>
      </c>
      <c r="AK2216" s="39" t="str">
        <f>("2025/04/23")</f>
        <v>2025/04/23</v>
      </c>
      <c r="AL2216" s="39" t="str">
        <f>("2025/04/23")</f>
        <v>2025/04/23</v>
      </c>
    </row>
    <row r="2217" spans="1:38" x14ac:dyDescent="0.25">
      <c r="A2217" s="39" t="str">
        <f>("1605160137")</f>
        <v>1605160137</v>
      </c>
      <c r="C2217" s="39"/>
      <c r="D2217" s="39" t="s">
        <v>9747</v>
      </c>
      <c r="E2217" s="371" t="str">
        <f t="shared" si="179"/>
        <v>くらまし　あつき</v>
      </c>
      <c r="F2217" s="39" t="s">
        <v>520</v>
      </c>
      <c r="G2217" s="39" t="s">
        <v>7828</v>
      </c>
      <c r="H2217" s="39" t="str">
        <f>("2016/05/16")</f>
        <v>2016/05/16</v>
      </c>
      <c r="I2217" s="39">
        <v>3</v>
      </c>
      <c r="J2217" s="39" t="s">
        <v>1478</v>
      </c>
      <c r="K2217" s="39" t="s">
        <v>2122</v>
      </c>
      <c r="L2217" s="39" t="s">
        <v>7830</v>
      </c>
      <c r="M2217" s="39" t="s">
        <v>7831</v>
      </c>
      <c r="N2217" s="39" t="str">
        <f>("0129765")</f>
        <v>0129765</v>
      </c>
      <c r="P2217" s="39" t="s">
        <v>13669</v>
      </c>
      <c r="Q2217" s="39" t="s">
        <v>8568</v>
      </c>
      <c r="R2217" s="39" t="s">
        <v>8569</v>
      </c>
      <c r="S2217" s="39" t="s">
        <v>8570</v>
      </c>
      <c r="AK2217" s="39" t="str">
        <f>("2025/08/21")</f>
        <v>2025/08/21</v>
      </c>
      <c r="AL2217" s="39" t="str">
        <f>("2025/08/21")</f>
        <v>2025/08/21</v>
      </c>
    </row>
    <row r="2218" spans="1:38" x14ac:dyDescent="0.25">
      <c r="A2218" s="39" t="str">
        <f>("1605160139")</f>
        <v>1605160139</v>
      </c>
      <c r="C2218" s="39"/>
      <c r="D2218" s="39" t="s">
        <v>9748</v>
      </c>
      <c r="E2218" s="371" t="str">
        <f t="shared" si="179"/>
        <v>いなづき　せいた</v>
      </c>
      <c r="F2218" s="39" t="s">
        <v>2648</v>
      </c>
      <c r="G2218" s="39" t="s">
        <v>7828</v>
      </c>
      <c r="H2218" s="39" t="str">
        <f>("2016/05/16")</f>
        <v>2016/05/16</v>
      </c>
      <c r="I2218" s="39">
        <v>3</v>
      </c>
      <c r="J2218" s="39" t="s">
        <v>1478</v>
      </c>
      <c r="K2218" s="39" t="s">
        <v>2122</v>
      </c>
      <c r="L2218" s="39" t="s">
        <v>7830</v>
      </c>
      <c r="M2218" s="39" t="s">
        <v>7831</v>
      </c>
      <c r="N2218" s="39" t="str">
        <f>("1050097")</f>
        <v>1050097</v>
      </c>
      <c r="P2218" s="39" t="s">
        <v>13670</v>
      </c>
      <c r="Q2218" s="39" t="s">
        <v>8568</v>
      </c>
      <c r="R2218" s="39" t="s">
        <v>8569</v>
      </c>
      <c r="S2218" s="39" t="s">
        <v>8570</v>
      </c>
      <c r="AK2218" s="39" t="str">
        <f>("2025/09/02")</f>
        <v>2025/09/02</v>
      </c>
      <c r="AL2218" s="39" t="str">
        <f>("2025/09/02")</f>
        <v>2025/09/02</v>
      </c>
    </row>
    <row r="2219" spans="1:38" x14ac:dyDescent="0.25">
      <c r="A2219" s="39" t="str">
        <f>("1605170105")</f>
        <v>1605170105</v>
      </c>
      <c r="C2219" s="39"/>
      <c r="D2219" s="39" t="s">
        <v>9749</v>
      </c>
      <c r="E2219" s="371" t="str">
        <f t="shared" si="179"/>
        <v>うえだ　だいち</v>
      </c>
      <c r="F2219" s="39" t="s">
        <v>2530</v>
      </c>
      <c r="G2219" s="39" t="s">
        <v>7828</v>
      </c>
      <c r="H2219" s="39" t="str">
        <f>("2016/05/17")</f>
        <v>2016/05/17</v>
      </c>
      <c r="I2219" s="39">
        <v>3</v>
      </c>
      <c r="J2219" s="39" t="s">
        <v>1478</v>
      </c>
      <c r="K2219" s="39" t="s">
        <v>2122</v>
      </c>
      <c r="L2219" s="39" t="s">
        <v>7830</v>
      </c>
      <c r="M2219" s="39" t="s">
        <v>7831</v>
      </c>
      <c r="N2219" s="39" t="str">
        <f>("0338756")</f>
        <v>0338756</v>
      </c>
      <c r="P2219" s="39" t="s">
        <v>13671</v>
      </c>
      <c r="Q2219" s="39" t="s">
        <v>8568</v>
      </c>
      <c r="R2219" s="39" t="s">
        <v>8569</v>
      </c>
      <c r="S2219" s="39" t="s">
        <v>8570</v>
      </c>
      <c r="AK2219" s="39" t="str">
        <f>("2025/04/01")</f>
        <v>2025/04/01</v>
      </c>
      <c r="AL2219" s="39" t="str">
        <f>("2025/04/01")</f>
        <v>2025/04/01</v>
      </c>
    </row>
    <row r="2220" spans="1:38" x14ac:dyDescent="0.25">
      <c r="A2220" s="39" t="str">
        <f>("1605170143")</f>
        <v>1605170143</v>
      </c>
      <c r="C2220" s="39"/>
      <c r="D2220" s="39" t="s">
        <v>9750</v>
      </c>
      <c r="E2220" s="371" t="str">
        <f t="shared" si="179"/>
        <v>おかど　そうすけ</v>
      </c>
      <c r="F2220" s="39" t="s">
        <v>2349</v>
      </c>
      <c r="G2220" s="39" t="s">
        <v>7828</v>
      </c>
      <c r="H2220" s="39" t="str">
        <f>("2016/05/17")</f>
        <v>2016/05/17</v>
      </c>
      <c r="I2220" s="39">
        <v>3</v>
      </c>
      <c r="J2220" s="39" t="s">
        <v>1478</v>
      </c>
      <c r="K2220" s="39" t="s">
        <v>2122</v>
      </c>
      <c r="L2220" s="39" t="s">
        <v>7830</v>
      </c>
      <c r="M2220" s="39" t="s">
        <v>7831</v>
      </c>
      <c r="N2220" s="39" t="str">
        <f>("0292081")</f>
        <v>0292081</v>
      </c>
      <c r="P2220" s="39" t="s">
        <v>13672</v>
      </c>
      <c r="Q2220" s="39" t="s">
        <v>8568</v>
      </c>
      <c r="R2220" s="39" t="s">
        <v>8569</v>
      </c>
      <c r="S2220" s="39" t="s">
        <v>8570</v>
      </c>
      <c r="AK2220" s="39" t="str">
        <f>("2025/09/03")</f>
        <v>2025/09/03</v>
      </c>
      <c r="AL2220" s="39" t="str">
        <f>("2025/09/03")</f>
        <v>2025/09/03</v>
      </c>
    </row>
    <row r="2221" spans="1:38" x14ac:dyDescent="0.25">
      <c r="A2221" s="39" t="str">
        <f>("1605180083")</f>
        <v>1605180083</v>
      </c>
      <c r="C2221" s="39"/>
      <c r="D2221" s="39" t="s">
        <v>9751</v>
      </c>
      <c r="E2221" s="371" t="str">
        <f t="shared" si="179"/>
        <v>いまとく　あお</v>
      </c>
      <c r="F2221" s="39" t="s">
        <v>5615</v>
      </c>
      <c r="G2221" s="39" t="s">
        <v>7828</v>
      </c>
      <c r="H2221" s="39" t="str">
        <f>("2016/05/18")</f>
        <v>2016/05/18</v>
      </c>
      <c r="I2221" s="39">
        <v>3</v>
      </c>
      <c r="J2221" s="39" t="s">
        <v>1478</v>
      </c>
      <c r="K2221" s="39" t="s">
        <v>2122</v>
      </c>
      <c r="L2221" s="39" t="s">
        <v>7830</v>
      </c>
      <c r="M2221" s="39" t="s">
        <v>7831</v>
      </c>
      <c r="N2221" s="39" t="str">
        <f>("0129642")</f>
        <v>0129642</v>
      </c>
      <c r="P2221" s="39" t="s">
        <v>13673</v>
      </c>
      <c r="Q2221" s="39" t="s">
        <v>8568</v>
      </c>
      <c r="R2221" s="39" t="s">
        <v>8569</v>
      </c>
      <c r="S2221" s="39" t="s">
        <v>8570</v>
      </c>
      <c r="AK2221" s="39" t="str">
        <f>("2025/03/24")</f>
        <v>2025/03/24</v>
      </c>
      <c r="AL2221" s="39" t="str">
        <f t="shared" ref="AL2221:AL2227" si="180">("2025/04/01")</f>
        <v>2025/04/01</v>
      </c>
    </row>
    <row r="2222" spans="1:38" x14ac:dyDescent="0.25">
      <c r="A2222" s="39" t="str">
        <f>("1605190011")</f>
        <v>1605190011</v>
      </c>
      <c r="C2222" s="39"/>
      <c r="D2222" s="39" t="s">
        <v>9752</v>
      </c>
      <c r="E2222" s="371" t="str">
        <f t="shared" si="179"/>
        <v>しまだ　りくたろう</v>
      </c>
      <c r="F2222" s="39" t="s">
        <v>2325</v>
      </c>
      <c r="G2222" s="39" t="s">
        <v>7828</v>
      </c>
      <c r="H2222" s="39" t="str">
        <f>("2016/05/19")</f>
        <v>2016/05/19</v>
      </c>
      <c r="I2222" s="39">
        <v>3</v>
      </c>
      <c r="J2222" s="39" t="s">
        <v>1478</v>
      </c>
      <c r="K2222" s="39" t="s">
        <v>2122</v>
      </c>
      <c r="L2222" s="39" t="s">
        <v>7830</v>
      </c>
      <c r="M2222" s="39" t="s">
        <v>7831</v>
      </c>
      <c r="N2222" s="39" t="str">
        <f>("0155034")</f>
        <v>0155034</v>
      </c>
      <c r="P2222" s="39" t="s">
        <v>13674</v>
      </c>
      <c r="Q2222" s="39" t="s">
        <v>8568</v>
      </c>
      <c r="R2222" s="39" t="s">
        <v>8569</v>
      </c>
      <c r="S2222" s="39" t="s">
        <v>8570</v>
      </c>
      <c r="AK2222" s="39" t="str">
        <f>("2025/03/17")</f>
        <v>2025/03/17</v>
      </c>
      <c r="AL2222" s="39" t="str">
        <f t="shared" si="180"/>
        <v>2025/04/01</v>
      </c>
    </row>
    <row r="2223" spans="1:38" x14ac:dyDescent="0.25">
      <c r="A2223" s="39" t="str">
        <f>("1605190016")</f>
        <v>1605190016</v>
      </c>
      <c r="C2223" s="39"/>
      <c r="D2223" s="39" t="s">
        <v>9753</v>
      </c>
      <c r="E2223" s="371" t="str">
        <f t="shared" si="179"/>
        <v>いとう　しょうま</v>
      </c>
      <c r="F2223" s="39" t="s">
        <v>2139</v>
      </c>
      <c r="G2223" s="39" t="s">
        <v>7828</v>
      </c>
      <c r="H2223" s="39" t="str">
        <f>("2016/05/19")</f>
        <v>2016/05/19</v>
      </c>
      <c r="I2223" s="39">
        <v>3</v>
      </c>
      <c r="J2223" s="39" t="s">
        <v>1478</v>
      </c>
      <c r="K2223" s="39" t="s">
        <v>2122</v>
      </c>
      <c r="L2223" s="39" t="s">
        <v>7830</v>
      </c>
      <c r="M2223" s="39" t="s">
        <v>7831</v>
      </c>
      <c r="N2223" s="39" t="str">
        <f>("0129798")</f>
        <v>0129798</v>
      </c>
      <c r="P2223" s="39" t="s">
        <v>13675</v>
      </c>
      <c r="Q2223" s="39" t="s">
        <v>8568</v>
      </c>
      <c r="R2223" s="39" t="s">
        <v>8569</v>
      </c>
      <c r="S2223" s="39" t="s">
        <v>8570</v>
      </c>
      <c r="AK2223" s="39" t="str">
        <f>("2025/03/27")</f>
        <v>2025/03/27</v>
      </c>
      <c r="AL2223" s="39" t="str">
        <f t="shared" si="180"/>
        <v>2025/04/01</v>
      </c>
    </row>
    <row r="2224" spans="1:38" x14ac:dyDescent="0.25">
      <c r="A2224" s="39" t="str">
        <f>("1605190031")</f>
        <v>1605190031</v>
      </c>
      <c r="C2224" s="39"/>
      <c r="D2224" s="39" t="s">
        <v>9754</v>
      </c>
      <c r="E2224" s="371" t="str">
        <f t="shared" si="179"/>
        <v>いのうえ　ひかり</v>
      </c>
      <c r="F2224" s="39" t="s">
        <v>3104</v>
      </c>
      <c r="G2224" s="39" t="s">
        <v>7828</v>
      </c>
      <c r="H2224" s="39" t="str">
        <f>("2016/05/19")</f>
        <v>2016/05/19</v>
      </c>
      <c r="I2224" s="39">
        <v>3</v>
      </c>
      <c r="J2224" s="39" t="s">
        <v>1478</v>
      </c>
      <c r="K2224" s="39" t="s">
        <v>2122</v>
      </c>
      <c r="L2224" s="39" t="s">
        <v>7830</v>
      </c>
      <c r="M2224" s="39" t="s">
        <v>7831</v>
      </c>
      <c r="N2224" s="39" t="str">
        <f>("1076189")</f>
        <v>1076189</v>
      </c>
      <c r="P2224" s="39" t="s">
        <v>13676</v>
      </c>
      <c r="Q2224" s="39" t="s">
        <v>8568</v>
      </c>
      <c r="R2224" s="39" t="s">
        <v>8569</v>
      </c>
      <c r="S2224" s="39" t="s">
        <v>8570</v>
      </c>
      <c r="AK2224" s="39" t="str">
        <f>("2025/03/24")</f>
        <v>2025/03/24</v>
      </c>
      <c r="AL2224" s="39" t="str">
        <f t="shared" si="180"/>
        <v>2025/04/01</v>
      </c>
    </row>
    <row r="2225" spans="1:38" x14ac:dyDescent="0.25">
      <c r="A2225" s="39" t="str">
        <f>("1605190085")</f>
        <v>1605190085</v>
      </c>
      <c r="C2225" s="39"/>
      <c r="D2225" s="39" t="s">
        <v>9755</v>
      </c>
      <c r="E2225" s="371" t="str">
        <f t="shared" si="179"/>
        <v>さいとう　あき</v>
      </c>
      <c r="F2225" s="39" t="s">
        <v>5619</v>
      </c>
      <c r="G2225" s="39" t="s">
        <v>7828</v>
      </c>
      <c r="H2225" s="39" t="str">
        <f>("2016/05/19")</f>
        <v>2016/05/19</v>
      </c>
      <c r="I2225" s="39">
        <v>3</v>
      </c>
      <c r="J2225" s="39" t="s">
        <v>1478</v>
      </c>
      <c r="K2225" s="39" t="s">
        <v>2122</v>
      </c>
      <c r="L2225" s="39" t="s">
        <v>7830</v>
      </c>
      <c r="M2225" s="39" t="s">
        <v>7831</v>
      </c>
      <c r="N2225" s="39" t="str">
        <f>("1089004")</f>
        <v>1089004</v>
      </c>
      <c r="P2225" s="39" t="s">
        <v>13677</v>
      </c>
      <c r="Q2225" s="39" t="s">
        <v>8568</v>
      </c>
      <c r="R2225" s="39" t="s">
        <v>8569</v>
      </c>
      <c r="S2225" s="39" t="s">
        <v>8570</v>
      </c>
      <c r="AK2225" s="39" t="str">
        <f>("2025/03/27")</f>
        <v>2025/03/27</v>
      </c>
      <c r="AL2225" s="39" t="str">
        <f t="shared" si="180"/>
        <v>2025/04/01</v>
      </c>
    </row>
    <row r="2226" spans="1:38" x14ac:dyDescent="0.25">
      <c r="A2226" s="39" t="str">
        <f>("1605200041")</f>
        <v>1605200041</v>
      </c>
      <c r="C2226" s="39"/>
      <c r="D2226" s="39" t="s">
        <v>9756</v>
      </c>
      <c r="E2226" s="371" t="str">
        <f t="shared" si="179"/>
        <v>いこま　だいや</v>
      </c>
      <c r="F2226" s="39" t="s">
        <v>4220</v>
      </c>
      <c r="G2226" s="39" t="s">
        <v>7828</v>
      </c>
      <c r="H2226" s="39" t="str">
        <f>("2016/05/20")</f>
        <v>2016/05/20</v>
      </c>
      <c r="I2226" s="39">
        <v>3</v>
      </c>
      <c r="J2226" s="39" t="s">
        <v>1478</v>
      </c>
      <c r="K2226" s="39" t="s">
        <v>2122</v>
      </c>
      <c r="L2226" s="39" t="s">
        <v>7830</v>
      </c>
      <c r="M2226" s="39" t="s">
        <v>7831</v>
      </c>
      <c r="N2226" s="39" t="str">
        <f>("0130543")</f>
        <v>0130543</v>
      </c>
      <c r="P2226" s="39" t="s">
        <v>13678</v>
      </c>
      <c r="Q2226" s="39" t="s">
        <v>8568</v>
      </c>
      <c r="R2226" s="39" t="s">
        <v>8569</v>
      </c>
      <c r="S2226" s="39" t="s">
        <v>8570</v>
      </c>
      <c r="AK2226" s="39" t="str">
        <f>("2025/03/17")</f>
        <v>2025/03/17</v>
      </c>
      <c r="AL2226" s="39" t="str">
        <f t="shared" si="180"/>
        <v>2025/04/01</v>
      </c>
    </row>
    <row r="2227" spans="1:38" x14ac:dyDescent="0.25">
      <c r="A2227" s="39" t="str">
        <f>("1605210069")</f>
        <v>1605210069</v>
      </c>
      <c r="C2227" s="39"/>
      <c r="D2227" s="39" t="s">
        <v>9757</v>
      </c>
      <c r="E2227" s="371" t="str">
        <f t="shared" si="179"/>
        <v>こじま　そうすけ</v>
      </c>
      <c r="F2227" s="39" t="s">
        <v>2342</v>
      </c>
      <c r="G2227" s="39" t="s">
        <v>7828</v>
      </c>
      <c r="H2227" s="39" t="str">
        <f>("2016/05/21")</f>
        <v>2016/05/21</v>
      </c>
      <c r="I2227" s="39">
        <v>3</v>
      </c>
      <c r="J2227" s="39" t="s">
        <v>1478</v>
      </c>
      <c r="K2227" s="39" t="s">
        <v>2122</v>
      </c>
      <c r="L2227" s="39" t="s">
        <v>7830</v>
      </c>
      <c r="M2227" s="39" t="s">
        <v>7831</v>
      </c>
      <c r="N2227" s="39" t="str">
        <f>("0130307")</f>
        <v>0130307</v>
      </c>
      <c r="P2227" s="39" t="s">
        <v>13679</v>
      </c>
      <c r="Q2227" s="39" t="s">
        <v>8568</v>
      </c>
      <c r="R2227" s="39" t="s">
        <v>8569</v>
      </c>
      <c r="S2227" s="39" t="s">
        <v>8570</v>
      </c>
      <c r="AK2227" s="39" t="str">
        <f>("2025/03/17")</f>
        <v>2025/03/17</v>
      </c>
      <c r="AL2227" s="39" t="str">
        <f t="shared" si="180"/>
        <v>2025/04/01</v>
      </c>
    </row>
    <row r="2228" spans="1:38" x14ac:dyDescent="0.25">
      <c r="A2228" s="39" t="str">
        <f>("1605210121")</f>
        <v>1605210121</v>
      </c>
      <c r="C2228" s="39"/>
      <c r="D2228" s="39" t="s">
        <v>9758</v>
      </c>
      <c r="E2228" s="371" t="str">
        <f t="shared" si="179"/>
        <v>うつのみや　のあ</v>
      </c>
      <c r="F2228" s="39" t="s">
        <v>5615</v>
      </c>
      <c r="G2228" s="39" t="s">
        <v>7828</v>
      </c>
      <c r="H2228" s="39" t="str">
        <f>("2016/05/21")</f>
        <v>2016/05/21</v>
      </c>
      <c r="I2228" s="39">
        <v>3</v>
      </c>
      <c r="J2228" s="39" t="s">
        <v>1480</v>
      </c>
      <c r="K2228" s="39" t="s">
        <v>2122</v>
      </c>
      <c r="L2228" s="39" t="s">
        <v>7830</v>
      </c>
      <c r="M2228" s="39" t="s">
        <v>7831</v>
      </c>
      <c r="N2228" s="39" t="str">
        <f>("0129642")</f>
        <v>0129642</v>
      </c>
      <c r="P2228" s="39" t="s">
        <v>13680</v>
      </c>
      <c r="Q2228" s="39" t="s">
        <v>8568</v>
      </c>
      <c r="R2228" s="39" t="s">
        <v>8569</v>
      </c>
      <c r="S2228" s="39" t="s">
        <v>8570</v>
      </c>
      <c r="AK2228" s="39" t="str">
        <f>("2025/09/24")</f>
        <v>2025/09/24</v>
      </c>
      <c r="AL2228" s="39" t="str">
        <f>("2025/09/24")</f>
        <v>2025/09/24</v>
      </c>
    </row>
    <row r="2229" spans="1:38" x14ac:dyDescent="0.25">
      <c r="A2229" s="39" t="str">
        <f>("1605210137")</f>
        <v>1605210137</v>
      </c>
      <c r="C2229" s="39"/>
      <c r="D2229" s="39" t="s">
        <v>9759</v>
      </c>
      <c r="E2229" s="371" t="str">
        <f t="shared" si="179"/>
        <v>まき　こうた</v>
      </c>
      <c r="F2229" s="39" t="s">
        <v>2544</v>
      </c>
      <c r="G2229" s="39" t="s">
        <v>7828</v>
      </c>
      <c r="H2229" s="39" t="str">
        <f>("2016/05/21")</f>
        <v>2016/05/21</v>
      </c>
      <c r="I2229" s="39">
        <v>3</v>
      </c>
      <c r="J2229" s="39" t="s">
        <v>1478</v>
      </c>
      <c r="K2229" s="39" t="s">
        <v>2122</v>
      </c>
      <c r="L2229" s="39" t="s">
        <v>7830</v>
      </c>
      <c r="M2229" s="39" t="s">
        <v>7831</v>
      </c>
      <c r="N2229" s="39" t="str">
        <f>("0130644")</f>
        <v>0130644</v>
      </c>
      <c r="P2229" s="39" t="s">
        <v>13681</v>
      </c>
      <c r="Q2229" s="39" t="s">
        <v>8568</v>
      </c>
      <c r="R2229" s="39" t="s">
        <v>8569</v>
      </c>
      <c r="S2229" s="39" t="s">
        <v>8570</v>
      </c>
      <c r="AK2229" s="39" t="str">
        <f>("2025/12/23")</f>
        <v>2025/12/23</v>
      </c>
      <c r="AL2229" s="39" t="str">
        <f>("2025/12/23")</f>
        <v>2025/12/23</v>
      </c>
    </row>
    <row r="2230" spans="1:38" x14ac:dyDescent="0.25">
      <c r="A2230" s="39" t="str">
        <f>("1605220024")</f>
        <v>1605220024</v>
      </c>
      <c r="C2230" s="39"/>
      <c r="D2230" s="39" t="s">
        <v>9760</v>
      </c>
      <c r="E2230" s="371" t="str">
        <f t="shared" si="179"/>
        <v>ゆふ　りゅうのすけ</v>
      </c>
      <c r="F2230" s="39" t="s">
        <v>188</v>
      </c>
      <c r="G2230" s="39" t="s">
        <v>7828</v>
      </c>
      <c r="H2230" s="39" t="str">
        <f>("2016/05/22")</f>
        <v>2016/05/22</v>
      </c>
      <c r="I2230" s="39">
        <v>3</v>
      </c>
      <c r="J2230" s="39" t="s">
        <v>1478</v>
      </c>
      <c r="K2230" s="39" t="s">
        <v>2122</v>
      </c>
      <c r="L2230" s="39" t="s">
        <v>7830</v>
      </c>
      <c r="M2230" s="39" t="s">
        <v>7831</v>
      </c>
      <c r="N2230" s="39" t="str">
        <f>("0130734")</f>
        <v>0130734</v>
      </c>
      <c r="P2230" s="39" t="s">
        <v>13682</v>
      </c>
      <c r="Q2230" s="39" t="s">
        <v>8568</v>
      </c>
      <c r="R2230" s="39" t="s">
        <v>8569</v>
      </c>
      <c r="S2230" s="39" t="s">
        <v>8570</v>
      </c>
      <c r="AK2230" s="39" t="str">
        <f>("2025/03/17")</f>
        <v>2025/03/17</v>
      </c>
      <c r="AL2230" s="39" t="str">
        <f>("2025/04/01")</f>
        <v>2025/04/01</v>
      </c>
    </row>
    <row r="2231" spans="1:38" x14ac:dyDescent="0.25">
      <c r="A2231" s="39" t="str">
        <f>("1605220061")</f>
        <v>1605220061</v>
      </c>
      <c r="C2231" s="39"/>
      <c r="D2231" s="39" t="s">
        <v>9761</v>
      </c>
      <c r="E2231" s="371" t="str">
        <f t="shared" si="179"/>
        <v>おう　よしてつ</v>
      </c>
      <c r="F2231" s="39" t="s">
        <v>1917</v>
      </c>
      <c r="G2231" s="39" t="s">
        <v>7828</v>
      </c>
      <c r="H2231" s="39" t="str">
        <f>("2016/05/22")</f>
        <v>2016/05/22</v>
      </c>
      <c r="I2231" s="39">
        <v>3</v>
      </c>
      <c r="J2231" s="39" t="s">
        <v>1478</v>
      </c>
      <c r="K2231" s="39" t="s">
        <v>2122</v>
      </c>
      <c r="L2231" s="39" t="s">
        <v>7830</v>
      </c>
      <c r="M2231" s="39" t="s">
        <v>7831</v>
      </c>
      <c r="N2231" s="39" t="str">
        <f>("1032161")</f>
        <v>1032161</v>
      </c>
      <c r="P2231" s="39" t="s">
        <v>13683</v>
      </c>
      <c r="Q2231" s="39" t="s">
        <v>8568</v>
      </c>
      <c r="R2231" s="39" t="s">
        <v>8569</v>
      </c>
      <c r="S2231" s="39" t="s">
        <v>8570</v>
      </c>
      <c r="AK2231" s="39" t="str">
        <f>("2025/03/21")</f>
        <v>2025/03/21</v>
      </c>
      <c r="AL2231" s="39" t="str">
        <f>("2025/04/01")</f>
        <v>2025/04/01</v>
      </c>
    </row>
    <row r="2232" spans="1:38" x14ac:dyDescent="0.25">
      <c r="A2232" s="39" t="str">
        <f>("1605220096")</f>
        <v>1605220096</v>
      </c>
      <c r="C2232" s="39"/>
      <c r="D2232" s="39" t="s">
        <v>9762</v>
      </c>
      <c r="E2232" s="371" t="str">
        <f t="shared" si="179"/>
        <v>みずなが　なつき</v>
      </c>
      <c r="F2232" s="39" t="s">
        <v>1158</v>
      </c>
      <c r="G2232" s="39" t="s">
        <v>7828</v>
      </c>
      <c r="H2232" s="39" t="str">
        <f>("2016/05/22")</f>
        <v>2016/05/22</v>
      </c>
      <c r="I2232" s="39">
        <v>3</v>
      </c>
      <c r="J2232" s="39" t="s">
        <v>1478</v>
      </c>
      <c r="K2232" s="39" t="s">
        <v>2122</v>
      </c>
      <c r="L2232" s="39" t="s">
        <v>7830</v>
      </c>
      <c r="M2232" s="39" t="s">
        <v>7831</v>
      </c>
      <c r="N2232" s="39" t="str">
        <f>("0130318")</f>
        <v>0130318</v>
      </c>
      <c r="P2232" s="39" t="s">
        <v>13684</v>
      </c>
      <c r="Q2232" s="39" t="s">
        <v>8568</v>
      </c>
      <c r="R2232" s="39" t="s">
        <v>8569</v>
      </c>
      <c r="S2232" s="39" t="s">
        <v>8570</v>
      </c>
      <c r="AK2232" s="39" t="str">
        <f>("2025/08/25")</f>
        <v>2025/08/25</v>
      </c>
      <c r="AL2232" s="39" t="str">
        <f>("2025/08/25")</f>
        <v>2025/08/25</v>
      </c>
    </row>
    <row r="2233" spans="1:38" x14ac:dyDescent="0.25">
      <c r="A2233" s="39" t="str">
        <f>("1605230032")</f>
        <v>1605230032</v>
      </c>
      <c r="C2233" s="39"/>
      <c r="D2233" s="39" t="s">
        <v>9763</v>
      </c>
      <c r="E2233" s="371" t="str">
        <f t="shared" si="179"/>
        <v>みとま　ふくと</v>
      </c>
      <c r="F2233" s="39" t="s">
        <v>1968</v>
      </c>
      <c r="G2233" s="39" t="s">
        <v>7828</v>
      </c>
      <c r="H2233" s="39" t="str">
        <f>("2016/05/23")</f>
        <v>2016/05/23</v>
      </c>
      <c r="I2233" s="39">
        <v>3</v>
      </c>
      <c r="J2233" s="39" t="s">
        <v>1478</v>
      </c>
      <c r="K2233" s="39" t="s">
        <v>2122</v>
      </c>
      <c r="L2233" s="39" t="s">
        <v>7830</v>
      </c>
      <c r="M2233" s="39" t="s">
        <v>7831</v>
      </c>
      <c r="N2233" s="39" t="str">
        <f>("0129507")</f>
        <v>0129507</v>
      </c>
      <c r="P2233" s="39" t="s">
        <v>13685</v>
      </c>
      <c r="Q2233" s="39" t="s">
        <v>8568</v>
      </c>
      <c r="R2233" s="39" t="s">
        <v>8569</v>
      </c>
      <c r="S2233" s="39" t="s">
        <v>8570</v>
      </c>
      <c r="AA2233" s="39" t="s">
        <v>2122</v>
      </c>
      <c r="AB2233" s="39" t="s">
        <v>7830</v>
      </c>
      <c r="AC2233" s="39" t="s">
        <v>7831</v>
      </c>
      <c r="AD2233" s="39" t="str">
        <f>("1076189")</f>
        <v>1076189</v>
      </c>
      <c r="AE2233" s="39" t="s">
        <v>3104</v>
      </c>
      <c r="AK2233" s="39" t="str">
        <f>("2025/08/22")</f>
        <v>2025/08/22</v>
      </c>
      <c r="AL2233" s="39" t="str">
        <f>("2025/08/22")</f>
        <v>2025/08/22</v>
      </c>
    </row>
    <row r="2234" spans="1:38" x14ac:dyDescent="0.25">
      <c r="A2234" s="39" t="str">
        <f>("1605260027")</f>
        <v>1605260027</v>
      </c>
      <c r="B2234" s="39" t="s">
        <v>9764</v>
      </c>
      <c r="C2234" s="39"/>
      <c r="D2234" s="39" t="s">
        <v>9765</v>
      </c>
      <c r="E2234" s="371" t="str">
        <f t="shared" si="179"/>
        <v>しのだ　あつと</v>
      </c>
      <c r="F2234" s="39" t="s">
        <v>2395</v>
      </c>
      <c r="G2234" s="39" t="s">
        <v>7828</v>
      </c>
      <c r="H2234" s="39" t="str">
        <f>("2016/05/26")</f>
        <v>2016/05/26</v>
      </c>
      <c r="I2234" s="39">
        <v>3</v>
      </c>
      <c r="J2234" s="39" t="s">
        <v>1478</v>
      </c>
      <c r="K2234" s="39" t="s">
        <v>2122</v>
      </c>
      <c r="L2234" s="39" t="s">
        <v>7830</v>
      </c>
      <c r="M2234" s="39" t="s">
        <v>7831</v>
      </c>
      <c r="N2234" s="39" t="str">
        <f>("0366735")</f>
        <v>0366735</v>
      </c>
      <c r="P2234" s="39" t="s">
        <v>13686</v>
      </c>
      <c r="Q2234" s="39" t="s">
        <v>8568</v>
      </c>
      <c r="R2234" s="39" t="s">
        <v>8569</v>
      </c>
      <c r="S2234" s="39" t="s">
        <v>8570</v>
      </c>
      <c r="AK2234" s="39" t="str">
        <f>("2025/03/17")</f>
        <v>2025/03/17</v>
      </c>
      <c r="AL2234" s="39" t="str">
        <f>("2025/04/01")</f>
        <v>2025/04/01</v>
      </c>
    </row>
    <row r="2235" spans="1:38" x14ac:dyDescent="0.25">
      <c r="A2235" s="39" t="str">
        <f>("1605260039")</f>
        <v>1605260039</v>
      </c>
      <c r="C2235" s="39"/>
      <c r="D2235" s="39" t="s">
        <v>9766</v>
      </c>
      <c r="E2235" s="371" t="str">
        <f t="shared" si="179"/>
        <v>まえだ　いぶき</v>
      </c>
      <c r="F2235" s="39" t="s">
        <v>2299</v>
      </c>
      <c r="G2235" s="39" t="s">
        <v>7828</v>
      </c>
      <c r="H2235" s="39" t="str">
        <f>("2016/05/26")</f>
        <v>2016/05/26</v>
      </c>
      <c r="I2235" s="39">
        <v>3</v>
      </c>
      <c r="J2235" s="39" t="s">
        <v>1478</v>
      </c>
      <c r="K2235" s="39" t="s">
        <v>2122</v>
      </c>
      <c r="L2235" s="39" t="s">
        <v>7830</v>
      </c>
      <c r="M2235" s="39" t="s">
        <v>7831</v>
      </c>
      <c r="N2235" s="39" t="str">
        <f>("1066647")</f>
        <v>1066647</v>
      </c>
      <c r="P2235" s="39" t="s">
        <v>13687</v>
      </c>
      <c r="Q2235" s="39" t="s">
        <v>8568</v>
      </c>
      <c r="R2235" s="39" t="s">
        <v>8569</v>
      </c>
      <c r="S2235" s="39" t="s">
        <v>8570</v>
      </c>
      <c r="AK2235" s="39" t="str">
        <f>("2025/03/21")</f>
        <v>2025/03/21</v>
      </c>
      <c r="AL2235" s="39" t="str">
        <f>("2025/04/01")</f>
        <v>2025/04/01</v>
      </c>
    </row>
    <row r="2236" spans="1:38" x14ac:dyDescent="0.25">
      <c r="A2236" s="39" t="str">
        <f>("1605280078")</f>
        <v>1605280078</v>
      </c>
      <c r="C2236" s="39"/>
      <c r="D2236" s="39" t="s">
        <v>9767</v>
      </c>
      <c r="E2236" s="371" t="str">
        <f t="shared" si="179"/>
        <v>まつばら　だいや</v>
      </c>
      <c r="F2236" s="39" t="s">
        <v>1239</v>
      </c>
      <c r="G2236" s="39" t="s">
        <v>7828</v>
      </c>
      <c r="H2236" s="39" t="str">
        <f>("2016/05/28")</f>
        <v>2016/05/28</v>
      </c>
      <c r="I2236" s="39">
        <v>3</v>
      </c>
      <c r="J2236" s="39" t="s">
        <v>1478</v>
      </c>
      <c r="K2236" s="39" t="s">
        <v>2122</v>
      </c>
      <c r="L2236" s="39" t="s">
        <v>7830</v>
      </c>
      <c r="M2236" s="39" t="s">
        <v>7831</v>
      </c>
      <c r="N2236" s="39" t="str">
        <f>("0129585")</f>
        <v>0129585</v>
      </c>
      <c r="P2236" s="39" t="s">
        <v>13688</v>
      </c>
      <c r="Q2236" s="39" t="s">
        <v>8568</v>
      </c>
      <c r="R2236" s="39" t="s">
        <v>8569</v>
      </c>
      <c r="S2236" s="39" t="s">
        <v>8570</v>
      </c>
      <c r="AK2236" s="39" t="str">
        <f>("2025/10/02")</f>
        <v>2025/10/02</v>
      </c>
      <c r="AL2236" s="39" t="str">
        <f>("2025/10/02")</f>
        <v>2025/10/02</v>
      </c>
    </row>
    <row r="2237" spans="1:38" x14ac:dyDescent="0.25">
      <c r="A2237" s="39" t="str">
        <f>("1605290005")</f>
        <v>1605290005</v>
      </c>
      <c r="B2237" s="39" t="s">
        <v>9768</v>
      </c>
      <c r="C2237" s="39"/>
      <c r="D2237" s="39" t="s">
        <v>9769</v>
      </c>
      <c r="E2237" s="371" t="str">
        <f t="shared" si="179"/>
        <v>ごとう　ちひろ</v>
      </c>
      <c r="F2237" s="39" t="s">
        <v>2325</v>
      </c>
      <c r="G2237" s="39" t="s">
        <v>7828</v>
      </c>
      <c r="H2237" s="39" t="str">
        <f>("2016/05/29")</f>
        <v>2016/05/29</v>
      </c>
      <c r="I2237" s="39">
        <v>3</v>
      </c>
      <c r="J2237" s="39" t="s">
        <v>1478</v>
      </c>
      <c r="K2237" s="39" t="s">
        <v>2122</v>
      </c>
      <c r="L2237" s="39" t="s">
        <v>7830</v>
      </c>
      <c r="M2237" s="39" t="s">
        <v>7831</v>
      </c>
      <c r="N2237" s="39" t="str">
        <f>("0155034")</f>
        <v>0155034</v>
      </c>
      <c r="P2237" s="39" t="s">
        <v>13689</v>
      </c>
      <c r="Q2237" s="39" t="s">
        <v>8568</v>
      </c>
      <c r="R2237" s="39" t="s">
        <v>8569</v>
      </c>
      <c r="S2237" s="39" t="s">
        <v>8570</v>
      </c>
      <c r="AK2237" s="39" t="str">
        <f>("2025/03/17")</f>
        <v>2025/03/17</v>
      </c>
      <c r="AL2237" s="39" t="str">
        <f>("2025/04/01")</f>
        <v>2025/04/01</v>
      </c>
    </row>
    <row r="2238" spans="1:38" x14ac:dyDescent="0.25">
      <c r="A2238" s="39" t="str">
        <f>("1605290016")</f>
        <v>1605290016</v>
      </c>
      <c r="C2238" s="39"/>
      <c r="D2238" s="39" t="s">
        <v>5889</v>
      </c>
      <c r="E2238" s="371" t="str">
        <f t="shared" si="179"/>
        <v>もりしま　けいと</v>
      </c>
      <c r="F2238" s="39" t="s">
        <v>4220</v>
      </c>
      <c r="G2238" s="39" t="s">
        <v>7828</v>
      </c>
      <c r="H2238" s="39" t="str">
        <f>("2016/05/29")</f>
        <v>2016/05/29</v>
      </c>
      <c r="I2238" s="39">
        <v>3</v>
      </c>
      <c r="J2238" s="39" t="s">
        <v>1478</v>
      </c>
      <c r="K2238" s="39" t="s">
        <v>2122</v>
      </c>
      <c r="L2238" s="39" t="s">
        <v>7830</v>
      </c>
      <c r="M2238" s="39" t="s">
        <v>7831</v>
      </c>
      <c r="N2238" s="39" t="str">
        <f>("0130543")</f>
        <v>0130543</v>
      </c>
      <c r="P2238" s="39" t="s">
        <v>13690</v>
      </c>
      <c r="Q2238" s="39" t="s">
        <v>8568</v>
      </c>
      <c r="R2238" s="39" t="s">
        <v>8569</v>
      </c>
      <c r="S2238" s="39" t="s">
        <v>8570</v>
      </c>
      <c r="AK2238" s="39" t="str">
        <f>("2025/03/17")</f>
        <v>2025/03/17</v>
      </c>
      <c r="AL2238" s="39" t="str">
        <f>("2025/04/01")</f>
        <v>2025/04/01</v>
      </c>
    </row>
    <row r="2239" spans="1:38" x14ac:dyDescent="0.25">
      <c r="A2239" s="39" t="str">
        <f>("1605290020")</f>
        <v>1605290020</v>
      </c>
      <c r="C2239" s="39"/>
      <c r="D2239" s="39" t="s">
        <v>9770</v>
      </c>
      <c r="E2239" s="371" t="str">
        <f t="shared" si="179"/>
        <v>みやわき　さく</v>
      </c>
      <c r="F2239" s="39" t="s">
        <v>2544</v>
      </c>
      <c r="G2239" s="39" t="s">
        <v>7828</v>
      </c>
      <c r="H2239" s="39" t="str">
        <f>("2016/05/29")</f>
        <v>2016/05/29</v>
      </c>
      <c r="I2239" s="39">
        <v>3</v>
      </c>
      <c r="J2239" s="39" t="s">
        <v>1478</v>
      </c>
      <c r="K2239" s="39" t="s">
        <v>2122</v>
      </c>
      <c r="L2239" s="39" t="s">
        <v>7830</v>
      </c>
      <c r="M2239" s="39" t="s">
        <v>7831</v>
      </c>
      <c r="N2239" s="39" t="str">
        <f>("0130644")</f>
        <v>0130644</v>
      </c>
      <c r="P2239" s="39" t="s">
        <v>13691</v>
      </c>
      <c r="Q2239" s="39" t="s">
        <v>8568</v>
      </c>
      <c r="R2239" s="39" t="s">
        <v>8569</v>
      </c>
      <c r="S2239" s="39" t="s">
        <v>8570</v>
      </c>
      <c r="AK2239" s="39" t="str">
        <f>("2025/03/17")</f>
        <v>2025/03/17</v>
      </c>
      <c r="AL2239" s="39" t="str">
        <f>("2025/04/01")</f>
        <v>2025/04/01</v>
      </c>
    </row>
    <row r="2240" spans="1:38" x14ac:dyDescent="0.25">
      <c r="A2240" s="39" t="str">
        <f>("1605290078")</f>
        <v>1605290078</v>
      </c>
      <c r="C2240" s="39"/>
      <c r="D2240" s="39" t="s">
        <v>9771</v>
      </c>
      <c r="E2240" s="371" t="str">
        <f t="shared" si="179"/>
        <v>あんどう　ゆうじ</v>
      </c>
      <c r="F2240" s="39" t="s">
        <v>1912</v>
      </c>
      <c r="G2240" s="39" t="s">
        <v>7828</v>
      </c>
      <c r="H2240" s="39" t="str">
        <f>("2016/05/29")</f>
        <v>2016/05/29</v>
      </c>
      <c r="I2240" s="39">
        <v>3</v>
      </c>
      <c r="J2240" s="39" t="s">
        <v>1478</v>
      </c>
      <c r="K2240" s="39" t="s">
        <v>2122</v>
      </c>
      <c r="L2240" s="39" t="s">
        <v>7830</v>
      </c>
      <c r="M2240" s="39" t="s">
        <v>7831</v>
      </c>
      <c r="N2240" s="39" t="str">
        <f>("0130363")</f>
        <v>0130363</v>
      </c>
      <c r="P2240" s="39" t="s">
        <v>13692</v>
      </c>
      <c r="Q2240" s="39" t="s">
        <v>8568</v>
      </c>
      <c r="R2240" s="39" t="s">
        <v>8569</v>
      </c>
      <c r="S2240" s="39" t="s">
        <v>8570</v>
      </c>
      <c r="AK2240" s="39" t="str">
        <f>("2025/05/07")</f>
        <v>2025/05/07</v>
      </c>
      <c r="AL2240" s="39" t="str">
        <f>("2025/05/07")</f>
        <v>2025/05/07</v>
      </c>
    </row>
    <row r="2241" spans="1:39" x14ac:dyDescent="0.25">
      <c r="A2241" s="39" t="str">
        <f>("1605290084")</f>
        <v>1605290084</v>
      </c>
      <c r="C2241" s="39"/>
      <c r="D2241" s="39" t="s">
        <v>9772</v>
      </c>
      <c r="E2241" s="371" t="str">
        <f t="shared" si="179"/>
        <v>ごとう　りょう</v>
      </c>
      <c r="F2241" s="39" t="s">
        <v>2648</v>
      </c>
      <c r="G2241" s="39" t="s">
        <v>7828</v>
      </c>
      <c r="H2241" s="39" t="str">
        <f>("2016/05/29")</f>
        <v>2016/05/29</v>
      </c>
      <c r="I2241" s="39">
        <v>3</v>
      </c>
      <c r="J2241" s="39" t="s">
        <v>1478</v>
      </c>
      <c r="K2241" s="39" t="s">
        <v>2122</v>
      </c>
      <c r="L2241" s="39" t="s">
        <v>7830</v>
      </c>
      <c r="M2241" s="39" t="s">
        <v>7831</v>
      </c>
      <c r="N2241" s="39" t="str">
        <f>("1050097")</f>
        <v>1050097</v>
      </c>
      <c r="P2241" s="39" t="s">
        <v>13693</v>
      </c>
      <c r="Q2241" s="39" t="s">
        <v>8568</v>
      </c>
      <c r="R2241" s="39" t="s">
        <v>8569</v>
      </c>
      <c r="S2241" s="39" t="s">
        <v>8570</v>
      </c>
      <c r="AK2241" s="39" t="str">
        <f>("2025/09/02")</f>
        <v>2025/09/02</v>
      </c>
      <c r="AL2241" s="39" t="str">
        <f>("2025/09/02")</f>
        <v>2025/09/02</v>
      </c>
    </row>
    <row r="2242" spans="1:39" x14ac:dyDescent="0.25">
      <c r="A2242" s="39" t="str">
        <f>("1605300017")</f>
        <v>1605300017</v>
      </c>
      <c r="B2242" s="39" t="s">
        <v>9773</v>
      </c>
      <c r="C2242" s="39"/>
      <c r="D2242" s="39" t="s">
        <v>9774</v>
      </c>
      <c r="E2242" s="371" t="str">
        <f t="shared" si="179"/>
        <v>きたや　みなと</v>
      </c>
      <c r="F2242" s="39" t="s">
        <v>1912</v>
      </c>
      <c r="G2242" s="39" t="s">
        <v>7876</v>
      </c>
      <c r="H2242" s="39" t="str">
        <f>("2016/05/30")</f>
        <v>2016/05/30</v>
      </c>
      <c r="I2242" s="39">
        <v>3</v>
      </c>
      <c r="J2242" s="39" t="s">
        <v>1478</v>
      </c>
      <c r="K2242" s="39" t="s">
        <v>2122</v>
      </c>
      <c r="L2242" s="39" t="s">
        <v>7830</v>
      </c>
      <c r="M2242" s="39" t="s">
        <v>7831</v>
      </c>
      <c r="N2242" s="39" t="str">
        <f>("0130363")</f>
        <v>0130363</v>
      </c>
      <c r="P2242" s="39" t="s">
        <v>13694</v>
      </c>
      <c r="Q2242" s="39" t="s">
        <v>8568</v>
      </c>
      <c r="R2242" s="39" t="s">
        <v>8569</v>
      </c>
      <c r="S2242" s="39" t="s">
        <v>8570</v>
      </c>
      <c r="AK2242" s="39" t="str">
        <f>("2025/03/17")</f>
        <v>2025/03/17</v>
      </c>
      <c r="AL2242" s="39" t="str">
        <f>("2025/04/01")</f>
        <v>2025/04/01</v>
      </c>
      <c r="AM2242" s="39" t="str">
        <f>("2025/07/22")</f>
        <v>2025/07/22</v>
      </c>
    </row>
    <row r="2243" spans="1:39" x14ac:dyDescent="0.25">
      <c r="A2243" s="39" t="str">
        <f>("1605300038")</f>
        <v>1605300038</v>
      </c>
      <c r="C2243" s="39"/>
      <c r="D2243" s="39" t="s">
        <v>5787</v>
      </c>
      <c r="E2243" s="371" t="str">
        <f t="shared" ref="E2243:E2306" si="181">PHONETIC(P2243)</f>
        <v>すずき　ゆうま</v>
      </c>
      <c r="F2243" s="39" t="s">
        <v>2514</v>
      </c>
      <c r="G2243" s="39" t="s">
        <v>7828</v>
      </c>
      <c r="H2243" s="39" t="str">
        <f>("2016/05/30")</f>
        <v>2016/05/30</v>
      </c>
      <c r="I2243" s="39">
        <v>3</v>
      </c>
      <c r="J2243" s="39" t="s">
        <v>1478</v>
      </c>
      <c r="K2243" s="39" t="s">
        <v>2122</v>
      </c>
      <c r="L2243" s="39" t="s">
        <v>7830</v>
      </c>
      <c r="M2243" s="39" t="s">
        <v>7831</v>
      </c>
      <c r="N2243" s="39" t="str">
        <f>("0130093")</f>
        <v>0130093</v>
      </c>
      <c r="P2243" s="39" t="s">
        <v>13695</v>
      </c>
      <c r="Q2243" s="39" t="s">
        <v>8568</v>
      </c>
      <c r="R2243" s="39" t="s">
        <v>8569</v>
      </c>
      <c r="S2243" s="39" t="s">
        <v>8570</v>
      </c>
      <c r="AK2243" s="39" t="str">
        <f>("2025/04/01")</f>
        <v>2025/04/01</v>
      </c>
      <c r="AL2243" s="39" t="str">
        <f>("2025/04/01")</f>
        <v>2025/04/01</v>
      </c>
    </row>
    <row r="2244" spans="1:39" x14ac:dyDescent="0.25">
      <c r="A2244" s="39" t="str">
        <f>("1605300108")</f>
        <v>1605300108</v>
      </c>
      <c r="C2244" s="39"/>
      <c r="D2244" s="39" t="s">
        <v>9775</v>
      </c>
      <c r="E2244" s="371" t="str">
        <f t="shared" si="181"/>
        <v>ひめの　りく</v>
      </c>
      <c r="F2244" s="39" t="s">
        <v>1207</v>
      </c>
      <c r="G2244" s="39" t="s">
        <v>7828</v>
      </c>
      <c r="H2244" s="39" t="str">
        <f>("2016/05/30")</f>
        <v>2016/05/30</v>
      </c>
      <c r="I2244" s="39">
        <v>3</v>
      </c>
      <c r="J2244" s="39" t="s">
        <v>1478</v>
      </c>
      <c r="K2244" s="39" t="s">
        <v>2122</v>
      </c>
      <c r="L2244" s="39" t="s">
        <v>7830</v>
      </c>
      <c r="M2244" s="39" t="s">
        <v>7831</v>
      </c>
      <c r="N2244" s="39" t="str">
        <f>("0381608")</f>
        <v>0381608</v>
      </c>
      <c r="P2244" s="39" t="s">
        <v>13696</v>
      </c>
      <c r="Q2244" s="39" t="s">
        <v>8568</v>
      </c>
      <c r="R2244" s="39" t="s">
        <v>8569</v>
      </c>
      <c r="S2244" s="39" t="s">
        <v>8570</v>
      </c>
      <c r="AK2244" s="39" t="str">
        <f>("2025/04/23")</f>
        <v>2025/04/23</v>
      </c>
      <c r="AL2244" s="39" t="str">
        <f>("2025/04/23")</f>
        <v>2025/04/23</v>
      </c>
    </row>
    <row r="2245" spans="1:39" x14ac:dyDescent="0.25">
      <c r="A2245" s="39" t="str">
        <f>("1605300130")</f>
        <v>1605300130</v>
      </c>
      <c r="C2245" s="39"/>
      <c r="D2245" s="39" t="s">
        <v>9776</v>
      </c>
      <c r="E2245" s="371" t="str">
        <f t="shared" si="181"/>
        <v>くわの　あさひ</v>
      </c>
      <c r="F2245" s="39" t="s">
        <v>2469</v>
      </c>
      <c r="G2245" s="39" t="s">
        <v>7828</v>
      </c>
      <c r="H2245" s="39" t="str">
        <f>("2016/05/30")</f>
        <v>2016/05/30</v>
      </c>
      <c r="I2245" s="39">
        <v>3</v>
      </c>
      <c r="J2245" s="39" t="s">
        <v>1478</v>
      </c>
      <c r="K2245" s="39" t="s">
        <v>2122</v>
      </c>
      <c r="L2245" s="39" t="s">
        <v>7830</v>
      </c>
      <c r="M2245" s="39" t="s">
        <v>7831</v>
      </c>
      <c r="N2245" s="39" t="str">
        <f>("0129462")</f>
        <v>0129462</v>
      </c>
      <c r="P2245" s="39" t="s">
        <v>13697</v>
      </c>
      <c r="Q2245" s="39" t="s">
        <v>8568</v>
      </c>
      <c r="R2245" s="39" t="s">
        <v>8569</v>
      </c>
      <c r="S2245" s="39" t="s">
        <v>8570</v>
      </c>
      <c r="AK2245" s="39" t="str">
        <f>("2025/09/02")</f>
        <v>2025/09/02</v>
      </c>
      <c r="AL2245" s="39" t="str">
        <f>("2025/09/02")</f>
        <v>2025/09/02</v>
      </c>
    </row>
    <row r="2246" spans="1:39" x14ac:dyDescent="0.25">
      <c r="A2246" s="39" t="str">
        <f>("1605310102")</f>
        <v>1605310102</v>
      </c>
      <c r="C2246" s="39"/>
      <c r="D2246" s="39" t="s">
        <v>9777</v>
      </c>
      <c r="E2246" s="371" t="str">
        <f t="shared" si="181"/>
        <v>いとう　さもん</v>
      </c>
      <c r="F2246" s="39" t="s">
        <v>2587</v>
      </c>
      <c r="G2246" s="39" t="s">
        <v>7828</v>
      </c>
      <c r="H2246" s="39" t="str">
        <f>("2016/05/31")</f>
        <v>2016/05/31</v>
      </c>
      <c r="I2246" s="39">
        <v>3</v>
      </c>
      <c r="J2246" s="39" t="s">
        <v>1478</v>
      </c>
      <c r="K2246" s="39" t="s">
        <v>2122</v>
      </c>
      <c r="L2246" s="39" t="s">
        <v>7830</v>
      </c>
      <c r="M2246" s="39" t="s">
        <v>7831</v>
      </c>
      <c r="N2246" s="39" t="str">
        <f>("0387334")</f>
        <v>0387334</v>
      </c>
      <c r="P2246" s="39" t="s">
        <v>13698</v>
      </c>
      <c r="Q2246" s="39" t="s">
        <v>8568</v>
      </c>
      <c r="R2246" s="39" t="s">
        <v>8569</v>
      </c>
      <c r="S2246" s="39" t="s">
        <v>8570</v>
      </c>
      <c r="AK2246" s="39" t="str">
        <f>("2025/04/10")</f>
        <v>2025/04/10</v>
      </c>
      <c r="AL2246" s="39" t="str">
        <f>("2025/04/10")</f>
        <v>2025/04/10</v>
      </c>
    </row>
    <row r="2247" spans="1:39" x14ac:dyDescent="0.25">
      <c r="A2247" s="39" t="str">
        <f>("1606010148")</f>
        <v>1606010148</v>
      </c>
      <c r="C2247" s="39"/>
      <c r="D2247" s="39" t="s">
        <v>9778</v>
      </c>
      <c r="E2247" s="371" t="str">
        <f t="shared" si="181"/>
        <v>さとう　りょうせい</v>
      </c>
      <c r="F2247" s="39" t="s">
        <v>1865</v>
      </c>
      <c r="G2247" s="39" t="s">
        <v>7828</v>
      </c>
      <c r="H2247" s="39" t="str">
        <f>("2016/06/01")</f>
        <v>2016/06/01</v>
      </c>
      <c r="I2247" s="39">
        <v>3</v>
      </c>
      <c r="J2247" s="39" t="s">
        <v>1478</v>
      </c>
      <c r="K2247" s="39" t="s">
        <v>2122</v>
      </c>
      <c r="L2247" s="39" t="s">
        <v>7830</v>
      </c>
      <c r="M2247" s="39" t="s">
        <v>7831</v>
      </c>
      <c r="N2247" s="39" t="str">
        <f>("0310565")</f>
        <v>0310565</v>
      </c>
      <c r="P2247" s="39" t="s">
        <v>13699</v>
      </c>
      <c r="Q2247" s="39" t="s">
        <v>8568</v>
      </c>
      <c r="R2247" s="39" t="s">
        <v>8569</v>
      </c>
      <c r="S2247" s="39" t="s">
        <v>8570</v>
      </c>
      <c r="AK2247" s="39" t="str">
        <f>("2025/09/09")</f>
        <v>2025/09/09</v>
      </c>
      <c r="AL2247" s="39" t="str">
        <f>("2025/09/09")</f>
        <v>2025/09/09</v>
      </c>
    </row>
    <row r="2248" spans="1:39" x14ac:dyDescent="0.25">
      <c r="A2248" s="39" t="str">
        <f>("1606020014")</f>
        <v>1606020014</v>
      </c>
      <c r="C2248" s="39"/>
      <c r="D2248" s="39" t="s">
        <v>9779</v>
      </c>
      <c r="E2248" s="371" t="str">
        <f t="shared" si="181"/>
        <v>やまぎわ　てんせい</v>
      </c>
      <c r="F2248" s="39" t="s">
        <v>2138</v>
      </c>
      <c r="G2248" s="39" t="s">
        <v>7828</v>
      </c>
      <c r="H2248" s="39" t="str">
        <f>("2016/06/02")</f>
        <v>2016/06/02</v>
      </c>
      <c r="I2248" s="39">
        <v>3</v>
      </c>
      <c r="J2248" s="39" t="s">
        <v>1478</v>
      </c>
      <c r="K2248" s="39" t="s">
        <v>2122</v>
      </c>
      <c r="L2248" s="39" t="s">
        <v>7830</v>
      </c>
      <c r="M2248" s="39" t="s">
        <v>7831</v>
      </c>
      <c r="N2248" s="39" t="str">
        <f>("0130082")</f>
        <v>0130082</v>
      </c>
      <c r="P2248" s="39" t="s">
        <v>13700</v>
      </c>
      <c r="Q2248" s="39" t="s">
        <v>8568</v>
      </c>
      <c r="R2248" s="39" t="s">
        <v>8569</v>
      </c>
      <c r="S2248" s="39" t="s">
        <v>8570</v>
      </c>
      <c r="AK2248" s="39" t="str">
        <f>("2025/03/17")</f>
        <v>2025/03/17</v>
      </c>
      <c r="AL2248" s="39" t="str">
        <f>("2025/04/01")</f>
        <v>2025/04/01</v>
      </c>
    </row>
    <row r="2249" spans="1:39" x14ac:dyDescent="0.25">
      <c r="A2249" s="39" t="str">
        <f>("1606020102")</f>
        <v>1606020102</v>
      </c>
      <c r="C2249" s="39"/>
      <c r="D2249" s="39" t="s">
        <v>9780</v>
      </c>
      <c r="E2249" s="371" t="str">
        <f t="shared" si="181"/>
        <v>わたなべ　まこと</v>
      </c>
      <c r="F2249" s="39" t="s">
        <v>1190</v>
      </c>
      <c r="G2249" s="39" t="s">
        <v>7876</v>
      </c>
      <c r="H2249" s="39" t="str">
        <f>("2016/06/02")</f>
        <v>2016/06/02</v>
      </c>
      <c r="I2249" s="39">
        <v>3</v>
      </c>
      <c r="J2249" s="39" t="s">
        <v>1478</v>
      </c>
      <c r="K2249" s="39" t="s">
        <v>2122</v>
      </c>
      <c r="L2249" s="39" t="s">
        <v>7830</v>
      </c>
      <c r="M2249" s="39" t="s">
        <v>7831</v>
      </c>
      <c r="N2249" s="39" t="str">
        <f>("0130554")</f>
        <v>0130554</v>
      </c>
      <c r="P2249" s="39" t="s">
        <v>13701</v>
      </c>
      <c r="Q2249" s="39" t="s">
        <v>8568</v>
      </c>
      <c r="R2249" s="39" t="s">
        <v>8569</v>
      </c>
      <c r="S2249" s="39" t="s">
        <v>8570</v>
      </c>
      <c r="AK2249" s="39" t="str">
        <f>("2025/03/31")</f>
        <v>2025/03/31</v>
      </c>
      <c r="AL2249" s="39" t="str">
        <f>("2025/04/01")</f>
        <v>2025/04/01</v>
      </c>
      <c r="AM2249" s="39" t="str">
        <f>("2025/12/15")</f>
        <v>2025/12/15</v>
      </c>
    </row>
    <row r="2250" spans="1:39" x14ac:dyDescent="0.25">
      <c r="A2250" s="39" t="str">
        <f>("1606020137")</f>
        <v>1606020137</v>
      </c>
      <c r="C2250" s="39"/>
      <c r="D2250" s="39" t="s">
        <v>9781</v>
      </c>
      <c r="E2250" s="371" t="str">
        <f t="shared" si="181"/>
        <v>なかはら　ぜん</v>
      </c>
      <c r="F2250" s="39" t="s">
        <v>2469</v>
      </c>
      <c r="G2250" s="39" t="s">
        <v>7828</v>
      </c>
      <c r="H2250" s="39" t="str">
        <f>("2016/06/02")</f>
        <v>2016/06/02</v>
      </c>
      <c r="I2250" s="39">
        <v>3</v>
      </c>
      <c r="J2250" s="39" t="s">
        <v>1478</v>
      </c>
      <c r="K2250" s="39" t="s">
        <v>2122</v>
      </c>
      <c r="L2250" s="39" t="s">
        <v>7830</v>
      </c>
      <c r="M2250" s="39" t="s">
        <v>7831</v>
      </c>
      <c r="N2250" s="39" t="str">
        <f>("0129462")</f>
        <v>0129462</v>
      </c>
      <c r="P2250" s="39" t="s">
        <v>13702</v>
      </c>
      <c r="Q2250" s="39" t="s">
        <v>8568</v>
      </c>
      <c r="R2250" s="39" t="s">
        <v>8569</v>
      </c>
      <c r="S2250" s="39" t="s">
        <v>8570</v>
      </c>
      <c r="AK2250" s="39" t="str">
        <f>("2025/09/02")</f>
        <v>2025/09/02</v>
      </c>
      <c r="AL2250" s="39" t="str">
        <f>("2025/09/02")</f>
        <v>2025/09/02</v>
      </c>
    </row>
    <row r="2251" spans="1:39" x14ac:dyDescent="0.25">
      <c r="A2251" s="39" t="str">
        <f>("1606030016")</f>
        <v>1606030016</v>
      </c>
      <c r="C2251" s="39"/>
      <c r="D2251" s="39" t="s">
        <v>9782</v>
      </c>
      <c r="E2251" s="371" t="str">
        <f t="shared" si="181"/>
        <v>くわの　はな</v>
      </c>
      <c r="F2251" s="39" t="s">
        <v>2139</v>
      </c>
      <c r="G2251" s="39" t="s">
        <v>7828</v>
      </c>
      <c r="H2251" s="39" t="str">
        <f>("2016/06/03")</f>
        <v>2016/06/03</v>
      </c>
      <c r="I2251" s="39">
        <v>3</v>
      </c>
      <c r="J2251" s="39" t="s">
        <v>1480</v>
      </c>
      <c r="K2251" s="39" t="s">
        <v>2122</v>
      </c>
      <c r="L2251" s="39" t="s">
        <v>7830</v>
      </c>
      <c r="M2251" s="39" t="s">
        <v>7831</v>
      </c>
      <c r="N2251" s="39" t="str">
        <f>("0129798")</f>
        <v>0129798</v>
      </c>
      <c r="P2251" s="39" t="s">
        <v>13703</v>
      </c>
      <c r="Q2251" s="39" t="s">
        <v>8568</v>
      </c>
      <c r="R2251" s="39" t="s">
        <v>8569</v>
      </c>
      <c r="S2251" s="39" t="s">
        <v>8570</v>
      </c>
      <c r="AK2251" s="39" t="str">
        <f>("2025/03/27")</f>
        <v>2025/03/27</v>
      </c>
      <c r="AL2251" s="39" t="str">
        <f>("2025/04/01")</f>
        <v>2025/04/01</v>
      </c>
    </row>
    <row r="2252" spans="1:39" x14ac:dyDescent="0.25">
      <c r="A2252" s="39" t="str">
        <f>("1606050070")</f>
        <v>1606050070</v>
      </c>
      <c r="C2252" s="39"/>
      <c r="D2252" s="39" t="s">
        <v>9783</v>
      </c>
      <c r="E2252" s="371" t="str">
        <f t="shared" si="181"/>
        <v>まるたに　りゅうせい</v>
      </c>
      <c r="F2252" s="39" t="s">
        <v>1481</v>
      </c>
      <c r="G2252" s="39" t="s">
        <v>7828</v>
      </c>
      <c r="H2252" s="39" t="str">
        <f>("2016/06/05")</f>
        <v>2016/06/05</v>
      </c>
      <c r="I2252" s="39">
        <v>3</v>
      </c>
      <c r="J2252" s="39" t="s">
        <v>1478</v>
      </c>
      <c r="K2252" s="39" t="s">
        <v>2122</v>
      </c>
      <c r="L2252" s="39" t="s">
        <v>7830</v>
      </c>
      <c r="M2252" s="39" t="s">
        <v>7831</v>
      </c>
      <c r="N2252" s="39" t="str">
        <f>("0129866")</f>
        <v>0129866</v>
      </c>
      <c r="P2252" s="39" t="s">
        <v>13704</v>
      </c>
      <c r="Q2252" s="39" t="s">
        <v>8568</v>
      </c>
      <c r="R2252" s="39" t="s">
        <v>8569</v>
      </c>
      <c r="S2252" s="39" t="s">
        <v>8570</v>
      </c>
      <c r="AK2252" s="39" t="str">
        <f>("2025/04/04")</f>
        <v>2025/04/04</v>
      </c>
      <c r="AL2252" s="39" t="str">
        <f>("2025/04/04")</f>
        <v>2025/04/04</v>
      </c>
    </row>
    <row r="2253" spans="1:39" x14ac:dyDescent="0.25">
      <c r="A2253" s="39" t="str">
        <f>("1606050091")</f>
        <v>1606050091</v>
      </c>
      <c r="C2253" s="39"/>
      <c r="D2253" s="39" t="s">
        <v>9784</v>
      </c>
      <c r="E2253" s="371" t="str">
        <f t="shared" si="181"/>
        <v>さとう　しんのすけ</v>
      </c>
      <c r="F2253" s="39" t="s">
        <v>5621</v>
      </c>
      <c r="G2253" s="39" t="s">
        <v>7828</v>
      </c>
      <c r="H2253" s="39" t="str">
        <f>("2016/06/05")</f>
        <v>2016/06/05</v>
      </c>
      <c r="I2253" s="39">
        <v>3</v>
      </c>
      <c r="J2253" s="39" t="s">
        <v>1478</v>
      </c>
      <c r="K2253" s="39" t="s">
        <v>2122</v>
      </c>
      <c r="L2253" s="39" t="s">
        <v>7830</v>
      </c>
      <c r="M2253" s="39" t="s">
        <v>7831</v>
      </c>
      <c r="N2253" s="39" t="str">
        <f>("1110654")</f>
        <v>1110654</v>
      </c>
      <c r="P2253" s="39" t="s">
        <v>13705</v>
      </c>
      <c r="Q2253" s="39" t="s">
        <v>8568</v>
      </c>
      <c r="R2253" s="39" t="s">
        <v>8569</v>
      </c>
      <c r="S2253" s="39" t="s">
        <v>8570</v>
      </c>
      <c r="AK2253" s="39" t="str">
        <f>("2025/07/28")</f>
        <v>2025/07/28</v>
      </c>
      <c r="AL2253" s="39" t="str">
        <f>("2025/07/28")</f>
        <v>2025/07/28</v>
      </c>
    </row>
    <row r="2254" spans="1:39" x14ac:dyDescent="0.25">
      <c r="A2254" s="39" t="str">
        <f>("1606060011")</f>
        <v>1606060011</v>
      </c>
      <c r="B2254" s="39" t="s">
        <v>9785</v>
      </c>
      <c r="C2254" s="39"/>
      <c r="D2254" s="39" t="s">
        <v>9786</v>
      </c>
      <c r="E2254" s="371" t="str">
        <f t="shared" si="181"/>
        <v>たかふじ　はる</v>
      </c>
      <c r="F2254" s="39" t="s">
        <v>2156</v>
      </c>
      <c r="G2254" s="39" t="s">
        <v>7828</v>
      </c>
      <c r="H2254" s="39" t="str">
        <f>("2016/06/06")</f>
        <v>2016/06/06</v>
      </c>
      <c r="I2254" s="39">
        <v>3</v>
      </c>
      <c r="J2254" s="39" t="s">
        <v>1478</v>
      </c>
      <c r="K2254" s="39" t="s">
        <v>2122</v>
      </c>
      <c r="L2254" s="39" t="s">
        <v>7830</v>
      </c>
      <c r="M2254" s="39" t="s">
        <v>7831</v>
      </c>
      <c r="N2254" s="39" t="str">
        <f>("0493040")</f>
        <v>0493040</v>
      </c>
      <c r="P2254" s="39" t="s">
        <v>13706</v>
      </c>
      <c r="Q2254" s="39" t="s">
        <v>8568</v>
      </c>
      <c r="R2254" s="39" t="s">
        <v>8569</v>
      </c>
      <c r="S2254" s="39" t="s">
        <v>8570</v>
      </c>
      <c r="AK2254" s="39" t="str">
        <f>("2025/03/17")</f>
        <v>2025/03/17</v>
      </c>
      <c r="AL2254" s="39" t="str">
        <f>("2025/04/01")</f>
        <v>2025/04/01</v>
      </c>
    </row>
    <row r="2255" spans="1:39" x14ac:dyDescent="0.25">
      <c r="A2255" s="39" t="str">
        <f>("1606060093")</f>
        <v>1606060093</v>
      </c>
      <c r="C2255" s="39"/>
      <c r="D2255" s="39" t="s">
        <v>9787</v>
      </c>
      <c r="E2255" s="371" t="str">
        <f t="shared" si="181"/>
        <v>はやしだ　やまと</v>
      </c>
      <c r="F2255" s="39" t="s">
        <v>2587</v>
      </c>
      <c r="G2255" s="39" t="s">
        <v>7828</v>
      </c>
      <c r="H2255" s="39" t="str">
        <f>("2016/06/06")</f>
        <v>2016/06/06</v>
      </c>
      <c r="I2255" s="39">
        <v>3</v>
      </c>
      <c r="J2255" s="39" t="s">
        <v>1478</v>
      </c>
      <c r="K2255" s="39" t="s">
        <v>2122</v>
      </c>
      <c r="L2255" s="39" t="s">
        <v>7830</v>
      </c>
      <c r="M2255" s="39" t="s">
        <v>7831</v>
      </c>
      <c r="N2255" s="39" t="str">
        <f>("0387334")</f>
        <v>0387334</v>
      </c>
      <c r="P2255" s="39" t="s">
        <v>13707</v>
      </c>
      <c r="Q2255" s="39" t="s">
        <v>8568</v>
      </c>
      <c r="R2255" s="39" t="s">
        <v>8569</v>
      </c>
      <c r="S2255" s="39" t="s">
        <v>8570</v>
      </c>
      <c r="AK2255" s="39" t="str">
        <f>("2025/04/10")</f>
        <v>2025/04/10</v>
      </c>
      <c r="AL2255" s="39" t="str">
        <f>("2025/04/10")</f>
        <v>2025/04/10</v>
      </c>
    </row>
    <row r="2256" spans="1:39" x14ac:dyDescent="0.25">
      <c r="A2256" s="39" t="str">
        <f>("1606070003")</f>
        <v>1606070003</v>
      </c>
      <c r="C2256" s="39"/>
      <c r="D2256" s="39" t="s">
        <v>5745</v>
      </c>
      <c r="E2256" s="371" t="str">
        <f t="shared" si="181"/>
        <v>かたおか　こうせい</v>
      </c>
      <c r="F2256" s="39" t="s">
        <v>2918</v>
      </c>
      <c r="G2256" s="39" t="s">
        <v>7828</v>
      </c>
      <c r="H2256" s="39" t="str">
        <f>("2016/06/07")</f>
        <v>2016/06/07</v>
      </c>
      <c r="I2256" s="39">
        <v>3</v>
      </c>
      <c r="J2256" s="39" t="s">
        <v>1478</v>
      </c>
      <c r="K2256" s="39" t="s">
        <v>2122</v>
      </c>
      <c r="L2256" s="39" t="s">
        <v>7830</v>
      </c>
      <c r="M2256" s="39" t="s">
        <v>7831</v>
      </c>
      <c r="N2256" s="39" t="str">
        <f>("0129912")</f>
        <v>0129912</v>
      </c>
      <c r="P2256" s="39" t="s">
        <v>13708</v>
      </c>
      <c r="Q2256" s="39" t="s">
        <v>8568</v>
      </c>
      <c r="R2256" s="39" t="s">
        <v>8569</v>
      </c>
      <c r="S2256" s="39" t="s">
        <v>8570</v>
      </c>
      <c r="AA2256" s="39" t="s">
        <v>2122</v>
      </c>
      <c r="AB2256" s="39" t="s">
        <v>7830</v>
      </c>
      <c r="AC2256" s="39" t="s">
        <v>7831</v>
      </c>
      <c r="AD2256" s="39" t="str">
        <f>("1032147")</f>
        <v>1032147</v>
      </c>
      <c r="AE2256" s="39" t="s">
        <v>8714</v>
      </c>
      <c r="AK2256" s="39" t="str">
        <f>("2025/03/17")</f>
        <v>2025/03/17</v>
      </c>
      <c r="AL2256" s="39" t="str">
        <f>("2025/04/01")</f>
        <v>2025/04/01</v>
      </c>
    </row>
    <row r="2257" spans="1:38" x14ac:dyDescent="0.25">
      <c r="A2257" s="39" t="str">
        <f>("1606070028")</f>
        <v>1606070028</v>
      </c>
      <c r="C2257" s="39"/>
      <c r="D2257" s="39" t="s">
        <v>9788</v>
      </c>
      <c r="E2257" s="371" t="str">
        <f t="shared" si="181"/>
        <v>ななぞうし　つばさ</v>
      </c>
      <c r="F2257" s="39" t="s">
        <v>928</v>
      </c>
      <c r="G2257" s="39" t="s">
        <v>7828</v>
      </c>
      <c r="H2257" s="39" t="str">
        <f>("2016/06/07")</f>
        <v>2016/06/07</v>
      </c>
      <c r="I2257" s="39">
        <v>3</v>
      </c>
      <c r="J2257" s="39" t="s">
        <v>1478</v>
      </c>
      <c r="K2257" s="39" t="s">
        <v>2122</v>
      </c>
      <c r="L2257" s="39" t="s">
        <v>7830</v>
      </c>
      <c r="M2257" s="39" t="s">
        <v>7831</v>
      </c>
      <c r="N2257" s="39" t="str">
        <f>("0130532")</f>
        <v>0130532</v>
      </c>
      <c r="P2257" s="39" t="s">
        <v>13709</v>
      </c>
      <c r="Q2257" s="39" t="s">
        <v>8568</v>
      </c>
      <c r="R2257" s="39" t="s">
        <v>8569</v>
      </c>
      <c r="S2257" s="39" t="s">
        <v>8570</v>
      </c>
      <c r="AK2257" s="39" t="str">
        <f>("2025/03/17")</f>
        <v>2025/03/17</v>
      </c>
      <c r="AL2257" s="39" t="str">
        <f>("2025/04/01")</f>
        <v>2025/04/01</v>
      </c>
    </row>
    <row r="2258" spans="1:38" x14ac:dyDescent="0.25">
      <c r="A2258" s="39" t="str">
        <f>("1606070109")</f>
        <v>1606070109</v>
      </c>
      <c r="C2258" s="39"/>
      <c r="D2258" s="39" t="s">
        <v>9789</v>
      </c>
      <c r="E2258" s="371" t="str">
        <f t="shared" si="181"/>
        <v>えんもと　りのあ</v>
      </c>
      <c r="F2258" s="39" t="s">
        <v>1190</v>
      </c>
      <c r="G2258" s="39" t="s">
        <v>7828</v>
      </c>
      <c r="H2258" s="39" t="str">
        <f>("2016/06/07")</f>
        <v>2016/06/07</v>
      </c>
      <c r="I2258" s="39">
        <v>3</v>
      </c>
      <c r="J2258" s="39" t="s">
        <v>1480</v>
      </c>
      <c r="K2258" s="39" t="s">
        <v>2122</v>
      </c>
      <c r="L2258" s="39" t="s">
        <v>7830</v>
      </c>
      <c r="M2258" s="39" t="s">
        <v>7831</v>
      </c>
      <c r="N2258" s="39" t="str">
        <f>("0130554")</f>
        <v>0130554</v>
      </c>
      <c r="P2258" s="39" t="s">
        <v>13710</v>
      </c>
      <c r="Q2258" s="39" t="s">
        <v>8568</v>
      </c>
      <c r="R2258" s="39" t="s">
        <v>8569</v>
      </c>
      <c r="S2258" s="39" t="s">
        <v>8570</v>
      </c>
      <c r="AK2258" s="39" t="str">
        <f>("2025/03/17")</f>
        <v>2025/03/17</v>
      </c>
      <c r="AL2258" s="39" t="str">
        <f>("2025/04/01")</f>
        <v>2025/04/01</v>
      </c>
    </row>
    <row r="2259" spans="1:38" x14ac:dyDescent="0.25">
      <c r="A2259" s="39" t="str">
        <f>("1606070169")</f>
        <v>1606070169</v>
      </c>
      <c r="C2259" s="39"/>
      <c r="D2259" s="39" t="s">
        <v>9790</v>
      </c>
      <c r="E2259" s="371" t="str">
        <f t="shared" si="181"/>
        <v>たけもと　りょうたろう</v>
      </c>
      <c r="F2259" s="39" t="s">
        <v>2648</v>
      </c>
      <c r="G2259" s="39" t="s">
        <v>7828</v>
      </c>
      <c r="H2259" s="39" t="str">
        <f>("2016/06/07")</f>
        <v>2016/06/07</v>
      </c>
      <c r="I2259" s="39">
        <v>3</v>
      </c>
      <c r="J2259" s="39" t="s">
        <v>1478</v>
      </c>
      <c r="K2259" s="39" t="s">
        <v>2122</v>
      </c>
      <c r="L2259" s="39" t="s">
        <v>7830</v>
      </c>
      <c r="M2259" s="39" t="s">
        <v>7831</v>
      </c>
      <c r="N2259" s="39" t="str">
        <f>("1050097")</f>
        <v>1050097</v>
      </c>
      <c r="P2259" s="39" t="s">
        <v>13711</v>
      </c>
      <c r="Q2259" s="39" t="s">
        <v>8568</v>
      </c>
      <c r="R2259" s="39" t="s">
        <v>8569</v>
      </c>
      <c r="S2259" s="39" t="s">
        <v>8570</v>
      </c>
      <c r="AK2259" s="39" t="str">
        <f>("2025/09/02")</f>
        <v>2025/09/02</v>
      </c>
      <c r="AL2259" s="39" t="str">
        <f>("2025/09/02")</f>
        <v>2025/09/02</v>
      </c>
    </row>
    <row r="2260" spans="1:38" x14ac:dyDescent="0.25">
      <c r="A2260" s="39" t="str">
        <f>("1606080015")</f>
        <v>1606080015</v>
      </c>
      <c r="C2260" s="39"/>
      <c r="D2260" s="39" t="s">
        <v>9791</v>
      </c>
      <c r="E2260" s="371" t="str">
        <f t="shared" si="181"/>
        <v>とくなが　こうせい</v>
      </c>
      <c r="F2260" s="39" t="s">
        <v>1692</v>
      </c>
      <c r="G2260" s="39" t="s">
        <v>7828</v>
      </c>
      <c r="H2260" s="39" t="str">
        <f>("2016/06/08")</f>
        <v>2016/06/08</v>
      </c>
      <c r="I2260" s="39">
        <v>3</v>
      </c>
      <c r="J2260" s="39" t="s">
        <v>1478</v>
      </c>
      <c r="K2260" s="39" t="s">
        <v>2122</v>
      </c>
      <c r="L2260" s="39" t="s">
        <v>7830</v>
      </c>
      <c r="M2260" s="39" t="s">
        <v>7831</v>
      </c>
      <c r="N2260" s="39" t="str">
        <f>("1052299")</f>
        <v>1052299</v>
      </c>
      <c r="P2260" s="39" t="s">
        <v>13712</v>
      </c>
      <c r="Q2260" s="39" t="s">
        <v>8568</v>
      </c>
      <c r="R2260" s="39" t="s">
        <v>8569</v>
      </c>
      <c r="S2260" s="39" t="s">
        <v>8570</v>
      </c>
      <c r="AA2260" s="39" t="s">
        <v>2122</v>
      </c>
      <c r="AB2260" s="39" t="s">
        <v>7830</v>
      </c>
      <c r="AC2260" s="39" t="s">
        <v>7831</v>
      </c>
      <c r="AD2260" s="39" t="str">
        <f>("1066647")</f>
        <v>1066647</v>
      </c>
      <c r="AE2260" s="39" t="s">
        <v>2299</v>
      </c>
      <c r="AK2260" s="39" t="str">
        <f>("2025/09/03")</f>
        <v>2025/09/03</v>
      </c>
      <c r="AL2260" s="39" t="str">
        <f>("2025/09/03")</f>
        <v>2025/09/03</v>
      </c>
    </row>
    <row r="2261" spans="1:38" x14ac:dyDescent="0.25">
      <c r="A2261" s="39" t="str">
        <f>("1606080037")</f>
        <v>1606080037</v>
      </c>
      <c r="C2261" s="39"/>
      <c r="D2261" s="39" t="s">
        <v>9792</v>
      </c>
      <c r="E2261" s="371" t="str">
        <f t="shared" si="181"/>
        <v>あない　りこ</v>
      </c>
      <c r="F2261" s="39" t="s">
        <v>3104</v>
      </c>
      <c r="G2261" s="39" t="s">
        <v>7828</v>
      </c>
      <c r="H2261" s="39" t="str">
        <f>("2016/06/08")</f>
        <v>2016/06/08</v>
      </c>
      <c r="I2261" s="39">
        <v>3</v>
      </c>
      <c r="J2261" s="39" t="s">
        <v>1480</v>
      </c>
      <c r="K2261" s="39" t="s">
        <v>2122</v>
      </c>
      <c r="L2261" s="39" t="s">
        <v>7830</v>
      </c>
      <c r="M2261" s="39" t="s">
        <v>7831</v>
      </c>
      <c r="N2261" s="39" t="str">
        <f>("1076189")</f>
        <v>1076189</v>
      </c>
      <c r="P2261" s="39" t="s">
        <v>13713</v>
      </c>
      <c r="Q2261" s="39" t="s">
        <v>8568</v>
      </c>
      <c r="R2261" s="39" t="s">
        <v>8569</v>
      </c>
      <c r="S2261" s="39" t="s">
        <v>8570</v>
      </c>
      <c r="AK2261" s="39" t="str">
        <f>("2025/03/24")</f>
        <v>2025/03/24</v>
      </c>
      <c r="AL2261" s="39" t="str">
        <f>("2025/04/01")</f>
        <v>2025/04/01</v>
      </c>
    </row>
    <row r="2262" spans="1:38" x14ac:dyDescent="0.25">
      <c r="A2262" s="39" t="str">
        <f>("1606080128")</f>
        <v>1606080128</v>
      </c>
      <c r="C2262" s="39"/>
      <c r="D2262" s="39" t="s">
        <v>9793</v>
      </c>
      <c r="E2262" s="371" t="str">
        <f t="shared" si="181"/>
        <v>たけの　たいき</v>
      </c>
      <c r="F2262" s="39" t="s">
        <v>2243</v>
      </c>
      <c r="G2262" s="39" t="s">
        <v>7828</v>
      </c>
      <c r="H2262" s="39" t="str">
        <f>("2016/06/08")</f>
        <v>2016/06/08</v>
      </c>
      <c r="I2262" s="39">
        <v>3</v>
      </c>
      <c r="J2262" s="39" t="s">
        <v>1478</v>
      </c>
      <c r="K2262" s="39" t="s">
        <v>2122</v>
      </c>
      <c r="L2262" s="39" t="s">
        <v>7830</v>
      </c>
      <c r="M2262" s="39" t="s">
        <v>7831</v>
      </c>
      <c r="N2262" s="39" t="str">
        <f>("0130565")</f>
        <v>0130565</v>
      </c>
      <c r="P2262" s="39" t="s">
        <v>13714</v>
      </c>
      <c r="Q2262" s="39" t="s">
        <v>8568</v>
      </c>
      <c r="R2262" s="39" t="s">
        <v>8569</v>
      </c>
      <c r="S2262" s="39" t="s">
        <v>8570</v>
      </c>
      <c r="AK2262" s="39" t="str">
        <f>("2025/05/29")</f>
        <v>2025/05/29</v>
      </c>
      <c r="AL2262" s="39" t="str">
        <f>("2025/05/29")</f>
        <v>2025/05/29</v>
      </c>
    </row>
    <row r="2263" spans="1:38" x14ac:dyDescent="0.25">
      <c r="A2263" s="39" t="str">
        <f>("1606080144")</f>
        <v>1606080144</v>
      </c>
      <c r="C2263" s="39"/>
      <c r="D2263" s="39" t="s">
        <v>9794</v>
      </c>
      <c r="E2263" s="371" t="str">
        <f t="shared" si="181"/>
        <v>ふじわら　きみと</v>
      </c>
      <c r="F2263" s="39" t="s">
        <v>1865</v>
      </c>
      <c r="G2263" s="39" t="s">
        <v>7828</v>
      </c>
      <c r="H2263" s="39" t="str">
        <f>("2016/06/08")</f>
        <v>2016/06/08</v>
      </c>
      <c r="I2263" s="39">
        <v>3</v>
      </c>
      <c r="J2263" s="39" t="s">
        <v>1478</v>
      </c>
      <c r="K2263" s="39" t="s">
        <v>2122</v>
      </c>
      <c r="L2263" s="39" t="s">
        <v>7830</v>
      </c>
      <c r="M2263" s="39" t="s">
        <v>7831</v>
      </c>
      <c r="N2263" s="39" t="str">
        <f>("0310565")</f>
        <v>0310565</v>
      </c>
      <c r="P2263" s="39" t="s">
        <v>13715</v>
      </c>
      <c r="Q2263" s="39" t="s">
        <v>8568</v>
      </c>
      <c r="R2263" s="39" t="s">
        <v>8569</v>
      </c>
      <c r="S2263" s="39" t="s">
        <v>8570</v>
      </c>
      <c r="AK2263" s="39" t="str">
        <f>("2025/09/09")</f>
        <v>2025/09/09</v>
      </c>
      <c r="AL2263" s="39" t="str">
        <f>("2025/09/09")</f>
        <v>2025/09/09</v>
      </c>
    </row>
    <row r="2264" spans="1:38" x14ac:dyDescent="0.25">
      <c r="A2264" s="39" t="str">
        <f>("1606100136")</f>
        <v>1606100136</v>
      </c>
      <c r="C2264" s="39"/>
      <c r="D2264" s="39" t="s">
        <v>9795</v>
      </c>
      <c r="E2264" s="371" t="str">
        <f t="shared" si="181"/>
        <v>ひろさき　そうた</v>
      </c>
      <c r="F2264" s="39" t="s">
        <v>1692</v>
      </c>
      <c r="G2264" s="39" t="s">
        <v>7828</v>
      </c>
      <c r="H2264" s="39" t="str">
        <f>("2016/06/10")</f>
        <v>2016/06/10</v>
      </c>
      <c r="I2264" s="39">
        <v>3</v>
      </c>
      <c r="J2264" s="39" t="s">
        <v>1478</v>
      </c>
      <c r="K2264" s="39" t="s">
        <v>2122</v>
      </c>
      <c r="L2264" s="39" t="s">
        <v>7830</v>
      </c>
      <c r="M2264" s="39" t="s">
        <v>7831</v>
      </c>
      <c r="N2264" s="39" t="str">
        <f>("1052299")</f>
        <v>1052299</v>
      </c>
      <c r="P2264" s="39" t="s">
        <v>13716</v>
      </c>
      <c r="Q2264" s="39" t="s">
        <v>8568</v>
      </c>
      <c r="R2264" s="39" t="s">
        <v>8569</v>
      </c>
      <c r="S2264" s="39" t="s">
        <v>8570</v>
      </c>
      <c r="AK2264" s="39" t="str">
        <f>("2025/08/29")</f>
        <v>2025/08/29</v>
      </c>
      <c r="AL2264" s="39" t="str">
        <f>("2025/08/29")</f>
        <v>2025/08/29</v>
      </c>
    </row>
    <row r="2265" spans="1:38" x14ac:dyDescent="0.25">
      <c r="A2265" s="39" t="str">
        <f>("1606120015")</f>
        <v>1606120015</v>
      </c>
      <c r="C2265" s="39"/>
      <c r="D2265" s="39" t="s">
        <v>9796</v>
      </c>
      <c r="E2265" s="371" t="str">
        <f t="shared" si="181"/>
        <v>ばんどう　とうや</v>
      </c>
      <c r="F2265" s="39" t="s">
        <v>1190</v>
      </c>
      <c r="G2265" s="39" t="s">
        <v>7828</v>
      </c>
      <c r="H2265" s="39" t="str">
        <f>("2016/06/12")</f>
        <v>2016/06/12</v>
      </c>
      <c r="I2265" s="39">
        <v>3</v>
      </c>
      <c r="J2265" s="39" t="s">
        <v>1478</v>
      </c>
      <c r="K2265" s="39" t="s">
        <v>2122</v>
      </c>
      <c r="L2265" s="39" t="s">
        <v>7830</v>
      </c>
      <c r="M2265" s="39" t="s">
        <v>7831</v>
      </c>
      <c r="N2265" s="39" t="str">
        <f>("0130554")</f>
        <v>0130554</v>
      </c>
      <c r="P2265" s="39" t="s">
        <v>13717</v>
      </c>
      <c r="Q2265" s="39" t="s">
        <v>8568</v>
      </c>
      <c r="R2265" s="39" t="s">
        <v>8569</v>
      </c>
      <c r="S2265" s="39" t="s">
        <v>8570</v>
      </c>
      <c r="AK2265" s="39" t="str">
        <f>("2025/03/17")</f>
        <v>2025/03/17</v>
      </c>
      <c r="AL2265" s="39" t="str">
        <f>("2025/04/01")</f>
        <v>2025/04/01</v>
      </c>
    </row>
    <row r="2266" spans="1:38" x14ac:dyDescent="0.25">
      <c r="A2266" s="39" t="str">
        <f>("1606120048")</f>
        <v>1606120048</v>
      </c>
      <c r="C2266" s="39"/>
      <c r="D2266" s="39" t="s">
        <v>9797</v>
      </c>
      <c r="E2266" s="371" t="str">
        <f t="shared" si="181"/>
        <v>かわさき　りひと</v>
      </c>
      <c r="F2266" s="39" t="s">
        <v>834</v>
      </c>
      <c r="G2266" s="39" t="s">
        <v>7828</v>
      </c>
      <c r="H2266" s="39" t="str">
        <f>("2016/06/12")</f>
        <v>2016/06/12</v>
      </c>
      <c r="I2266" s="39">
        <v>3</v>
      </c>
      <c r="J2266" s="39" t="s">
        <v>1478</v>
      </c>
      <c r="K2266" s="39" t="s">
        <v>2122</v>
      </c>
      <c r="L2266" s="39" t="s">
        <v>7830</v>
      </c>
      <c r="M2266" s="39" t="s">
        <v>7831</v>
      </c>
      <c r="N2266" s="39" t="str">
        <f>("0129844")</f>
        <v>0129844</v>
      </c>
      <c r="P2266" s="39" t="s">
        <v>13718</v>
      </c>
      <c r="Q2266" s="39" t="s">
        <v>8568</v>
      </c>
      <c r="R2266" s="39" t="s">
        <v>8569</v>
      </c>
      <c r="S2266" s="39" t="s">
        <v>8570</v>
      </c>
      <c r="AK2266" s="39" t="str">
        <f>("2025/03/17")</f>
        <v>2025/03/17</v>
      </c>
      <c r="AL2266" s="39" t="str">
        <f>("2025/04/01")</f>
        <v>2025/04/01</v>
      </c>
    </row>
    <row r="2267" spans="1:38" x14ac:dyDescent="0.25">
      <c r="A2267" s="39" t="str">
        <f>("1606120079")</f>
        <v>1606120079</v>
      </c>
      <c r="C2267" s="39"/>
      <c r="D2267" s="39" t="s">
        <v>9798</v>
      </c>
      <c r="E2267" s="371" t="str">
        <f t="shared" si="181"/>
        <v>すずき　かげひろ</v>
      </c>
      <c r="F2267" s="39" t="s">
        <v>2323</v>
      </c>
      <c r="G2267" s="39" t="s">
        <v>7828</v>
      </c>
      <c r="H2267" s="39" t="str">
        <f>("2016/06/12")</f>
        <v>2016/06/12</v>
      </c>
      <c r="I2267" s="39">
        <v>3</v>
      </c>
      <c r="J2267" s="39" t="s">
        <v>1478</v>
      </c>
      <c r="K2267" s="39" t="s">
        <v>2122</v>
      </c>
      <c r="L2267" s="39" t="s">
        <v>7830</v>
      </c>
      <c r="M2267" s="39" t="s">
        <v>7831</v>
      </c>
      <c r="N2267" s="39" t="str">
        <f>("0472722")</f>
        <v>0472722</v>
      </c>
      <c r="P2267" s="39" t="s">
        <v>13719</v>
      </c>
      <c r="Q2267" s="39" t="s">
        <v>8568</v>
      </c>
      <c r="R2267" s="39" t="s">
        <v>8569</v>
      </c>
      <c r="S2267" s="39" t="s">
        <v>8570</v>
      </c>
      <c r="AK2267" s="39" t="str">
        <f>("2025/07/25")</f>
        <v>2025/07/25</v>
      </c>
      <c r="AL2267" s="39" t="str">
        <f>("2025/07/25")</f>
        <v>2025/07/25</v>
      </c>
    </row>
    <row r="2268" spans="1:38" x14ac:dyDescent="0.25">
      <c r="A2268" s="39" t="str">
        <f>("1606120083")</f>
        <v>1606120083</v>
      </c>
      <c r="C2268" s="39"/>
      <c r="D2268" s="39" t="s">
        <v>9799</v>
      </c>
      <c r="E2268" s="371" t="str">
        <f t="shared" si="181"/>
        <v>きくち　こうたろう</v>
      </c>
      <c r="F2268" s="39" t="s">
        <v>1865</v>
      </c>
      <c r="G2268" s="39" t="s">
        <v>7828</v>
      </c>
      <c r="H2268" s="39" t="str">
        <f>("2016/06/12")</f>
        <v>2016/06/12</v>
      </c>
      <c r="I2268" s="39">
        <v>3</v>
      </c>
      <c r="J2268" s="39" t="s">
        <v>1478</v>
      </c>
      <c r="K2268" s="39" t="s">
        <v>2122</v>
      </c>
      <c r="L2268" s="39" t="s">
        <v>7830</v>
      </c>
      <c r="M2268" s="39" t="s">
        <v>7831</v>
      </c>
      <c r="N2268" s="39" t="str">
        <f>("0310565")</f>
        <v>0310565</v>
      </c>
      <c r="P2268" s="39" t="s">
        <v>13720</v>
      </c>
      <c r="Q2268" s="39" t="s">
        <v>8568</v>
      </c>
      <c r="R2268" s="39" t="s">
        <v>8569</v>
      </c>
      <c r="S2268" s="39" t="s">
        <v>8570</v>
      </c>
      <c r="AK2268" s="39" t="str">
        <f>("2025/09/09")</f>
        <v>2025/09/09</v>
      </c>
      <c r="AL2268" s="39" t="str">
        <f>("2025/09/09")</f>
        <v>2025/09/09</v>
      </c>
    </row>
    <row r="2269" spans="1:38" x14ac:dyDescent="0.25">
      <c r="A2269" s="39" t="str">
        <f>("1606120088")</f>
        <v>1606120088</v>
      </c>
      <c r="C2269" s="39"/>
      <c r="D2269" s="39" t="s">
        <v>9800</v>
      </c>
      <c r="E2269" s="371" t="str">
        <f t="shared" si="181"/>
        <v>たぐち　あいと</v>
      </c>
      <c r="F2269" s="39" t="s">
        <v>1239</v>
      </c>
      <c r="G2269" s="39" t="s">
        <v>7828</v>
      </c>
      <c r="H2269" s="39" t="str">
        <f>("2016/06/12")</f>
        <v>2016/06/12</v>
      </c>
      <c r="I2269" s="39">
        <v>3</v>
      </c>
      <c r="J2269" s="39" t="s">
        <v>1478</v>
      </c>
      <c r="K2269" s="39" t="s">
        <v>2122</v>
      </c>
      <c r="L2269" s="39" t="s">
        <v>7830</v>
      </c>
      <c r="M2269" s="39" t="s">
        <v>7831</v>
      </c>
      <c r="N2269" s="39" t="str">
        <f>("0129585")</f>
        <v>0129585</v>
      </c>
      <c r="P2269" s="39" t="s">
        <v>13721</v>
      </c>
      <c r="Q2269" s="39" t="s">
        <v>8568</v>
      </c>
      <c r="R2269" s="39" t="s">
        <v>8569</v>
      </c>
      <c r="S2269" s="39" t="s">
        <v>8570</v>
      </c>
      <c r="AK2269" s="39" t="str">
        <f>("2025/10/02")</f>
        <v>2025/10/02</v>
      </c>
      <c r="AL2269" s="39" t="str">
        <f>("2025/10/02")</f>
        <v>2025/10/02</v>
      </c>
    </row>
    <row r="2270" spans="1:38" x14ac:dyDescent="0.25">
      <c r="A2270" s="39" t="str">
        <f>("1606140002")</f>
        <v>1606140002</v>
      </c>
      <c r="C2270" s="39"/>
      <c r="D2270" s="39" t="s">
        <v>9801</v>
      </c>
      <c r="E2270" s="371" t="str">
        <f t="shared" si="181"/>
        <v>みなみ　ゆずき</v>
      </c>
      <c r="F2270" s="39" t="s">
        <v>2574</v>
      </c>
      <c r="G2270" s="39" t="s">
        <v>7828</v>
      </c>
      <c r="H2270" s="39" t="str">
        <f>("2016/06/14")</f>
        <v>2016/06/14</v>
      </c>
      <c r="I2270" s="39">
        <v>3</v>
      </c>
      <c r="J2270" s="39" t="s">
        <v>1480</v>
      </c>
      <c r="K2270" s="39" t="s">
        <v>2122</v>
      </c>
      <c r="L2270" s="39" t="s">
        <v>7830</v>
      </c>
      <c r="M2270" s="39" t="s">
        <v>7831</v>
      </c>
      <c r="N2270" s="39" t="str">
        <f>("0237620")</f>
        <v>0237620</v>
      </c>
      <c r="P2270" s="39" t="s">
        <v>13722</v>
      </c>
      <c r="Q2270" s="39" t="s">
        <v>8568</v>
      </c>
      <c r="R2270" s="39" t="s">
        <v>8569</v>
      </c>
      <c r="S2270" s="39" t="s">
        <v>8570</v>
      </c>
      <c r="AK2270" s="39" t="str">
        <f>("2025/03/17")</f>
        <v>2025/03/17</v>
      </c>
      <c r="AL2270" s="39" t="str">
        <f>("2025/04/01")</f>
        <v>2025/04/01</v>
      </c>
    </row>
    <row r="2271" spans="1:38" x14ac:dyDescent="0.25">
      <c r="A2271" s="39" t="str">
        <f>("1606140135")</f>
        <v>1606140135</v>
      </c>
      <c r="C2271" s="39"/>
      <c r="D2271" s="39" t="s">
        <v>9802</v>
      </c>
      <c r="E2271" s="371" t="str">
        <f t="shared" si="181"/>
        <v>よしだ　りく</v>
      </c>
      <c r="F2271" s="39" t="s">
        <v>2651</v>
      </c>
      <c r="G2271" s="39" t="s">
        <v>7828</v>
      </c>
      <c r="H2271" s="39" t="str">
        <f>("2016/06/14")</f>
        <v>2016/06/14</v>
      </c>
      <c r="I2271" s="39">
        <v>3</v>
      </c>
      <c r="J2271" s="39" t="s">
        <v>1478</v>
      </c>
      <c r="K2271" s="39" t="s">
        <v>2122</v>
      </c>
      <c r="L2271" s="39" t="s">
        <v>7830</v>
      </c>
      <c r="M2271" s="39" t="s">
        <v>7831</v>
      </c>
      <c r="N2271" s="39" t="str">
        <f>("1067415")</f>
        <v>1067415</v>
      </c>
      <c r="P2271" s="39" t="s">
        <v>13723</v>
      </c>
      <c r="Q2271" s="39" t="s">
        <v>8568</v>
      </c>
      <c r="R2271" s="39" t="s">
        <v>8569</v>
      </c>
      <c r="S2271" s="39" t="s">
        <v>8570</v>
      </c>
      <c r="AK2271" s="39" t="str">
        <f>("2025/09/04")</f>
        <v>2025/09/04</v>
      </c>
      <c r="AL2271" s="39" t="str">
        <f>("2025/09/04")</f>
        <v>2025/09/04</v>
      </c>
    </row>
    <row r="2272" spans="1:38" x14ac:dyDescent="0.25">
      <c r="A2272" s="39" t="str">
        <f>("1606150100")</f>
        <v>1606150100</v>
      </c>
      <c r="C2272" s="39"/>
      <c r="D2272" s="39" t="s">
        <v>9803</v>
      </c>
      <c r="E2272" s="371" t="str">
        <f t="shared" si="181"/>
        <v>のむら　たくと</v>
      </c>
      <c r="F2272" s="39" t="s">
        <v>2530</v>
      </c>
      <c r="G2272" s="39" t="s">
        <v>7828</v>
      </c>
      <c r="H2272" s="39" t="str">
        <f>("2016/06/15")</f>
        <v>2016/06/15</v>
      </c>
      <c r="I2272" s="39">
        <v>3</v>
      </c>
      <c r="J2272" s="39" t="s">
        <v>1478</v>
      </c>
      <c r="K2272" s="39" t="s">
        <v>2122</v>
      </c>
      <c r="L2272" s="39" t="s">
        <v>7830</v>
      </c>
      <c r="M2272" s="39" t="s">
        <v>7831</v>
      </c>
      <c r="N2272" s="39" t="str">
        <f>("0338756")</f>
        <v>0338756</v>
      </c>
      <c r="P2272" s="39" t="s">
        <v>13724</v>
      </c>
      <c r="Q2272" s="39" t="s">
        <v>8568</v>
      </c>
      <c r="R2272" s="39" t="s">
        <v>8569</v>
      </c>
      <c r="S2272" s="39" t="s">
        <v>8570</v>
      </c>
      <c r="AK2272" s="39" t="str">
        <f>("2025/04/01")</f>
        <v>2025/04/01</v>
      </c>
      <c r="AL2272" s="39" t="str">
        <f>("2025/04/01")</f>
        <v>2025/04/01</v>
      </c>
    </row>
    <row r="2273" spans="1:39" x14ac:dyDescent="0.25">
      <c r="A2273" s="39" t="str">
        <f>("1606160149")</f>
        <v>1606160149</v>
      </c>
      <c r="C2273" s="39"/>
      <c r="D2273" s="39" t="s">
        <v>9804</v>
      </c>
      <c r="E2273" s="371" t="str">
        <f t="shared" si="181"/>
        <v>たきぐち　じょうじろう</v>
      </c>
      <c r="F2273" s="39" t="s">
        <v>2274</v>
      </c>
      <c r="G2273" s="39" t="s">
        <v>7828</v>
      </c>
      <c r="H2273" s="39" t="str">
        <f>("2016/06/16")</f>
        <v>2016/06/16</v>
      </c>
      <c r="I2273" s="39">
        <v>3</v>
      </c>
      <c r="J2273" s="39" t="s">
        <v>1478</v>
      </c>
      <c r="K2273" s="39" t="s">
        <v>2122</v>
      </c>
      <c r="L2273" s="39" t="s">
        <v>7830</v>
      </c>
      <c r="M2273" s="39" t="s">
        <v>7831</v>
      </c>
      <c r="N2273" s="39" t="str">
        <f>("0129563")</f>
        <v>0129563</v>
      </c>
      <c r="P2273" s="39" t="s">
        <v>13725</v>
      </c>
      <c r="Q2273" s="39" t="s">
        <v>8568</v>
      </c>
      <c r="R2273" s="39" t="s">
        <v>8569</v>
      </c>
      <c r="S2273" s="39" t="s">
        <v>8570</v>
      </c>
      <c r="AK2273" s="39" t="str">
        <f>("2025/09/09")</f>
        <v>2025/09/09</v>
      </c>
      <c r="AL2273" s="39" t="str">
        <f>("2025/09/09")</f>
        <v>2025/09/09</v>
      </c>
    </row>
    <row r="2274" spans="1:39" x14ac:dyDescent="0.25">
      <c r="A2274" s="39" t="str">
        <f>("1606170105")</f>
        <v>1606170105</v>
      </c>
      <c r="C2274" s="39"/>
      <c r="D2274" s="39" t="s">
        <v>9805</v>
      </c>
      <c r="E2274" s="371" t="str">
        <f t="shared" si="181"/>
        <v>かがわ　はるま</v>
      </c>
      <c r="F2274" s="39" t="s">
        <v>2496</v>
      </c>
      <c r="G2274" s="39" t="s">
        <v>7876</v>
      </c>
      <c r="H2274" s="39" t="str">
        <f>("2016/06/17")</f>
        <v>2016/06/17</v>
      </c>
      <c r="I2274" s="39">
        <v>3</v>
      </c>
      <c r="J2274" s="39" t="s">
        <v>1478</v>
      </c>
      <c r="K2274" s="39" t="s">
        <v>2122</v>
      </c>
      <c r="L2274" s="39" t="s">
        <v>7830</v>
      </c>
      <c r="M2274" s="39" t="s">
        <v>7831</v>
      </c>
      <c r="N2274" s="39" t="str">
        <f>("0129855")</f>
        <v>0129855</v>
      </c>
      <c r="P2274" s="39" t="s">
        <v>13726</v>
      </c>
      <c r="Q2274" s="39" t="s">
        <v>8568</v>
      </c>
      <c r="R2274" s="39" t="s">
        <v>8569</v>
      </c>
      <c r="S2274" s="39" t="s">
        <v>8570</v>
      </c>
      <c r="AK2274" s="39" t="str">
        <f>("2025/03/24")</f>
        <v>2025/03/24</v>
      </c>
      <c r="AL2274" s="39" t="str">
        <f>("2025/04/01")</f>
        <v>2025/04/01</v>
      </c>
      <c r="AM2274" s="39" t="str">
        <f>("2025/11/18")</f>
        <v>2025/11/18</v>
      </c>
    </row>
    <row r="2275" spans="1:39" x14ac:dyDescent="0.25">
      <c r="A2275" s="39" t="str">
        <f>("1606180074")</f>
        <v>1606180074</v>
      </c>
      <c r="C2275" s="39"/>
      <c r="D2275" s="39" t="s">
        <v>9806</v>
      </c>
      <c r="E2275" s="371" t="str">
        <f t="shared" si="181"/>
        <v>あそう　あきと</v>
      </c>
      <c r="F2275" s="39" t="s">
        <v>2556</v>
      </c>
      <c r="G2275" s="39" t="s">
        <v>7828</v>
      </c>
      <c r="H2275" s="39" t="str">
        <f>("2016/06/18")</f>
        <v>2016/06/18</v>
      </c>
      <c r="I2275" s="39">
        <v>3</v>
      </c>
      <c r="J2275" s="39" t="s">
        <v>1478</v>
      </c>
      <c r="K2275" s="39" t="s">
        <v>2122</v>
      </c>
      <c r="L2275" s="39" t="s">
        <v>7830</v>
      </c>
      <c r="M2275" s="39" t="s">
        <v>7831</v>
      </c>
      <c r="N2275" s="39" t="str">
        <f>("0130712")</f>
        <v>0130712</v>
      </c>
      <c r="P2275" s="39" t="s">
        <v>13727</v>
      </c>
      <c r="Q2275" s="39" t="s">
        <v>8568</v>
      </c>
      <c r="R2275" s="39" t="s">
        <v>8569</v>
      </c>
      <c r="S2275" s="39" t="s">
        <v>8570</v>
      </c>
      <c r="AK2275" s="39" t="str">
        <f>("2025/04/04")</f>
        <v>2025/04/04</v>
      </c>
      <c r="AL2275" s="39" t="str">
        <f>("2025/04/04")</f>
        <v>2025/04/04</v>
      </c>
    </row>
    <row r="2276" spans="1:39" x14ac:dyDescent="0.25">
      <c r="A2276" s="39" t="str">
        <f>("1606180091")</f>
        <v>1606180091</v>
      </c>
      <c r="C2276" s="39"/>
      <c r="D2276" s="39" t="s">
        <v>9807</v>
      </c>
      <c r="E2276" s="371" t="str">
        <f t="shared" si="181"/>
        <v>さかぐち　しゅんと</v>
      </c>
      <c r="F2276" s="39" t="s">
        <v>5621</v>
      </c>
      <c r="G2276" s="39" t="s">
        <v>7828</v>
      </c>
      <c r="H2276" s="39" t="str">
        <f>("2016/06/18")</f>
        <v>2016/06/18</v>
      </c>
      <c r="I2276" s="39">
        <v>3</v>
      </c>
      <c r="J2276" s="39" t="s">
        <v>1478</v>
      </c>
      <c r="K2276" s="39" t="s">
        <v>2122</v>
      </c>
      <c r="L2276" s="39" t="s">
        <v>7830</v>
      </c>
      <c r="M2276" s="39" t="s">
        <v>7831</v>
      </c>
      <c r="N2276" s="39" t="str">
        <f>("1110654")</f>
        <v>1110654</v>
      </c>
      <c r="P2276" s="39" t="s">
        <v>13728</v>
      </c>
      <c r="Q2276" s="39" t="s">
        <v>8568</v>
      </c>
      <c r="R2276" s="39" t="s">
        <v>8569</v>
      </c>
      <c r="S2276" s="39" t="s">
        <v>8570</v>
      </c>
      <c r="AK2276" s="39" t="str">
        <f>("2025/07/28")</f>
        <v>2025/07/28</v>
      </c>
      <c r="AL2276" s="39" t="str">
        <f>("2025/07/28")</f>
        <v>2025/07/28</v>
      </c>
    </row>
    <row r="2277" spans="1:39" x14ac:dyDescent="0.25">
      <c r="A2277" s="39" t="str">
        <f>("1606180095")</f>
        <v>1606180095</v>
      </c>
      <c r="C2277" s="39"/>
      <c r="D2277" s="39" t="s">
        <v>9808</v>
      </c>
      <c r="E2277" s="371" t="str">
        <f t="shared" si="181"/>
        <v>くまい　りゅうと</v>
      </c>
      <c r="F2277" s="39" t="s">
        <v>829</v>
      </c>
      <c r="G2277" s="39" t="s">
        <v>7828</v>
      </c>
      <c r="H2277" s="39" t="str">
        <f>("2016/06/18")</f>
        <v>2016/06/18</v>
      </c>
      <c r="I2277" s="39">
        <v>3</v>
      </c>
      <c r="J2277" s="39" t="s">
        <v>1478</v>
      </c>
      <c r="K2277" s="39" t="s">
        <v>2122</v>
      </c>
      <c r="L2277" s="39" t="s">
        <v>7830</v>
      </c>
      <c r="M2277" s="39" t="s">
        <v>7831</v>
      </c>
      <c r="N2277" s="39" t="str">
        <f>("0426631")</f>
        <v>0426631</v>
      </c>
      <c r="P2277" s="39" t="s">
        <v>13729</v>
      </c>
      <c r="Q2277" s="39" t="s">
        <v>8568</v>
      </c>
      <c r="R2277" s="39" t="s">
        <v>8569</v>
      </c>
      <c r="S2277" s="39" t="s">
        <v>8570</v>
      </c>
      <c r="AK2277" s="39" t="str">
        <f>("2025/09/09")</f>
        <v>2025/09/09</v>
      </c>
      <c r="AL2277" s="39" t="str">
        <f>("2025/09/09")</f>
        <v>2025/09/09</v>
      </c>
    </row>
    <row r="2278" spans="1:39" x14ac:dyDescent="0.25">
      <c r="A2278" s="39" t="str">
        <f>("1606190070")</f>
        <v>1606190070</v>
      </c>
      <c r="C2278" s="39"/>
      <c r="D2278" s="39" t="s">
        <v>9809</v>
      </c>
      <c r="E2278" s="371" t="str">
        <f t="shared" si="181"/>
        <v>はだて　すばる</v>
      </c>
      <c r="F2278" s="39" t="s">
        <v>2587</v>
      </c>
      <c r="G2278" s="39" t="s">
        <v>7828</v>
      </c>
      <c r="H2278" s="39" t="str">
        <f>("2016/06/19")</f>
        <v>2016/06/19</v>
      </c>
      <c r="I2278" s="39">
        <v>3</v>
      </c>
      <c r="J2278" s="39" t="s">
        <v>1478</v>
      </c>
      <c r="K2278" s="39" t="s">
        <v>2122</v>
      </c>
      <c r="L2278" s="39" t="s">
        <v>7830</v>
      </c>
      <c r="M2278" s="39" t="s">
        <v>7831</v>
      </c>
      <c r="N2278" s="39" t="str">
        <f>("0387334")</f>
        <v>0387334</v>
      </c>
      <c r="P2278" s="39" t="s">
        <v>13730</v>
      </c>
      <c r="Q2278" s="39" t="s">
        <v>8568</v>
      </c>
      <c r="R2278" s="39" t="s">
        <v>8569</v>
      </c>
      <c r="S2278" s="39" t="s">
        <v>8570</v>
      </c>
      <c r="AK2278" s="39" t="str">
        <f>("2025/04/10")</f>
        <v>2025/04/10</v>
      </c>
      <c r="AL2278" s="39" t="str">
        <f>("2025/04/10")</f>
        <v>2025/04/10</v>
      </c>
    </row>
    <row r="2279" spans="1:39" x14ac:dyDescent="0.25">
      <c r="A2279" s="39" t="str">
        <f>("1606200103")</f>
        <v>1606200103</v>
      </c>
      <c r="C2279" s="39"/>
      <c r="D2279" s="39" t="s">
        <v>9810</v>
      </c>
      <c r="E2279" s="371" t="str">
        <f t="shared" si="181"/>
        <v>やまさき　まさし</v>
      </c>
      <c r="F2279" s="39" t="s">
        <v>2587</v>
      </c>
      <c r="G2279" s="39" t="s">
        <v>7828</v>
      </c>
      <c r="H2279" s="39" t="str">
        <f>("2016/06/20")</f>
        <v>2016/06/20</v>
      </c>
      <c r="I2279" s="39">
        <v>3</v>
      </c>
      <c r="J2279" s="39" t="s">
        <v>1478</v>
      </c>
      <c r="K2279" s="39" t="s">
        <v>2122</v>
      </c>
      <c r="L2279" s="39" t="s">
        <v>7830</v>
      </c>
      <c r="M2279" s="39" t="s">
        <v>7831</v>
      </c>
      <c r="N2279" s="39" t="str">
        <f>("0387334")</f>
        <v>0387334</v>
      </c>
      <c r="P2279" s="39" t="s">
        <v>13731</v>
      </c>
      <c r="Q2279" s="39" t="s">
        <v>8568</v>
      </c>
      <c r="R2279" s="39" t="s">
        <v>8569</v>
      </c>
      <c r="S2279" s="39" t="s">
        <v>8570</v>
      </c>
      <c r="AK2279" s="39" t="str">
        <f>("2025/04/10")</f>
        <v>2025/04/10</v>
      </c>
      <c r="AL2279" s="39" t="str">
        <f>("2025/04/10")</f>
        <v>2025/04/10</v>
      </c>
    </row>
    <row r="2280" spans="1:39" x14ac:dyDescent="0.25">
      <c r="A2280" s="39" t="str">
        <f>("1606210012")</f>
        <v>1606210012</v>
      </c>
      <c r="B2280" s="39" t="s">
        <v>9811</v>
      </c>
      <c r="C2280" s="39"/>
      <c r="D2280" s="39" t="s">
        <v>9812</v>
      </c>
      <c r="E2280" s="371" t="str">
        <f t="shared" si="181"/>
        <v>わだ　だいき</v>
      </c>
      <c r="F2280" s="39" t="s">
        <v>2325</v>
      </c>
      <c r="G2280" s="39" t="s">
        <v>7828</v>
      </c>
      <c r="H2280" s="39" t="str">
        <f>("2016/06/21")</f>
        <v>2016/06/21</v>
      </c>
      <c r="I2280" s="39">
        <v>3</v>
      </c>
      <c r="J2280" s="39" t="s">
        <v>1478</v>
      </c>
      <c r="K2280" s="39" t="s">
        <v>2122</v>
      </c>
      <c r="L2280" s="39" t="s">
        <v>7830</v>
      </c>
      <c r="M2280" s="39" t="s">
        <v>7831</v>
      </c>
      <c r="N2280" s="39" t="str">
        <f>("0155034")</f>
        <v>0155034</v>
      </c>
      <c r="P2280" s="39" t="s">
        <v>13732</v>
      </c>
      <c r="Q2280" s="39" t="s">
        <v>8568</v>
      </c>
      <c r="R2280" s="39" t="s">
        <v>8569</v>
      </c>
      <c r="S2280" s="39" t="s">
        <v>8570</v>
      </c>
      <c r="AK2280" s="39" t="str">
        <f>("2025/03/17")</f>
        <v>2025/03/17</v>
      </c>
      <c r="AL2280" s="39" t="str">
        <f>("2025/04/01")</f>
        <v>2025/04/01</v>
      </c>
    </row>
    <row r="2281" spans="1:39" x14ac:dyDescent="0.25">
      <c r="A2281" s="39" t="str">
        <f>("1606210112")</f>
        <v>1606210112</v>
      </c>
      <c r="C2281" s="39"/>
      <c r="D2281" s="39" t="s">
        <v>9813</v>
      </c>
      <c r="E2281" s="371" t="str">
        <f t="shared" si="181"/>
        <v>やない　ゆうと</v>
      </c>
      <c r="F2281" s="39" t="s">
        <v>2530</v>
      </c>
      <c r="G2281" s="39" t="s">
        <v>7828</v>
      </c>
      <c r="H2281" s="39" t="str">
        <f>("2016/06/21")</f>
        <v>2016/06/21</v>
      </c>
      <c r="I2281" s="39">
        <v>3</v>
      </c>
      <c r="J2281" s="39" t="s">
        <v>1478</v>
      </c>
      <c r="K2281" s="39" t="s">
        <v>2122</v>
      </c>
      <c r="L2281" s="39" t="s">
        <v>7830</v>
      </c>
      <c r="M2281" s="39" t="s">
        <v>7831</v>
      </c>
      <c r="N2281" s="39" t="str">
        <f>("0338756")</f>
        <v>0338756</v>
      </c>
      <c r="P2281" s="39" t="s">
        <v>13453</v>
      </c>
      <c r="Q2281" s="39" t="s">
        <v>8568</v>
      </c>
      <c r="R2281" s="39" t="s">
        <v>8569</v>
      </c>
      <c r="S2281" s="39" t="s">
        <v>8570</v>
      </c>
      <c r="AK2281" s="39" t="str">
        <f>("2025/04/01")</f>
        <v>2025/04/01</v>
      </c>
      <c r="AL2281" s="39" t="str">
        <f>("2025/04/01")</f>
        <v>2025/04/01</v>
      </c>
    </row>
    <row r="2282" spans="1:39" x14ac:dyDescent="0.25">
      <c r="A2282" s="39" t="str">
        <f>("1606220103")</f>
        <v>1606220103</v>
      </c>
      <c r="C2282" s="39"/>
      <c r="D2282" s="39" t="s">
        <v>9814</v>
      </c>
      <c r="E2282" s="371" t="str">
        <f t="shared" si="181"/>
        <v>ごとう　ななみ</v>
      </c>
      <c r="F2282" s="39" t="s">
        <v>2324</v>
      </c>
      <c r="G2282" s="39" t="s">
        <v>7828</v>
      </c>
      <c r="H2282" s="39" t="str">
        <f>("2016/06/22")</f>
        <v>2016/06/22</v>
      </c>
      <c r="I2282" s="39">
        <v>3</v>
      </c>
      <c r="J2282" s="39" t="s">
        <v>1480</v>
      </c>
      <c r="K2282" s="39" t="s">
        <v>2122</v>
      </c>
      <c r="L2282" s="39" t="s">
        <v>7830</v>
      </c>
      <c r="M2282" s="39" t="s">
        <v>7831</v>
      </c>
      <c r="N2282" s="39" t="str">
        <f>("0130486")</f>
        <v>0130486</v>
      </c>
      <c r="P2282" s="39" t="s">
        <v>13733</v>
      </c>
      <c r="Q2282" s="39" t="s">
        <v>8568</v>
      </c>
      <c r="R2282" s="39" t="s">
        <v>8569</v>
      </c>
      <c r="S2282" s="39" t="s">
        <v>8570</v>
      </c>
      <c r="AK2282" s="39" t="str">
        <f>("2025/03/24")</f>
        <v>2025/03/24</v>
      </c>
      <c r="AL2282" s="39" t="str">
        <f>("2025/04/01")</f>
        <v>2025/04/01</v>
      </c>
    </row>
    <row r="2283" spans="1:39" x14ac:dyDescent="0.25">
      <c r="A2283" s="39" t="str">
        <f>("1606230011")</f>
        <v>1606230011</v>
      </c>
      <c r="B2283" s="39" t="s">
        <v>9815</v>
      </c>
      <c r="C2283" s="39"/>
      <c r="D2283" s="39" t="s">
        <v>9816</v>
      </c>
      <c r="E2283" s="371" t="str">
        <f t="shared" si="181"/>
        <v>みうら　ゆみと</v>
      </c>
      <c r="F2283" s="39" t="s">
        <v>2138</v>
      </c>
      <c r="G2283" s="39" t="s">
        <v>7828</v>
      </c>
      <c r="H2283" s="39" t="str">
        <f>("2016/06/23")</f>
        <v>2016/06/23</v>
      </c>
      <c r="I2283" s="39">
        <v>3</v>
      </c>
      <c r="J2283" s="39" t="s">
        <v>1478</v>
      </c>
      <c r="K2283" s="39" t="s">
        <v>2122</v>
      </c>
      <c r="L2283" s="39" t="s">
        <v>7830</v>
      </c>
      <c r="M2283" s="39" t="s">
        <v>7831</v>
      </c>
      <c r="N2283" s="39" t="str">
        <f>("0130082")</f>
        <v>0130082</v>
      </c>
      <c r="P2283" s="39" t="s">
        <v>13734</v>
      </c>
      <c r="Q2283" s="39" t="s">
        <v>8568</v>
      </c>
      <c r="R2283" s="39" t="s">
        <v>8569</v>
      </c>
      <c r="S2283" s="39" t="s">
        <v>8570</v>
      </c>
      <c r="AK2283" s="39" t="str">
        <f>("2025/03/17")</f>
        <v>2025/03/17</v>
      </c>
      <c r="AL2283" s="39" t="str">
        <f>("2025/04/01")</f>
        <v>2025/04/01</v>
      </c>
    </row>
    <row r="2284" spans="1:39" x14ac:dyDescent="0.25">
      <c r="A2284" s="39" t="str">
        <f>("1606230114")</f>
        <v>1606230114</v>
      </c>
      <c r="C2284" s="39"/>
      <c r="D2284" s="39" t="s">
        <v>9817</v>
      </c>
      <c r="E2284" s="371" t="str">
        <f t="shared" si="181"/>
        <v>やまさき　らいあ</v>
      </c>
      <c r="F2284" s="39" t="s">
        <v>1481</v>
      </c>
      <c r="G2284" s="39" t="s">
        <v>7828</v>
      </c>
      <c r="H2284" s="39" t="str">
        <f>("2016/06/23")</f>
        <v>2016/06/23</v>
      </c>
      <c r="I2284" s="39">
        <v>3</v>
      </c>
      <c r="J2284" s="39" t="s">
        <v>1478</v>
      </c>
      <c r="K2284" s="39" t="s">
        <v>2122</v>
      </c>
      <c r="L2284" s="39" t="s">
        <v>7830</v>
      </c>
      <c r="M2284" s="39" t="s">
        <v>7831</v>
      </c>
      <c r="N2284" s="39" t="str">
        <f>("0129866")</f>
        <v>0129866</v>
      </c>
      <c r="P2284" s="39" t="s">
        <v>13735</v>
      </c>
      <c r="Q2284" s="39" t="s">
        <v>8568</v>
      </c>
      <c r="R2284" s="39" t="s">
        <v>8569</v>
      </c>
      <c r="S2284" s="39" t="s">
        <v>8570</v>
      </c>
      <c r="AK2284" s="39" t="str">
        <f>("2025/10/02")</f>
        <v>2025/10/02</v>
      </c>
      <c r="AL2284" s="39" t="str">
        <f>("2025/10/02")</f>
        <v>2025/10/02</v>
      </c>
    </row>
    <row r="2285" spans="1:39" x14ac:dyDescent="0.25">
      <c r="A2285" s="39" t="str">
        <f>("1606240049")</f>
        <v>1606240049</v>
      </c>
      <c r="C2285" s="39"/>
      <c r="D2285" s="39" t="s">
        <v>9818</v>
      </c>
      <c r="E2285" s="371" t="str">
        <f t="shared" si="181"/>
        <v>しまだ　ゆうき</v>
      </c>
      <c r="F2285" s="39" t="s">
        <v>1751</v>
      </c>
      <c r="G2285" s="39" t="s">
        <v>7828</v>
      </c>
      <c r="H2285" s="39" t="str">
        <f>("2016/06/24")</f>
        <v>2016/06/24</v>
      </c>
      <c r="I2285" s="39">
        <v>3</v>
      </c>
      <c r="J2285" s="39" t="s">
        <v>1478</v>
      </c>
      <c r="K2285" s="39" t="s">
        <v>2122</v>
      </c>
      <c r="L2285" s="39" t="s">
        <v>7830</v>
      </c>
      <c r="M2285" s="39" t="s">
        <v>7831</v>
      </c>
      <c r="N2285" s="39" t="str">
        <f>("0130453")</f>
        <v>0130453</v>
      </c>
      <c r="P2285" s="39" t="s">
        <v>13736</v>
      </c>
      <c r="Q2285" s="39" t="s">
        <v>8568</v>
      </c>
      <c r="R2285" s="39" t="s">
        <v>8569</v>
      </c>
      <c r="S2285" s="39" t="s">
        <v>8570</v>
      </c>
      <c r="AK2285" s="39" t="str">
        <f>("2025/03/17")</f>
        <v>2025/03/17</v>
      </c>
      <c r="AL2285" s="39" t="str">
        <f>("2025/04/01")</f>
        <v>2025/04/01</v>
      </c>
    </row>
    <row r="2286" spans="1:39" x14ac:dyDescent="0.25">
      <c r="A2286" s="39" t="str">
        <f>("1606250051")</f>
        <v>1606250051</v>
      </c>
      <c r="B2286" s="39" t="s">
        <v>9819</v>
      </c>
      <c r="C2286" s="39"/>
      <c r="D2286" s="39" t="s">
        <v>9820</v>
      </c>
      <c r="E2286" s="371" t="str">
        <f t="shared" si="181"/>
        <v>すえひろ　ふうと</v>
      </c>
      <c r="F2286" s="39" t="s">
        <v>2485</v>
      </c>
      <c r="G2286" s="39" t="s">
        <v>7828</v>
      </c>
      <c r="H2286" s="39" t="str">
        <f>("2016/06/25")</f>
        <v>2016/06/25</v>
      </c>
      <c r="I2286" s="39">
        <v>3</v>
      </c>
      <c r="J2286" s="39" t="s">
        <v>1478</v>
      </c>
      <c r="K2286" s="39" t="s">
        <v>2122</v>
      </c>
      <c r="L2286" s="39" t="s">
        <v>7830</v>
      </c>
      <c r="M2286" s="39" t="s">
        <v>7831</v>
      </c>
      <c r="N2286" s="39" t="str">
        <f>("0129754")</f>
        <v>0129754</v>
      </c>
      <c r="P2286" s="39" t="s">
        <v>13737</v>
      </c>
      <c r="Q2286" s="39" t="s">
        <v>8568</v>
      </c>
      <c r="R2286" s="39" t="s">
        <v>8569</v>
      </c>
      <c r="S2286" s="39" t="s">
        <v>8570</v>
      </c>
      <c r="AK2286" s="39" t="str">
        <f>("2025/03/24")</f>
        <v>2025/03/24</v>
      </c>
      <c r="AL2286" s="39" t="str">
        <f>("2025/04/01")</f>
        <v>2025/04/01</v>
      </c>
    </row>
    <row r="2287" spans="1:39" x14ac:dyDescent="0.25">
      <c r="A2287" s="39" t="str">
        <f>("1606260093")</f>
        <v>1606260093</v>
      </c>
      <c r="C2287" s="39"/>
      <c r="D2287" s="39" t="s">
        <v>9821</v>
      </c>
      <c r="E2287" s="371" t="str">
        <f t="shared" si="181"/>
        <v>やまさき　りゅうじ</v>
      </c>
      <c r="F2287" s="39" t="s">
        <v>1481</v>
      </c>
      <c r="G2287" s="39" t="s">
        <v>7828</v>
      </c>
      <c r="H2287" s="39" t="str">
        <f>("2016/06/26")</f>
        <v>2016/06/26</v>
      </c>
      <c r="I2287" s="39">
        <v>3</v>
      </c>
      <c r="J2287" s="39" t="s">
        <v>1478</v>
      </c>
      <c r="K2287" s="39" t="s">
        <v>2122</v>
      </c>
      <c r="L2287" s="39" t="s">
        <v>7830</v>
      </c>
      <c r="M2287" s="39" t="s">
        <v>7831</v>
      </c>
      <c r="N2287" s="39" t="str">
        <f>("0129866")</f>
        <v>0129866</v>
      </c>
      <c r="P2287" s="39" t="s">
        <v>13738</v>
      </c>
      <c r="Q2287" s="39" t="s">
        <v>8568</v>
      </c>
      <c r="R2287" s="39" t="s">
        <v>8569</v>
      </c>
      <c r="S2287" s="39" t="s">
        <v>8570</v>
      </c>
      <c r="AK2287" s="39" t="str">
        <f>("2025/10/02")</f>
        <v>2025/10/02</v>
      </c>
      <c r="AL2287" s="39" t="str">
        <f>("2025/10/02")</f>
        <v>2025/10/02</v>
      </c>
    </row>
    <row r="2288" spans="1:39" x14ac:dyDescent="0.25">
      <c r="A2288" s="39" t="str">
        <f>("1606270042")</f>
        <v>1606270042</v>
      </c>
      <c r="C2288" s="39"/>
      <c r="D2288" s="39" t="s">
        <v>9822</v>
      </c>
      <c r="E2288" s="371" t="str">
        <f t="shared" si="181"/>
        <v>いずみ　かんな</v>
      </c>
      <c r="F2288" s="39" t="s">
        <v>188</v>
      </c>
      <c r="G2288" s="39" t="s">
        <v>7828</v>
      </c>
      <c r="H2288" s="39" t="str">
        <f>("2016/06/27")</f>
        <v>2016/06/27</v>
      </c>
      <c r="I2288" s="39">
        <v>3</v>
      </c>
      <c r="J2288" s="39" t="s">
        <v>1478</v>
      </c>
      <c r="K2288" s="39" t="s">
        <v>2122</v>
      </c>
      <c r="L2288" s="39" t="s">
        <v>7830</v>
      </c>
      <c r="M2288" s="39" t="s">
        <v>7831</v>
      </c>
      <c r="N2288" s="39" t="str">
        <f>("0130734")</f>
        <v>0130734</v>
      </c>
      <c r="P2288" s="39" t="s">
        <v>13739</v>
      </c>
      <c r="Q2288" s="39" t="s">
        <v>8568</v>
      </c>
      <c r="R2288" s="39" t="s">
        <v>8569</v>
      </c>
      <c r="S2288" s="39" t="s">
        <v>8570</v>
      </c>
      <c r="AK2288" s="39" t="str">
        <f>("2025/03/17")</f>
        <v>2025/03/17</v>
      </c>
      <c r="AL2288" s="39" t="str">
        <f>("2025/04/01")</f>
        <v>2025/04/01</v>
      </c>
    </row>
    <row r="2289" spans="1:39" x14ac:dyDescent="0.25">
      <c r="A2289" s="39" t="str">
        <f>("1606290059")</f>
        <v>1606290059</v>
      </c>
      <c r="C2289" s="39"/>
      <c r="D2289" s="39" t="s">
        <v>9823</v>
      </c>
      <c r="E2289" s="371" t="str">
        <f t="shared" si="181"/>
        <v>さとう　わたる</v>
      </c>
      <c r="F2289" s="39" t="s">
        <v>928</v>
      </c>
      <c r="G2289" s="39" t="s">
        <v>7828</v>
      </c>
      <c r="H2289" s="39" t="str">
        <f>("2016/06/29")</f>
        <v>2016/06/29</v>
      </c>
      <c r="I2289" s="39">
        <v>3</v>
      </c>
      <c r="J2289" s="39" t="s">
        <v>1478</v>
      </c>
      <c r="K2289" s="39" t="s">
        <v>2122</v>
      </c>
      <c r="L2289" s="39" t="s">
        <v>7830</v>
      </c>
      <c r="M2289" s="39" t="s">
        <v>7831</v>
      </c>
      <c r="N2289" s="39" t="str">
        <f>("0130532")</f>
        <v>0130532</v>
      </c>
      <c r="P2289" s="39" t="s">
        <v>13740</v>
      </c>
      <c r="Q2289" s="39" t="s">
        <v>8568</v>
      </c>
      <c r="R2289" s="39" t="s">
        <v>8569</v>
      </c>
      <c r="S2289" s="39" t="s">
        <v>8570</v>
      </c>
      <c r="AK2289" s="39" t="str">
        <f>("2025/03/17")</f>
        <v>2025/03/17</v>
      </c>
      <c r="AL2289" s="39" t="str">
        <f>("2025/04/01")</f>
        <v>2025/04/01</v>
      </c>
    </row>
    <row r="2290" spans="1:39" x14ac:dyDescent="0.25">
      <c r="A2290" s="39" t="str">
        <f>("1606290139")</f>
        <v>1606290139</v>
      </c>
      <c r="C2290" s="39"/>
      <c r="D2290" s="39" t="s">
        <v>9824</v>
      </c>
      <c r="E2290" s="371" t="str">
        <f t="shared" si="181"/>
        <v>いざき　こうた</v>
      </c>
      <c r="F2290" s="39" t="s">
        <v>2543</v>
      </c>
      <c r="G2290" s="39" t="s">
        <v>7828</v>
      </c>
      <c r="H2290" s="39" t="str">
        <f>("2016/06/29")</f>
        <v>2016/06/29</v>
      </c>
      <c r="I2290" s="39">
        <v>3</v>
      </c>
      <c r="J2290" s="39" t="s">
        <v>1478</v>
      </c>
      <c r="K2290" s="39" t="s">
        <v>2122</v>
      </c>
      <c r="L2290" s="39" t="s">
        <v>7830</v>
      </c>
      <c r="M2290" s="39" t="s">
        <v>7831</v>
      </c>
      <c r="N2290" s="39" t="str">
        <f>("0130600")</f>
        <v>0130600</v>
      </c>
      <c r="P2290" s="39" t="s">
        <v>13741</v>
      </c>
      <c r="Q2290" s="39" t="s">
        <v>8568</v>
      </c>
      <c r="R2290" s="39" t="s">
        <v>8569</v>
      </c>
      <c r="S2290" s="39" t="s">
        <v>8570</v>
      </c>
      <c r="AK2290" s="39" t="str">
        <f>("2025/05/09")</f>
        <v>2025/05/09</v>
      </c>
      <c r="AL2290" s="39" t="str">
        <f>("2025/05/09")</f>
        <v>2025/05/09</v>
      </c>
    </row>
    <row r="2291" spans="1:39" x14ac:dyDescent="0.25">
      <c r="A2291" s="39" t="str">
        <f>("1606290152")</f>
        <v>1606290152</v>
      </c>
      <c r="C2291" s="39"/>
      <c r="D2291" s="39" t="s">
        <v>9825</v>
      </c>
      <c r="E2291" s="371" t="str">
        <f t="shared" si="181"/>
        <v>おの　らん</v>
      </c>
      <c r="F2291" s="39" t="s">
        <v>2479</v>
      </c>
      <c r="G2291" s="39" t="s">
        <v>7828</v>
      </c>
      <c r="H2291" s="39" t="str">
        <f>("2016/06/29")</f>
        <v>2016/06/29</v>
      </c>
      <c r="I2291" s="39">
        <v>3</v>
      </c>
      <c r="J2291" s="39" t="s">
        <v>1480</v>
      </c>
      <c r="K2291" s="39" t="s">
        <v>2122</v>
      </c>
      <c r="L2291" s="39" t="s">
        <v>7830</v>
      </c>
      <c r="M2291" s="39" t="s">
        <v>7831</v>
      </c>
      <c r="N2291" s="39" t="str">
        <f>("0129608")</f>
        <v>0129608</v>
      </c>
      <c r="P2291" s="39" t="s">
        <v>13742</v>
      </c>
      <c r="Q2291" s="39" t="s">
        <v>8568</v>
      </c>
      <c r="R2291" s="39" t="s">
        <v>8569</v>
      </c>
      <c r="S2291" s="39" t="s">
        <v>8570</v>
      </c>
      <c r="AK2291" s="39" t="str">
        <f>("2025/09/03")</f>
        <v>2025/09/03</v>
      </c>
      <c r="AL2291" s="39" t="str">
        <f>("2025/09/03")</f>
        <v>2025/09/03</v>
      </c>
    </row>
    <row r="2292" spans="1:39" x14ac:dyDescent="0.25">
      <c r="A2292" s="39" t="str">
        <f>("1606300028")</f>
        <v>1606300028</v>
      </c>
      <c r="C2292" s="39"/>
      <c r="D2292" s="39" t="s">
        <v>9826</v>
      </c>
      <c r="E2292" s="371" t="str">
        <f t="shared" si="181"/>
        <v>おかだ　りお</v>
      </c>
      <c r="F2292" s="39" t="s">
        <v>2918</v>
      </c>
      <c r="G2292" s="39" t="s">
        <v>7828</v>
      </c>
      <c r="H2292" s="39" t="str">
        <f>("2016/06/30")</f>
        <v>2016/06/30</v>
      </c>
      <c r="I2292" s="39">
        <v>3</v>
      </c>
      <c r="J2292" s="39" t="s">
        <v>1480</v>
      </c>
      <c r="K2292" s="39" t="s">
        <v>2122</v>
      </c>
      <c r="L2292" s="39" t="s">
        <v>7830</v>
      </c>
      <c r="M2292" s="39" t="s">
        <v>7831</v>
      </c>
      <c r="N2292" s="39" t="str">
        <f>("0129912")</f>
        <v>0129912</v>
      </c>
      <c r="P2292" s="39" t="s">
        <v>13743</v>
      </c>
      <c r="Q2292" s="39" t="s">
        <v>8568</v>
      </c>
      <c r="R2292" s="39" t="s">
        <v>8569</v>
      </c>
      <c r="S2292" s="39" t="s">
        <v>8570</v>
      </c>
      <c r="AK2292" s="39" t="str">
        <f>("2025/03/17")</f>
        <v>2025/03/17</v>
      </c>
      <c r="AL2292" s="39" t="str">
        <f>("2025/04/01")</f>
        <v>2025/04/01</v>
      </c>
    </row>
    <row r="2293" spans="1:39" x14ac:dyDescent="0.25">
      <c r="A2293" s="39" t="str">
        <f>("1606300126")</f>
        <v>1606300126</v>
      </c>
      <c r="C2293" s="39"/>
      <c r="D2293" s="39" t="s">
        <v>9827</v>
      </c>
      <c r="E2293" s="371" t="str">
        <f t="shared" si="181"/>
        <v>もりやま　けいと</v>
      </c>
      <c r="F2293" s="39" t="s">
        <v>2477</v>
      </c>
      <c r="G2293" s="39" t="s">
        <v>7828</v>
      </c>
      <c r="H2293" s="39" t="str">
        <f>("2016/06/30")</f>
        <v>2016/06/30</v>
      </c>
      <c r="I2293" s="39">
        <v>3</v>
      </c>
      <c r="J2293" s="39" t="s">
        <v>1480</v>
      </c>
      <c r="K2293" s="39" t="s">
        <v>2122</v>
      </c>
      <c r="L2293" s="39" t="s">
        <v>7830</v>
      </c>
      <c r="M2293" s="39" t="s">
        <v>7831</v>
      </c>
      <c r="N2293" s="39" t="str">
        <f>("0129541")</f>
        <v>0129541</v>
      </c>
      <c r="P2293" s="39" t="s">
        <v>13744</v>
      </c>
      <c r="Q2293" s="39" t="s">
        <v>8568</v>
      </c>
      <c r="R2293" s="39" t="s">
        <v>8569</v>
      </c>
      <c r="S2293" s="39" t="s">
        <v>8570</v>
      </c>
      <c r="AK2293" s="39" t="str">
        <f>("2025/05/12")</f>
        <v>2025/05/12</v>
      </c>
      <c r="AL2293" s="39" t="str">
        <f>("2025/05/12")</f>
        <v>2025/05/12</v>
      </c>
    </row>
    <row r="2294" spans="1:39" x14ac:dyDescent="0.25">
      <c r="A2294" s="39" t="str">
        <f>("1606300141")</f>
        <v>1606300141</v>
      </c>
      <c r="C2294" s="39"/>
      <c r="D2294" s="39" t="s">
        <v>9828</v>
      </c>
      <c r="E2294" s="371" t="str">
        <f t="shared" si="181"/>
        <v>いたい　わかな</v>
      </c>
      <c r="F2294" s="39" t="s">
        <v>188</v>
      </c>
      <c r="G2294" s="39" t="s">
        <v>7828</v>
      </c>
      <c r="H2294" s="39" t="str">
        <f>("2016/06/30")</f>
        <v>2016/06/30</v>
      </c>
      <c r="I2294" s="39">
        <v>3</v>
      </c>
      <c r="J2294" s="39" t="s">
        <v>1480</v>
      </c>
      <c r="K2294" s="39" t="s">
        <v>2122</v>
      </c>
      <c r="L2294" s="39" t="s">
        <v>7830</v>
      </c>
      <c r="M2294" s="39" t="s">
        <v>7831</v>
      </c>
      <c r="N2294" s="39" t="str">
        <f>("0130734")</f>
        <v>0130734</v>
      </c>
      <c r="P2294" s="39" t="s">
        <v>13745</v>
      </c>
      <c r="Q2294" s="39" t="s">
        <v>8568</v>
      </c>
      <c r="R2294" s="39" t="s">
        <v>8569</v>
      </c>
      <c r="S2294" s="39" t="s">
        <v>8570</v>
      </c>
      <c r="AK2294" s="39" t="str">
        <f>("2025/09/03")</f>
        <v>2025/09/03</v>
      </c>
      <c r="AL2294" s="39" t="str">
        <f>("2025/09/03")</f>
        <v>2025/09/03</v>
      </c>
    </row>
    <row r="2295" spans="1:39" x14ac:dyDescent="0.25">
      <c r="A2295" s="39" t="str">
        <f>("1607010153")</f>
        <v>1607010153</v>
      </c>
      <c r="C2295" s="39"/>
      <c r="D2295" s="39" t="s">
        <v>9829</v>
      </c>
      <c r="E2295" s="371" t="str">
        <f t="shared" si="181"/>
        <v>かみべっぷ　しゅん</v>
      </c>
      <c r="F2295" s="39" t="s">
        <v>1158</v>
      </c>
      <c r="G2295" s="39" t="s">
        <v>7876</v>
      </c>
      <c r="H2295" s="39" t="str">
        <f>("2016/07/01")</f>
        <v>2016/07/01</v>
      </c>
      <c r="I2295" s="39">
        <v>3</v>
      </c>
      <c r="J2295" s="39" t="s">
        <v>1478</v>
      </c>
      <c r="K2295" s="39" t="s">
        <v>2122</v>
      </c>
      <c r="L2295" s="39" t="s">
        <v>7830</v>
      </c>
      <c r="M2295" s="39" t="s">
        <v>7831</v>
      </c>
      <c r="N2295" s="39" t="str">
        <f>("0130318")</f>
        <v>0130318</v>
      </c>
      <c r="P2295" s="39" t="s">
        <v>13746</v>
      </c>
      <c r="Q2295" s="39" t="s">
        <v>8568</v>
      </c>
      <c r="R2295" s="39" t="s">
        <v>8569</v>
      </c>
      <c r="S2295" s="39" t="s">
        <v>8570</v>
      </c>
      <c r="AK2295" s="39" t="str">
        <f>("2025/08/25")</f>
        <v>2025/08/25</v>
      </c>
      <c r="AL2295" s="39" t="str">
        <f>("2025/08/25")</f>
        <v>2025/08/25</v>
      </c>
      <c r="AM2295" s="39" t="str">
        <f>("2026/01/08")</f>
        <v>2026/01/08</v>
      </c>
    </row>
    <row r="2296" spans="1:39" x14ac:dyDescent="0.25">
      <c r="A2296" s="39" t="str">
        <f>("1607030009")</f>
        <v>1607030009</v>
      </c>
      <c r="C2296" s="39"/>
      <c r="D2296" s="39" t="s">
        <v>9830</v>
      </c>
      <c r="E2296" s="371" t="str">
        <f t="shared" si="181"/>
        <v>わたなべ　しょうま</v>
      </c>
      <c r="F2296" s="39" t="s">
        <v>2878</v>
      </c>
      <c r="G2296" s="39" t="s">
        <v>7828</v>
      </c>
      <c r="H2296" s="39" t="str">
        <f>("2016/07/03")</f>
        <v>2016/07/03</v>
      </c>
      <c r="I2296" s="39">
        <v>3</v>
      </c>
      <c r="J2296" s="39" t="s">
        <v>1478</v>
      </c>
      <c r="K2296" s="39" t="s">
        <v>2122</v>
      </c>
      <c r="L2296" s="39" t="s">
        <v>7830</v>
      </c>
      <c r="M2296" s="39" t="s">
        <v>7831</v>
      </c>
      <c r="N2296" s="39" t="str">
        <f>("0129484")</f>
        <v>0129484</v>
      </c>
      <c r="P2296" s="39" t="s">
        <v>12898</v>
      </c>
      <c r="Q2296" s="39" t="s">
        <v>8568</v>
      </c>
      <c r="R2296" s="39" t="s">
        <v>8569</v>
      </c>
      <c r="S2296" s="39" t="s">
        <v>8570</v>
      </c>
      <c r="AK2296" s="39" t="str">
        <f>("2025/03/17")</f>
        <v>2025/03/17</v>
      </c>
      <c r="AL2296" s="39" t="str">
        <f>("2025/04/01")</f>
        <v>2025/04/01</v>
      </c>
    </row>
    <row r="2297" spans="1:39" x14ac:dyDescent="0.25">
      <c r="A2297" s="39" t="str">
        <f>("1607040018")</f>
        <v>1607040018</v>
      </c>
      <c r="C2297" s="39"/>
      <c r="D2297" s="39" t="s">
        <v>9831</v>
      </c>
      <c r="E2297" s="371" t="str">
        <f t="shared" si="181"/>
        <v>にしかた　こうた</v>
      </c>
      <c r="F2297" s="39" t="s">
        <v>2138</v>
      </c>
      <c r="G2297" s="39" t="s">
        <v>7828</v>
      </c>
      <c r="H2297" s="39" t="str">
        <f>("2016/07/04")</f>
        <v>2016/07/04</v>
      </c>
      <c r="I2297" s="39">
        <v>3</v>
      </c>
      <c r="J2297" s="39" t="s">
        <v>1478</v>
      </c>
      <c r="K2297" s="39" t="s">
        <v>2122</v>
      </c>
      <c r="L2297" s="39" t="s">
        <v>7830</v>
      </c>
      <c r="M2297" s="39" t="s">
        <v>7831</v>
      </c>
      <c r="N2297" s="39" t="str">
        <f>("0130082")</f>
        <v>0130082</v>
      </c>
      <c r="P2297" s="39" t="s">
        <v>13747</v>
      </c>
      <c r="Q2297" s="39" t="s">
        <v>8568</v>
      </c>
      <c r="R2297" s="39" t="s">
        <v>8569</v>
      </c>
      <c r="S2297" s="39" t="s">
        <v>8570</v>
      </c>
      <c r="AK2297" s="39" t="str">
        <f>("2025/03/17")</f>
        <v>2025/03/17</v>
      </c>
      <c r="AL2297" s="39" t="str">
        <f>("2025/04/01")</f>
        <v>2025/04/01</v>
      </c>
    </row>
    <row r="2298" spans="1:39" x14ac:dyDescent="0.25">
      <c r="A2298" s="39" t="str">
        <f>("1607040029")</f>
        <v>1607040029</v>
      </c>
      <c r="C2298" s="39"/>
      <c r="D2298" s="39" t="s">
        <v>9832</v>
      </c>
      <c r="E2298" s="371" t="str">
        <f t="shared" si="181"/>
        <v>ふじわら　そら</v>
      </c>
      <c r="F2298" s="39" t="s">
        <v>2575</v>
      </c>
      <c r="G2298" s="39" t="s">
        <v>7828</v>
      </c>
      <c r="H2298" s="39" t="str">
        <f>("2016/07/04")</f>
        <v>2016/07/04</v>
      </c>
      <c r="I2298" s="39">
        <v>3</v>
      </c>
      <c r="J2298" s="39" t="s">
        <v>1478</v>
      </c>
      <c r="K2298" s="39" t="s">
        <v>2122</v>
      </c>
      <c r="L2298" s="39" t="s">
        <v>7830</v>
      </c>
      <c r="M2298" s="39" t="s">
        <v>7831</v>
      </c>
      <c r="N2298" s="39" t="str">
        <f>("0303040")</f>
        <v>0303040</v>
      </c>
      <c r="P2298" s="39" t="s">
        <v>13748</v>
      </c>
      <c r="Q2298" s="39" t="s">
        <v>8568</v>
      </c>
      <c r="R2298" s="39" t="s">
        <v>8569</v>
      </c>
      <c r="S2298" s="39" t="s">
        <v>8570</v>
      </c>
      <c r="AK2298" s="39" t="str">
        <f>("2025/03/17")</f>
        <v>2025/03/17</v>
      </c>
      <c r="AL2298" s="39" t="str">
        <f>("2025/04/01")</f>
        <v>2025/04/01</v>
      </c>
    </row>
    <row r="2299" spans="1:39" x14ac:dyDescent="0.25">
      <c r="A2299" s="39" t="str">
        <f>("1607040137")</f>
        <v>1607040137</v>
      </c>
      <c r="C2299" s="39"/>
      <c r="D2299" s="39" t="s">
        <v>4005</v>
      </c>
      <c r="E2299" s="371" t="str">
        <f t="shared" si="181"/>
        <v>ごとう　たくみ</v>
      </c>
      <c r="F2299" s="39" t="s">
        <v>2323</v>
      </c>
      <c r="G2299" s="39" t="s">
        <v>7828</v>
      </c>
      <c r="H2299" s="39" t="str">
        <f>("2016/07/04")</f>
        <v>2016/07/04</v>
      </c>
      <c r="I2299" s="39">
        <v>3</v>
      </c>
      <c r="J2299" s="39" t="s">
        <v>1478</v>
      </c>
      <c r="K2299" s="39" t="s">
        <v>2122</v>
      </c>
      <c r="L2299" s="39" t="s">
        <v>7830</v>
      </c>
      <c r="M2299" s="39" t="s">
        <v>7831</v>
      </c>
      <c r="N2299" s="39" t="str">
        <f>("0472722")</f>
        <v>0472722</v>
      </c>
      <c r="P2299" s="39" t="s">
        <v>13749</v>
      </c>
      <c r="Q2299" s="39" t="s">
        <v>8568</v>
      </c>
      <c r="R2299" s="39" t="s">
        <v>8569</v>
      </c>
      <c r="S2299" s="39" t="s">
        <v>8570</v>
      </c>
      <c r="AK2299" s="39" t="str">
        <f>("2025/07/25")</f>
        <v>2025/07/25</v>
      </c>
      <c r="AL2299" s="39" t="str">
        <f>("2025/07/25")</f>
        <v>2025/07/25</v>
      </c>
    </row>
    <row r="2300" spans="1:39" x14ac:dyDescent="0.25">
      <c r="A2300" s="39" t="str">
        <f>("1607060058")</f>
        <v>1607060058</v>
      </c>
      <c r="C2300" s="39"/>
      <c r="D2300" s="39" t="s">
        <v>9833</v>
      </c>
      <c r="E2300" s="371" t="str">
        <f t="shared" si="181"/>
        <v>ざいぜん　そら</v>
      </c>
      <c r="F2300" s="39" t="s">
        <v>2299</v>
      </c>
      <c r="G2300" s="39" t="s">
        <v>7828</v>
      </c>
      <c r="H2300" s="39" t="str">
        <f>("2016/07/06")</f>
        <v>2016/07/06</v>
      </c>
      <c r="I2300" s="39">
        <v>3</v>
      </c>
      <c r="J2300" s="39" t="s">
        <v>1478</v>
      </c>
      <c r="K2300" s="39" t="s">
        <v>2122</v>
      </c>
      <c r="L2300" s="39" t="s">
        <v>7830</v>
      </c>
      <c r="M2300" s="39" t="s">
        <v>7831</v>
      </c>
      <c r="N2300" s="39" t="str">
        <f>("1066647")</f>
        <v>1066647</v>
      </c>
      <c r="P2300" s="39" t="s">
        <v>13750</v>
      </c>
      <c r="Q2300" s="39" t="s">
        <v>8568</v>
      </c>
      <c r="R2300" s="39" t="s">
        <v>8569</v>
      </c>
      <c r="S2300" s="39" t="s">
        <v>8570</v>
      </c>
      <c r="AK2300" s="39" t="str">
        <f>("2025/03/21")</f>
        <v>2025/03/21</v>
      </c>
      <c r="AL2300" s="39" t="str">
        <f>("2025/04/01")</f>
        <v>2025/04/01</v>
      </c>
    </row>
    <row r="2301" spans="1:39" x14ac:dyDescent="0.25">
      <c r="A2301" s="39" t="str">
        <f>("1607060147")</f>
        <v>1607060147</v>
      </c>
      <c r="C2301" s="39"/>
      <c r="D2301" s="39" t="s">
        <v>9834</v>
      </c>
      <c r="E2301" s="371" t="str">
        <f t="shared" si="181"/>
        <v>やまもと　ゆうし</v>
      </c>
      <c r="F2301" s="39" t="s">
        <v>1968</v>
      </c>
      <c r="G2301" s="39" t="s">
        <v>7828</v>
      </c>
      <c r="H2301" s="39" t="str">
        <f>("2016/07/06")</f>
        <v>2016/07/06</v>
      </c>
      <c r="I2301" s="39">
        <v>3</v>
      </c>
      <c r="J2301" s="39" t="s">
        <v>1478</v>
      </c>
      <c r="K2301" s="39" t="s">
        <v>2122</v>
      </c>
      <c r="L2301" s="39" t="s">
        <v>7830</v>
      </c>
      <c r="M2301" s="39" t="s">
        <v>7831</v>
      </c>
      <c r="N2301" s="39" t="str">
        <f>("0129507")</f>
        <v>0129507</v>
      </c>
      <c r="P2301" s="39" t="s">
        <v>13751</v>
      </c>
      <c r="Q2301" s="39" t="s">
        <v>8568</v>
      </c>
      <c r="R2301" s="39" t="s">
        <v>8569</v>
      </c>
      <c r="S2301" s="39" t="s">
        <v>8570</v>
      </c>
      <c r="AK2301" s="39" t="str">
        <f>("2025/08/22")</f>
        <v>2025/08/22</v>
      </c>
      <c r="AL2301" s="39" t="str">
        <f>("2025/08/22")</f>
        <v>2025/08/22</v>
      </c>
    </row>
    <row r="2302" spans="1:39" x14ac:dyDescent="0.25">
      <c r="A2302" s="39" t="str">
        <f>("1607070044")</f>
        <v>1607070044</v>
      </c>
      <c r="C2302" s="39"/>
      <c r="D2302" s="39" t="s">
        <v>9835</v>
      </c>
      <c r="E2302" s="371" t="str">
        <f t="shared" si="181"/>
        <v>ひの　てんま</v>
      </c>
      <c r="F2302" s="39" t="s">
        <v>1014</v>
      </c>
      <c r="G2302" s="39" t="s">
        <v>7876</v>
      </c>
      <c r="H2302" s="39" t="str">
        <f>("2016/07/07")</f>
        <v>2016/07/07</v>
      </c>
      <c r="I2302" s="39">
        <v>3</v>
      </c>
      <c r="J2302" s="39" t="s">
        <v>1478</v>
      </c>
      <c r="K2302" s="39" t="s">
        <v>2122</v>
      </c>
      <c r="L2302" s="39" t="s">
        <v>7830</v>
      </c>
      <c r="M2302" s="39" t="s">
        <v>7831</v>
      </c>
      <c r="N2302" s="39" t="str">
        <f>("0513313")</f>
        <v>0513313</v>
      </c>
      <c r="P2302" s="39" t="s">
        <v>13752</v>
      </c>
      <c r="Q2302" s="39" t="s">
        <v>8568</v>
      </c>
      <c r="R2302" s="39" t="s">
        <v>8569</v>
      </c>
      <c r="S2302" s="39" t="s">
        <v>8570</v>
      </c>
      <c r="AK2302" s="39" t="str">
        <f>("2025/03/17")</f>
        <v>2025/03/17</v>
      </c>
      <c r="AL2302" s="39" t="str">
        <f>("2025/04/01")</f>
        <v>2025/04/01</v>
      </c>
      <c r="AM2302" s="39" t="str">
        <f>("2025/11/04")</f>
        <v>2025/11/04</v>
      </c>
    </row>
    <row r="2303" spans="1:39" x14ac:dyDescent="0.25">
      <c r="A2303" s="39" t="str">
        <f>("1607070146")</f>
        <v>1607070146</v>
      </c>
      <c r="C2303" s="39"/>
      <c r="D2303" s="39" t="s">
        <v>9836</v>
      </c>
      <c r="E2303" s="371" t="str">
        <f t="shared" si="181"/>
        <v>いしだ　たいよう</v>
      </c>
      <c r="F2303" s="39" t="s">
        <v>1207</v>
      </c>
      <c r="G2303" s="39" t="s">
        <v>7828</v>
      </c>
      <c r="H2303" s="39" t="str">
        <f>("2016/07/07")</f>
        <v>2016/07/07</v>
      </c>
      <c r="I2303" s="39">
        <v>3</v>
      </c>
      <c r="J2303" s="39" t="s">
        <v>1478</v>
      </c>
      <c r="K2303" s="39" t="s">
        <v>2122</v>
      </c>
      <c r="L2303" s="39" t="s">
        <v>7830</v>
      </c>
      <c r="M2303" s="39" t="s">
        <v>7831</v>
      </c>
      <c r="N2303" s="39" t="str">
        <f>("0381608")</f>
        <v>0381608</v>
      </c>
      <c r="P2303" s="39" t="s">
        <v>13753</v>
      </c>
      <c r="Q2303" s="39" t="s">
        <v>8568</v>
      </c>
      <c r="R2303" s="39" t="s">
        <v>8569</v>
      </c>
      <c r="S2303" s="39" t="s">
        <v>8570</v>
      </c>
      <c r="AK2303" s="39" t="str">
        <f>("2025/10/16")</f>
        <v>2025/10/16</v>
      </c>
      <c r="AL2303" s="39" t="str">
        <f>("2025/10/16")</f>
        <v>2025/10/16</v>
      </c>
    </row>
    <row r="2304" spans="1:39" x14ac:dyDescent="0.25">
      <c r="A2304" s="39" t="str">
        <f>("1607080073")</f>
        <v>1607080073</v>
      </c>
      <c r="C2304" s="39"/>
      <c r="D2304" s="39" t="s">
        <v>9837</v>
      </c>
      <c r="E2304" s="371" t="str">
        <f t="shared" si="181"/>
        <v>むらまつ　こうた</v>
      </c>
      <c r="F2304" s="39" t="s">
        <v>1330</v>
      </c>
      <c r="G2304" s="39" t="s">
        <v>7828</v>
      </c>
      <c r="H2304" s="39" t="str">
        <f>("2016/07/08")</f>
        <v>2016/07/08</v>
      </c>
      <c r="I2304" s="39">
        <v>3</v>
      </c>
      <c r="J2304" s="39" t="s">
        <v>1478</v>
      </c>
      <c r="K2304" s="39" t="s">
        <v>2122</v>
      </c>
      <c r="L2304" s="39" t="s">
        <v>7830</v>
      </c>
      <c r="M2304" s="39" t="s">
        <v>7831</v>
      </c>
      <c r="N2304" s="39" t="str">
        <f>("0130598")</f>
        <v>0130598</v>
      </c>
      <c r="P2304" s="39" t="s">
        <v>13754</v>
      </c>
      <c r="Q2304" s="39" t="s">
        <v>8568</v>
      </c>
      <c r="R2304" s="39" t="s">
        <v>8569</v>
      </c>
      <c r="S2304" s="39" t="s">
        <v>8570</v>
      </c>
      <c r="AK2304" s="39" t="str">
        <f>("2025/03/17")</f>
        <v>2025/03/17</v>
      </c>
      <c r="AL2304" s="39" t="str">
        <f>("2025/04/01")</f>
        <v>2025/04/01</v>
      </c>
    </row>
    <row r="2305" spans="1:38" x14ac:dyDescent="0.25">
      <c r="A2305" s="39" t="str">
        <f>("1607090017")</f>
        <v>1607090017</v>
      </c>
      <c r="C2305" s="39"/>
      <c r="D2305" s="39" t="s">
        <v>9838</v>
      </c>
      <c r="E2305" s="371" t="str">
        <f t="shared" si="181"/>
        <v>いわもと　けいすけ</v>
      </c>
      <c r="F2305" s="39" t="s">
        <v>5615</v>
      </c>
      <c r="G2305" s="39" t="s">
        <v>7828</v>
      </c>
      <c r="H2305" s="39" t="str">
        <f>("2016/07/09")</f>
        <v>2016/07/09</v>
      </c>
      <c r="I2305" s="39">
        <v>3</v>
      </c>
      <c r="J2305" s="39" t="s">
        <v>1478</v>
      </c>
      <c r="K2305" s="39" t="s">
        <v>2122</v>
      </c>
      <c r="L2305" s="39" t="s">
        <v>7830</v>
      </c>
      <c r="M2305" s="39" t="s">
        <v>7831</v>
      </c>
      <c r="N2305" s="39" t="str">
        <f>("0129642")</f>
        <v>0129642</v>
      </c>
      <c r="P2305" s="39" t="s">
        <v>13755</v>
      </c>
      <c r="Q2305" s="39" t="s">
        <v>8568</v>
      </c>
      <c r="R2305" s="39" t="s">
        <v>8569</v>
      </c>
      <c r="S2305" s="39" t="s">
        <v>8570</v>
      </c>
      <c r="AK2305" s="39" t="str">
        <f>("2025/03/24")</f>
        <v>2025/03/24</v>
      </c>
      <c r="AL2305" s="39" t="str">
        <f>("2025/04/01")</f>
        <v>2025/04/01</v>
      </c>
    </row>
    <row r="2306" spans="1:38" x14ac:dyDescent="0.25">
      <c r="A2306" s="39" t="str">
        <f>("1607090090")</f>
        <v>1607090090</v>
      </c>
      <c r="C2306" s="39"/>
      <c r="D2306" s="39" t="s">
        <v>9839</v>
      </c>
      <c r="E2306" s="371" t="str">
        <f t="shared" si="181"/>
        <v>いとう　まさと</v>
      </c>
      <c r="F2306" s="39" t="s">
        <v>2350</v>
      </c>
      <c r="G2306" s="39" t="s">
        <v>7828</v>
      </c>
      <c r="H2306" s="39" t="str">
        <f>("2016/07/09")</f>
        <v>2016/07/09</v>
      </c>
      <c r="I2306" s="39">
        <v>3</v>
      </c>
      <c r="J2306" s="39" t="s">
        <v>1478</v>
      </c>
      <c r="K2306" s="39" t="s">
        <v>2122</v>
      </c>
      <c r="L2306" s="39" t="s">
        <v>7830</v>
      </c>
      <c r="M2306" s="39" t="s">
        <v>7831</v>
      </c>
      <c r="N2306" s="39" t="str">
        <f>("0360032")</f>
        <v>0360032</v>
      </c>
      <c r="P2306" s="39" t="s">
        <v>13756</v>
      </c>
      <c r="Q2306" s="39" t="s">
        <v>8568</v>
      </c>
      <c r="R2306" s="39" t="s">
        <v>8569</v>
      </c>
      <c r="S2306" s="39" t="s">
        <v>8570</v>
      </c>
      <c r="AK2306" s="39" t="str">
        <f>("2025/09/03")</f>
        <v>2025/09/03</v>
      </c>
      <c r="AL2306" s="39" t="str">
        <f>("2025/09/03")</f>
        <v>2025/09/03</v>
      </c>
    </row>
    <row r="2307" spans="1:38" x14ac:dyDescent="0.25">
      <c r="A2307" s="39" t="str">
        <f>("1607100016")</f>
        <v>1607100016</v>
      </c>
      <c r="B2307" s="39" t="s">
        <v>9840</v>
      </c>
      <c r="C2307" s="39"/>
      <c r="D2307" s="39" t="s">
        <v>9841</v>
      </c>
      <c r="E2307" s="371" t="str">
        <f t="shared" ref="E2307:E2370" si="182">PHONETIC(P2307)</f>
        <v>かわの　さくや</v>
      </c>
      <c r="F2307" s="39" t="s">
        <v>2395</v>
      </c>
      <c r="G2307" s="39" t="s">
        <v>7828</v>
      </c>
      <c r="H2307" s="39" t="str">
        <f>("2016/07/10")</f>
        <v>2016/07/10</v>
      </c>
      <c r="I2307" s="39">
        <v>3</v>
      </c>
      <c r="J2307" s="39" t="s">
        <v>1478</v>
      </c>
      <c r="K2307" s="39" t="s">
        <v>2122</v>
      </c>
      <c r="L2307" s="39" t="s">
        <v>7830</v>
      </c>
      <c r="M2307" s="39" t="s">
        <v>7831</v>
      </c>
      <c r="N2307" s="39" t="str">
        <f>("0366735")</f>
        <v>0366735</v>
      </c>
      <c r="P2307" s="39" t="s">
        <v>13757</v>
      </c>
      <c r="Q2307" s="39" t="s">
        <v>8568</v>
      </c>
      <c r="R2307" s="39" t="s">
        <v>8569</v>
      </c>
      <c r="S2307" s="39" t="s">
        <v>8570</v>
      </c>
      <c r="AK2307" s="39" t="str">
        <f>("2025/03/17")</f>
        <v>2025/03/17</v>
      </c>
      <c r="AL2307" s="39" t="str">
        <f>("2025/04/01")</f>
        <v>2025/04/01</v>
      </c>
    </row>
    <row r="2308" spans="1:38" x14ac:dyDescent="0.25">
      <c r="A2308" s="39" t="str">
        <f>("1607100058")</f>
        <v>1607100058</v>
      </c>
      <c r="C2308" s="39"/>
      <c r="D2308" s="39" t="s">
        <v>9842</v>
      </c>
      <c r="E2308" s="371" t="str">
        <f t="shared" si="182"/>
        <v>ひらばら　ことの</v>
      </c>
      <c r="F2308" s="39" t="s">
        <v>8050</v>
      </c>
      <c r="G2308" s="39" t="s">
        <v>7828</v>
      </c>
      <c r="H2308" s="39" t="str">
        <f>("2016/07/10")</f>
        <v>2016/07/10</v>
      </c>
      <c r="I2308" s="39">
        <v>3</v>
      </c>
      <c r="J2308" s="39" t="s">
        <v>1480</v>
      </c>
      <c r="K2308" s="39" t="s">
        <v>2122</v>
      </c>
      <c r="L2308" s="39" t="s">
        <v>7830</v>
      </c>
      <c r="M2308" s="39" t="s">
        <v>7831</v>
      </c>
      <c r="N2308" s="39" t="str">
        <f>("0130015")</f>
        <v>0130015</v>
      </c>
      <c r="P2308" s="39" t="s">
        <v>13758</v>
      </c>
      <c r="Q2308" s="39" t="s">
        <v>8568</v>
      </c>
      <c r="R2308" s="39" t="s">
        <v>8569</v>
      </c>
      <c r="S2308" s="39" t="s">
        <v>8570</v>
      </c>
      <c r="AK2308" s="39" t="str">
        <f>("2025/03/17")</f>
        <v>2025/03/17</v>
      </c>
      <c r="AL2308" s="39" t="str">
        <f>("2025/04/01")</f>
        <v>2025/04/01</v>
      </c>
    </row>
    <row r="2309" spans="1:38" x14ac:dyDescent="0.25">
      <c r="A2309" s="39" t="str">
        <f>("1607110037")</f>
        <v>1607110037</v>
      </c>
      <c r="C2309" s="39"/>
      <c r="D2309" s="39" t="s">
        <v>6075</v>
      </c>
      <c r="E2309" s="371" t="str">
        <f t="shared" si="182"/>
        <v>ゆふ　たいち</v>
      </c>
      <c r="F2309" s="39" t="s">
        <v>1977</v>
      </c>
      <c r="G2309" s="39" t="s">
        <v>7828</v>
      </c>
      <c r="H2309" s="39" t="str">
        <f>("2016/07/11")</f>
        <v>2016/07/11</v>
      </c>
      <c r="I2309" s="39">
        <v>3</v>
      </c>
      <c r="J2309" s="39" t="s">
        <v>1478</v>
      </c>
      <c r="K2309" s="39" t="s">
        <v>2122</v>
      </c>
      <c r="L2309" s="39" t="s">
        <v>7830</v>
      </c>
      <c r="M2309" s="39" t="s">
        <v>7831</v>
      </c>
      <c r="N2309" s="39" t="str">
        <f>("0395254")</f>
        <v>0395254</v>
      </c>
      <c r="P2309" s="39" t="s">
        <v>13759</v>
      </c>
      <c r="Q2309" s="39" t="s">
        <v>8568</v>
      </c>
      <c r="R2309" s="39" t="s">
        <v>8569</v>
      </c>
      <c r="S2309" s="39" t="s">
        <v>8570</v>
      </c>
      <c r="AK2309" s="39" t="str">
        <f>("2025/03/17")</f>
        <v>2025/03/17</v>
      </c>
      <c r="AL2309" s="39" t="str">
        <f>("2025/04/01")</f>
        <v>2025/04/01</v>
      </c>
    </row>
    <row r="2310" spans="1:38" x14ac:dyDescent="0.25">
      <c r="A2310" s="39" t="str">
        <f>("1607110102")</f>
        <v>1607110102</v>
      </c>
      <c r="C2310" s="39"/>
      <c r="D2310" s="39" t="s">
        <v>9843</v>
      </c>
      <c r="E2310" s="371" t="str">
        <f t="shared" si="182"/>
        <v>ともえだ　いつき</v>
      </c>
      <c r="F2310" s="39" t="s">
        <v>5616</v>
      </c>
      <c r="G2310" s="39" t="s">
        <v>7828</v>
      </c>
      <c r="H2310" s="39" t="str">
        <f>("2016/07/11")</f>
        <v>2016/07/11</v>
      </c>
      <c r="I2310" s="39">
        <v>3</v>
      </c>
      <c r="J2310" s="39" t="s">
        <v>1478</v>
      </c>
      <c r="K2310" s="39" t="s">
        <v>2122</v>
      </c>
      <c r="L2310" s="39" t="s">
        <v>7830</v>
      </c>
      <c r="M2310" s="39" t="s">
        <v>7831</v>
      </c>
      <c r="N2310" s="39" t="str">
        <f>("0130385")</f>
        <v>0130385</v>
      </c>
      <c r="P2310" s="39" t="s">
        <v>13760</v>
      </c>
      <c r="Q2310" s="39" t="s">
        <v>8568</v>
      </c>
      <c r="R2310" s="39" t="s">
        <v>8569</v>
      </c>
      <c r="S2310" s="39" t="s">
        <v>8570</v>
      </c>
      <c r="AK2310" s="39" t="str">
        <f>("2025/05/07")</f>
        <v>2025/05/07</v>
      </c>
      <c r="AL2310" s="39" t="str">
        <f>("2025/05/07")</f>
        <v>2025/05/07</v>
      </c>
    </row>
    <row r="2311" spans="1:38" x14ac:dyDescent="0.25">
      <c r="A2311" s="39" t="str">
        <f>("1607130011")</f>
        <v>1607130011</v>
      </c>
      <c r="C2311" s="39"/>
      <c r="D2311" s="39" t="s">
        <v>6280</v>
      </c>
      <c r="E2311" s="371" t="str">
        <f t="shared" si="182"/>
        <v>あそう　さく</v>
      </c>
      <c r="F2311" s="39" t="s">
        <v>5620</v>
      </c>
      <c r="G2311" s="39" t="s">
        <v>7828</v>
      </c>
      <c r="H2311" s="39" t="str">
        <f>("2015/07/13")</f>
        <v>2015/07/13</v>
      </c>
      <c r="I2311" s="39">
        <v>4</v>
      </c>
      <c r="J2311" s="39" t="s">
        <v>1478</v>
      </c>
      <c r="K2311" s="39" t="s">
        <v>2122</v>
      </c>
      <c r="L2311" s="39" t="s">
        <v>7830</v>
      </c>
      <c r="M2311" s="39" t="s">
        <v>7831</v>
      </c>
      <c r="N2311" s="39" t="str">
        <f>("1101553")</f>
        <v>1101553</v>
      </c>
      <c r="P2311" s="39" t="s">
        <v>13761</v>
      </c>
      <c r="Q2311" s="39" t="s">
        <v>8568</v>
      </c>
      <c r="R2311" s="39" t="s">
        <v>8569</v>
      </c>
      <c r="S2311" s="39" t="s">
        <v>8570</v>
      </c>
      <c r="AK2311" s="39" t="str">
        <f>("2025/03/19")</f>
        <v>2025/03/19</v>
      </c>
      <c r="AL2311" s="39" t="str">
        <f>("2025/04/01")</f>
        <v>2025/04/01</v>
      </c>
    </row>
    <row r="2312" spans="1:38" x14ac:dyDescent="0.25">
      <c r="A2312" s="39" t="str">
        <f>("1607130046")</f>
        <v>1607130046</v>
      </c>
      <c r="B2312" s="39" t="s">
        <v>9844</v>
      </c>
      <c r="C2312" s="39"/>
      <c r="D2312" s="39" t="s">
        <v>9845</v>
      </c>
      <c r="E2312" s="371" t="str">
        <f t="shared" si="182"/>
        <v>おかまつ　らいら</v>
      </c>
      <c r="F2312" s="39" t="s">
        <v>1912</v>
      </c>
      <c r="G2312" s="39" t="s">
        <v>7828</v>
      </c>
      <c r="H2312" s="39" t="str">
        <f>("2016/07/13")</f>
        <v>2016/07/13</v>
      </c>
      <c r="I2312" s="39">
        <v>3</v>
      </c>
      <c r="J2312" s="39" t="s">
        <v>1478</v>
      </c>
      <c r="K2312" s="39" t="s">
        <v>2122</v>
      </c>
      <c r="L2312" s="39" t="s">
        <v>7830</v>
      </c>
      <c r="M2312" s="39" t="s">
        <v>7831</v>
      </c>
      <c r="N2312" s="39" t="str">
        <f>("0130363")</f>
        <v>0130363</v>
      </c>
      <c r="P2312" s="39" t="s">
        <v>13762</v>
      </c>
      <c r="Q2312" s="39" t="s">
        <v>8568</v>
      </c>
      <c r="R2312" s="39" t="s">
        <v>8569</v>
      </c>
      <c r="S2312" s="39" t="s">
        <v>8570</v>
      </c>
      <c r="AK2312" s="39" t="str">
        <f>("2025/03/17")</f>
        <v>2025/03/17</v>
      </c>
      <c r="AL2312" s="39" t="str">
        <f>("2025/04/01")</f>
        <v>2025/04/01</v>
      </c>
    </row>
    <row r="2313" spans="1:38" x14ac:dyDescent="0.25">
      <c r="A2313" s="39" t="str">
        <f>("1607150110")</f>
        <v>1607150110</v>
      </c>
      <c r="C2313" s="39"/>
      <c r="D2313" s="39" t="s">
        <v>9846</v>
      </c>
      <c r="E2313" s="371" t="str">
        <f t="shared" si="182"/>
        <v>かい　てるまさ</v>
      </c>
      <c r="F2313" s="39" t="s">
        <v>1082</v>
      </c>
      <c r="G2313" s="39" t="s">
        <v>7828</v>
      </c>
      <c r="H2313" s="39" t="str">
        <f>("2016/07/15")</f>
        <v>2016/07/15</v>
      </c>
      <c r="I2313" s="39">
        <v>3</v>
      </c>
      <c r="J2313" s="39" t="s">
        <v>1478</v>
      </c>
      <c r="K2313" s="39" t="s">
        <v>2122</v>
      </c>
      <c r="L2313" s="39" t="s">
        <v>7830</v>
      </c>
      <c r="M2313" s="39" t="s">
        <v>7831</v>
      </c>
      <c r="N2313" s="39" t="str">
        <f>("0450009")</f>
        <v>0450009</v>
      </c>
      <c r="P2313" s="39" t="s">
        <v>13763</v>
      </c>
      <c r="Q2313" s="39" t="s">
        <v>8568</v>
      </c>
      <c r="R2313" s="39" t="s">
        <v>8569</v>
      </c>
      <c r="S2313" s="39" t="s">
        <v>8570</v>
      </c>
      <c r="AK2313" s="39" t="str">
        <f>("2025/07/09")</f>
        <v>2025/07/09</v>
      </c>
      <c r="AL2313" s="39" t="str">
        <f>("2025/07/09")</f>
        <v>2025/07/09</v>
      </c>
    </row>
    <row r="2314" spans="1:38" x14ac:dyDescent="0.25">
      <c r="A2314" s="39" t="str">
        <f>("1607160023")</f>
        <v>1607160023</v>
      </c>
      <c r="C2314" s="39"/>
      <c r="D2314" s="39" t="s">
        <v>9847</v>
      </c>
      <c r="E2314" s="371" t="str">
        <f t="shared" si="182"/>
        <v>たばた　そうた</v>
      </c>
      <c r="F2314" s="39" t="s">
        <v>2918</v>
      </c>
      <c r="G2314" s="39" t="s">
        <v>7828</v>
      </c>
      <c r="H2314" s="39" t="str">
        <f>("2016/07/16")</f>
        <v>2016/07/16</v>
      </c>
      <c r="I2314" s="39">
        <v>3</v>
      </c>
      <c r="J2314" s="39" t="s">
        <v>1478</v>
      </c>
      <c r="K2314" s="39" t="s">
        <v>2122</v>
      </c>
      <c r="L2314" s="39" t="s">
        <v>7830</v>
      </c>
      <c r="M2314" s="39" t="s">
        <v>7831</v>
      </c>
      <c r="N2314" s="39" t="str">
        <f>("0129912")</f>
        <v>0129912</v>
      </c>
      <c r="P2314" s="39" t="s">
        <v>13764</v>
      </c>
      <c r="Q2314" s="39" t="s">
        <v>8568</v>
      </c>
      <c r="R2314" s="39" t="s">
        <v>8569</v>
      </c>
      <c r="S2314" s="39" t="s">
        <v>8570</v>
      </c>
      <c r="AK2314" s="39" t="str">
        <f>("2025/03/17")</f>
        <v>2025/03/17</v>
      </c>
      <c r="AL2314" s="39" t="str">
        <f>("2025/04/01")</f>
        <v>2025/04/01</v>
      </c>
    </row>
    <row r="2315" spans="1:38" x14ac:dyDescent="0.25">
      <c r="A2315" s="39" t="str">
        <f>("1607170009")</f>
        <v>1607170009</v>
      </c>
      <c r="C2315" s="39"/>
      <c r="D2315" s="39" t="s">
        <v>9848</v>
      </c>
      <c r="E2315" s="371" t="str">
        <f t="shared" si="182"/>
        <v>おがえり　じゅきあ</v>
      </c>
      <c r="F2315" s="39" t="s">
        <v>2878</v>
      </c>
      <c r="G2315" s="39" t="s">
        <v>7828</v>
      </c>
      <c r="H2315" s="39" t="str">
        <f>("2016/07/17")</f>
        <v>2016/07/17</v>
      </c>
      <c r="I2315" s="39">
        <v>3</v>
      </c>
      <c r="J2315" s="39" t="s">
        <v>1478</v>
      </c>
      <c r="K2315" s="39" t="s">
        <v>2122</v>
      </c>
      <c r="L2315" s="39" t="s">
        <v>7830</v>
      </c>
      <c r="M2315" s="39" t="s">
        <v>7831</v>
      </c>
      <c r="N2315" s="39" t="str">
        <f>("0129484")</f>
        <v>0129484</v>
      </c>
      <c r="P2315" s="39" t="s">
        <v>13765</v>
      </c>
      <c r="Q2315" s="39" t="s">
        <v>8568</v>
      </c>
      <c r="R2315" s="39" t="s">
        <v>8569</v>
      </c>
      <c r="S2315" s="39" t="s">
        <v>8570</v>
      </c>
      <c r="AK2315" s="39" t="str">
        <f>("2025/03/17")</f>
        <v>2025/03/17</v>
      </c>
      <c r="AL2315" s="39" t="str">
        <f>("2025/04/01")</f>
        <v>2025/04/01</v>
      </c>
    </row>
    <row r="2316" spans="1:38" x14ac:dyDescent="0.25">
      <c r="A2316" s="39" t="str">
        <f>("1607190120")</f>
        <v>1607190120</v>
      </c>
      <c r="C2316" s="39"/>
      <c r="D2316" s="39" t="s">
        <v>9849</v>
      </c>
      <c r="E2316" s="371" t="str">
        <f t="shared" si="182"/>
        <v>しゅとう　とき</v>
      </c>
      <c r="F2316" s="39" t="s">
        <v>1082</v>
      </c>
      <c r="G2316" s="39" t="s">
        <v>7828</v>
      </c>
      <c r="H2316" s="39" t="str">
        <f>("2016/07/19")</f>
        <v>2016/07/19</v>
      </c>
      <c r="I2316" s="39">
        <v>3</v>
      </c>
      <c r="J2316" s="39" t="s">
        <v>1478</v>
      </c>
      <c r="K2316" s="39" t="s">
        <v>2122</v>
      </c>
      <c r="L2316" s="39" t="s">
        <v>7830</v>
      </c>
      <c r="M2316" s="39" t="s">
        <v>7831</v>
      </c>
      <c r="N2316" s="39" t="str">
        <f>("0450009")</f>
        <v>0450009</v>
      </c>
      <c r="P2316" s="39" t="s">
        <v>13766</v>
      </c>
      <c r="Q2316" s="39" t="s">
        <v>8568</v>
      </c>
      <c r="R2316" s="39" t="s">
        <v>8569</v>
      </c>
      <c r="S2316" s="39" t="s">
        <v>8570</v>
      </c>
      <c r="AK2316" s="39" t="str">
        <f>("2025/07/09")</f>
        <v>2025/07/09</v>
      </c>
      <c r="AL2316" s="39" t="str">
        <f>("2025/07/09")</f>
        <v>2025/07/09</v>
      </c>
    </row>
    <row r="2317" spans="1:38" x14ac:dyDescent="0.25">
      <c r="A2317" s="39" t="str">
        <f>("1607200068")</f>
        <v>1607200068</v>
      </c>
      <c r="C2317" s="39"/>
      <c r="D2317" s="39" t="s">
        <v>9850</v>
      </c>
      <c r="E2317" s="371" t="str">
        <f t="shared" si="182"/>
        <v>おがわ　こうへい</v>
      </c>
      <c r="F2317" s="39" t="s">
        <v>7910</v>
      </c>
      <c r="G2317" s="39" t="s">
        <v>7828</v>
      </c>
      <c r="H2317" s="39" t="str">
        <f>("2016/07/20")</f>
        <v>2016/07/20</v>
      </c>
      <c r="I2317" s="39">
        <v>3</v>
      </c>
      <c r="J2317" s="39" t="s">
        <v>1478</v>
      </c>
      <c r="K2317" s="39" t="s">
        <v>2122</v>
      </c>
      <c r="L2317" s="39" t="s">
        <v>7830</v>
      </c>
      <c r="M2317" s="39" t="s">
        <v>7831</v>
      </c>
      <c r="N2317" s="39" t="str">
        <f>("1111064")</f>
        <v>1111064</v>
      </c>
      <c r="P2317" s="39" t="s">
        <v>13767</v>
      </c>
      <c r="Q2317" s="39" t="s">
        <v>8568</v>
      </c>
      <c r="R2317" s="39" t="s">
        <v>8569</v>
      </c>
      <c r="S2317" s="39" t="s">
        <v>8570</v>
      </c>
      <c r="AK2317" s="39" t="str">
        <f>("2025/03/17")</f>
        <v>2025/03/17</v>
      </c>
      <c r="AL2317" s="39" t="str">
        <f t="shared" ref="AL2317:AL2323" si="183">("2025/04/01")</f>
        <v>2025/04/01</v>
      </c>
    </row>
    <row r="2318" spans="1:38" x14ac:dyDescent="0.25">
      <c r="A2318" s="39" t="str">
        <f>("1607200104")</f>
        <v>1607200104</v>
      </c>
      <c r="C2318" s="39"/>
      <c r="D2318" s="39" t="s">
        <v>9851</v>
      </c>
      <c r="E2318" s="371" t="str">
        <f t="shared" si="182"/>
        <v>くまたばら　しょうた</v>
      </c>
      <c r="F2318" s="39" t="s">
        <v>1330</v>
      </c>
      <c r="G2318" s="39" t="s">
        <v>7828</v>
      </c>
      <c r="H2318" s="39" t="str">
        <f>("2016/07/20")</f>
        <v>2016/07/20</v>
      </c>
      <c r="I2318" s="39">
        <v>3</v>
      </c>
      <c r="J2318" s="39" t="s">
        <v>1478</v>
      </c>
      <c r="K2318" s="39" t="s">
        <v>2122</v>
      </c>
      <c r="L2318" s="39" t="s">
        <v>7830</v>
      </c>
      <c r="M2318" s="39" t="s">
        <v>7831</v>
      </c>
      <c r="N2318" s="39" t="str">
        <f>("0130598")</f>
        <v>0130598</v>
      </c>
      <c r="P2318" s="39" t="s">
        <v>13768</v>
      </c>
      <c r="Q2318" s="39" t="s">
        <v>8568</v>
      </c>
      <c r="R2318" s="39" t="s">
        <v>8569</v>
      </c>
      <c r="S2318" s="39" t="s">
        <v>8570</v>
      </c>
      <c r="AK2318" s="39" t="str">
        <f>("2025/03/17")</f>
        <v>2025/03/17</v>
      </c>
      <c r="AL2318" s="39" t="str">
        <f t="shared" si="183"/>
        <v>2025/04/01</v>
      </c>
    </row>
    <row r="2319" spans="1:38" x14ac:dyDescent="0.25">
      <c r="A2319" s="39" t="str">
        <f>("1607210012")</f>
        <v>1607210012</v>
      </c>
      <c r="B2319" s="39" t="s">
        <v>9852</v>
      </c>
      <c r="C2319" s="39"/>
      <c r="D2319" s="39" t="s">
        <v>9853</v>
      </c>
      <c r="E2319" s="371" t="str">
        <f t="shared" si="182"/>
        <v>のなか　れお</v>
      </c>
      <c r="F2319" s="39" t="s">
        <v>1912</v>
      </c>
      <c r="G2319" s="39" t="s">
        <v>7828</v>
      </c>
      <c r="H2319" s="39" t="str">
        <f>("2016/07/21")</f>
        <v>2016/07/21</v>
      </c>
      <c r="I2319" s="39">
        <v>3</v>
      </c>
      <c r="J2319" s="39" t="s">
        <v>1478</v>
      </c>
      <c r="K2319" s="39" t="s">
        <v>2122</v>
      </c>
      <c r="L2319" s="39" t="s">
        <v>7830</v>
      </c>
      <c r="M2319" s="39" t="s">
        <v>7831</v>
      </c>
      <c r="N2319" s="39" t="str">
        <f>("0130363")</f>
        <v>0130363</v>
      </c>
      <c r="P2319" s="39" t="s">
        <v>13769</v>
      </c>
      <c r="Q2319" s="39" t="s">
        <v>8568</v>
      </c>
      <c r="R2319" s="39" t="s">
        <v>8569</v>
      </c>
      <c r="S2319" s="39" t="s">
        <v>8570</v>
      </c>
      <c r="AK2319" s="39" t="str">
        <f>("2025/03/17")</f>
        <v>2025/03/17</v>
      </c>
      <c r="AL2319" s="39" t="str">
        <f t="shared" si="183"/>
        <v>2025/04/01</v>
      </c>
    </row>
    <row r="2320" spans="1:38" x14ac:dyDescent="0.25">
      <c r="A2320" s="39" t="str">
        <f>("1607210101")</f>
        <v>1607210101</v>
      </c>
      <c r="C2320" s="39"/>
      <c r="D2320" s="39" t="s">
        <v>9854</v>
      </c>
      <c r="E2320" s="371" t="str">
        <f t="shared" si="182"/>
        <v>ふじと　だいち</v>
      </c>
      <c r="F2320" s="39" t="s">
        <v>686</v>
      </c>
      <c r="G2320" s="39" t="s">
        <v>7828</v>
      </c>
      <c r="H2320" s="39" t="str">
        <f>("2016/07/21")</f>
        <v>2016/07/21</v>
      </c>
      <c r="I2320" s="39">
        <v>3</v>
      </c>
      <c r="J2320" s="39" t="s">
        <v>1478</v>
      </c>
      <c r="K2320" s="39" t="s">
        <v>2122</v>
      </c>
      <c r="L2320" s="39" t="s">
        <v>7830</v>
      </c>
      <c r="M2320" s="39" t="s">
        <v>7831</v>
      </c>
      <c r="N2320" s="39" t="str">
        <f>("0130745")</f>
        <v>0130745</v>
      </c>
      <c r="P2320" s="39" t="s">
        <v>13770</v>
      </c>
      <c r="Q2320" s="39" t="s">
        <v>8568</v>
      </c>
      <c r="R2320" s="39" t="s">
        <v>8569</v>
      </c>
      <c r="S2320" s="39" t="s">
        <v>8570</v>
      </c>
      <c r="AK2320" s="39" t="str">
        <f>("2025/03/17")</f>
        <v>2025/03/17</v>
      </c>
      <c r="AL2320" s="39" t="str">
        <f t="shared" si="183"/>
        <v>2025/04/01</v>
      </c>
    </row>
    <row r="2321" spans="1:39" x14ac:dyDescent="0.25">
      <c r="A2321" s="39" t="str">
        <f>("1607210111")</f>
        <v>1607210111</v>
      </c>
      <c r="C2321" s="39"/>
      <c r="D2321" s="39" t="s">
        <v>9855</v>
      </c>
      <c r="E2321" s="371" t="str">
        <f t="shared" si="182"/>
        <v>ひの　てんせい</v>
      </c>
      <c r="F2321" s="39" t="s">
        <v>2530</v>
      </c>
      <c r="G2321" s="39" t="s">
        <v>7828</v>
      </c>
      <c r="H2321" s="39" t="str">
        <f>("2016/07/21")</f>
        <v>2016/07/21</v>
      </c>
      <c r="I2321" s="39">
        <v>3</v>
      </c>
      <c r="J2321" s="39" t="s">
        <v>1478</v>
      </c>
      <c r="K2321" s="39" t="s">
        <v>2122</v>
      </c>
      <c r="L2321" s="39" t="s">
        <v>7830</v>
      </c>
      <c r="M2321" s="39" t="s">
        <v>7831</v>
      </c>
      <c r="N2321" s="39" t="str">
        <f>("0338756")</f>
        <v>0338756</v>
      </c>
      <c r="P2321" s="39" t="s">
        <v>13771</v>
      </c>
      <c r="Q2321" s="39" t="s">
        <v>8568</v>
      </c>
      <c r="R2321" s="39" t="s">
        <v>8569</v>
      </c>
      <c r="S2321" s="39" t="s">
        <v>8570</v>
      </c>
      <c r="AK2321" s="39" t="str">
        <f>("2025/04/01")</f>
        <v>2025/04/01</v>
      </c>
      <c r="AL2321" s="39" t="str">
        <f t="shared" si="183"/>
        <v>2025/04/01</v>
      </c>
    </row>
    <row r="2322" spans="1:39" x14ac:dyDescent="0.25">
      <c r="A2322" s="39" t="str">
        <f>("1607230009")</f>
        <v>1607230009</v>
      </c>
      <c r="B2322" s="39" t="s">
        <v>9856</v>
      </c>
      <c r="C2322" s="39"/>
      <c r="D2322" s="39" t="s">
        <v>9857</v>
      </c>
      <c r="E2322" s="371" t="str">
        <f t="shared" si="182"/>
        <v>おかもと　しゅうや</v>
      </c>
      <c r="F2322" s="39" t="s">
        <v>8135</v>
      </c>
      <c r="G2322" s="39" t="s">
        <v>7828</v>
      </c>
      <c r="H2322" s="39" t="str">
        <f>("2016/07/23")</f>
        <v>2016/07/23</v>
      </c>
      <c r="I2322" s="39">
        <v>3</v>
      </c>
      <c r="J2322" s="39" t="s">
        <v>1478</v>
      </c>
      <c r="K2322" s="39" t="s">
        <v>2122</v>
      </c>
      <c r="L2322" s="39" t="s">
        <v>7830</v>
      </c>
      <c r="M2322" s="39" t="s">
        <v>7831</v>
      </c>
      <c r="N2322" s="39" t="str">
        <f>("0475567")</f>
        <v>0475567</v>
      </c>
      <c r="P2322" s="39" t="s">
        <v>13772</v>
      </c>
      <c r="Q2322" s="39" t="s">
        <v>8568</v>
      </c>
      <c r="R2322" s="39" t="s">
        <v>8569</v>
      </c>
      <c r="S2322" s="39" t="s">
        <v>8570</v>
      </c>
      <c r="AK2322" s="39" t="str">
        <f>("2025/03/24")</f>
        <v>2025/03/24</v>
      </c>
      <c r="AL2322" s="39" t="str">
        <f t="shared" si="183"/>
        <v>2025/04/01</v>
      </c>
    </row>
    <row r="2323" spans="1:39" x14ac:dyDescent="0.25">
      <c r="A2323" s="39" t="str">
        <f>("1607250088")</f>
        <v>1607250088</v>
      </c>
      <c r="C2323" s="39"/>
      <c r="D2323" s="39" t="s">
        <v>9858</v>
      </c>
      <c r="E2323" s="371" t="str">
        <f t="shared" si="182"/>
        <v>かく　みつき</v>
      </c>
      <c r="F2323" s="39" t="s">
        <v>2342</v>
      </c>
      <c r="G2323" s="39" t="s">
        <v>7828</v>
      </c>
      <c r="H2323" s="39" t="str">
        <f>("2016/07/25")</f>
        <v>2016/07/25</v>
      </c>
      <c r="I2323" s="39">
        <v>3</v>
      </c>
      <c r="J2323" s="39" t="s">
        <v>1478</v>
      </c>
      <c r="K2323" s="39" t="s">
        <v>2122</v>
      </c>
      <c r="L2323" s="39" t="s">
        <v>7830</v>
      </c>
      <c r="M2323" s="39" t="s">
        <v>7831</v>
      </c>
      <c r="N2323" s="39" t="str">
        <f>("0130307")</f>
        <v>0130307</v>
      </c>
      <c r="P2323" s="39" t="s">
        <v>13773</v>
      </c>
      <c r="Q2323" s="39" t="s">
        <v>8568</v>
      </c>
      <c r="R2323" s="39" t="s">
        <v>8569</v>
      </c>
      <c r="S2323" s="39" t="s">
        <v>8570</v>
      </c>
      <c r="AK2323" s="39" t="str">
        <f>("2025/03/17")</f>
        <v>2025/03/17</v>
      </c>
      <c r="AL2323" s="39" t="str">
        <f t="shared" si="183"/>
        <v>2025/04/01</v>
      </c>
    </row>
    <row r="2324" spans="1:39" x14ac:dyDescent="0.25">
      <c r="A2324" s="39" t="str">
        <f>("1607250130")</f>
        <v>1607250130</v>
      </c>
      <c r="C2324" s="39"/>
      <c r="D2324" s="39" t="s">
        <v>9859</v>
      </c>
      <c r="E2324" s="371" t="str">
        <f t="shared" si="182"/>
        <v>さとう　のあ</v>
      </c>
      <c r="F2324" s="39" t="s">
        <v>2469</v>
      </c>
      <c r="G2324" s="39" t="s">
        <v>7828</v>
      </c>
      <c r="H2324" s="39" t="str">
        <f>("2016/07/25")</f>
        <v>2016/07/25</v>
      </c>
      <c r="I2324" s="39">
        <v>3</v>
      </c>
      <c r="J2324" s="39" t="s">
        <v>1478</v>
      </c>
      <c r="K2324" s="39" t="s">
        <v>2122</v>
      </c>
      <c r="L2324" s="39" t="s">
        <v>7830</v>
      </c>
      <c r="M2324" s="39" t="s">
        <v>7831</v>
      </c>
      <c r="N2324" s="39" t="str">
        <f>("0129462")</f>
        <v>0129462</v>
      </c>
      <c r="P2324" s="39" t="s">
        <v>13774</v>
      </c>
      <c r="Q2324" s="39" t="s">
        <v>8568</v>
      </c>
      <c r="R2324" s="39" t="s">
        <v>8569</v>
      </c>
      <c r="S2324" s="39" t="s">
        <v>8570</v>
      </c>
      <c r="AK2324" s="39" t="str">
        <f>("2025/09/02")</f>
        <v>2025/09/02</v>
      </c>
      <c r="AL2324" s="39" t="str">
        <f>("2025/09/02")</f>
        <v>2025/09/02</v>
      </c>
    </row>
    <row r="2325" spans="1:39" x14ac:dyDescent="0.25">
      <c r="A2325" s="39" t="str">
        <f>("1607260048")</f>
        <v>1607260048</v>
      </c>
      <c r="C2325" s="39"/>
      <c r="D2325" s="39" t="s">
        <v>5909</v>
      </c>
      <c r="E2325" s="371" t="str">
        <f t="shared" si="182"/>
        <v>ざいぜん　あゆむ</v>
      </c>
      <c r="F2325" s="39" t="s">
        <v>2543</v>
      </c>
      <c r="G2325" s="39" t="s">
        <v>7828</v>
      </c>
      <c r="H2325" s="39" t="str">
        <f>("2016/07/26")</f>
        <v>2016/07/26</v>
      </c>
      <c r="I2325" s="39">
        <v>3</v>
      </c>
      <c r="J2325" s="39" t="s">
        <v>1478</v>
      </c>
      <c r="K2325" s="39" t="s">
        <v>2122</v>
      </c>
      <c r="L2325" s="39" t="s">
        <v>7830</v>
      </c>
      <c r="M2325" s="39" t="s">
        <v>7831</v>
      </c>
      <c r="N2325" s="39" t="str">
        <f>("0130600")</f>
        <v>0130600</v>
      </c>
      <c r="P2325" s="39" t="s">
        <v>13775</v>
      </c>
      <c r="Q2325" s="39" t="s">
        <v>8568</v>
      </c>
      <c r="R2325" s="39" t="s">
        <v>8569</v>
      </c>
      <c r="S2325" s="39" t="s">
        <v>8570</v>
      </c>
      <c r="AK2325" s="39" t="str">
        <f>("2025/03/17")</f>
        <v>2025/03/17</v>
      </c>
      <c r="AL2325" s="39" t="str">
        <f>("2025/04/01")</f>
        <v>2025/04/01</v>
      </c>
    </row>
    <row r="2326" spans="1:39" x14ac:dyDescent="0.25">
      <c r="A2326" s="39" t="str">
        <f>("1607270035")</f>
        <v>1607270035</v>
      </c>
      <c r="C2326" s="39"/>
      <c r="D2326" s="39" t="s">
        <v>9860</v>
      </c>
      <c r="E2326" s="371" t="str">
        <f t="shared" si="182"/>
        <v>おかべ　りく</v>
      </c>
      <c r="F2326" s="39" t="s">
        <v>3104</v>
      </c>
      <c r="G2326" s="39" t="s">
        <v>7828</v>
      </c>
      <c r="H2326" s="39" t="str">
        <f>("2016/07/27")</f>
        <v>2016/07/27</v>
      </c>
      <c r="I2326" s="39">
        <v>3</v>
      </c>
      <c r="J2326" s="39" t="s">
        <v>1478</v>
      </c>
      <c r="K2326" s="39" t="s">
        <v>2122</v>
      </c>
      <c r="L2326" s="39" t="s">
        <v>7830</v>
      </c>
      <c r="M2326" s="39" t="s">
        <v>7831</v>
      </c>
      <c r="N2326" s="39" t="str">
        <f>("1076189")</f>
        <v>1076189</v>
      </c>
      <c r="P2326" s="39" t="s">
        <v>13776</v>
      </c>
      <c r="Q2326" s="39" t="s">
        <v>8568</v>
      </c>
      <c r="R2326" s="39" t="s">
        <v>8569</v>
      </c>
      <c r="S2326" s="39" t="s">
        <v>8570</v>
      </c>
      <c r="AK2326" s="39" t="str">
        <f>("2025/03/24")</f>
        <v>2025/03/24</v>
      </c>
      <c r="AL2326" s="39" t="str">
        <f>("2025/04/01")</f>
        <v>2025/04/01</v>
      </c>
    </row>
    <row r="2327" spans="1:39" x14ac:dyDescent="0.25">
      <c r="A2327" s="39" t="str">
        <f>("1607270093")</f>
        <v>1607270093</v>
      </c>
      <c r="C2327" s="39"/>
      <c r="D2327" s="39" t="s">
        <v>9861</v>
      </c>
      <c r="E2327" s="371" t="str">
        <f t="shared" si="182"/>
        <v>おとず　ゆう</v>
      </c>
      <c r="F2327" s="39" t="s">
        <v>1190</v>
      </c>
      <c r="G2327" s="39" t="s">
        <v>7876</v>
      </c>
      <c r="H2327" s="39" t="str">
        <f>("2016/07/27")</f>
        <v>2016/07/27</v>
      </c>
      <c r="I2327" s="39">
        <v>3</v>
      </c>
      <c r="J2327" s="39" t="s">
        <v>1480</v>
      </c>
      <c r="K2327" s="39" t="s">
        <v>2122</v>
      </c>
      <c r="L2327" s="39" t="s">
        <v>7830</v>
      </c>
      <c r="M2327" s="39" t="s">
        <v>7831</v>
      </c>
      <c r="N2327" s="39" t="str">
        <f>("0130554")</f>
        <v>0130554</v>
      </c>
      <c r="P2327" s="39" t="s">
        <v>13777</v>
      </c>
      <c r="Q2327" s="39" t="s">
        <v>8568</v>
      </c>
      <c r="R2327" s="39" t="s">
        <v>8569</v>
      </c>
      <c r="S2327" s="39" t="s">
        <v>8570</v>
      </c>
      <c r="AK2327" s="39" t="str">
        <f>("2025/03/17")</f>
        <v>2025/03/17</v>
      </c>
      <c r="AL2327" s="39" t="str">
        <f>("2025/04/01")</f>
        <v>2025/04/01</v>
      </c>
      <c r="AM2327" s="39" t="str">
        <f>("2025/12/16")</f>
        <v>2025/12/16</v>
      </c>
    </row>
    <row r="2328" spans="1:39" x14ac:dyDescent="0.25">
      <c r="A2328" s="39" t="str">
        <f>("1607270095")</f>
        <v>1607270095</v>
      </c>
      <c r="C2328" s="39"/>
      <c r="D2328" s="39" t="s">
        <v>9862</v>
      </c>
      <c r="E2328" s="371" t="str">
        <f t="shared" si="182"/>
        <v>えぐち　そうま</v>
      </c>
      <c r="F2328" s="39" t="s">
        <v>1330</v>
      </c>
      <c r="G2328" s="39" t="s">
        <v>7828</v>
      </c>
      <c r="H2328" s="39" t="str">
        <f>("2016/07/27")</f>
        <v>2016/07/27</v>
      </c>
      <c r="I2328" s="39">
        <v>3</v>
      </c>
      <c r="J2328" s="39" t="s">
        <v>1478</v>
      </c>
      <c r="K2328" s="39" t="s">
        <v>2122</v>
      </c>
      <c r="L2328" s="39" t="s">
        <v>7830</v>
      </c>
      <c r="M2328" s="39" t="s">
        <v>7831</v>
      </c>
      <c r="N2328" s="39" t="str">
        <f>("0130598")</f>
        <v>0130598</v>
      </c>
      <c r="P2328" s="39" t="s">
        <v>13778</v>
      </c>
      <c r="Q2328" s="39" t="s">
        <v>8568</v>
      </c>
      <c r="R2328" s="39" t="s">
        <v>8569</v>
      </c>
      <c r="S2328" s="39" t="s">
        <v>8570</v>
      </c>
      <c r="AK2328" s="39" t="str">
        <f>("2025/03/17")</f>
        <v>2025/03/17</v>
      </c>
      <c r="AL2328" s="39" t="str">
        <f>("2025/04/01")</f>
        <v>2025/04/01</v>
      </c>
    </row>
    <row r="2329" spans="1:39" x14ac:dyDescent="0.25">
      <c r="A2329" s="39" t="str">
        <f>("1607270148")</f>
        <v>1607270148</v>
      </c>
      <c r="C2329" s="39"/>
      <c r="D2329" s="39" t="s">
        <v>9863</v>
      </c>
      <c r="E2329" s="371" t="str">
        <f t="shared" si="182"/>
        <v>こにし　りゅうせい</v>
      </c>
      <c r="F2329" s="39" t="s">
        <v>2557</v>
      </c>
      <c r="G2329" s="39" t="s">
        <v>7828</v>
      </c>
      <c r="H2329" s="39" t="str">
        <f>("2016/07/27")</f>
        <v>2016/07/27</v>
      </c>
      <c r="I2329" s="39">
        <v>3</v>
      </c>
      <c r="J2329" s="39" t="s">
        <v>1478</v>
      </c>
      <c r="K2329" s="39" t="s">
        <v>2122</v>
      </c>
      <c r="L2329" s="39" t="s">
        <v>7830</v>
      </c>
      <c r="M2329" s="39" t="s">
        <v>7831</v>
      </c>
      <c r="N2329" s="39" t="str">
        <f>("0130723")</f>
        <v>0130723</v>
      </c>
      <c r="P2329" s="39" t="s">
        <v>13779</v>
      </c>
      <c r="Q2329" s="39" t="s">
        <v>8568</v>
      </c>
      <c r="R2329" s="39" t="s">
        <v>8569</v>
      </c>
      <c r="S2329" s="39" t="s">
        <v>8570</v>
      </c>
      <c r="AK2329" s="39" t="str">
        <f>("2025/09/26")</f>
        <v>2025/09/26</v>
      </c>
      <c r="AL2329" s="39" t="str">
        <f>("2025/09/26")</f>
        <v>2025/09/26</v>
      </c>
    </row>
    <row r="2330" spans="1:39" x14ac:dyDescent="0.25">
      <c r="A2330" s="39" t="str">
        <f>("1607290005")</f>
        <v>1607290005</v>
      </c>
      <c r="B2330" s="39" t="s">
        <v>9864</v>
      </c>
      <c r="C2330" s="39"/>
      <c r="D2330" s="39" t="s">
        <v>9865</v>
      </c>
      <c r="E2330" s="371" t="str">
        <f t="shared" si="182"/>
        <v>かじわら　しゅんき</v>
      </c>
      <c r="F2330" s="39" t="s">
        <v>2325</v>
      </c>
      <c r="G2330" s="39" t="s">
        <v>7828</v>
      </c>
      <c r="H2330" s="39" t="str">
        <f>("2016/07/29")</f>
        <v>2016/07/29</v>
      </c>
      <c r="I2330" s="39">
        <v>3</v>
      </c>
      <c r="J2330" s="39" t="s">
        <v>1478</v>
      </c>
      <c r="K2330" s="39" t="s">
        <v>2122</v>
      </c>
      <c r="L2330" s="39" t="s">
        <v>7830</v>
      </c>
      <c r="M2330" s="39" t="s">
        <v>7831</v>
      </c>
      <c r="N2330" s="39" t="str">
        <f>("0155034")</f>
        <v>0155034</v>
      </c>
      <c r="P2330" s="39" t="s">
        <v>13780</v>
      </c>
      <c r="Q2330" s="39" t="s">
        <v>8568</v>
      </c>
      <c r="R2330" s="39" t="s">
        <v>8569</v>
      </c>
      <c r="S2330" s="39" t="s">
        <v>8570</v>
      </c>
      <c r="AK2330" s="39" t="str">
        <f>("2025/03/17")</f>
        <v>2025/03/17</v>
      </c>
      <c r="AL2330" s="39" t="str">
        <f>("2025/04/01")</f>
        <v>2025/04/01</v>
      </c>
    </row>
    <row r="2331" spans="1:39" x14ac:dyDescent="0.25">
      <c r="A2331" s="39" t="str">
        <f>("1607290128")</f>
        <v>1607290128</v>
      </c>
      <c r="C2331" s="39"/>
      <c r="D2331" s="39" t="s">
        <v>9866</v>
      </c>
      <c r="E2331" s="371" t="str">
        <f t="shared" si="182"/>
        <v>ざいつ　としひろ</v>
      </c>
      <c r="F2331" s="39" t="s">
        <v>684</v>
      </c>
      <c r="G2331" s="39" t="s">
        <v>7828</v>
      </c>
      <c r="H2331" s="39" t="str">
        <f>("2016/07/29")</f>
        <v>2016/07/29</v>
      </c>
      <c r="I2331" s="39">
        <v>3</v>
      </c>
      <c r="J2331" s="39" t="s">
        <v>1478</v>
      </c>
      <c r="K2331" s="39" t="s">
        <v>2122</v>
      </c>
      <c r="L2331" s="39" t="s">
        <v>7830</v>
      </c>
      <c r="M2331" s="39" t="s">
        <v>7831</v>
      </c>
      <c r="N2331" s="39" t="str">
        <f>("0129518")</f>
        <v>0129518</v>
      </c>
      <c r="P2331" s="39" t="s">
        <v>13781</v>
      </c>
      <c r="Q2331" s="39" t="s">
        <v>8568</v>
      </c>
      <c r="R2331" s="39" t="s">
        <v>8569</v>
      </c>
      <c r="S2331" s="39" t="s">
        <v>8570</v>
      </c>
      <c r="AK2331" s="39" t="str">
        <f>("2025/09/10")</f>
        <v>2025/09/10</v>
      </c>
      <c r="AL2331" s="39" t="str">
        <f>("2025/09/10")</f>
        <v>2025/09/10</v>
      </c>
    </row>
    <row r="2332" spans="1:39" x14ac:dyDescent="0.25">
      <c r="A2332" s="39" t="str">
        <f>("1607300102")</f>
        <v>1607300102</v>
      </c>
      <c r="C2332" s="39"/>
      <c r="D2332" s="39" t="s">
        <v>9867</v>
      </c>
      <c r="E2332" s="371" t="str">
        <f t="shared" si="182"/>
        <v>せぐち　はやた</v>
      </c>
      <c r="F2332" s="39" t="s">
        <v>1692</v>
      </c>
      <c r="G2332" s="39" t="s">
        <v>7828</v>
      </c>
      <c r="H2332" s="39" t="str">
        <f>("2016/07/30")</f>
        <v>2016/07/30</v>
      </c>
      <c r="I2332" s="39">
        <v>3</v>
      </c>
      <c r="J2332" s="39" t="s">
        <v>1478</v>
      </c>
      <c r="K2332" s="39" t="s">
        <v>2122</v>
      </c>
      <c r="L2332" s="39" t="s">
        <v>7830</v>
      </c>
      <c r="M2332" s="39" t="s">
        <v>7831</v>
      </c>
      <c r="N2332" s="39" t="str">
        <f>("1052299")</f>
        <v>1052299</v>
      </c>
      <c r="P2332" s="39" t="s">
        <v>13782</v>
      </c>
      <c r="Q2332" s="39" t="s">
        <v>8568</v>
      </c>
      <c r="R2332" s="39" t="s">
        <v>8569</v>
      </c>
      <c r="S2332" s="39" t="s">
        <v>8570</v>
      </c>
      <c r="AK2332" s="39" t="str">
        <f>("2025/08/29")</f>
        <v>2025/08/29</v>
      </c>
      <c r="AL2332" s="39" t="str">
        <f>("2025/08/29")</f>
        <v>2025/08/29</v>
      </c>
    </row>
    <row r="2333" spans="1:39" x14ac:dyDescent="0.25">
      <c r="A2333" s="39" t="str">
        <f>("1607310012")</f>
        <v>1607310012</v>
      </c>
      <c r="C2333" s="39"/>
      <c r="D2333" s="39" t="s">
        <v>9868</v>
      </c>
      <c r="E2333" s="371" t="str">
        <f t="shared" si="182"/>
        <v>せいけ　わたる</v>
      </c>
      <c r="F2333" s="39" t="s">
        <v>2138</v>
      </c>
      <c r="G2333" s="39" t="s">
        <v>7828</v>
      </c>
      <c r="H2333" s="39" t="str">
        <f>("2016/07/31")</f>
        <v>2016/07/31</v>
      </c>
      <c r="I2333" s="39">
        <v>3</v>
      </c>
      <c r="J2333" s="39" t="s">
        <v>1478</v>
      </c>
      <c r="K2333" s="39" t="s">
        <v>2122</v>
      </c>
      <c r="L2333" s="39" t="s">
        <v>7830</v>
      </c>
      <c r="M2333" s="39" t="s">
        <v>7831</v>
      </c>
      <c r="N2333" s="39" t="str">
        <f>("0130082")</f>
        <v>0130082</v>
      </c>
      <c r="P2333" s="39" t="s">
        <v>13783</v>
      </c>
      <c r="Q2333" s="39" t="s">
        <v>8568</v>
      </c>
      <c r="R2333" s="39" t="s">
        <v>8569</v>
      </c>
      <c r="S2333" s="39" t="s">
        <v>8570</v>
      </c>
      <c r="AK2333" s="39" t="str">
        <f>("2025/03/17")</f>
        <v>2025/03/17</v>
      </c>
      <c r="AL2333" s="39" t="str">
        <f>("2025/04/01")</f>
        <v>2025/04/01</v>
      </c>
    </row>
    <row r="2334" spans="1:39" x14ac:dyDescent="0.25">
      <c r="A2334" s="39" t="str">
        <f>("1607310022")</f>
        <v>1607310022</v>
      </c>
      <c r="C2334" s="39"/>
      <c r="D2334" s="39" t="s">
        <v>9869</v>
      </c>
      <c r="E2334" s="371" t="str">
        <f t="shared" si="182"/>
        <v>そめや　きよし</v>
      </c>
      <c r="F2334" s="39" t="s">
        <v>156</v>
      </c>
      <c r="G2334" s="39" t="s">
        <v>7828</v>
      </c>
      <c r="H2334" s="39" t="str">
        <f>("2016/07/31")</f>
        <v>2016/07/31</v>
      </c>
      <c r="I2334" s="39">
        <v>3</v>
      </c>
      <c r="J2334" s="39" t="s">
        <v>1478</v>
      </c>
      <c r="K2334" s="39" t="s">
        <v>2122</v>
      </c>
      <c r="L2334" s="39" t="s">
        <v>7830</v>
      </c>
      <c r="M2334" s="39" t="s">
        <v>7831</v>
      </c>
      <c r="N2334" s="39" t="str">
        <f>("0130037")</f>
        <v>0130037</v>
      </c>
      <c r="P2334" s="39" t="s">
        <v>13784</v>
      </c>
      <c r="Q2334" s="39" t="s">
        <v>8568</v>
      </c>
      <c r="R2334" s="39" t="s">
        <v>8569</v>
      </c>
      <c r="S2334" s="39" t="s">
        <v>8570</v>
      </c>
      <c r="AK2334" s="39" t="str">
        <f>("2025/03/17")</f>
        <v>2025/03/17</v>
      </c>
      <c r="AL2334" s="39" t="str">
        <f>("2025/04/01")</f>
        <v>2025/04/01</v>
      </c>
    </row>
    <row r="2335" spans="1:39" x14ac:dyDescent="0.25">
      <c r="A2335" s="39" t="str">
        <f>("1607310053")</f>
        <v>1607310053</v>
      </c>
      <c r="C2335" s="39"/>
      <c r="D2335" s="39" t="s">
        <v>9870</v>
      </c>
      <c r="E2335" s="371" t="str">
        <f t="shared" si="182"/>
        <v>さとう　すずな</v>
      </c>
      <c r="F2335" s="39" t="s">
        <v>2324</v>
      </c>
      <c r="G2335" s="39" t="s">
        <v>7828</v>
      </c>
      <c r="H2335" s="39" t="str">
        <f>("2016/07/31")</f>
        <v>2016/07/31</v>
      </c>
      <c r="I2335" s="39">
        <v>3</v>
      </c>
      <c r="J2335" s="39" t="s">
        <v>1480</v>
      </c>
      <c r="K2335" s="39" t="s">
        <v>2122</v>
      </c>
      <c r="L2335" s="39" t="s">
        <v>7830</v>
      </c>
      <c r="M2335" s="39" t="s">
        <v>7831</v>
      </c>
      <c r="N2335" s="39" t="str">
        <f>("0130486")</f>
        <v>0130486</v>
      </c>
      <c r="P2335" s="39" t="s">
        <v>13785</v>
      </c>
      <c r="Q2335" s="39" t="s">
        <v>8568</v>
      </c>
      <c r="R2335" s="39" t="s">
        <v>8569</v>
      </c>
      <c r="S2335" s="39" t="s">
        <v>8570</v>
      </c>
      <c r="AK2335" s="39" t="str">
        <f>("2025/03/24")</f>
        <v>2025/03/24</v>
      </c>
      <c r="AL2335" s="39" t="str">
        <f>("2025/04/01")</f>
        <v>2025/04/01</v>
      </c>
    </row>
    <row r="2336" spans="1:39" x14ac:dyDescent="0.25">
      <c r="A2336" s="39" t="str">
        <f>("1608010124")</f>
        <v>1608010124</v>
      </c>
      <c r="C2336" s="39"/>
      <c r="D2336" s="39" t="s">
        <v>9871</v>
      </c>
      <c r="E2336" s="371" t="str">
        <f t="shared" si="182"/>
        <v>たけむら　はじめ</v>
      </c>
      <c r="F2336" s="39" t="s">
        <v>1082</v>
      </c>
      <c r="G2336" s="39" t="s">
        <v>7828</v>
      </c>
      <c r="H2336" s="39" t="str">
        <f>("2016/08/01")</f>
        <v>2016/08/01</v>
      </c>
      <c r="I2336" s="39">
        <v>3</v>
      </c>
      <c r="J2336" s="39" t="s">
        <v>1478</v>
      </c>
      <c r="K2336" s="39" t="s">
        <v>2122</v>
      </c>
      <c r="L2336" s="39" t="s">
        <v>7830</v>
      </c>
      <c r="M2336" s="39" t="s">
        <v>7831</v>
      </c>
      <c r="N2336" s="39" t="str">
        <f>("0450009")</f>
        <v>0450009</v>
      </c>
      <c r="P2336" s="39" t="s">
        <v>13786</v>
      </c>
      <c r="Q2336" s="39" t="s">
        <v>8568</v>
      </c>
      <c r="R2336" s="39" t="s">
        <v>8569</v>
      </c>
      <c r="S2336" s="39" t="s">
        <v>8570</v>
      </c>
      <c r="AK2336" s="39" t="str">
        <f>("2025/07/09")</f>
        <v>2025/07/09</v>
      </c>
      <c r="AL2336" s="39" t="str">
        <f>("2025/07/09")</f>
        <v>2025/07/09</v>
      </c>
    </row>
    <row r="2337" spans="1:39" x14ac:dyDescent="0.25">
      <c r="A2337" s="39" t="str">
        <f>("1608020114")</f>
        <v>1608020114</v>
      </c>
      <c r="C2337" s="39"/>
      <c r="D2337" s="39" t="s">
        <v>9872</v>
      </c>
      <c r="E2337" s="371" t="str">
        <f t="shared" si="182"/>
        <v>しもはた　はるひ</v>
      </c>
      <c r="F2337" s="39" t="s">
        <v>1481</v>
      </c>
      <c r="G2337" s="39" t="s">
        <v>7828</v>
      </c>
      <c r="H2337" s="39" t="str">
        <f>("2016/08/02")</f>
        <v>2016/08/02</v>
      </c>
      <c r="I2337" s="39">
        <v>3</v>
      </c>
      <c r="J2337" s="39" t="s">
        <v>1478</v>
      </c>
      <c r="K2337" s="39" t="s">
        <v>2122</v>
      </c>
      <c r="L2337" s="39" t="s">
        <v>7830</v>
      </c>
      <c r="M2337" s="39" t="s">
        <v>7831</v>
      </c>
      <c r="N2337" s="39" t="str">
        <f>("0129866")</f>
        <v>0129866</v>
      </c>
      <c r="P2337" s="39" t="s">
        <v>13787</v>
      </c>
      <c r="Q2337" s="39" t="s">
        <v>8568</v>
      </c>
      <c r="R2337" s="39" t="s">
        <v>8569</v>
      </c>
      <c r="S2337" s="39" t="s">
        <v>8570</v>
      </c>
      <c r="AK2337" s="39" t="str">
        <f>("2025/04/04")</f>
        <v>2025/04/04</v>
      </c>
      <c r="AL2337" s="39" t="str">
        <f>("2025/04/04")</f>
        <v>2025/04/04</v>
      </c>
    </row>
    <row r="2338" spans="1:39" x14ac:dyDescent="0.25">
      <c r="A2338" s="39" t="str">
        <f>("1608030129")</f>
        <v>1608030129</v>
      </c>
      <c r="C2338" s="39"/>
      <c r="D2338" s="39" t="s">
        <v>9873</v>
      </c>
      <c r="E2338" s="371" t="str">
        <f t="shared" si="182"/>
        <v>まつだ　ひなた</v>
      </c>
      <c r="F2338" s="39" t="s">
        <v>686</v>
      </c>
      <c r="G2338" s="39" t="s">
        <v>7828</v>
      </c>
      <c r="H2338" s="39" t="str">
        <f>("2016/08/03")</f>
        <v>2016/08/03</v>
      </c>
      <c r="I2338" s="39">
        <v>3</v>
      </c>
      <c r="J2338" s="39" t="s">
        <v>1478</v>
      </c>
      <c r="K2338" s="39" t="s">
        <v>2122</v>
      </c>
      <c r="L2338" s="39" t="s">
        <v>7830</v>
      </c>
      <c r="M2338" s="39" t="s">
        <v>7831</v>
      </c>
      <c r="N2338" s="39" t="str">
        <f>("0130745")</f>
        <v>0130745</v>
      </c>
      <c r="P2338" s="39" t="s">
        <v>13788</v>
      </c>
      <c r="Q2338" s="39" t="s">
        <v>8568</v>
      </c>
      <c r="R2338" s="39" t="s">
        <v>8569</v>
      </c>
      <c r="S2338" s="39" t="s">
        <v>8570</v>
      </c>
      <c r="AK2338" s="39" t="str">
        <f>("2025/05/09")</f>
        <v>2025/05/09</v>
      </c>
      <c r="AL2338" s="39" t="str">
        <f>("2025/05/09")</f>
        <v>2025/05/09</v>
      </c>
    </row>
    <row r="2339" spans="1:39" x14ac:dyDescent="0.25">
      <c r="A2339" s="39" t="str">
        <f>("1608030143")</f>
        <v>1608030143</v>
      </c>
      <c r="C2339" s="39"/>
      <c r="D2339" s="39" t="s">
        <v>9874</v>
      </c>
      <c r="E2339" s="371" t="str">
        <f t="shared" si="182"/>
        <v>かとう　たいし</v>
      </c>
      <c r="F2339" s="39" t="s">
        <v>1158</v>
      </c>
      <c r="G2339" s="39" t="s">
        <v>7828</v>
      </c>
      <c r="H2339" s="39" t="str">
        <f>("2016/08/03")</f>
        <v>2016/08/03</v>
      </c>
      <c r="I2339" s="39">
        <v>3</v>
      </c>
      <c r="J2339" s="39" t="s">
        <v>1478</v>
      </c>
      <c r="K2339" s="39" t="s">
        <v>2122</v>
      </c>
      <c r="L2339" s="39" t="s">
        <v>7830</v>
      </c>
      <c r="M2339" s="39" t="s">
        <v>7831</v>
      </c>
      <c r="N2339" s="39" t="str">
        <f>("0130318")</f>
        <v>0130318</v>
      </c>
      <c r="P2339" s="39" t="s">
        <v>13789</v>
      </c>
      <c r="Q2339" s="39" t="s">
        <v>8568</v>
      </c>
      <c r="R2339" s="39" t="s">
        <v>8569</v>
      </c>
      <c r="S2339" s="39" t="s">
        <v>8570</v>
      </c>
      <c r="AK2339" s="39" t="str">
        <f>("2025/08/25")</f>
        <v>2025/08/25</v>
      </c>
      <c r="AL2339" s="39" t="str">
        <f>("2025/08/25")</f>
        <v>2025/08/25</v>
      </c>
    </row>
    <row r="2340" spans="1:39" x14ac:dyDescent="0.25">
      <c r="A2340" s="39" t="str">
        <f>("1608050030")</f>
        <v>1608050030</v>
      </c>
      <c r="C2340" s="39"/>
      <c r="D2340" s="39" t="s">
        <v>9875</v>
      </c>
      <c r="E2340" s="371" t="str">
        <f t="shared" si="182"/>
        <v>きよはら　ひびき</v>
      </c>
      <c r="F2340" s="39" t="s">
        <v>2584</v>
      </c>
      <c r="G2340" s="39" t="s">
        <v>7828</v>
      </c>
      <c r="H2340" s="39" t="str">
        <f t="shared" ref="H2340:H2346" si="184">("2016/08/05")</f>
        <v>2016/08/05</v>
      </c>
      <c r="I2340" s="39">
        <v>3</v>
      </c>
      <c r="J2340" s="39" t="s">
        <v>1478</v>
      </c>
      <c r="K2340" s="39" t="s">
        <v>2122</v>
      </c>
      <c r="L2340" s="39" t="s">
        <v>7830</v>
      </c>
      <c r="M2340" s="39" t="s">
        <v>7831</v>
      </c>
      <c r="N2340" s="39" t="str">
        <f>("0374071")</f>
        <v>0374071</v>
      </c>
      <c r="P2340" s="39" t="s">
        <v>13790</v>
      </c>
      <c r="Q2340" s="39" t="s">
        <v>8568</v>
      </c>
      <c r="R2340" s="39" t="s">
        <v>8569</v>
      </c>
      <c r="S2340" s="39" t="s">
        <v>8570</v>
      </c>
      <c r="AK2340" s="39" t="str">
        <f>("2025/03/17")</f>
        <v>2025/03/17</v>
      </c>
      <c r="AL2340" s="39" t="str">
        <f>("2025/04/01")</f>
        <v>2025/04/01</v>
      </c>
    </row>
    <row r="2341" spans="1:39" x14ac:dyDescent="0.25">
      <c r="A2341" s="39" t="str">
        <f>("1608050043")</f>
        <v>1608050043</v>
      </c>
      <c r="C2341" s="39"/>
      <c r="D2341" s="39" t="s">
        <v>9876</v>
      </c>
      <c r="E2341" s="371" t="str">
        <f t="shared" si="182"/>
        <v>きたがわ　ゆうしん</v>
      </c>
      <c r="F2341" s="39" t="s">
        <v>2574</v>
      </c>
      <c r="G2341" s="39" t="s">
        <v>7828</v>
      </c>
      <c r="H2341" s="39" t="str">
        <f t="shared" si="184"/>
        <v>2016/08/05</v>
      </c>
      <c r="I2341" s="39">
        <v>3</v>
      </c>
      <c r="J2341" s="39" t="s">
        <v>1478</v>
      </c>
      <c r="K2341" s="39" t="s">
        <v>2122</v>
      </c>
      <c r="L2341" s="39" t="s">
        <v>7830</v>
      </c>
      <c r="M2341" s="39" t="s">
        <v>7831</v>
      </c>
      <c r="N2341" s="39" t="str">
        <f>("0237620")</f>
        <v>0237620</v>
      </c>
      <c r="P2341" s="39" t="s">
        <v>13791</v>
      </c>
      <c r="Q2341" s="39" t="s">
        <v>8568</v>
      </c>
      <c r="R2341" s="39" t="s">
        <v>8569</v>
      </c>
      <c r="S2341" s="39" t="s">
        <v>8570</v>
      </c>
      <c r="AK2341" s="39" t="str">
        <f>("2025/03/17")</f>
        <v>2025/03/17</v>
      </c>
      <c r="AL2341" s="39" t="str">
        <f>("2025/04/01")</f>
        <v>2025/04/01</v>
      </c>
    </row>
    <row r="2342" spans="1:39" x14ac:dyDescent="0.25">
      <c r="A2342" s="39" t="str">
        <f>("1608050082")</f>
        <v>1608050082</v>
      </c>
      <c r="C2342" s="39"/>
      <c r="D2342" s="39" t="s">
        <v>9877</v>
      </c>
      <c r="E2342" s="371" t="str">
        <f t="shared" si="182"/>
        <v>かい　そうすけ</v>
      </c>
      <c r="F2342" s="39" t="s">
        <v>2324</v>
      </c>
      <c r="G2342" s="39" t="s">
        <v>7828</v>
      </c>
      <c r="H2342" s="39" t="str">
        <f t="shared" si="184"/>
        <v>2016/08/05</v>
      </c>
      <c r="I2342" s="39">
        <v>3</v>
      </c>
      <c r="J2342" s="39" t="s">
        <v>1478</v>
      </c>
      <c r="K2342" s="39" t="s">
        <v>2122</v>
      </c>
      <c r="L2342" s="39" t="s">
        <v>7830</v>
      </c>
      <c r="M2342" s="39" t="s">
        <v>7831</v>
      </c>
      <c r="N2342" s="39" t="str">
        <f>("0130486")</f>
        <v>0130486</v>
      </c>
      <c r="P2342" s="39" t="s">
        <v>13792</v>
      </c>
      <c r="Q2342" s="39" t="s">
        <v>8568</v>
      </c>
      <c r="R2342" s="39" t="s">
        <v>8569</v>
      </c>
      <c r="S2342" s="39" t="s">
        <v>8570</v>
      </c>
      <c r="AK2342" s="39" t="str">
        <f>("2025/03/24")</f>
        <v>2025/03/24</v>
      </c>
      <c r="AL2342" s="39" t="str">
        <f>("2025/04/01")</f>
        <v>2025/04/01</v>
      </c>
    </row>
    <row r="2343" spans="1:39" x14ac:dyDescent="0.25">
      <c r="A2343" s="39" t="str">
        <f>("1608050083")</f>
        <v>1608050083</v>
      </c>
      <c r="C2343" s="39"/>
      <c r="D2343" s="39" t="s">
        <v>9878</v>
      </c>
      <c r="E2343" s="371" t="str">
        <f t="shared" si="182"/>
        <v>きよはら　いつき</v>
      </c>
      <c r="F2343" s="39" t="s">
        <v>2324</v>
      </c>
      <c r="G2343" s="39" t="s">
        <v>7828</v>
      </c>
      <c r="H2343" s="39" t="str">
        <f t="shared" si="184"/>
        <v>2016/08/05</v>
      </c>
      <c r="I2343" s="39">
        <v>3</v>
      </c>
      <c r="J2343" s="39" t="s">
        <v>1478</v>
      </c>
      <c r="K2343" s="39" t="s">
        <v>2122</v>
      </c>
      <c r="L2343" s="39" t="s">
        <v>7830</v>
      </c>
      <c r="M2343" s="39" t="s">
        <v>7831</v>
      </c>
      <c r="N2343" s="39" t="str">
        <f>("0130486")</f>
        <v>0130486</v>
      </c>
      <c r="P2343" s="39" t="s">
        <v>13793</v>
      </c>
      <c r="Q2343" s="39" t="s">
        <v>8568</v>
      </c>
      <c r="R2343" s="39" t="s">
        <v>8569</v>
      </c>
      <c r="S2343" s="39" t="s">
        <v>8570</v>
      </c>
      <c r="AK2343" s="39" t="str">
        <f>("2025/03/24")</f>
        <v>2025/03/24</v>
      </c>
      <c r="AL2343" s="39" t="str">
        <f>("2025/04/01")</f>
        <v>2025/04/01</v>
      </c>
    </row>
    <row r="2344" spans="1:39" x14ac:dyDescent="0.25">
      <c r="A2344" s="39" t="str">
        <f>("1608050116")</f>
        <v>1608050116</v>
      </c>
      <c r="C2344" s="39"/>
      <c r="D2344" s="39" t="s">
        <v>9879</v>
      </c>
      <c r="E2344" s="371" t="str">
        <f t="shared" si="182"/>
        <v>さとう　あさひ</v>
      </c>
      <c r="F2344" s="39" t="s">
        <v>1207</v>
      </c>
      <c r="G2344" s="39" t="s">
        <v>7828</v>
      </c>
      <c r="H2344" s="39" t="str">
        <f t="shared" si="184"/>
        <v>2016/08/05</v>
      </c>
      <c r="I2344" s="39">
        <v>3</v>
      </c>
      <c r="J2344" s="39" t="s">
        <v>1478</v>
      </c>
      <c r="K2344" s="39" t="s">
        <v>2122</v>
      </c>
      <c r="L2344" s="39" t="s">
        <v>7830</v>
      </c>
      <c r="M2344" s="39" t="s">
        <v>7831</v>
      </c>
      <c r="N2344" s="39" t="str">
        <f>("0381608")</f>
        <v>0381608</v>
      </c>
      <c r="P2344" s="39" t="s">
        <v>13794</v>
      </c>
      <c r="Q2344" s="39" t="s">
        <v>8568</v>
      </c>
      <c r="R2344" s="39" t="s">
        <v>8569</v>
      </c>
      <c r="S2344" s="39" t="s">
        <v>8570</v>
      </c>
      <c r="AK2344" s="39" t="str">
        <f>("2025/04/23")</f>
        <v>2025/04/23</v>
      </c>
      <c r="AL2344" s="39" t="str">
        <f>("2025/04/23")</f>
        <v>2025/04/23</v>
      </c>
    </row>
    <row r="2345" spans="1:39" x14ac:dyDescent="0.25">
      <c r="A2345" s="39" t="str">
        <f>("1608050125")</f>
        <v>1608050125</v>
      </c>
      <c r="C2345" s="39"/>
      <c r="D2345" s="39" t="s">
        <v>9880</v>
      </c>
      <c r="E2345" s="371" t="str">
        <f t="shared" si="182"/>
        <v>おはら　るな</v>
      </c>
      <c r="F2345" s="39" t="s">
        <v>2024</v>
      </c>
      <c r="G2345" s="39" t="s">
        <v>7828</v>
      </c>
      <c r="H2345" s="39" t="str">
        <f t="shared" si="184"/>
        <v>2016/08/05</v>
      </c>
      <c r="I2345" s="39">
        <v>3</v>
      </c>
      <c r="J2345" s="39" t="s">
        <v>1480</v>
      </c>
      <c r="K2345" s="39" t="s">
        <v>2122</v>
      </c>
      <c r="L2345" s="39" t="s">
        <v>7830</v>
      </c>
      <c r="M2345" s="39" t="s">
        <v>7831</v>
      </c>
      <c r="N2345" s="39" t="str">
        <f>("0130475")</f>
        <v>0130475</v>
      </c>
      <c r="P2345" s="39" t="s">
        <v>13795</v>
      </c>
      <c r="Q2345" s="39" t="s">
        <v>8568</v>
      </c>
      <c r="R2345" s="39" t="s">
        <v>8569</v>
      </c>
      <c r="S2345" s="39" t="s">
        <v>8570</v>
      </c>
      <c r="AK2345" s="39" t="str">
        <f>("2025/06/10")</f>
        <v>2025/06/10</v>
      </c>
      <c r="AL2345" s="39" t="str">
        <f>("2025/06/10")</f>
        <v>2025/06/10</v>
      </c>
    </row>
    <row r="2346" spans="1:39" x14ac:dyDescent="0.25">
      <c r="A2346" s="39" t="str">
        <f>("1608050136")</f>
        <v>1608050136</v>
      </c>
      <c r="C2346" s="39"/>
      <c r="D2346" s="39" t="s">
        <v>9881</v>
      </c>
      <c r="E2346" s="371" t="str">
        <f t="shared" si="182"/>
        <v>ふるやま　しんや</v>
      </c>
      <c r="F2346" s="39" t="s">
        <v>2469</v>
      </c>
      <c r="G2346" s="39" t="s">
        <v>7828</v>
      </c>
      <c r="H2346" s="39" t="str">
        <f t="shared" si="184"/>
        <v>2016/08/05</v>
      </c>
      <c r="I2346" s="39">
        <v>3</v>
      </c>
      <c r="J2346" s="39" t="s">
        <v>1478</v>
      </c>
      <c r="K2346" s="39" t="s">
        <v>2122</v>
      </c>
      <c r="L2346" s="39" t="s">
        <v>7830</v>
      </c>
      <c r="M2346" s="39" t="s">
        <v>7831</v>
      </c>
      <c r="N2346" s="39" t="str">
        <f>("0129462")</f>
        <v>0129462</v>
      </c>
      <c r="P2346" s="39" t="s">
        <v>13796</v>
      </c>
      <c r="Q2346" s="39" t="s">
        <v>8568</v>
      </c>
      <c r="R2346" s="39" t="s">
        <v>8569</v>
      </c>
      <c r="S2346" s="39" t="s">
        <v>8570</v>
      </c>
      <c r="AK2346" s="39" t="str">
        <f>("2025/09/02")</f>
        <v>2025/09/02</v>
      </c>
      <c r="AL2346" s="39" t="str">
        <f>("2025/09/02")</f>
        <v>2025/09/02</v>
      </c>
    </row>
    <row r="2347" spans="1:39" x14ac:dyDescent="0.25">
      <c r="A2347" s="39" t="str">
        <f>("1608070027")</f>
        <v>1608070027</v>
      </c>
      <c r="C2347" s="39"/>
      <c r="D2347" s="39" t="s">
        <v>9882</v>
      </c>
      <c r="E2347" s="371" t="str">
        <f t="shared" si="182"/>
        <v>はやし　いぶき</v>
      </c>
      <c r="F2347" s="39" t="s">
        <v>2648</v>
      </c>
      <c r="G2347" s="39" t="s">
        <v>7828</v>
      </c>
      <c r="H2347" s="39" t="str">
        <f>("2016/08/07")</f>
        <v>2016/08/07</v>
      </c>
      <c r="I2347" s="39">
        <v>3</v>
      </c>
      <c r="J2347" s="39" t="s">
        <v>1478</v>
      </c>
      <c r="K2347" s="39" t="s">
        <v>2122</v>
      </c>
      <c r="L2347" s="39" t="s">
        <v>7830</v>
      </c>
      <c r="M2347" s="39" t="s">
        <v>7831</v>
      </c>
      <c r="N2347" s="39" t="str">
        <f>("1050097")</f>
        <v>1050097</v>
      </c>
      <c r="P2347" s="39" t="s">
        <v>13797</v>
      </c>
      <c r="Q2347" s="39" t="s">
        <v>8568</v>
      </c>
      <c r="R2347" s="39" t="s">
        <v>8569</v>
      </c>
      <c r="S2347" s="39" t="s">
        <v>8570</v>
      </c>
      <c r="AK2347" s="39" t="str">
        <f>("2025/03/25")</f>
        <v>2025/03/25</v>
      </c>
      <c r="AL2347" s="39" t="str">
        <f t="shared" ref="AL2347:AL2353" si="185">("2025/04/01")</f>
        <v>2025/04/01</v>
      </c>
    </row>
    <row r="2348" spans="1:39" x14ac:dyDescent="0.25">
      <c r="A2348" s="39" t="str">
        <f>("1608080097")</f>
        <v>1608080097</v>
      </c>
      <c r="C2348" s="39"/>
      <c r="D2348" s="39" t="s">
        <v>9883</v>
      </c>
      <c r="E2348" s="371" t="str">
        <f t="shared" si="182"/>
        <v>ごとう　ひなた</v>
      </c>
      <c r="F2348" s="39" t="s">
        <v>834</v>
      </c>
      <c r="G2348" s="39" t="s">
        <v>7828</v>
      </c>
      <c r="H2348" s="39" t="str">
        <f>("2016/08/08")</f>
        <v>2016/08/08</v>
      </c>
      <c r="I2348" s="39">
        <v>3</v>
      </c>
      <c r="J2348" s="39" t="s">
        <v>1478</v>
      </c>
      <c r="K2348" s="39" t="s">
        <v>2122</v>
      </c>
      <c r="L2348" s="39" t="s">
        <v>7830</v>
      </c>
      <c r="M2348" s="39" t="s">
        <v>7831</v>
      </c>
      <c r="N2348" s="39" t="str">
        <f>("0129844")</f>
        <v>0129844</v>
      </c>
      <c r="P2348" s="39" t="s">
        <v>13798</v>
      </c>
      <c r="Q2348" s="39" t="s">
        <v>8568</v>
      </c>
      <c r="R2348" s="39" t="s">
        <v>8569</v>
      </c>
      <c r="S2348" s="39" t="s">
        <v>8570</v>
      </c>
      <c r="AK2348" s="39" t="str">
        <f>("2025/03/17")</f>
        <v>2025/03/17</v>
      </c>
      <c r="AL2348" s="39" t="str">
        <f t="shared" si="185"/>
        <v>2025/04/01</v>
      </c>
    </row>
    <row r="2349" spans="1:39" x14ac:dyDescent="0.25">
      <c r="A2349" s="39" t="str">
        <f>("1608090006")</f>
        <v>1608090006</v>
      </c>
      <c r="B2349" s="39" t="s">
        <v>9884</v>
      </c>
      <c r="C2349" s="39"/>
      <c r="D2349" s="39" t="s">
        <v>9885</v>
      </c>
      <c r="E2349" s="371" t="str">
        <f t="shared" si="182"/>
        <v>なかはら　いつき</v>
      </c>
      <c r="F2349" s="39" t="s">
        <v>5620</v>
      </c>
      <c r="G2349" s="39" t="s">
        <v>7828</v>
      </c>
      <c r="H2349" s="39" t="str">
        <f>("2016/08/09")</f>
        <v>2016/08/09</v>
      </c>
      <c r="I2349" s="39">
        <v>3</v>
      </c>
      <c r="J2349" s="39" t="s">
        <v>1478</v>
      </c>
      <c r="K2349" s="39" t="s">
        <v>2122</v>
      </c>
      <c r="L2349" s="39" t="s">
        <v>7830</v>
      </c>
      <c r="M2349" s="39" t="s">
        <v>7831</v>
      </c>
      <c r="N2349" s="39" t="str">
        <f>("1101553")</f>
        <v>1101553</v>
      </c>
      <c r="P2349" s="39" t="s">
        <v>13799</v>
      </c>
      <c r="Q2349" s="39" t="s">
        <v>8568</v>
      </c>
      <c r="R2349" s="39" t="s">
        <v>8569</v>
      </c>
      <c r="S2349" s="39" t="s">
        <v>8570</v>
      </c>
      <c r="AK2349" s="39" t="str">
        <f>("2025/03/19")</f>
        <v>2025/03/19</v>
      </c>
      <c r="AL2349" s="39" t="str">
        <f t="shared" si="185"/>
        <v>2025/04/01</v>
      </c>
    </row>
    <row r="2350" spans="1:39" x14ac:dyDescent="0.25">
      <c r="A2350" s="39" t="str">
        <f>("1608090021")</f>
        <v>1608090021</v>
      </c>
      <c r="C2350" s="39"/>
      <c r="D2350" s="39" t="s">
        <v>9886</v>
      </c>
      <c r="E2350" s="371" t="str">
        <f t="shared" si="182"/>
        <v>しみず　そら</v>
      </c>
      <c r="F2350" s="39" t="s">
        <v>2156</v>
      </c>
      <c r="G2350" s="39" t="s">
        <v>7828</v>
      </c>
      <c r="H2350" s="39" t="str">
        <f>("2016/08/09")</f>
        <v>2016/08/09</v>
      </c>
      <c r="I2350" s="39">
        <v>3</v>
      </c>
      <c r="J2350" s="39" t="s">
        <v>1478</v>
      </c>
      <c r="K2350" s="39" t="s">
        <v>2122</v>
      </c>
      <c r="L2350" s="39" t="s">
        <v>7830</v>
      </c>
      <c r="M2350" s="39" t="s">
        <v>7831</v>
      </c>
      <c r="N2350" s="39" t="str">
        <f>("0493040")</f>
        <v>0493040</v>
      </c>
      <c r="P2350" s="39" t="s">
        <v>13800</v>
      </c>
      <c r="Q2350" s="39" t="s">
        <v>8568</v>
      </c>
      <c r="R2350" s="39" t="s">
        <v>8569</v>
      </c>
      <c r="S2350" s="39" t="s">
        <v>8570</v>
      </c>
      <c r="AK2350" s="39" t="str">
        <f>("2025/03/17")</f>
        <v>2025/03/17</v>
      </c>
      <c r="AL2350" s="39" t="str">
        <f t="shared" si="185"/>
        <v>2025/04/01</v>
      </c>
    </row>
    <row r="2351" spans="1:39" x14ac:dyDescent="0.25">
      <c r="A2351" s="39" t="str">
        <f>("1608090090")</f>
        <v>1608090090</v>
      </c>
      <c r="C2351" s="39"/>
      <c r="D2351" s="39" t="s">
        <v>9887</v>
      </c>
      <c r="E2351" s="371" t="str">
        <f t="shared" si="182"/>
        <v>しおつき　れお</v>
      </c>
      <c r="F2351" s="39" t="s">
        <v>2138</v>
      </c>
      <c r="G2351" s="39" t="s">
        <v>7828</v>
      </c>
      <c r="H2351" s="39" t="str">
        <f>("2016/08/09")</f>
        <v>2016/08/09</v>
      </c>
      <c r="I2351" s="39">
        <v>3</v>
      </c>
      <c r="J2351" s="39" t="s">
        <v>1478</v>
      </c>
      <c r="K2351" s="39" t="s">
        <v>2122</v>
      </c>
      <c r="L2351" s="39" t="s">
        <v>7830</v>
      </c>
      <c r="M2351" s="39" t="s">
        <v>7831</v>
      </c>
      <c r="N2351" s="39" t="str">
        <f>("0130082")</f>
        <v>0130082</v>
      </c>
      <c r="P2351" s="39" t="s">
        <v>13801</v>
      </c>
      <c r="Q2351" s="39" t="s">
        <v>8568</v>
      </c>
      <c r="R2351" s="39" t="s">
        <v>8569</v>
      </c>
      <c r="S2351" s="39" t="s">
        <v>8570</v>
      </c>
      <c r="AK2351" s="39" t="str">
        <f>("2025/03/17")</f>
        <v>2025/03/17</v>
      </c>
      <c r="AL2351" s="39" t="str">
        <f t="shared" si="185"/>
        <v>2025/04/01</v>
      </c>
      <c r="AM2351" s="39" t="str">
        <f>("2025/04/11")</f>
        <v>2025/04/11</v>
      </c>
    </row>
    <row r="2352" spans="1:39" x14ac:dyDescent="0.25">
      <c r="A2352" s="39" t="str">
        <f>("1608100011")</f>
        <v>1608100011</v>
      </c>
      <c r="B2352" s="39" t="s">
        <v>9888</v>
      </c>
      <c r="C2352" s="39"/>
      <c r="D2352" s="39" t="s">
        <v>9889</v>
      </c>
      <c r="E2352" s="371" t="str">
        <f t="shared" si="182"/>
        <v>もりさき　ひづき</v>
      </c>
      <c r="F2352" s="39" t="s">
        <v>156</v>
      </c>
      <c r="G2352" s="39" t="s">
        <v>7828</v>
      </c>
      <c r="H2352" s="39" t="str">
        <f>("2016/08/10")</f>
        <v>2016/08/10</v>
      </c>
      <c r="I2352" s="39">
        <v>3</v>
      </c>
      <c r="J2352" s="39" t="s">
        <v>1478</v>
      </c>
      <c r="K2352" s="39" t="s">
        <v>2122</v>
      </c>
      <c r="L2352" s="39" t="s">
        <v>7830</v>
      </c>
      <c r="M2352" s="39" t="s">
        <v>7831</v>
      </c>
      <c r="N2352" s="39" t="str">
        <f>("0130037")</f>
        <v>0130037</v>
      </c>
      <c r="P2352" s="39" t="s">
        <v>13802</v>
      </c>
      <c r="Q2352" s="39" t="s">
        <v>8568</v>
      </c>
      <c r="R2352" s="39" t="s">
        <v>8569</v>
      </c>
      <c r="S2352" s="39" t="s">
        <v>8570</v>
      </c>
      <c r="AK2352" s="39" t="str">
        <f>("2025/03/17")</f>
        <v>2025/03/17</v>
      </c>
      <c r="AL2352" s="39" t="str">
        <f t="shared" si="185"/>
        <v>2025/04/01</v>
      </c>
    </row>
    <row r="2353" spans="1:38" x14ac:dyDescent="0.25">
      <c r="A2353" s="39" t="str">
        <f>("1608100013")</f>
        <v>1608100013</v>
      </c>
      <c r="B2353" s="39" t="s">
        <v>9890</v>
      </c>
      <c r="C2353" s="39"/>
      <c r="D2353" s="39" t="s">
        <v>9891</v>
      </c>
      <c r="E2353" s="371" t="str">
        <f t="shared" si="182"/>
        <v>ふさまえ　こはる</v>
      </c>
      <c r="F2353" s="39" t="s">
        <v>8135</v>
      </c>
      <c r="G2353" s="39" t="s">
        <v>7828</v>
      </c>
      <c r="H2353" s="39" t="str">
        <f>("2016/08/10")</f>
        <v>2016/08/10</v>
      </c>
      <c r="I2353" s="39">
        <v>3</v>
      </c>
      <c r="J2353" s="39" t="s">
        <v>1480</v>
      </c>
      <c r="K2353" s="39" t="s">
        <v>2122</v>
      </c>
      <c r="L2353" s="39" t="s">
        <v>7830</v>
      </c>
      <c r="M2353" s="39" t="s">
        <v>7831</v>
      </c>
      <c r="N2353" s="39" t="str">
        <f>("0475567")</f>
        <v>0475567</v>
      </c>
      <c r="P2353" s="39" t="s">
        <v>13803</v>
      </c>
      <c r="Q2353" s="39" t="s">
        <v>8568</v>
      </c>
      <c r="R2353" s="39" t="s">
        <v>8569</v>
      </c>
      <c r="S2353" s="39" t="s">
        <v>8570</v>
      </c>
      <c r="AK2353" s="39" t="str">
        <f>("2025/03/24")</f>
        <v>2025/03/24</v>
      </c>
      <c r="AL2353" s="39" t="str">
        <f t="shared" si="185"/>
        <v>2025/04/01</v>
      </c>
    </row>
    <row r="2354" spans="1:38" x14ac:dyDescent="0.25">
      <c r="A2354" s="39" t="str">
        <f>("1608100118")</f>
        <v>1608100118</v>
      </c>
      <c r="C2354" s="39"/>
      <c r="D2354" s="39" t="s">
        <v>9892</v>
      </c>
      <c r="E2354" s="371" t="str">
        <f t="shared" si="182"/>
        <v>まき　こうが</v>
      </c>
      <c r="F2354" s="39" t="s">
        <v>2024</v>
      </c>
      <c r="G2354" s="39" t="s">
        <v>7828</v>
      </c>
      <c r="H2354" s="39" t="str">
        <f>("2016/08/10")</f>
        <v>2016/08/10</v>
      </c>
      <c r="I2354" s="39">
        <v>3</v>
      </c>
      <c r="J2354" s="39" t="s">
        <v>1478</v>
      </c>
      <c r="K2354" s="39" t="s">
        <v>2122</v>
      </c>
      <c r="L2354" s="39" t="s">
        <v>7830</v>
      </c>
      <c r="M2354" s="39" t="s">
        <v>7831</v>
      </c>
      <c r="N2354" s="39" t="str">
        <f>("0130475")</f>
        <v>0130475</v>
      </c>
      <c r="P2354" s="39" t="s">
        <v>13804</v>
      </c>
      <c r="Q2354" s="39" t="s">
        <v>8568</v>
      </c>
      <c r="R2354" s="39" t="s">
        <v>8569</v>
      </c>
      <c r="S2354" s="39" t="s">
        <v>8570</v>
      </c>
      <c r="AK2354" s="39" t="str">
        <f>("2025/06/10")</f>
        <v>2025/06/10</v>
      </c>
      <c r="AL2354" s="39" t="str">
        <f>("2025/06/10")</f>
        <v>2025/06/10</v>
      </c>
    </row>
    <row r="2355" spans="1:38" x14ac:dyDescent="0.25">
      <c r="A2355" s="39" t="str">
        <f>("1608110061")</f>
        <v>1608110061</v>
      </c>
      <c r="C2355" s="39"/>
      <c r="D2355" s="39" t="s">
        <v>9893</v>
      </c>
      <c r="E2355" s="371" t="str">
        <f t="shared" si="182"/>
        <v>やまぐち　ここね</v>
      </c>
      <c r="F2355" s="39" t="s">
        <v>2514</v>
      </c>
      <c r="G2355" s="39" t="s">
        <v>7828</v>
      </c>
      <c r="H2355" s="39" t="str">
        <f>("2016/08/11")</f>
        <v>2016/08/11</v>
      </c>
      <c r="I2355" s="39">
        <v>3</v>
      </c>
      <c r="J2355" s="39" t="s">
        <v>1480</v>
      </c>
      <c r="K2355" s="39" t="s">
        <v>2122</v>
      </c>
      <c r="L2355" s="39" t="s">
        <v>7830</v>
      </c>
      <c r="M2355" s="39" t="s">
        <v>7831</v>
      </c>
      <c r="N2355" s="39" t="str">
        <f>("0130093")</f>
        <v>0130093</v>
      </c>
      <c r="P2355" s="39" t="s">
        <v>13805</v>
      </c>
      <c r="Q2355" s="39" t="s">
        <v>8568</v>
      </c>
      <c r="R2355" s="39" t="s">
        <v>8569</v>
      </c>
      <c r="S2355" s="39" t="s">
        <v>8570</v>
      </c>
      <c r="AK2355" s="39" t="str">
        <f>("2025/04/01")</f>
        <v>2025/04/01</v>
      </c>
      <c r="AL2355" s="39" t="str">
        <f>("2025/04/01")</f>
        <v>2025/04/01</v>
      </c>
    </row>
    <row r="2356" spans="1:38" x14ac:dyDescent="0.25">
      <c r="A2356" s="39" t="str">
        <f>("1608120119")</f>
        <v>1608120119</v>
      </c>
      <c r="C2356" s="39"/>
      <c r="D2356" s="39" t="s">
        <v>9894</v>
      </c>
      <c r="E2356" s="371" t="str">
        <f t="shared" si="182"/>
        <v>つる　ゆうせい</v>
      </c>
      <c r="F2356" s="39" t="s">
        <v>2651</v>
      </c>
      <c r="G2356" s="39" t="s">
        <v>7828</v>
      </c>
      <c r="H2356" s="39" t="str">
        <f>("2016/08/12")</f>
        <v>2016/08/12</v>
      </c>
      <c r="I2356" s="39">
        <v>3</v>
      </c>
      <c r="J2356" s="39" t="s">
        <v>1478</v>
      </c>
      <c r="K2356" s="39" t="s">
        <v>2122</v>
      </c>
      <c r="L2356" s="39" t="s">
        <v>7830</v>
      </c>
      <c r="M2356" s="39" t="s">
        <v>7831</v>
      </c>
      <c r="N2356" s="39" t="str">
        <f>("1067415")</f>
        <v>1067415</v>
      </c>
      <c r="P2356" s="39" t="s">
        <v>13806</v>
      </c>
      <c r="Q2356" s="39" t="s">
        <v>8568</v>
      </c>
      <c r="R2356" s="39" t="s">
        <v>8569</v>
      </c>
      <c r="S2356" s="39" t="s">
        <v>8570</v>
      </c>
      <c r="AK2356" s="39" t="str">
        <f>("2025/09/04")</f>
        <v>2025/09/04</v>
      </c>
      <c r="AL2356" s="39" t="str">
        <f>("2025/09/04")</f>
        <v>2025/09/04</v>
      </c>
    </row>
    <row r="2357" spans="1:38" x14ac:dyDescent="0.25">
      <c r="A2357" s="39" t="str">
        <f>("1608130066")</f>
        <v>1608130066</v>
      </c>
      <c r="B2357" s="39" t="s">
        <v>9895</v>
      </c>
      <c r="C2357" s="39"/>
      <c r="D2357" s="39" t="s">
        <v>9896</v>
      </c>
      <c r="E2357" s="371" t="str">
        <f t="shared" si="182"/>
        <v>もり　れお</v>
      </c>
      <c r="F2357" s="39" t="s">
        <v>2485</v>
      </c>
      <c r="G2357" s="39" t="s">
        <v>7828</v>
      </c>
      <c r="H2357" s="39" t="str">
        <f>("2016/08/13")</f>
        <v>2016/08/13</v>
      </c>
      <c r="I2357" s="39">
        <v>3</v>
      </c>
      <c r="J2357" s="39" t="s">
        <v>1478</v>
      </c>
      <c r="K2357" s="39" t="s">
        <v>2122</v>
      </c>
      <c r="L2357" s="39" t="s">
        <v>7830</v>
      </c>
      <c r="M2357" s="39" t="s">
        <v>7831</v>
      </c>
      <c r="N2357" s="39" t="str">
        <f>("0129754")</f>
        <v>0129754</v>
      </c>
      <c r="P2357" s="39" t="s">
        <v>13807</v>
      </c>
      <c r="Q2357" s="39" t="s">
        <v>8568</v>
      </c>
      <c r="R2357" s="39" t="s">
        <v>8569</v>
      </c>
      <c r="S2357" s="39" t="s">
        <v>8570</v>
      </c>
      <c r="AK2357" s="39" t="str">
        <f>("2025/03/24")</f>
        <v>2025/03/24</v>
      </c>
      <c r="AL2357" s="39" t="str">
        <f>("2025/04/01")</f>
        <v>2025/04/01</v>
      </c>
    </row>
    <row r="2358" spans="1:38" x14ac:dyDescent="0.25">
      <c r="A2358" s="39" t="str">
        <f>("1608130098")</f>
        <v>1608130098</v>
      </c>
      <c r="C2358" s="39"/>
      <c r="D2358" s="39" t="s">
        <v>9897</v>
      </c>
      <c r="E2358" s="371" t="str">
        <f t="shared" si="182"/>
        <v>みずたに　しゅうた</v>
      </c>
      <c r="F2358" s="39" t="s">
        <v>2469</v>
      </c>
      <c r="G2358" s="39" t="s">
        <v>7828</v>
      </c>
      <c r="H2358" s="39" t="str">
        <f>("2016/08/13")</f>
        <v>2016/08/13</v>
      </c>
      <c r="I2358" s="39">
        <v>3</v>
      </c>
      <c r="J2358" s="39" t="s">
        <v>1478</v>
      </c>
      <c r="K2358" s="39" t="s">
        <v>2122</v>
      </c>
      <c r="L2358" s="39" t="s">
        <v>7830</v>
      </c>
      <c r="M2358" s="39" t="s">
        <v>7831</v>
      </c>
      <c r="N2358" s="39" t="str">
        <f>("0129462")</f>
        <v>0129462</v>
      </c>
      <c r="P2358" s="39" t="s">
        <v>13808</v>
      </c>
      <c r="Q2358" s="39" t="s">
        <v>8568</v>
      </c>
      <c r="R2358" s="39" t="s">
        <v>8569</v>
      </c>
      <c r="S2358" s="39" t="s">
        <v>8570</v>
      </c>
      <c r="AK2358" s="39" t="str">
        <f>("2025/09/02")</f>
        <v>2025/09/02</v>
      </c>
      <c r="AL2358" s="39" t="str">
        <f>("2025/09/02")</f>
        <v>2025/09/02</v>
      </c>
    </row>
    <row r="2359" spans="1:38" x14ac:dyDescent="0.25">
      <c r="A2359" s="39" t="str">
        <f>("1608140011")</f>
        <v>1608140011</v>
      </c>
      <c r="C2359" s="39"/>
      <c r="D2359" s="39" t="s">
        <v>5922</v>
      </c>
      <c r="E2359" s="371" t="str">
        <f t="shared" si="182"/>
        <v>はしぐち　たける</v>
      </c>
      <c r="F2359" s="39" t="s">
        <v>2422</v>
      </c>
      <c r="G2359" s="39" t="s">
        <v>7828</v>
      </c>
      <c r="H2359" s="39" t="str">
        <f>("2016/08/14")</f>
        <v>2016/08/14</v>
      </c>
      <c r="I2359" s="39">
        <v>3</v>
      </c>
      <c r="J2359" s="39" t="s">
        <v>1478</v>
      </c>
      <c r="K2359" s="39" t="s">
        <v>2122</v>
      </c>
      <c r="L2359" s="39" t="s">
        <v>7830</v>
      </c>
      <c r="M2359" s="39" t="s">
        <v>7831</v>
      </c>
      <c r="N2359" s="39" t="str">
        <f>("0130699")</f>
        <v>0130699</v>
      </c>
      <c r="P2359" s="39" t="s">
        <v>13809</v>
      </c>
      <c r="Q2359" s="39" t="s">
        <v>8568</v>
      </c>
      <c r="R2359" s="39" t="s">
        <v>8569</v>
      </c>
      <c r="S2359" s="39" t="s">
        <v>8570</v>
      </c>
      <c r="AK2359" s="39" t="str">
        <f>("2025/03/17")</f>
        <v>2025/03/17</v>
      </c>
      <c r="AL2359" s="39" t="str">
        <f>("2025/04/01")</f>
        <v>2025/04/01</v>
      </c>
    </row>
    <row r="2360" spans="1:38" x14ac:dyDescent="0.25">
      <c r="A2360" s="39" t="str">
        <f>("1608140086")</f>
        <v>1608140086</v>
      </c>
      <c r="C2360" s="39"/>
      <c r="D2360" s="39" t="s">
        <v>9898</v>
      </c>
      <c r="E2360" s="371" t="str">
        <f t="shared" si="182"/>
        <v>ますだ　はやと</v>
      </c>
      <c r="F2360" s="39" t="s">
        <v>2651</v>
      </c>
      <c r="G2360" s="39" t="s">
        <v>7828</v>
      </c>
      <c r="H2360" s="39" t="str">
        <f>("2016/08/14")</f>
        <v>2016/08/14</v>
      </c>
      <c r="I2360" s="39">
        <v>3</v>
      </c>
      <c r="J2360" s="39" t="s">
        <v>1478</v>
      </c>
      <c r="K2360" s="39" t="s">
        <v>2122</v>
      </c>
      <c r="L2360" s="39" t="s">
        <v>7830</v>
      </c>
      <c r="M2360" s="39" t="s">
        <v>7831</v>
      </c>
      <c r="N2360" s="39" t="str">
        <f>("1067415")</f>
        <v>1067415</v>
      </c>
      <c r="P2360" s="39" t="s">
        <v>13810</v>
      </c>
      <c r="Q2360" s="39" t="s">
        <v>8568</v>
      </c>
      <c r="R2360" s="39" t="s">
        <v>8569</v>
      </c>
      <c r="S2360" s="39" t="s">
        <v>8570</v>
      </c>
      <c r="AK2360" s="39" t="str">
        <f>("2025/10/03")</f>
        <v>2025/10/03</v>
      </c>
      <c r="AL2360" s="39" t="str">
        <f>("2025/10/03")</f>
        <v>2025/10/03</v>
      </c>
    </row>
    <row r="2361" spans="1:38" x14ac:dyDescent="0.25">
      <c r="A2361" s="39" t="str">
        <f>("1608170055")</f>
        <v>1608170055</v>
      </c>
      <c r="C2361" s="39"/>
      <c r="D2361" s="39" t="s">
        <v>5835</v>
      </c>
      <c r="E2361" s="371" t="str">
        <f t="shared" si="182"/>
        <v>てしま　だいち</v>
      </c>
      <c r="F2361" s="39" t="s">
        <v>5616</v>
      </c>
      <c r="G2361" s="39" t="s">
        <v>7828</v>
      </c>
      <c r="H2361" s="39" t="str">
        <f>("2016/08/17")</f>
        <v>2016/08/17</v>
      </c>
      <c r="I2361" s="39">
        <v>3</v>
      </c>
      <c r="J2361" s="39" t="s">
        <v>1478</v>
      </c>
      <c r="K2361" s="39" t="s">
        <v>2122</v>
      </c>
      <c r="L2361" s="39" t="s">
        <v>7830</v>
      </c>
      <c r="M2361" s="39" t="s">
        <v>7831</v>
      </c>
      <c r="N2361" s="39" t="str">
        <f>("0130385")</f>
        <v>0130385</v>
      </c>
      <c r="P2361" s="39" t="s">
        <v>13811</v>
      </c>
      <c r="Q2361" s="39" t="s">
        <v>8568</v>
      </c>
      <c r="R2361" s="39" t="s">
        <v>8569</v>
      </c>
      <c r="S2361" s="39" t="s">
        <v>8570</v>
      </c>
      <c r="AK2361" s="39" t="str">
        <f>("2025/03/17")</f>
        <v>2025/03/17</v>
      </c>
      <c r="AL2361" s="39" t="str">
        <f>("2025/04/01")</f>
        <v>2025/04/01</v>
      </c>
    </row>
    <row r="2362" spans="1:38" x14ac:dyDescent="0.25">
      <c r="A2362" s="39" t="str">
        <f>("1608180086")</f>
        <v>1608180086</v>
      </c>
      <c r="C2362" s="39"/>
      <c r="D2362" s="39" t="s">
        <v>9899</v>
      </c>
      <c r="E2362" s="371" t="str">
        <f t="shared" si="182"/>
        <v>まえやま　しゅん</v>
      </c>
      <c r="F2362" s="39" t="s">
        <v>1190</v>
      </c>
      <c r="G2362" s="39" t="s">
        <v>7828</v>
      </c>
      <c r="H2362" s="39" t="str">
        <f>("2016/08/18")</f>
        <v>2016/08/18</v>
      </c>
      <c r="I2362" s="39">
        <v>3</v>
      </c>
      <c r="J2362" s="39" t="s">
        <v>1478</v>
      </c>
      <c r="K2362" s="39" t="s">
        <v>2122</v>
      </c>
      <c r="L2362" s="39" t="s">
        <v>7830</v>
      </c>
      <c r="M2362" s="39" t="s">
        <v>7831</v>
      </c>
      <c r="N2362" s="39" t="str">
        <f>("0130554")</f>
        <v>0130554</v>
      </c>
      <c r="P2362" s="39" t="s">
        <v>13812</v>
      </c>
      <c r="Q2362" s="39" t="s">
        <v>8568</v>
      </c>
      <c r="R2362" s="39" t="s">
        <v>8569</v>
      </c>
      <c r="S2362" s="39" t="s">
        <v>8570</v>
      </c>
      <c r="AK2362" s="39" t="str">
        <f>("2025/03/17")</f>
        <v>2025/03/17</v>
      </c>
      <c r="AL2362" s="39" t="str">
        <f>("2025/04/01")</f>
        <v>2025/04/01</v>
      </c>
    </row>
    <row r="2363" spans="1:38" x14ac:dyDescent="0.25">
      <c r="A2363" s="39" t="str">
        <f>("1608190017")</f>
        <v>1608190017</v>
      </c>
      <c r="C2363" s="39"/>
      <c r="D2363" s="39" t="s">
        <v>5795</v>
      </c>
      <c r="E2363" s="371" t="str">
        <f t="shared" si="182"/>
        <v>たかはし　りおん</v>
      </c>
      <c r="F2363" s="39" t="s">
        <v>856</v>
      </c>
      <c r="G2363" s="39" t="s">
        <v>7828</v>
      </c>
      <c r="H2363" s="39" t="str">
        <f>("2016/08/19")</f>
        <v>2016/08/19</v>
      </c>
      <c r="I2363" s="39">
        <v>3</v>
      </c>
      <c r="J2363" s="39" t="s">
        <v>1478</v>
      </c>
      <c r="K2363" s="39" t="s">
        <v>2122</v>
      </c>
      <c r="L2363" s="39" t="s">
        <v>7830</v>
      </c>
      <c r="M2363" s="39" t="s">
        <v>7831</v>
      </c>
      <c r="N2363" s="39" t="str">
        <f>("0130149")</f>
        <v>0130149</v>
      </c>
      <c r="P2363" s="39" t="s">
        <v>13813</v>
      </c>
      <c r="Q2363" s="39" t="s">
        <v>8568</v>
      </c>
      <c r="R2363" s="39" t="s">
        <v>8569</v>
      </c>
      <c r="S2363" s="39" t="s">
        <v>8570</v>
      </c>
      <c r="AK2363" s="39" t="str">
        <f>("2025/03/17")</f>
        <v>2025/03/17</v>
      </c>
      <c r="AL2363" s="39" t="str">
        <f>("2025/04/01")</f>
        <v>2025/04/01</v>
      </c>
    </row>
    <row r="2364" spans="1:38" x14ac:dyDescent="0.25">
      <c r="A2364" s="39" t="str">
        <f>("1608190050")</f>
        <v>1608190050</v>
      </c>
      <c r="B2364" s="39" t="s">
        <v>9900</v>
      </c>
      <c r="C2364" s="39"/>
      <c r="D2364" s="39" t="s">
        <v>9901</v>
      </c>
      <c r="E2364" s="371" t="str">
        <f t="shared" si="182"/>
        <v>あだち　とき</v>
      </c>
      <c r="F2364" s="39" t="s">
        <v>2516</v>
      </c>
      <c r="G2364" s="39" t="s">
        <v>7828</v>
      </c>
      <c r="H2364" s="39" t="str">
        <f>("2016/08/19")</f>
        <v>2016/08/19</v>
      </c>
      <c r="I2364" s="39">
        <v>4</v>
      </c>
      <c r="J2364" s="39" t="s">
        <v>1478</v>
      </c>
      <c r="K2364" s="39" t="s">
        <v>2122</v>
      </c>
      <c r="L2364" s="39" t="s">
        <v>7830</v>
      </c>
      <c r="M2364" s="39" t="s">
        <v>7831</v>
      </c>
      <c r="N2364" s="39" t="str">
        <f>("0130116")</f>
        <v>0130116</v>
      </c>
      <c r="P2364" s="39" t="s">
        <v>13814</v>
      </c>
      <c r="Q2364" s="39" t="s">
        <v>8568</v>
      </c>
      <c r="R2364" s="39" t="s">
        <v>8569</v>
      </c>
      <c r="S2364" s="39" t="s">
        <v>8570</v>
      </c>
      <c r="AK2364" s="39" t="str">
        <f>("2025/03/25")</f>
        <v>2025/03/25</v>
      </c>
      <c r="AL2364" s="39" t="str">
        <f>("2025/04/01")</f>
        <v>2025/04/01</v>
      </c>
    </row>
    <row r="2365" spans="1:38" x14ac:dyDescent="0.25">
      <c r="A2365" s="39" t="str">
        <f>("1608190097")</f>
        <v>1608190097</v>
      </c>
      <c r="C2365" s="39"/>
      <c r="D2365" s="39" t="s">
        <v>9902</v>
      </c>
      <c r="E2365" s="371" t="str">
        <f t="shared" si="182"/>
        <v>ひらやま　はる</v>
      </c>
      <c r="F2365" s="39" t="s">
        <v>2139</v>
      </c>
      <c r="G2365" s="39" t="s">
        <v>7828</v>
      </c>
      <c r="H2365" s="39" t="str">
        <f>("2016/08/19")</f>
        <v>2016/08/19</v>
      </c>
      <c r="I2365" s="39">
        <v>3</v>
      </c>
      <c r="J2365" s="39" t="s">
        <v>1478</v>
      </c>
      <c r="K2365" s="39" t="s">
        <v>2122</v>
      </c>
      <c r="L2365" s="39" t="s">
        <v>7830</v>
      </c>
      <c r="M2365" s="39" t="s">
        <v>7831</v>
      </c>
      <c r="N2365" s="39" t="str">
        <f>("0129798")</f>
        <v>0129798</v>
      </c>
      <c r="P2365" s="39" t="s">
        <v>13815</v>
      </c>
      <c r="Q2365" s="39" t="s">
        <v>8568</v>
      </c>
      <c r="R2365" s="39" t="s">
        <v>8569</v>
      </c>
      <c r="S2365" s="39" t="s">
        <v>8570</v>
      </c>
      <c r="AK2365" s="39" t="str">
        <f>("2025/03/27")</f>
        <v>2025/03/27</v>
      </c>
      <c r="AL2365" s="39" t="str">
        <f>("2025/04/01")</f>
        <v>2025/04/01</v>
      </c>
    </row>
    <row r="2366" spans="1:38" x14ac:dyDescent="0.25">
      <c r="A2366" s="39" t="str">
        <f>("1608190139")</f>
        <v>1608190139</v>
      </c>
      <c r="C2366" s="39"/>
      <c r="D2366" s="39" t="s">
        <v>9903</v>
      </c>
      <c r="E2366" s="371" t="str">
        <f t="shared" si="182"/>
        <v>こうの　らい</v>
      </c>
      <c r="F2366" s="39" t="s">
        <v>2573</v>
      </c>
      <c r="G2366" s="39" t="s">
        <v>7828</v>
      </c>
      <c r="H2366" s="39" t="str">
        <f>("2016/08/19")</f>
        <v>2016/08/19</v>
      </c>
      <c r="I2366" s="39">
        <v>3</v>
      </c>
      <c r="J2366" s="39" t="s">
        <v>1478</v>
      </c>
      <c r="K2366" s="39" t="s">
        <v>2122</v>
      </c>
      <c r="L2366" s="39" t="s">
        <v>7830</v>
      </c>
      <c r="M2366" s="39" t="s">
        <v>7831</v>
      </c>
      <c r="N2366" s="39" t="str">
        <f>("0230982")</f>
        <v>0230982</v>
      </c>
      <c r="P2366" s="39" t="s">
        <v>13816</v>
      </c>
      <c r="Q2366" s="39" t="s">
        <v>8568</v>
      </c>
      <c r="R2366" s="39" t="s">
        <v>8569</v>
      </c>
      <c r="S2366" s="39" t="s">
        <v>8570</v>
      </c>
      <c r="AK2366" s="39" t="str">
        <f>("2025/09/24")</f>
        <v>2025/09/24</v>
      </c>
      <c r="AL2366" s="39" t="str">
        <f>("2025/09/24")</f>
        <v>2025/09/24</v>
      </c>
    </row>
    <row r="2367" spans="1:38" x14ac:dyDescent="0.25">
      <c r="A2367" s="39" t="str">
        <f>("1608190140")</f>
        <v>1608190140</v>
      </c>
      <c r="C2367" s="39"/>
      <c r="D2367" s="39" t="s">
        <v>9904</v>
      </c>
      <c r="E2367" s="371" t="str">
        <f t="shared" si="182"/>
        <v>えとう　あやと</v>
      </c>
      <c r="F2367" s="39" t="s">
        <v>8050</v>
      </c>
      <c r="G2367" s="39" t="s">
        <v>7828</v>
      </c>
      <c r="H2367" s="39" t="str">
        <f>("2016/08/19")</f>
        <v>2016/08/19</v>
      </c>
      <c r="I2367" s="39">
        <v>3</v>
      </c>
      <c r="J2367" s="39" t="s">
        <v>1478</v>
      </c>
      <c r="K2367" s="39" t="s">
        <v>2122</v>
      </c>
      <c r="L2367" s="39" t="s">
        <v>7830</v>
      </c>
      <c r="M2367" s="39" t="s">
        <v>7831</v>
      </c>
      <c r="N2367" s="39" t="str">
        <f>("0130015")</f>
        <v>0130015</v>
      </c>
      <c r="P2367" s="39" t="s">
        <v>13817</v>
      </c>
      <c r="Q2367" s="39" t="s">
        <v>8568</v>
      </c>
      <c r="R2367" s="39" t="s">
        <v>8569</v>
      </c>
      <c r="S2367" s="39" t="s">
        <v>8570</v>
      </c>
      <c r="AK2367" s="39" t="str">
        <f>("2025/09/30")</f>
        <v>2025/09/30</v>
      </c>
      <c r="AL2367" s="39" t="str">
        <f>("2025/09/30")</f>
        <v>2025/09/30</v>
      </c>
    </row>
    <row r="2368" spans="1:38" x14ac:dyDescent="0.25">
      <c r="A2368" s="39" t="str">
        <f>("1608200040")</f>
        <v>1608200040</v>
      </c>
      <c r="C2368" s="39"/>
      <c r="D2368" s="39" t="s">
        <v>9905</v>
      </c>
      <c r="E2368" s="371" t="str">
        <f t="shared" si="182"/>
        <v>かわの　こうせい</v>
      </c>
      <c r="F2368" s="39" t="s">
        <v>2630</v>
      </c>
      <c r="G2368" s="39" t="s">
        <v>7828</v>
      </c>
      <c r="H2368" s="39" t="str">
        <f>("2016/08/20")</f>
        <v>2016/08/20</v>
      </c>
      <c r="I2368" s="39">
        <v>3</v>
      </c>
      <c r="J2368" s="39" t="s">
        <v>1478</v>
      </c>
      <c r="K2368" s="39" t="s">
        <v>2122</v>
      </c>
      <c r="L2368" s="39" t="s">
        <v>7830</v>
      </c>
      <c r="M2368" s="39" t="s">
        <v>7831</v>
      </c>
      <c r="N2368" s="39" t="str">
        <f>("0506269")</f>
        <v>0506269</v>
      </c>
      <c r="P2368" s="39" t="s">
        <v>13818</v>
      </c>
      <c r="Q2368" s="39" t="s">
        <v>8568</v>
      </c>
      <c r="R2368" s="39" t="s">
        <v>8569</v>
      </c>
      <c r="S2368" s="39" t="s">
        <v>8570</v>
      </c>
      <c r="AK2368" s="39" t="str">
        <f>("2025/03/17")</f>
        <v>2025/03/17</v>
      </c>
      <c r="AL2368" s="39" t="str">
        <f>("2025/04/01")</f>
        <v>2025/04/01</v>
      </c>
    </row>
    <row r="2369" spans="1:38" x14ac:dyDescent="0.25">
      <c r="A2369" s="39" t="str">
        <f>("1608200071")</f>
        <v>1608200071</v>
      </c>
      <c r="C2369" s="39"/>
      <c r="D2369" s="39" t="s">
        <v>9906</v>
      </c>
      <c r="E2369" s="371" t="str">
        <f t="shared" si="182"/>
        <v>やまもと　けいた</v>
      </c>
      <c r="F2369" s="39" t="s">
        <v>2496</v>
      </c>
      <c r="G2369" s="39" t="s">
        <v>7828</v>
      </c>
      <c r="H2369" s="39" t="str">
        <f>("2016/08/20")</f>
        <v>2016/08/20</v>
      </c>
      <c r="I2369" s="39">
        <v>3</v>
      </c>
      <c r="J2369" s="39" t="s">
        <v>1478</v>
      </c>
      <c r="K2369" s="39" t="s">
        <v>2122</v>
      </c>
      <c r="L2369" s="39" t="s">
        <v>7830</v>
      </c>
      <c r="M2369" s="39" t="s">
        <v>7831</v>
      </c>
      <c r="N2369" s="39" t="str">
        <f>("0129855")</f>
        <v>0129855</v>
      </c>
      <c r="P2369" s="39" t="s">
        <v>13819</v>
      </c>
      <c r="Q2369" s="39" t="s">
        <v>8568</v>
      </c>
      <c r="R2369" s="39" t="s">
        <v>8569</v>
      </c>
      <c r="S2369" s="39" t="s">
        <v>8570</v>
      </c>
      <c r="AK2369" s="39" t="str">
        <f>("2025/03/24")</f>
        <v>2025/03/24</v>
      </c>
      <c r="AL2369" s="39" t="str">
        <f>("2025/04/01")</f>
        <v>2025/04/01</v>
      </c>
    </row>
    <row r="2370" spans="1:38" x14ac:dyDescent="0.25">
      <c r="A2370" s="39" t="str">
        <f>("1608200110")</f>
        <v>1608200110</v>
      </c>
      <c r="C2370" s="39"/>
      <c r="D2370" s="39" t="s">
        <v>9907</v>
      </c>
      <c r="E2370" s="371" t="str">
        <f t="shared" si="182"/>
        <v>わごう　ひさし</v>
      </c>
      <c r="F2370" s="39" t="s">
        <v>684</v>
      </c>
      <c r="G2370" s="39" t="s">
        <v>7828</v>
      </c>
      <c r="H2370" s="39" t="str">
        <f>("2016/08/20")</f>
        <v>2016/08/20</v>
      </c>
      <c r="I2370" s="39">
        <v>3</v>
      </c>
      <c r="J2370" s="39" t="s">
        <v>1478</v>
      </c>
      <c r="K2370" s="39" t="s">
        <v>2122</v>
      </c>
      <c r="L2370" s="39" t="s">
        <v>7830</v>
      </c>
      <c r="M2370" s="39" t="s">
        <v>7831</v>
      </c>
      <c r="N2370" s="39" t="str">
        <f>("0129518")</f>
        <v>0129518</v>
      </c>
      <c r="P2370" s="39" t="s">
        <v>13820</v>
      </c>
      <c r="Q2370" s="39" t="s">
        <v>8568</v>
      </c>
      <c r="R2370" s="39" t="s">
        <v>8569</v>
      </c>
      <c r="S2370" s="39" t="s">
        <v>8570</v>
      </c>
      <c r="AK2370" s="39" t="str">
        <f>("2025/09/10")</f>
        <v>2025/09/10</v>
      </c>
      <c r="AL2370" s="39" t="str">
        <f>("2025/09/10")</f>
        <v>2025/09/10</v>
      </c>
    </row>
    <row r="2371" spans="1:38" x14ac:dyDescent="0.25">
      <c r="A2371" s="39" t="str">
        <f>("1608230042")</f>
        <v>1608230042</v>
      </c>
      <c r="B2371" s="39" t="s">
        <v>9908</v>
      </c>
      <c r="C2371" s="39"/>
      <c r="D2371" s="39" t="s">
        <v>9909</v>
      </c>
      <c r="E2371" s="371" t="str">
        <f t="shared" ref="E2371:E2434" si="186">PHONETIC(P2371)</f>
        <v>やない　みなと</v>
      </c>
      <c r="F2371" s="39" t="s">
        <v>2325</v>
      </c>
      <c r="G2371" s="39" t="s">
        <v>7828</v>
      </c>
      <c r="H2371" s="39" t="str">
        <f>("2016/08/23")</f>
        <v>2016/08/23</v>
      </c>
      <c r="I2371" s="39">
        <v>3</v>
      </c>
      <c r="J2371" s="39" t="s">
        <v>1478</v>
      </c>
      <c r="K2371" s="39" t="s">
        <v>2122</v>
      </c>
      <c r="L2371" s="39" t="s">
        <v>7830</v>
      </c>
      <c r="M2371" s="39" t="s">
        <v>7831</v>
      </c>
      <c r="N2371" s="39" t="str">
        <f>("0155034")</f>
        <v>0155034</v>
      </c>
      <c r="P2371" s="39" t="s">
        <v>13821</v>
      </c>
      <c r="Q2371" s="39" t="s">
        <v>8568</v>
      </c>
      <c r="R2371" s="39" t="s">
        <v>8569</v>
      </c>
      <c r="S2371" s="39" t="s">
        <v>8570</v>
      </c>
      <c r="AK2371" s="39" t="str">
        <f>("2025/03/17")</f>
        <v>2025/03/17</v>
      </c>
      <c r="AL2371" s="39" t="str">
        <f t="shared" ref="AL2371:AL2377" si="187">("2025/04/01")</f>
        <v>2025/04/01</v>
      </c>
    </row>
    <row r="2372" spans="1:38" x14ac:dyDescent="0.25">
      <c r="A2372" s="39" t="str">
        <f>("1608230086")</f>
        <v>1608230086</v>
      </c>
      <c r="C2372" s="39"/>
      <c r="D2372" s="39" t="s">
        <v>9910</v>
      </c>
      <c r="E2372" s="371" t="str">
        <f t="shared" si="186"/>
        <v>おの　ひなと</v>
      </c>
      <c r="F2372" s="39" t="s">
        <v>686</v>
      </c>
      <c r="G2372" s="39" t="s">
        <v>7828</v>
      </c>
      <c r="H2372" s="39" t="str">
        <f>("2016/08/23")</f>
        <v>2016/08/23</v>
      </c>
      <c r="I2372" s="39">
        <v>3</v>
      </c>
      <c r="J2372" s="39" t="s">
        <v>1478</v>
      </c>
      <c r="K2372" s="39" t="s">
        <v>2122</v>
      </c>
      <c r="L2372" s="39" t="s">
        <v>7830</v>
      </c>
      <c r="M2372" s="39" t="s">
        <v>7831</v>
      </c>
      <c r="N2372" s="39" t="str">
        <f>("0130745")</f>
        <v>0130745</v>
      </c>
      <c r="P2372" s="39" t="s">
        <v>13822</v>
      </c>
      <c r="Q2372" s="39" t="s">
        <v>8568</v>
      </c>
      <c r="R2372" s="39" t="s">
        <v>8569</v>
      </c>
      <c r="S2372" s="39" t="s">
        <v>8570</v>
      </c>
      <c r="AK2372" s="39" t="str">
        <f>("2025/03/17")</f>
        <v>2025/03/17</v>
      </c>
      <c r="AL2372" s="39" t="str">
        <f t="shared" si="187"/>
        <v>2025/04/01</v>
      </c>
    </row>
    <row r="2373" spans="1:38" x14ac:dyDescent="0.25">
      <c r="A2373" s="39" t="str">
        <f>("1608230091")</f>
        <v>1608230091</v>
      </c>
      <c r="C2373" s="39"/>
      <c r="D2373" s="39" t="s">
        <v>9911</v>
      </c>
      <c r="E2373" s="371" t="str">
        <f t="shared" si="186"/>
        <v>しん　なぎと</v>
      </c>
      <c r="F2373" s="39" t="s">
        <v>2324</v>
      </c>
      <c r="G2373" s="39" t="s">
        <v>7828</v>
      </c>
      <c r="H2373" s="39" t="str">
        <f>("2016/08/23")</f>
        <v>2016/08/23</v>
      </c>
      <c r="I2373" s="39">
        <v>3</v>
      </c>
      <c r="J2373" s="39" t="s">
        <v>1478</v>
      </c>
      <c r="K2373" s="39" t="s">
        <v>2122</v>
      </c>
      <c r="L2373" s="39" t="s">
        <v>7830</v>
      </c>
      <c r="M2373" s="39" t="s">
        <v>7831</v>
      </c>
      <c r="N2373" s="39" t="str">
        <f>("0130486")</f>
        <v>0130486</v>
      </c>
      <c r="P2373" s="39" t="s">
        <v>13823</v>
      </c>
      <c r="Q2373" s="39" t="s">
        <v>8568</v>
      </c>
      <c r="R2373" s="39" t="s">
        <v>8569</v>
      </c>
      <c r="S2373" s="39" t="s">
        <v>8570</v>
      </c>
      <c r="AK2373" s="39" t="str">
        <f>("2025/03/24")</f>
        <v>2025/03/24</v>
      </c>
      <c r="AL2373" s="39" t="str">
        <f t="shared" si="187"/>
        <v>2025/04/01</v>
      </c>
    </row>
    <row r="2374" spans="1:38" x14ac:dyDescent="0.25">
      <c r="A2374" s="39" t="str">
        <f>("1608240016")</f>
        <v>1608240016</v>
      </c>
      <c r="C2374" s="39"/>
      <c r="D2374" s="39" t="s">
        <v>9912</v>
      </c>
      <c r="E2374" s="371" t="str">
        <f t="shared" si="186"/>
        <v>ざいつ　たくみ</v>
      </c>
      <c r="F2374" s="39" t="s">
        <v>2878</v>
      </c>
      <c r="G2374" s="39" t="s">
        <v>7828</v>
      </c>
      <c r="H2374" s="39" t="str">
        <f>("2016/08/24")</f>
        <v>2016/08/24</v>
      </c>
      <c r="I2374" s="39">
        <v>3</v>
      </c>
      <c r="J2374" s="39" t="s">
        <v>1478</v>
      </c>
      <c r="K2374" s="39" t="s">
        <v>2122</v>
      </c>
      <c r="L2374" s="39" t="s">
        <v>7830</v>
      </c>
      <c r="M2374" s="39" t="s">
        <v>7831</v>
      </c>
      <c r="N2374" s="39" t="str">
        <f>("0129484")</f>
        <v>0129484</v>
      </c>
      <c r="P2374" s="39" t="s">
        <v>13824</v>
      </c>
      <c r="Q2374" s="39" t="s">
        <v>8568</v>
      </c>
      <c r="R2374" s="39" t="s">
        <v>8569</v>
      </c>
      <c r="S2374" s="39" t="s">
        <v>8570</v>
      </c>
      <c r="AK2374" s="39" t="str">
        <f>("2025/03/17")</f>
        <v>2025/03/17</v>
      </c>
      <c r="AL2374" s="39" t="str">
        <f t="shared" si="187"/>
        <v>2025/04/01</v>
      </c>
    </row>
    <row r="2375" spans="1:38" x14ac:dyDescent="0.25">
      <c r="A2375" s="39" t="str">
        <f>("1608260024")</f>
        <v>1608260024</v>
      </c>
      <c r="C2375" s="39"/>
      <c r="D2375" s="39" t="s">
        <v>9913</v>
      </c>
      <c r="E2375" s="371" t="str">
        <f t="shared" si="186"/>
        <v>おおの　みつき</v>
      </c>
      <c r="F2375" s="39" t="s">
        <v>2156</v>
      </c>
      <c r="G2375" s="39" t="s">
        <v>7828</v>
      </c>
      <c r="H2375" s="39" t="str">
        <f>("2016/08/26")</f>
        <v>2016/08/26</v>
      </c>
      <c r="I2375" s="39">
        <v>3</v>
      </c>
      <c r="J2375" s="39" t="s">
        <v>1478</v>
      </c>
      <c r="K2375" s="39" t="s">
        <v>2122</v>
      </c>
      <c r="L2375" s="39" t="s">
        <v>7830</v>
      </c>
      <c r="M2375" s="39" t="s">
        <v>7831</v>
      </c>
      <c r="N2375" s="39" t="str">
        <f>("0493040")</f>
        <v>0493040</v>
      </c>
      <c r="P2375" s="39" t="s">
        <v>13825</v>
      </c>
      <c r="Q2375" s="39" t="s">
        <v>8568</v>
      </c>
      <c r="R2375" s="39" t="s">
        <v>8569</v>
      </c>
      <c r="S2375" s="39" t="s">
        <v>8570</v>
      </c>
      <c r="AK2375" s="39" t="str">
        <f>("2025/03/17")</f>
        <v>2025/03/17</v>
      </c>
      <c r="AL2375" s="39" t="str">
        <f t="shared" si="187"/>
        <v>2025/04/01</v>
      </c>
    </row>
    <row r="2376" spans="1:38" x14ac:dyDescent="0.25">
      <c r="A2376" s="39" t="str">
        <f>("1608260056")</f>
        <v>1608260056</v>
      </c>
      <c r="C2376" s="39"/>
      <c r="D2376" s="39" t="s">
        <v>5834</v>
      </c>
      <c r="E2376" s="371" t="str">
        <f t="shared" si="186"/>
        <v>くろさわ　あやと</v>
      </c>
      <c r="F2376" s="39" t="s">
        <v>5616</v>
      </c>
      <c r="G2376" s="39" t="s">
        <v>7828</v>
      </c>
      <c r="H2376" s="39" t="str">
        <f>("2016/08/26")</f>
        <v>2016/08/26</v>
      </c>
      <c r="I2376" s="39">
        <v>3</v>
      </c>
      <c r="J2376" s="39" t="s">
        <v>1478</v>
      </c>
      <c r="K2376" s="39" t="s">
        <v>2122</v>
      </c>
      <c r="L2376" s="39" t="s">
        <v>7830</v>
      </c>
      <c r="M2376" s="39" t="s">
        <v>7831</v>
      </c>
      <c r="N2376" s="39" t="str">
        <f>("0130385")</f>
        <v>0130385</v>
      </c>
      <c r="P2376" s="39" t="s">
        <v>13826</v>
      </c>
      <c r="Q2376" s="39" t="s">
        <v>8568</v>
      </c>
      <c r="R2376" s="39" t="s">
        <v>8569</v>
      </c>
      <c r="S2376" s="39" t="s">
        <v>8570</v>
      </c>
      <c r="AK2376" s="39" t="str">
        <f>("2025/03/17")</f>
        <v>2025/03/17</v>
      </c>
      <c r="AL2376" s="39" t="str">
        <f t="shared" si="187"/>
        <v>2025/04/01</v>
      </c>
    </row>
    <row r="2377" spans="1:38" x14ac:dyDescent="0.25">
      <c r="A2377" s="39" t="str">
        <f>("1608260104")</f>
        <v>1608260104</v>
      </c>
      <c r="C2377" s="39"/>
      <c r="D2377" s="39" t="s">
        <v>9914</v>
      </c>
      <c r="E2377" s="371" t="str">
        <f t="shared" si="186"/>
        <v>はらやま　けいと</v>
      </c>
      <c r="F2377" s="39" t="s">
        <v>2496</v>
      </c>
      <c r="G2377" s="39" t="s">
        <v>7828</v>
      </c>
      <c r="H2377" s="39" t="str">
        <f>("2016/08/26")</f>
        <v>2016/08/26</v>
      </c>
      <c r="I2377" s="39">
        <v>3</v>
      </c>
      <c r="J2377" s="39" t="s">
        <v>1478</v>
      </c>
      <c r="K2377" s="39" t="s">
        <v>2122</v>
      </c>
      <c r="L2377" s="39" t="s">
        <v>7830</v>
      </c>
      <c r="M2377" s="39" t="s">
        <v>7831</v>
      </c>
      <c r="N2377" s="39" t="str">
        <f>("0129855")</f>
        <v>0129855</v>
      </c>
      <c r="P2377" s="39" t="s">
        <v>13827</v>
      </c>
      <c r="Q2377" s="39" t="s">
        <v>8568</v>
      </c>
      <c r="R2377" s="39" t="s">
        <v>8569</v>
      </c>
      <c r="S2377" s="39" t="s">
        <v>8570</v>
      </c>
      <c r="AK2377" s="39" t="str">
        <f>("2025/03/24")</f>
        <v>2025/03/24</v>
      </c>
      <c r="AL2377" s="39" t="str">
        <f t="shared" si="187"/>
        <v>2025/04/01</v>
      </c>
    </row>
    <row r="2378" spans="1:38" x14ac:dyDescent="0.25">
      <c r="A2378" s="39" t="str">
        <f>("1608260148")</f>
        <v>1608260148</v>
      </c>
      <c r="C2378" s="39"/>
      <c r="D2378" s="39" t="s">
        <v>9915</v>
      </c>
      <c r="E2378" s="371" t="str">
        <f t="shared" si="186"/>
        <v>ふじわら　ひまり</v>
      </c>
      <c r="F2378" s="39" t="s">
        <v>1082</v>
      </c>
      <c r="G2378" s="39" t="s">
        <v>7828</v>
      </c>
      <c r="H2378" s="39" t="str">
        <f>("2016/08/26")</f>
        <v>2016/08/26</v>
      </c>
      <c r="I2378" s="39">
        <v>3</v>
      </c>
      <c r="J2378" s="39" t="s">
        <v>1480</v>
      </c>
      <c r="K2378" s="39" t="s">
        <v>2122</v>
      </c>
      <c r="L2378" s="39" t="s">
        <v>7830</v>
      </c>
      <c r="M2378" s="39" t="s">
        <v>7831</v>
      </c>
      <c r="N2378" s="39" t="str">
        <f>("0450009")</f>
        <v>0450009</v>
      </c>
      <c r="P2378" s="39" t="s">
        <v>13828</v>
      </c>
      <c r="Q2378" s="39" t="s">
        <v>8568</v>
      </c>
      <c r="R2378" s="39" t="s">
        <v>8569</v>
      </c>
      <c r="S2378" s="39" t="s">
        <v>8570</v>
      </c>
      <c r="AK2378" s="39" t="str">
        <f>("2025/07/09")</f>
        <v>2025/07/09</v>
      </c>
      <c r="AL2378" s="39" t="str">
        <f>("2025/07/09")</f>
        <v>2025/07/09</v>
      </c>
    </row>
    <row r="2379" spans="1:38" x14ac:dyDescent="0.25">
      <c r="A2379" s="39" t="str">
        <f>("1608270024")</f>
        <v>1608270024</v>
      </c>
      <c r="B2379" s="39" t="s">
        <v>9916</v>
      </c>
      <c r="C2379" s="39"/>
      <c r="D2379" s="39" t="s">
        <v>9917</v>
      </c>
      <c r="E2379" s="371" t="str">
        <f t="shared" si="186"/>
        <v>しおつき　あかり</v>
      </c>
      <c r="F2379" s="39" t="s">
        <v>1912</v>
      </c>
      <c r="G2379" s="39" t="s">
        <v>7828</v>
      </c>
      <c r="H2379" s="39" t="str">
        <f>("2016/08/27")</f>
        <v>2016/08/27</v>
      </c>
      <c r="I2379" s="39">
        <v>3</v>
      </c>
      <c r="J2379" s="39" t="s">
        <v>1480</v>
      </c>
      <c r="K2379" s="39" t="s">
        <v>2122</v>
      </c>
      <c r="L2379" s="39" t="s">
        <v>7830</v>
      </c>
      <c r="M2379" s="39" t="s">
        <v>7831</v>
      </c>
      <c r="N2379" s="39" t="str">
        <f>("0130363")</f>
        <v>0130363</v>
      </c>
      <c r="P2379" s="39" t="s">
        <v>13829</v>
      </c>
      <c r="Q2379" s="39" t="s">
        <v>8568</v>
      </c>
      <c r="R2379" s="39" t="s">
        <v>8569</v>
      </c>
      <c r="S2379" s="39" t="s">
        <v>8570</v>
      </c>
      <c r="AK2379" s="39" t="str">
        <f>("2025/03/17")</f>
        <v>2025/03/17</v>
      </c>
      <c r="AL2379" s="39" t="str">
        <f>("2025/04/01")</f>
        <v>2025/04/01</v>
      </c>
    </row>
    <row r="2380" spans="1:38" x14ac:dyDescent="0.25">
      <c r="A2380" s="39" t="str">
        <f>("1608280069")</f>
        <v>1608280069</v>
      </c>
      <c r="C2380" s="39"/>
      <c r="D2380" s="39" t="s">
        <v>9918</v>
      </c>
      <c r="E2380" s="371" t="str">
        <f t="shared" si="186"/>
        <v>くぼた　りん</v>
      </c>
      <c r="F2380" s="39" t="s">
        <v>2651</v>
      </c>
      <c r="G2380" s="39" t="s">
        <v>7828</v>
      </c>
      <c r="H2380" s="39" t="str">
        <f>("2016/08/28")</f>
        <v>2016/08/28</v>
      </c>
      <c r="I2380" s="39">
        <v>3</v>
      </c>
      <c r="J2380" s="39" t="s">
        <v>1478</v>
      </c>
      <c r="K2380" s="39" t="s">
        <v>2122</v>
      </c>
      <c r="L2380" s="39" t="s">
        <v>7830</v>
      </c>
      <c r="M2380" s="39" t="s">
        <v>7831</v>
      </c>
      <c r="N2380" s="39" t="str">
        <f>("1067415")</f>
        <v>1067415</v>
      </c>
      <c r="P2380" s="39" t="s">
        <v>13830</v>
      </c>
      <c r="Q2380" s="39" t="s">
        <v>8568</v>
      </c>
      <c r="R2380" s="39" t="s">
        <v>8569</v>
      </c>
      <c r="S2380" s="39" t="s">
        <v>8570</v>
      </c>
      <c r="AK2380" s="39" t="str">
        <f>("2025/09/04")</f>
        <v>2025/09/04</v>
      </c>
      <c r="AL2380" s="39" t="str">
        <f>("2025/09/04")</f>
        <v>2025/09/04</v>
      </c>
    </row>
    <row r="2381" spans="1:38" x14ac:dyDescent="0.25">
      <c r="A2381" s="39" t="str">
        <f>("1608290018")</f>
        <v>1608290018</v>
      </c>
      <c r="B2381" s="39" t="s">
        <v>9919</v>
      </c>
      <c r="C2381" s="39"/>
      <c r="D2381" s="39" t="s">
        <v>9920</v>
      </c>
      <c r="E2381" s="371" t="str">
        <f t="shared" si="186"/>
        <v>たけなか　だいき</v>
      </c>
      <c r="F2381" s="39" t="s">
        <v>639</v>
      </c>
      <c r="G2381" s="39" t="s">
        <v>7828</v>
      </c>
      <c r="H2381" s="39" t="str">
        <f>("2016/08/29")</f>
        <v>2016/08/29</v>
      </c>
      <c r="I2381" s="39">
        <v>3</v>
      </c>
      <c r="J2381" s="39" t="s">
        <v>1478</v>
      </c>
      <c r="K2381" s="39" t="s">
        <v>2122</v>
      </c>
      <c r="L2381" s="39" t="s">
        <v>7830</v>
      </c>
      <c r="M2381" s="39" t="s">
        <v>7831</v>
      </c>
      <c r="N2381" s="39" t="str">
        <f>("0130633")</f>
        <v>0130633</v>
      </c>
      <c r="P2381" s="39" t="s">
        <v>13831</v>
      </c>
      <c r="Q2381" s="39" t="s">
        <v>8568</v>
      </c>
      <c r="R2381" s="39" t="s">
        <v>8569</v>
      </c>
      <c r="S2381" s="39" t="s">
        <v>8570</v>
      </c>
      <c r="AK2381" s="39" t="str">
        <f>("2025/03/17")</f>
        <v>2025/03/17</v>
      </c>
      <c r="AL2381" s="39" t="str">
        <f>("2025/04/01")</f>
        <v>2025/04/01</v>
      </c>
    </row>
    <row r="2382" spans="1:38" x14ac:dyDescent="0.25">
      <c r="A2382" s="39" t="str">
        <f>("1608290131")</f>
        <v>1608290131</v>
      </c>
      <c r="B2382" s="39" t="s">
        <v>9921</v>
      </c>
      <c r="C2382" s="39"/>
      <c r="D2382" s="39" t="s">
        <v>9922</v>
      </c>
      <c r="E2382" s="371" t="str">
        <f t="shared" si="186"/>
        <v>たしろ　はじめ</v>
      </c>
      <c r="F2382" s="39" t="s">
        <v>2395</v>
      </c>
      <c r="G2382" s="39" t="s">
        <v>7828</v>
      </c>
      <c r="H2382" s="39" t="str">
        <f>("2016/08/29")</f>
        <v>2016/08/29</v>
      </c>
      <c r="I2382" s="39">
        <v>3</v>
      </c>
      <c r="J2382" s="39" t="s">
        <v>1478</v>
      </c>
      <c r="K2382" s="39" t="s">
        <v>2122</v>
      </c>
      <c r="L2382" s="39" t="s">
        <v>7830</v>
      </c>
      <c r="M2382" s="39" t="s">
        <v>7831</v>
      </c>
      <c r="N2382" s="39" t="str">
        <f>("0366735")</f>
        <v>0366735</v>
      </c>
      <c r="P2382" s="39" t="s">
        <v>13832</v>
      </c>
      <c r="Q2382" s="39" t="s">
        <v>8568</v>
      </c>
      <c r="R2382" s="39" t="s">
        <v>8569</v>
      </c>
      <c r="S2382" s="39" t="s">
        <v>8570</v>
      </c>
      <c r="AK2382" s="39" t="str">
        <f>("2025/08/29")</f>
        <v>2025/08/29</v>
      </c>
      <c r="AL2382" s="39" t="str">
        <f>("2025/08/29")</f>
        <v>2025/08/29</v>
      </c>
    </row>
    <row r="2383" spans="1:38" x14ac:dyDescent="0.25">
      <c r="A2383" s="39" t="str">
        <f>("1608300119")</f>
        <v>1608300119</v>
      </c>
      <c r="C2383" s="39"/>
      <c r="D2383" s="39" t="s">
        <v>9923</v>
      </c>
      <c r="E2383" s="371" t="str">
        <f t="shared" si="186"/>
        <v>なかがわ　たいせい</v>
      </c>
      <c r="F2383" s="39" t="s">
        <v>2648</v>
      </c>
      <c r="G2383" s="39" t="s">
        <v>7828</v>
      </c>
      <c r="H2383" s="39" t="str">
        <f>("2016/08/30")</f>
        <v>2016/08/30</v>
      </c>
      <c r="I2383" s="39">
        <v>3</v>
      </c>
      <c r="J2383" s="39" t="s">
        <v>1478</v>
      </c>
      <c r="K2383" s="39" t="s">
        <v>2122</v>
      </c>
      <c r="L2383" s="39" t="s">
        <v>7830</v>
      </c>
      <c r="M2383" s="39" t="s">
        <v>7831</v>
      </c>
      <c r="N2383" s="39" t="str">
        <f>("1050097")</f>
        <v>1050097</v>
      </c>
      <c r="P2383" s="39" t="s">
        <v>13833</v>
      </c>
      <c r="Q2383" s="39" t="s">
        <v>8568</v>
      </c>
      <c r="R2383" s="39" t="s">
        <v>8569</v>
      </c>
      <c r="S2383" s="39" t="s">
        <v>8570</v>
      </c>
      <c r="AK2383" s="39" t="str">
        <f>("2025/09/02")</f>
        <v>2025/09/02</v>
      </c>
      <c r="AL2383" s="39" t="str">
        <f>("2025/09/02")</f>
        <v>2025/09/02</v>
      </c>
    </row>
    <row r="2384" spans="1:38" x14ac:dyDescent="0.25">
      <c r="A2384" s="39" t="str">
        <f>("1608300122")</f>
        <v>1608300122</v>
      </c>
      <c r="C2384" s="39"/>
      <c r="D2384" s="39" t="s">
        <v>9924</v>
      </c>
      <c r="E2384" s="371" t="str">
        <f t="shared" si="186"/>
        <v>ほんだ　さく</v>
      </c>
      <c r="F2384" s="39" t="s">
        <v>5615</v>
      </c>
      <c r="G2384" s="39" t="s">
        <v>7828</v>
      </c>
      <c r="H2384" s="39" t="str">
        <f>("2016/08/30")</f>
        <v>2016/08/30</v>
      </c>
      <c r="I2384" s="39">
        <v>3</v>
      </c>
      <c r="J2384" s="39" t="s">
        <v>1478</v>
      </c>
      <c r="K2384" s="39" t="s">
        <v>2122</v>
      </c>
      <c r="L2384" s="39" t="s">
        <v>7830</v>
      </c>
      <c r="M2384" s="39" t="s">
        <v>7831</v>
      </c>
      <c r="N2384" s="39" t="str">
        <f>("0129642")</f>
        <v>0129642</v>
      </c>
      <c r="P2384" s="39" t="s">
        <v>13834</v>
      </c>
      <c r="Q2384" s="39" t="s">
        <v>8568</v>
      </c>
      <c r="R2384" s="39" t="s">
        <v>8569</v>
      </c>
      <c r="S2384" s="39" t="s">
        <v>8570</v>
      </c>
      <c r="AK2384" s="39" t="str">
        <f>("2025/09/24")</f>
        <v>2025/09/24</v>
      </c>
      <c r="AL2384" s="39" t="str">
        <f>("2025/09/24")</f>
        <v>2025/09/24</v>
      </c>
    </row>
    <row r="2385" spans="1:39" x14ac:dyDescent="0.25">
      <c r="A2385" s="39" t="str">
        <f>("1608310014")</f>
        <v>1608310014</v>
      </c>
      <c r="C2385" s="39"/>
      <c r="D2385" s="39" t="s">
        <v>6112</v>
      </c>
      <c r="E2385" s="371" t="str">
        <f t="shared" si="186"/>
        <v>とおりど　じょうすけ</v>
      </c>
      <c r="F2385" s="39" t="s">
        <v>5618</v>
      </c>
      <c r="G2385" s="39" t="s">
        <v>7828</v>
      </c>
      <c r="H2385" s="39" t="str">
        <f>("2016/08/31")</f>
        <v>2016/08/31</v>
      </c>
      <c r="I2385" s="39">
        <v>3</v>
      </c>
      <c r="J2385" s="39" t="s">
        <v>1478</v>
      </c>
      <c r="K2385" s="39" t="s">
        <v>2122</v>
      </c>
      <c r="L2385" s="39" t="s">
        <v>7830</v>
      </c>
      <c r="M2385" s="39" t="s">
        <v>7831</v>
      </c>
      <c r="N2385" s="39" t="str">
        <f>("0433235")</f>
        <v>0433235</v>
      </c>
      <c r="P2385" s="39" t="s">
        <v>13835</v>
      </c>
      <c r="Q2385" s="39" t="s">
        <v>8568</v>
      </c>
      <c r="R2385" s="39" t="s">
        <v>8569</v>
      </c>
      <c r="S2385" s="39" t="s">
        <v>8570</v>
      </c>
      <c r="AK2385" s="39" t="str">
        <f>("2025/03/17")</f>
        <v>2025/03/17</v>
      </c>
      <c r="AL2385" s="39" t="str">
        <f>("2025/04/01")</f>
        <v>2025/04/01</v>
      </c>
    </row>
    <row r="2386" spans="1:39" x14ac:dyDescent="0.25">
      <c r="A2386" s="39" t="str">
        <f>("1609010090")</f>
        <v>1609010090</v>
      </c>
      <c r="C2386" s="39"/>
      <c r="D2386" s="39" t="s">
        <v>9925</v>
      </c>
      <c r="E2386" s="371" t="str">
        <f t="shared" si="186"/>
        <v>たなか　ゆいと</v>
      </c>
      <c r="F2386" s="39" t="s">
        <v>3867</v>
      </c>
      <c r="G2386" s="39" t="s">
        <v>7828</v>
      </c>
      <c r="H2386" s="39" t="str">
        <f>("2016/09/01")</f>
        <v>2016/09/01</v>
      </c>
      <c r="I2386" s="39">
        <v>3</v>
      </c>
      <c r="J2386" s="39" t="s">
        <v>1478</v>
      </c>
      <c r="K2386" s="39" t="s">
        <v>2122</v>
      </c>
      <c r="L2386" s="39" t="s">
        <v>7830</v>
      </c>
      <c r="M2386" s="39" t="s">
        <v>7831</v>
      </c>
      <c r="N2386" s="39" t="str">
        <f>("0129990")</f>
        <v>0129990</v>
      </c>
      <c r="P2386" s="39" t="s">
        <v>13836</v>
      </c>
      <c r="Q2386" s="39" t="s">
        <v>8568</v>
      </c>
      <c r="R2386" s="39" t="s">
        <v>8569</v>
      </c>
      <c r="S2386" s="39" t="s">
        <v>8570</v>
      </c>
      <c r="AK2386" s="39" t="str">
        <f>("2025/04/01")</f>
        <v>2025/04/01</v>
      </c>
      <c r="AL2386" s="39" t="str">
        <f>("2025/04/01")</f>
        <v>2025/04/01</v>
      </c>
      <c r="AM2386" s="39" t="str">
        <f>("2025/04/08")</f>
        <v>2025/04/08</v>
      </c>
    </row>
    <row r="2387" spans="1:39" x14ac:dyDescent="0.25">
      <c r="A2387" s="39" t="str">
        <f>("1609010105")</f>
        <v>1609010105</v>
      </c>
      <c r="C2387" s="39"/>
      <c r="D2387" s="39" t="s">
        <v>9926</v>
      </c>
      <c r="E2387" s="371" t="str">
        <f t="shared" si="186"/>
        <v>くどう　こうし</v>
      </c>
      <c r="F2387" s="39" t="s">
        <v>2587</v>
      </c>
      <c r="G2387" s="39" t="s">
        <v>7828</v>
      </c>
      <c r="H2387" s="39" t="str">
        <f>("2016/09/01")</f>
        <v>2016/09/01</v>
      </c>
      <c r="I2387" s="39">
        <v>3</v>
      </c>
      <c r="J2387" s="39" t="s">
        <v>1478</v>
      </c>
      <c r="K2387" s="39" t="s">
        <v>2122</v>
      </c>
      <c r="L2387" s="39" t="s">
        <v>7830</v>
      </c>
      <c r="M2387" s="39" t="s">
        <v>7831</v>
      </c>
      <c r="N2387" s="39" t="str">
        <f>("0387334")</f>
        <v>0387334</v>
      </c>
      <c r="P2387" s="39" t="s">
        <v>13837</v>
      </c>
      <c r="Q2387" s="39" t="s">
        <v>8568</v>
      </c>
      <c r="R2387" s="39" t="s">
        <v>8569</v>
      </c>
      <c r="S2387" s="39" t="s">
        <v>8570</v>
      </c>
      <c r="AK2387" s="39" t="str">
        <f>("2025/04/10")</f>
        <v>2025/04/10</v>
      </c>
      <c r="AL2387" s="39" t="str">
        <f>("2025/04/10")</f>
        <v>2025/04/10</v>
      </c>
    </row>
    <row r="2388" spans="1:39" x14ac:dyDescent="0.25">
      <c r="A2388" s="39" t="str">
        <f>("1609010131")</f>
        <v>1609010131</v>
      </c>
      <c r="C2388" s="39"/>
      <c r="D2388" s="39" t="s">
        <v>9927</v>
      </c>
      <c r="E2388" s="371" t="str">
        <f t="shared" si="186"/>
        <v>しもせ　かずよし</v>
      </c>
      <c r="F2388" s="39" t="s">
        <v>1446</v>
      </c>
      <c r="G2388" s="39" t="s">
        <v>7828</v>
      </c>
      <c r="H2388" s="39" t="str">
        <f>("2016/09/01")</f>
        <v>2016/09/01</v>
      </c>
      <c r="I2388" s="39">
        <v>3</v>
      </c>
      <c r="J2388" s="39" t="s">
        <v>1478</v>
      </c>
      <c r="K2388" s="39" t="s">
        <v>2122</v>
      </c>
      <c r="L2388" s="39" t="s">
        <v>7830</v>
      </c>
      <c r="M2388" s="39" t="s">
        <v>7831</v>
      </c>
      <c r="N2388" s="39" t="str">
        <f>("0478807")</f>
        <v>0478807</v>
      </c>
      <c r="P2388" s="39" t="s">
        <v>13838</v>
      </c>
      <c r="Q2388" s="39" t="s">
        <v>8568</v>
      </c>
      <c r="R2388" s="39" t="s">
        <v>8569</v>
      </c>
      <c r="S2388" s="39" t="s">
        <v>8570</v>
      </c>
      <c r="AK2388" s="39" t="str">
        <f>("2025/09/12")</f>
        <v>2025/09/12</v>
      </c>
      <c r="AL2388" s="39" t="str">
        <f>("2025/09/12")</f>
        <v>2025/09/12</v>
      </c>
    </row>
    <row r="2389" spans="1:39" x14ac:dyDescent="0.25">
      <c r="A2389" s="39" t="str">
        <f>("1609020034")</f>
        <v>1609020034</v>
      </c>
      <c r="C2389" s="39"/>
      <c r="D2389" s="39" t="s">
        <v>5917</v>
      </c>
      <c r="E2389" s="371" t="str">
        <f t="shared" si="186"/>
        <v>しばた　あおい</v>
      </c>
      <c r="F2389" s="39" t="s">
        <v>2549</v>
      </c>
      <c r="G2389" s="39" t="s">
        <v>7828</v>
      </c>
      <c r="H2389" s="39" t="str">
        <f>("2016/09/02")</f>
        <v>2016/09/02</v>
      </c>
      <c r="I2389" s="39">
        <v>3</v>
      </c>
      <c r="J2389" s="39" t="s">
        <v>1478</v>
      </c>
      <c r="K2389" s="39" t="s">
        <v>2122</v>
      </c>
      <c r="L2389" s="39" t="s">
        <v>7830</v>
      </c>
      <c r="M2389" s="39" t="s">
        <v>7831</v>
      </c>
      <c r="N2389" s="39" t="str">
        <f>("0130688")</f>
        <v>0130688</v>
      </c>
      <c r="P2389" s="39" t="s">
        <v>13839</v>
      </c>
      <c r="Q2389" s="39" t="s">
        <v>8568</v>
      </c>
      <c r="R2389" s="39" t="s">
        <v>8569</v>
      </c>
      <c r="S2389" s="39" t="s">
        <v>8570</v>
      </c>
      <c r="AK2389" s="39" t="str">
        <f>("2025/03/17")</f>
        <v>2025/03/17</v>
      </c>
      <c r="AL2389" s="39" t="str">
        <f>("2025/04/01")</f>
        <v>2025/04/01</v>
      </c>
    </row>
    <row r="2390" spans="1:39" x14ac:dyDescent="0.25">
      <c r="A2390" s="39" t="str">
        <f>("1609020100")</f>
        <v>1609020100</v>
      </c>
      <c r="C2390" s="39"/>
      <c r="D2390" s="39" t="s">
        <v>4053</v>
      </c>
      <c r="E2390" s="371" t="str">
        <f t="shared" si="186"/>
        <v>ごとう　はると</v>
      </c>
      <c r="F2390" s="39" t="s">
        <v>2485</v>
      </c>
      <c r="G2390" s="39" t="s">
        <v>7876</v>
      </c>
      <c r="H2390" s="39" t="str">
        <f>("2016/09/02")</f>
        <v>2016/09/02</v>
      </c>
      <c r="I2390" s="39">
        <v>3</v>
      </c>
      <c r="J2390" s="39" t="s">
        <v>1478</v>
      </c>
      <c r="K2390" s="39" t="s">
        <v>2122</v>
      </c>
      <c r="L2390" s="39" t="s">
        <v>7830</v>
      </c>
      <c r="M2390" s="39" t="s">
        <v>7831</v>
      </c>
      <c r="N2390" s="39" t="str">
        <f>("0129754")</f>
        <v>0129754</v>
      </c>
      <c r="P2390" s="39" t="s">
        <v>12466</v>
      </c>
      <c r="Q2390" s="39" t="s">
        <v>8568</v>
      </c>
      <c r="R2390" s="39" t="s">
        <v>8569</v>
      </c>
      <c r="S2390" s="39" t="s">
        <v>8570</v>
      </c>
      <c r="AK2390" s="39" t="str">
        <f>("2025/07/10")</f>
        <v>2025/07/10</v>
      </c>
      <c r="AL2390" s="39" t="str">
        <f>("2025/07/10")</f>
        <v>2025/07/10</v>
      </c>
      <c r="AM2390" s="39" t="str">
        <f>("2025/12/12")</f>
        <v>2025/12/12</v>
      </c>
    </row>
    <row r="2391" spans="1:39" x14ac:dyDescent="0.25">
      <c r="A2391" s="39" t="str">
        <f>("1609020101")</f>
        <v>1609020101</v>
      </c>
      <c r="C2391" s="39"/>
      <c r="D2391" s="39" t="s">
        <v>9928</v>
      </c>
      <c r="E2391" s="371" t="str">
        <f t="shared" si="186"/>
        <v>ごとう　たいが</v>
      </c>
      <c r="F2391" s="39" t="s">
        <v>2485</v>
      </c>
      <c r="G2391" s="39" t="s">
        <v>7876</v>
      </c>
      <c r="H2391" s="39" t="str">
        <f>("2016/09/02")</f>
        <v>2016/09/02</v>
      </c>
      <c r="I2391" s="39">
        <v>3</v>
      </c>
      <c r="J2391" s="39" t="s">
        <v>1478</v>
      </c>
      <c r="K2391" s="39" t="s">
        <v>2122</v>
      </c>
      <c r="L2391" s="39" t="s">
        <v>7830</v>
      </c>
      <c r="M2391" s="39" t="s">
        <v>7831</v>
      </c>
      <c r="N2391" s="39" t="str">
        <f>("0129754")</f>
        <v>0129754</v>
      </c>
      <c r="P2391" s="39" t="s">
        <v>11893</v>
      </c>
      <c r="Q2391" s="39" t="s">
        <v>8568</v>
      </c>
      <c r="R2391" s="39" t="s">
        <v>8569</v>
      </c>
      <c r="S2391" s="39" t="s">
        <v>8570</v>
      </c>
      <c r="AK2391" s="39" t="str">
        <f>("2025/07/10")</f>
        <v>2025/07/10</v>
      </c>
      <c r="AL2391" s="39" t="str">
        <f>("2025/07/10")</f>
        <v>2025/07/10</v>
      </c>
      <c r="AM2391" s="39" t="str">
        <f>("2025/12/12")</f>
        <v>2025/12/12</v>
      </c>
    </row>
    <row r="2392" spans="1:39" x14ac:dyDescent="0.25">
      <c r="A2392" s="39" t="str">
        <f>("1609030035")</f>
        <v>1609030035</v>
      </c>
      <c r="C2392" s="39"/>
      <c r="D2392" s="39" t="s">
        <v>9929</v>
      </c>
      <c r="E2392" s="371" t="str">
        <f t="shared" si="186"/>
        <v>かばた　そうすけ</v>
      </c>
      <c r="F2392" s="39" t="s">
        <v>2274</v>
      </c>
      <c r="G2392" s="39" t="s">
        <v>7828</v>
      </c>
      <c r="H2392" s="39" t="str">
        <f>("2016/09/03")</f>
        <v>2016/09/03</v>
      </c>
      <c r="I2392" s="39">
        <v>3</v>
      </c>
      <c r="J2392" s="39" t="s">
        <v>1478</v>
      </c>
      <c r="K2392" s="39" t="s">
        <v>2122</v>
      </c>
      <c r="L2392" s="39" t="s">
        <v>7830</v>
      </c>
      <c r="M2392" s="39" t="s">
        <v>7831</v>
      </c>
      <c r="N2392" s="39" t="str">
        <f>("0129563")</f>
        <v>0129563</v>
      </c>
      <c r="P2392" s="39" t="s">
        <v>13840</v>
      </c>
      <c r="Q2392" s="39" t="s">
        <v>8568</v>
      </c>
      <c r="R2392" s="39" t="s">
        <v>8569</v>
      </c>
      <c r="S2392" s="39" t="s">
        <v>8570</v>
      </c>
      <c r="AK2392" s="39" t="str">
        <f>("2025/03/17")</f>
        <v>2025/03/17</v>
      </c>
      <c r="AL2392" s="39" t="str">
        <f>("2025/04/01")</f>
        <v>2025/04/01</v>
      </c>
    </row>
    <row r="2393" spans="1:39" x14ac:dyDescent="0.25">
      <c r="A2393" s="39" t="str">
        <f>("1609030044")</f>
        <v>1609030044</v>
      </c>
      <c r="C2393" s="39"/>
      <c r="D2393" s="39" t="s">
        <v>9930</v>
      </c>
      <c r="E2393" s="371" t="str">
        <f t="shared" si="186"/>
        <v>ありよし　そうた</v>
      </c>
      <c r="F2393" s="39" t="s">
        <v>2156</v>
      </c>
      <c r="G2393" s="39" t="s">
        <v>7828</v>
      </c>
      <c r="H2393" s="39" t="str">
        <f>("2016/09/03")</f>
        <v>2016/09/03</v>
      </c>
      <c r="I2393" s="39">
        <v>3</v>
      </c>
      <c r="J2393" s="39" t="s">
        <v>1478</v>
      </c>
      <c r="K2393" s="39" t="s">
        <v>2122</v>
      </c>
      <c r="L2393" s="39" t="s">
        <v>7830</v>
      </c>
      <c r="M2393" s="39" t="s">
        <v>7831</v>
      </c>
      <c r="N2393" s="39" t="str">
        <f>("0493040")</f>
        <v>0493040</v>
      </c>
      <c r="P2393" s="39" t="s">
        <v>13841</v>
      </c>
      <c r="Q2393" s="39" t="s">
        <v>8568</v>
      </c>
      <c r="R2393" s="39" t="s">
        <v>8569</v>
      </c>
      <c r="S2393" s="39" t="s">
        <v>8570</v>
      </c>
      <c r="AK2393" s="39" t="str">
        <f>("2025/03/17")</f>
        <v>2025/03/17</v>
      </c>
      <c r="AL2393" s="39" t="str">
        <f>("2025/04/01")</f>
        <v>2025/04/01</v>
      </c>
    </row>
    <row r="2394" spans="1:39" x14ac:dyDescent="0.25">
      <c r="A2394" s="39" t="str">
        <f>("1609030092")</f>
        <v>1609030092</v>
      </c>
      <c r="C2394" s="39"/>
      <c r="D2394" s="39" t="s">
        <v>9931</v>
      </c>
      <c r="E2394" s="371" t="str">
        <f t="shared" si="186"/>
        <v>ます　たすく</v>
      </c>
      <c r="F2394" s="39" t="s">
        <v>1481</v>
      </c>
      <c r="G2394" s="39" t="s">
        <v>7828</v>
      </c>
      <c r="H2394" s="39" t="str">
        <f>("2016/09/03")</f>
        <v>2016/09/03</v>
      </c>
      <c r="I2394" s="39">
        <v>3</v>
      </c>
      <c r="J2394" s="39" t="s">
        <v>1478</v>
      </c>
      <c r="K2394" s="39" t="s">
        <v>2122</v>
      </c>
      <c r="L2394" s="39" t="s">
        <v>7830</v>
      </c>
      <c r="M2394" s="39" t="s">
        <v>7831</v>
      </c>
      <c r="N2394" s="39" t="str">
        <f>("0129866")</f>
        <v>0129866</v>
      </c>
      <c r="P2394" s="39" t="s">
        <v>13842</v>
      </c>
      <c r="Q2394" s="39" t="s">
        <v>8568</v>
      </c>
      <c r="R2394" s="39" t="s">
        <v>8569</v>
      </c>
      <c r="S2394" s="39" t="s">
        <v>8570</v>
      </c>
      <c r="AK2394" s="39" t="str">
        <f>("2025/04/04")</f>
        <v>2025/04/04</v>
      </c>
      <c r="AL2394" s="39" t="str">
        <f>("2025/04/04")</f>
        <v>2025/04/04</v>
      </c>
    </row>
    <row r="2395" spans="1:39" x14ac:dyDescent="0.25">
      <c r="A2395" s="39" t="str">
        <f>("1609030096")</f>
        <v>1609030096</v>
      </c>
      <c r="C2395" s="39"/>
      <c r="D2395" s="39" t="s">
        <v>9932</v>
      </c>
      <c r="E2395" s="371" t="str">
        <f t="shared" si="186"/>
        <v>にし　そうすけ</v>
      </c>
      <c r="F2395" s="39" t="s">
        <v>1481</v>
      </c>
      <c r="G2395" s="39" t="s">
        <v>7828</v>
      </c>
      <c r="H2395" s="39" t="str">
        <f>("2016/09/03")</f>
        <v>2016/09/03</v>
      </c>
      <c r="I2395" s="39">
        <v>3</v>
      </c>
      <c r="J2395" s="39" t="s">
        <v>1478</v>
      </c>
      <c r="K2395" s="39" t="s">
        <v>2122</v>
      </c>
      <c r="L2395" s="39" t="s">
        <v>7830</v>
      </c>
      <c r="M2395" s="39" t="s">
        <v>7831</v>
      </c>
      <c r="N2395" s="39" t="str">
        <f>("0129866")</f>
        <v>0129866</v>
      </c>
      <c r="P2395" s="39" t="s">
        <v>13843</v>
      </c>
      <c r="Q2395" s="39" t="s">
        <v>8568</v>
      </c>
      <c r="R2395" s="39" t="s">
        <v>8569</v>
      </c>
      <c r="S2395" s="39" t="s">
        <v>8570</v>
      </c>
      <c r="AK2395" s="39" t="str">
        <f>("2025/04/10")</f>
        <v>2025/04/10</v>
      </c>
      <c r="AL2395" s="39" t="str">
        <f>("2025/04/10")</f>
        <v>2025/04/10</v>
      </c>
    </row>
    <row r="2396" spans="1:39" x14ac:dyDescent="0.25">
      <c r="A2396" s="39" t="str">
        <f>("1609040032")</f>
        <v>1609040032</v>
      </c>
      <c r="C2396" s="39"/>
      <c r="D2396" s="39" t="s">
        <v>9933</v>
      </c>
      <c r="E2396" s="371" t="str">
        <f t="shared" si="186"/>
        <v>ながお　みすず</v>
      </c>
      <c r="F2396" s="39" t="s">
        <v>2516</v>
      </c>
      <c r="G2396" s="39" t="s">
        <v>7828</v>
      </c>
      <c r="H2396" s="39" t="str">
        <f>("2016/09/04")</f>
        <v>2016/09/04</v>
      </c>
      <c r="I2396" s="39">
        <v>3</v>
      </c>
      <c r="J2396" s="39" t="s">
        <v>1480</v>
      </c>
      <c r="K2396" s="39" t="s">
        <v>2122</v>
      </c>
      <c r="L2396" s="39" t="s">
        <v>7830</v>
      </c>
      <c r="M2396" s="39" t="s">
        <v>7831</v>
      </c>
      <c r="N2396" s="39" t="str">
        <f>("0130116")</f>
        <v>0130116</v>
      </c>
      <c r="P2396" s="39" t="s">
        <v>13844</v>
      </c>
      <c r="Q2396" s="39" t="s">
        <v>8568</v>
      </c>
      <c r="R2396" s="39" t="s">
        <v>8569</v>
      </c>
      <c r="S2396" s="39" t="s">
        <v>8570</v>
      </c>
      <c r="AK2396" s="39" t="str">
        <f>("2025/03/25")</f>
        <v>2025/03/25</v>
      </c>
      <c r="AL2396" s="39" t="str">
        <f>("2025/04/01")</f>
        <v>2025/04/01</v>
      </c>
    </row>
    <row r="2397" spans="1:39" x14ac:dyDescent="0.25">
      <c r="A2397" s="39" t="str">
        <f>("1609050003")</f>
        <v>1609050003</v>
      </c>
      <c r="C2397" s="39"/>
      <c r="D2397" s="39" t="s">
        <v>9934</v>
      </c>
      <c r="E2397" s="371" t="str">
        <f t="shared" si="186"/>
        <v>あきよし　あいせい</v>
      </c>
      <c r="F2397" s="39" t="s">
        <v>2023</v>
      </c>
      <c r="G2397" s="39" t="s">
        <v>7828</v>
      </c>
      <c r="H2397" s="39" t="str">
        <f>("2016/09/05")</f>
        <v>2016/09/05</v>
      </c>
      <c r="I2397" s="39">
        <v>3</v>
      </c>
      <c r="J2397" s="39" t="s">
        <v>1478</v>
      </c>
      <c r="K2397" s="39" t="s">
        <v>2122</v>
      </c>
      <c r="L2397" s="39" t="s">
        <v>7830</v>
      </c>
      <c r="M2397" s="39" t="s">
        <v>7831</v>
      </c>
      <c r="N2397" s="39" t="str">
        <f>("0129967")</f>
        <v>0129967</v>
      </c>
      <c r="P2397" s="39" t="s">
        <v>13845</v>
      </c>
      <c r="Q2397" s="39" t="s">
        <v>8568</v>
      </c>
      <c r="R2397" s="39" t="s">
        <v>8569</v>
      </c>
      <c r="S2397" s="39" t="s">
        <v>8570</v>
      </c>
      <c r="AK2397" s="39" t="str">
        <f>("2025/03/17")</f>
        <v>2025/03/17</v>
      </c>
      <c r="AL2397" s="39" t="str">
        <f>("2025/04/01")</f>
        <v>2025/04/01</v>
      </c>
    </row>
    <row r="2398" spans="1:39" x14ac:dyDescent="0.25">
      <c r="A2398" s="39" t="str">
        <f>("1609050116")</f>
        <v>1609050116</v>
      </c>
      <c r="C2398" s="39"/>
      <c r="D2398" s="39" t="s">
        <v>9935</v>
      </c>
      <c r="E2398" s="371" t="str">
        <f t="shared" si="186"/>
        <v>おがえり　けいすけ</v>
      </c>
      <c r="F2398" s="39" t="s">
        <v>2477</v>
      </c>
      <c r="G2398" s="39" t="s">
        <v>7828</v>
      </c>
      <c r="H2398" s="39" t="str">
        <f>("2016/09/05")</f>
        <v>2016/09/05</v>
      </c>
      <c r="I2398" s="39">
        <v>3</v>
      </c>
      <c r="J2398" s="39" t="s">
        <v>1478</v>
      </c>
      <c r="K2398" s="39" t="s">
        <v>2122</v>
      </c>
      <c r="L2398" s="39" t="s">
        <v>7830</v>
      </c>
      <c r="M2398" s="39" t="s">
        <v>7831</v>
      </c>
      <c r="N2398" s="39" t="str">
        <f>("0129541")</f>
        <v>0129541</v>
      </c>
      <c r="P2398" s="39" t="s">
        <v>13846</v>
      </c>
      <c r="Q2398" s="39" t="s">
        <v>8568</v>
      </c>
      <c r="R2398" s="39" t="s">
        <v>8569</v>
      </c>
      <c r="S2398" s="39" t="s">
        <v>8570</v>
      </c>
      <c r="AK2398" s="39" t="str">
        <f>("2025/05/12")</f>
        <v>2025/05/12</v>
      </c>
      <c r="AL2398" s="39" t="str">
        <f>("2025/05/12")</f>
        <v>2025/05/12</v>
      </c>
    </row>
    <row r="2399" spans="1:39" x14ac:dyDescent="0.25">
      <c r="A2399" s="39" t="str">
        <f>("1609060058")</f>
        <v>1609060058</v>
      </c>
      <c r="C2399" s="39"/>
      <c r="D2399" s="39" t="s">
        <v>9936</v>
      </c>
      <c r="E2399" s="371" t="str">
        <f t="shared" si="186"/>
        <v>かわの　ねね</v>
      </c>
      <c r="F2399" s="39" t="s">
        <v>2299</v>
      </c>
      <c r="G2399" s="39" t="s">
        <v>7828</v>
      </c>
      <c r="H2399" s="39" t="str">
        <f>("2016/09/06")</f>
        <v>2016/09/06</v>
      </c>
      <c r="I2399" s="39">
        <v>3</v>
      </c>
      <c r="J2399" s="39" t="s">
        <v>1480</v>
      </c>
      <c r="K2399" s="39" t="s">
        <v>2122</v>
      </c>
      <c r="L2399" s="39" t="s">
        <v>7830</v>
      </c>
      <c r="M2399" s="39" t="s">
        <v>7831</v>
      </c>
      <c r="N2399" s="39" t="str">
        <f>("1066647")</f>
        <v>1066647</v>
      </c>
      <c r="P2399" s="39" t="s">
        <v>13847</v>
      </c>
      <c r="Q2399" s="39" t="s">
        <v>8568</v>
      </c>
      <c r="R2399" s="39" t="s">
        <v>8569</v>
      </c>
      <c r="S2399" s="39" t="s">
        <v>8570</v>
      </c>
      <c r="AK2399" s="39" t="str">
        <f>("2025/03/21")</f>
        <v>2025/03/21</v>
      </c>
      <c r="AL2399" s="39" t="str">
        <f>("2025/04/01")</f>
        <v>2025/04/01</v>
      </c>
    </row>
    <row r="2400" spans="1:39" x14ac:dyDescent="0.25">
      <c r="A2400" s="39" t="str">
        <f>("1609070056")</f>
        <v>1609070056</v>
      </c>
      <c r="C2400" s="39"/>
      <c r="D2400" s="39" t="s">
        <v>9937</v>
      </c>
      <c r="E2400" s="371" t="str">
        <f t="shared" si="186"/>
        <v>のだ　こうらん</v>
      </c>
      <c r="F2400" s="39" t="s">
        <v>156</v>
      </c>
      <c r="G2400" s="39" t="s">
        <v>7828</v>
      </c>
      <c r="H2400" s="39" t="str">
        <f>("2016/09/07")</f>
        <v>2016/09/07</v>
      </c>
      <c r="I2400" s="39">
        <v>3</v>
      </c>
      <c r="J2400" s="39" t="s">
        <v>1478</v>
      </c>
      <c r="K2400" s="39" t="s">
        <v>2122</v>
      </c>
      <c r="L2400" s="39" t="s">
        <v>7830</v>
      </c>
      <c r="M2400" s="39" t="s">
        <v>7831</v>
      </c>
      <c r="N2400" s="39" t="str">
        <f>("0130037")</f>
        <v>0130037</v>
      </c>
      <c r="P2400" s="39" t="s">
        <v>13848</v>
      </c>
      <c r="Q2400" s="39" t="s">
        <v>8568</v>
      </c>
      <c r="R2400" s="39" t="s">
        <v>8569</v>
      </c>
      <c r="S2400" s="39" t="s">
        <v>8570</v>
      </c>
      <c r="AK2400" s="39" t="str">
        <f>("2025/03/17")</f>
        <v>2025/03/17</v>
      </c>
      <c r="AL2400" s="39" t="str">
        <f>("2025/04/01")</f>
        <v>2025/04/01</v>
      </c>
    </row>
    <row r="2401" spans="1:39" x14ac:dyDescent="0.25">
      <c r="A2401" s="39" t="str">
        <f>("1609070138")</f>
        <v>1609070138</v>
      </c>
      <c r="B2401" s="39" t="s">
        <v>9938</v>
      </c>
      <c r="C2401" s="39"/>
      <c r="D2401" s="39" t="s">
        <v>9939</v>
      </c>
      <c r="E2401" s="371" t="str">
        <f t="shared" si="186"/>
        <v>まつだ　そうた</v>
      </c>
      <c r="F2401" s="39" t="s">
        <v>1344</v>
      </c>
      <c r="G2401" s="39" t="s">
        <v>7828</v>
      </c>
      <c r="H2401" s="39" t="str">
        <f>("2016/09/07")</f>
        <v>2016/09/07</v>
      </c>
      <c r="I2401" s="39">
        <v>3</v>
      </c>
      <c r="J2401" s="39" t="s">
        <v>1478</v>
      </c>
      <c r="K2401" s="39" t="s">
        <v>2122</v>
      </c>
      <c r="L2401" s="39" t="s">
        <v>7830</v>
      </c>
      <c r="M2401" s="39" t="s">
        <v>7831</v>
      </c>
      <c r="N2401" s="39" t="str">
        <f>("0130587")</f>
        <v>0130587</v>
      </c>
      <c r="P2401" s="39" t="s">
        <v>13849</v>
      </c>
      <c r="Q2401" s="39" t="s">
        <v>8568</v>
      </c>
      <c r="R2401" s="39" t="s">
        <v>8569</v>
      </c>
      <c r="S2401" s="39" t="s">
        <v>8570</v>
      </c>
      <c r="AK2401" s="39" t="str">
        <f>("2025/08/19")</f>
        <v>2025/08/19</v>
      </c>
      <c r="AL2401" s="39" t="str">
        <f>("2025/08/19")</f>
        <v>2025/08/19</v>
      </c>
    </row>
    <row r="2402" spans="1:39" x14ac:dyDescent="0.25">
      <c r="A2402" s="39" t="str">
        <f>("1609080016")</f>
        <v>1609080016</v>
      </c>
      <c r="C2402" s="39"/>
      <c r="D2402" s="39" t="s">
        <v>9940</v>
      </c>
      <c r="E2402" s="371" t="str">
        <f t="shared" si="186"/>
        <v>さかもと　たいし</v>
      </c>
      <c r="F2402" s="39" t="s">
        <v>5621</v>
      </c>
      <c r="G2402" s="39" t="s">
        <v>7828</v>
      </c>
      <c r="H2402" s="39" t="str">
        <f>("2016/09/08")</f>
        <v>2016/09/08</v>
      </c>
      <c r="I2402" s="39">
        <v>3</v>
      </c>
      <c r="J2402" s="39" t="s">
        <v>1478</v>
      </c>
      <c r="K2402" s="39" t="s">
        <v>2122</v>
      </c>
      <c r="L2402" s="39" t="s">
        <v>7830</v>
      </c>
      <c r="M2402" s="39" t="s">
        <v>7831</v>
      </c>
      <c r="N2402" s="39" t="str">
        <f>("1110654")</f>
        <v>1110654</v>
      </c>
      <c r="P2402" s="39" t="s">
        <v>13850</v>
      </c>
      <c r="Q2402" s="39" t="s">
        <v>8568</v>
      </c>
      <c r="R2402" s="39" t="s">
        <v>8569</v>
      </c>
      <c r="S2402" s="39" t="s">
        <v>8570</v>
      </c>
      <c r="AA2402" s="39" t="s">
        <v>2122</v>
      </c>
      <c r="AB2402" s="39" t="s">
        <v>7830</v>
      </c>
      <c r="AC2402" s="39" t="s">
        <v>7831</v>
      </c>
      <c r="AD2402" s="39" t="str">
        <f>("0130701")</f>
        <v>0130701</v>
      </c>
      <c r="AE2402" s="39" t="s">
        <v>8818</v>
      </c>
      <c r="AK2402" s="39" t="str">
        <f>("2025/07/28")</f>
        <v>2025/07/28</v>
      </c>
      <c r="AL2402" s="39" t="str">
        <f>("2025/07/28")</f>
        <v>2025/07/28</v>
      </c>
    </row>
    <row r="2403" spans="1:39" x14ac:dyDescent="0.25">
      <c r="A2403" s="39" t="str">
        <f>("1609080033")</f>
        <v>1609080033</v>
      </c>
      <c r="C2403" s="39"/>
      <c r="D2403" s="39" t="s">
        <v>9941</v>
      </c>
      <c r="E2403" s="371" t="str">
        <f t="shared" si="186"/>
        <v>ひらしま　はると</v>
      </c>
      <c r="F2403" s="39" t="s">
        <v>2584</v>
      </c>
      <c r="G2403" s="39" t="s">
        <v>7828</v>
      </c>
      <c r="H2403" s="39" t="str">
        <f>("2016/09/08")</f>
        <v>2016/09/08</v>
      </c>
      <c r="I2403" s="39">
        <v>3</v>
      </c>
      <c r="J2403" s="39" t="s">
        <v>1478</v>
      </c>
      <c r="K2403" s="39" t="s">
        <v>2122</v>
      </c>
      <c r="L2403" s="39" t="s">
        <v>7830</v>
      </c>
      <c r="M2403" s="39" t="s">
        <v>7831</v>
      </c>
      <c r="N2403" s="39" t="str">
        <f>("0374071")</f>
        <v>0374071</v>
      </c>
      <c r="P2403" s="39" t="s">
        <v>13851</v>
      </c>
      <c r="Q2403" s="39" t="s">
        <v>8568</v>
      </c>
      <c r="R2403" s="39" t="s">
        <v>8569</v>
      </c>
      <c r="S2403" s="39" t="s">
        <v>8570</v>
      </c>
      <c r="AK2403" s="39" t="str">
        <f>("2025/03/17")</f>
        <v>2025/03/17</v>
      </c>
      <c r="AL2403" s="39" t="str">
        <f>("2025/04/01")</f>
        <v>2025/04/01</v>
      </c>
    </row>
    <row r="2404" spans="1:39" x14ac:dyDescent="0.25">
      <c r="A2404" s="39" t="str">
        <f>("1609080125")</f>
        <v>1609080125</v>
      </c>
      <c r="C2404" s="39"/>
      <c r="D2404" s="39" t="s">
        <v>9942</v>
      </c>
      <c r="E2404" s="371" t="str">
        <f t="shared" si="186"/>
        <v>もり　そうた</v>
      </c>
      <c r="F2404" s="39" t="s">
        <v>1968</v>
      </c>
      <c r="G2404" s="39" t="s">
        <v>7828</v>
      </c>
      <c r="H2404" s="39" t="str">
        <f>("2016/09/08")</f>
        <v>2016/09/08</v>
      </c>
      <c r="I2404" s="39">
        <v>3</v>
      </c>
      <c r="J2404" s="39" t="s">
        <v>1478</v>
      </c>
      <c r="K2404" s="39" t="s">
        <v>2122</v>
      </c>
      <c r="L2404" s="39" t="s">
        <v>7830</v>
      </c>
      <c r="M2404" s="39" t="s">
        <v>7831</v>
      </c>
      <c r="N2404" s="39" t="str">
        <f>("0129507")</f>
        <v>0129507</v>
      </c>
      <c r="P2404" s="39" t="s">
        <v>13852</v>
      </c>
      <c r="Q2404" s="39" t="s">
        <v>8568</v>
      </c>
      <c r="R2404" s="39" t="s">
        <v>8569</v>
      </c>
      <c r="S2404" s="39" t="s">
        <v>8570</v>
      </c>
      <c r="AK2404" s="39" t="str">
        <f>("2025/08/22")</f>
        <v>2025/08/22</v>
      </c>
      <c r="AL2404" s="39" t="str">
        <f>("2025/08/22")</f>
        <v>2025/08/22</v>
      </c>
    </row>
    <row r="2405" spans="1:39" x14ac:dyDescent="0.25">
      <c r="A2405" s="39" t="str">
        <f>("1609090092")</f>
        <v>1609090092</v>
      </c>
      <c r="C2405" s="39"/>
      <c r="D2405" s="39" t="s">
        <v>9943</v>
      </c>
      <c r="E2405" s="371" t="str">
        <f t="shared" si="186"/>
        <v>ひがし　さくや</v>
      </c>
      <c r="F2405" s="39" t="s">
        <v>2530</v>
      </c>
      <c r="G2405" s="39" t="s">
        <v>7828</v>
      </c>
      <c r="H2405" s="39" t="str">
        <f>("2016/09/09")</f>
        <v>2016/09/09</v>
      </c>
      <c r="I2405" s="39">
        <v>3</v>
      </c>
      <c r="J2405" s="39" t="s">
        <v>1478</v>
      </c>
      <c r="K2405" s="39" t="s">
        <v>2122</v>
      </c>
      <c r="L2405" s="39" t="s">
        <v>7830</v>
      </c>
      <c r="M2405" s="39" t="s">
        <v>7831</v>
      </c>
      <c r="N2405" s="39" t="str">
        <f>("0338756")</f>
        <v>0338756</v>
      </c>
      <c r="P2405" s="39" t="s">
        <v>13853</v>
      </c>
      <c r="Q2405" s="39" t="s">
        <v>8568</v>
      </c>
      <c r="R2405" s="39" t="s">
        <v>8569</v>
      </c>
      <c r="S2405" s="39" t="s">
        <v>8570</v>
      </c>
      <c r="AK2405" s="39" t="str">
        <f>("2025/04/01")</f>
        <v>2025/04/01</v>
      </c>
      <c r="AL2405" s="39" t="str">
        <f>("2025/04/01")</f>
        <v>2025/04/01</v>
      </c>
    </row>
    <row r="2406" spans="1:39" x14ac:dyDescent="0.25">
      <c r="A2406" s="39" t="str">
        <f>("1609100012")</f>
        <v>1609100012</v>
      </c>
      <c r="B2406" s="39" t="s">
        <v>9944</v>
      </c>
      <c r="C2406" s="39"/>
      <c r="D2406" s="39" t="s">
        <v>9945</v>
      </c>
      <c r="E2406" s="371" t="str">
        <f t="shared" si="186"/>
        <v>きのした　はるき</v>
      </c>
      <c r="F2406" s="39" t="s">
        <v>156</v>
      </c>
      <c r="G2406" s="39" t="s">
        <v>7828</v>
      </c>
      <c r="H2406" s="39" t="str">
        <f>("2016/09/10")</f>
        <v>2016/09/10</v>
      </c>
      <c r="I2406" s="39">
        <v>3</v>
      </c>
      <c r="J2406" s="39" t="s">
        <v>1478</v>
      </c>
      <c r="K2406" s="39" t="s">
        <v>2122</v>
      </c>
      <c r="L2406" s="39" t="s">
        <v>7830</v>
      </c>
      <c r="M2406" s="39" t="s">
        <v>7831</v>
      </c>
      <c r="N2406" s="39" t="str">
        <f>("0130037")</f>
        <v>0130037</v>
      </c>
      <c r="P2406" s="39" t="s">
        <v>12791</v>
      </c>
      <c r="Q2406" s="39" t="s">
        <v>8568</v>
      </c>
      <c r="R2406" s="39" t="s">
        <v>8569</v>
      </c>
      <c r="S2406" s="39" t="s">
        <v>8570</v>
      </c>
      <c r="AK2406" s="39" t="str">
        <f>("2025/03/17")</f>
        <v>2025/03/17</v>
      </c>
      <c r="AL2406" s="39" t="str">
        <f t="shared" ref="AL2406:AL2413" si="188">("2025/04/01")</f>
        <v>2025/04/01</v>
      </c>
    </row>
    <row r="2407" spans="1:39" x14ac:dyDescent="0.25">
      <c r="A2407" s="39" t="str">
        <f>("1609100071")</f>
        <v>1609100071</v>
      </c>
      <c r="C2407" s="39"/>
      <c r="D2407" s="39" t="s">
        <v>9946</v>
      </c>
      <c r="E2407" s="371" t="str">
        <f t="shared" si="186"/>
        <v>おおたに　みなと</v>
      </c>
      <c r="F2407" s="39" t="s">
        <v>7843</v>
      </c>
      <c r="G2407" s="39" t="s">
        <v>7828</v>
      </c>
      <c r="H2407" s="39" t="str">
        <f>("2016/09/10")</f>
        <v>2016/09/10</v>
      </c>
      <c r="I2407" s="39">
        <v>3</v>
      </c>
      <c r="J2407" s="39" t="s">
        <v>1478</v>
      </c>
      <c r="K2407" s="39" t="s">
        <v>2122</v>
      </c>
      <c r="L2407" s="39" t="s">
        <v>7830</v>
      </c>
      <c r="M2407" s="39" t="s">
        <v>7831</v>
      </c>
      <c r="N2407" s="39" t="str">
        <f>("1117332")</f>
        <v>1117332</v>
      </c>
      <c r="P2407" s="39" t="s">
        <v>13854</v>
      </c>
      <c r="Q2407" s="39" t="s">
        <v>8568</v>
      </c>
      <c r="R2407" s="39" t="s">
        <v>8569</v>
      </c>
      <c r="S2407" s="39" t="s">
        <v>8570</v>
      </c>
      <c r="AK2407" s="39" t="str">
        <f>("2025/03/21")</f>
        <v>2025/03/21</v>
      </c>
      <c r="AL2407" s="39" t="str">
        <f t="shared" si="188"/>
        <v>2025/04/01</v>
      </c>
      <c r="AM2407" s="39" t="str">
        <f>("2025/10/14")</f>
        <v>2025/10/14</v>
      </c>
    </row>
    <row r="2408" spans="1:39" x14ac:dyDescent="0.25">
      <c r="A2408" s="39" t="str">
        <f>("1609100080")</f>
        <v>1609100080</v>
      </c>
      <c r="C2408" s="39"/>
      <c r="D2408" s="39" t="s">
        <v>9947</v>
      </c>
      <c r="E2408" s="371" t="str">
        <f t="shared" si="186"/>
        <v>くりはら　こう</v>
      </c>
      <c r="F2408" s="39" t="s">
        <v>2139</v>
      </c>
      <c r="G2408" s="39" t="s">
        <v>7828</v>
      </c>
      <c r="H2408" s="39" t="str">
        <f>("2016/09/10")</f>
        <v>2016/09/10</v>
      </c>
      <c r="I2408" s="39">
        <v>3</v>
      </c>
      <c r="J2408" s="39" t="s">
        <v>1478</v>
      </c>
      <c r="K2408" s="39" t="s">
        <v>2122</v>
      </c>
      <c r="L2408" s="39" t="s">
        <v>7830</v>
      </c>
      <c r="M2408" s="39" t="s">
        <v>7831</v>
      </c>
      <c r="N2408" s="39" t="str">
        <f>("0129798")</f>
        <v>0129798</v>
      </c>
      <c r="P2408" s="39" t="s">
        <v>13855</v>
      </c>
      <c r="Q2408" s="39" t="s">
        <v>8568</v>
      </c>
      <c r="R2408" s="39" t="s">
        <v>8569</v>
      </c>
      <c r="S2408" s="39" t="s">
        <v>8570</v>
      </c>
      <c r="AK2408" s="39" t="str">
        <f>("2025/03/27")</f>
        <v>2025/03/27</v>
      </c>
      <c r="AL2408" s="39" t="str">
        <f t="shared" si="188"/>
        <v>2025/04/01</v>
      </c>
    </row>
    <row r="2409" spans="1:39" x14ac:dyDescent="0.25">
      <c r="A2409" s="39" t="str">
        <f>("1609130006")</f>
        <v>1609130006</v>
      </c>
      <c r="C2409" s="39"/>
      <c r="D2409" s="39" t="s">
        <v>5906</v>
      </c>
      <c r="E2409" s="371" t="str">
        <f t="shared" si="186"/>
        <v>ふるの　こう</v>
      </c>
      <c r="F2409" s="39" t="s">
        <v>2543</v>
      </c>
      <c r="G2409" s="39" t="s">
        <v>7828</v>
      </c>
      <c r="H2409" s="39" t="str">
        <f>("2016/09/13")</f>
        <v>2016/09/13</v>
      </c>
      <c r="I2409" s="39">
        <v>3</v>
      </c>
      <c r="J2409" s="39" t="s">
        <v>1478</v>
      </c>
      <c r="K2409" s="39" t="s">
        <v>2122</v>
      </c>
      <c r="L2409" s="39" t="s">
        <v>7830</v>
      </c>
      <c r="M2409" s="39" t="s">
        <v>7831</v>
      </c>
      <c r="N2409" s="39" t="str">
        <f>("0130600")</f>
        <v>0130600</v>
      </c>
      <c r="P2409" s="39" t="s">
        <v>13856</v>
      </c>
      <c r="Q2409" s="39" t="s">
        <v>8568</v>
      </c>
      <c r="R2409" s="39" t="s">
        <v>8569</v>
      </c>
      <c r="S2409" s="39" t="s">
        <v>8570</v>
      </c>
      <c r="AK2409" s="39" t="str">
        <f>("2025/03/17")</f>
        <v>2025/03/17</v>
      </c>
      <c r="AL2409" s="39" t="str">
        <f t="shared" si="188"/>
        <v>2025/04/01</v>
      </c>
    </row>
    <row r="2410" spans="1:39" x14ac:dyDescent="0.25">
      <c r="A2410" s="39" t="str">
        <f>("1609140097")</f>
        <v>1609140097</v>
      </c>
      <c r="C2410" s="39"/>
      <c r="D2410" s="39" t="s">
        <v>9948</v>
      </c>
      <c r="E2410" s="371" t="str">
        <f t="shared" si="186"/>
        <v>やました　りょうま</v>
      </c>
      <c r="F2410" s="39" t="s">
        <v>3867</v>
      </c>
      <c r="G2410" s="39" t="s">
        <v>7876</v>
      </c>
      <c r="H2410" s="39" t="str">
        <f>("2016/09/14")</f>
        <v>2016/09/14</v>
      </c>
      <c r="I2410" s="39">
        <v>3</v>
      </c>
      <c r="J2410" s="39" t="s">
        <v>1478</v>
      </c>
      <c r="K2410" s="39" t="s">
        <v>2122</v>
      </c>
      <c r="L2410" s="39" t="s">
        <v>7830</v>
      </c>
      <c r="M2410" s="39" t="s">
        <v>7831</v>
      </c>
      <c r="N2410" s="39" t="str">
        <f>("0129990")</f>
        <v>0129990</v>
      </c>
      <c r="P2410" s="39" t="s">
        <v>13857</v>
      </c>
      <c r="Q2410" s="39" t="s">
        <v>8568</v>
      </c>
      <c r="R2410" s="39" t="s">
        <v>8569</v>
      </c>
      <c r="S2410" s="39" t="s">
        <v>8570</v>
      </c>
      <c r="AK2410" s="39" t="str">
        <f>("2025/04/01")</f>
        <v>2025/04/01</v>
      </c>
      <c r="AL2410" s="39" t="str">
        <f t="shared" si="188"/>
        <v>2025/04/01</v>
      </c>
      <c r="AM2410" s="39" t="str">
        <f>("2025/11/12")</f>
        <v>2025/11/12</v>
      </c>
    </row>
    <row r="2411" spans="1:39" x14ac:dyDescent="0.25">
      <c r="A2411" s="39" t="str">
        <f>("1609150003")</f>
        <v>1609150003</v>
      </c>
      <c r="C2411" s="39"/>
      <c r="D2411" s="39" t="s">
        <v>9949</v>
      </c>
      <c r="E2411" s="371" t="str">
        <f t="shared" si="186"/>
        <v>きくち　おうすけ</v>
      </c>
      <c r="F2411" s="39" t="s">
        <v>7910</v>
      </c>
      <c r="G2411" s="39" t="s">
        <v>7828</v>
      </c>
      <c r="H2411" s="39" t="str">
        <f>("2016/09/15")</f>
        <v>2016/09/15</v>
      </c>
      <c r="I2411" s="39">
        <v>3</v>
      </c>
      <c r="J2411" s="39" t="s">
        <v>1478</v>
      </c>
      <c r="K2411" s="39" t="s">
        <v>2122</v>
      </c>
      <c r="L2411" s="39" t="s">
        <v>7830</v>
      </c>
      <c r="M2411" s="39" t="s">
        <v>7831</v>
      </c>
      <c r="N2411" s="39" t="str">
        <f>("1111064")</f>
        <v>1111064</v>
      </c>
      <c r="P2411" s="39" t="s">
        <v>13858</v>
      </c>
      <c r="Q2411" s="39" t="s">
        <v>8568</v>
      </c>
      <c r="R2411" s="39" t="s">
        <v>8569</v>
      </c>
      <c r="S2411" s="39" t="s">
        <v>8570</v>
      </c>
      <c r="AA2411" s="39" t="s">
        <v>2122</v>
      </c>
      <c r="AB2411" s="39" t="s">
        <v>7830</v>
      </c>
      <c r="AC2411" s="39" t="s">
        <v>7831</v>
      </c>
      <c r="AD2411" s="39" t="str">
        <f>("0303040")</f>
        <v>0303040</v>
      </c>
      <c r="AE2411" s="39" t="s">
        <v>2575</v>
      </c>
      <c r="AK2411" s="39" t="str">
        <f>("2025/03/17")</f>
        <v>2025/03/17</v>
      </c>
      <c r="AL2411" s="39" t="str">
        <f t="shared" si="188"/>
        <v>2025/04/01</v>
      </c>
    </row>
    <row r="2412" spans="1:39" x14ac:dyDescent="0.25">
      <c r="A2412" s="39" t="str">
        <f>("1609160062")</f>
        <v>1609160062</v>
      </c>
      <c r="B2412" s="39" t="s">
        <v>9950</v>
      </c>
      <c r="C2412" s="39"/>
      <c r="D2412" s="39" t="s">
        <v>9951</v>
      </c>
      <c r="E2412" s="371" t="str">
        <f t="shared" si="186"/>
        <v>わたなべ　あさひ</v>
      </c>
      <c r="F2412" s="39" t="s">
        <v>2516</v>
      </c>
      <c r="G2412" s="39" t="s">
        <v>7828</v>
      </c>
      <c r="H2412" s="39" t="str">
        <f>("2016/09/16")</f>
        <v>2016/09/16</v>
      </c>
      <c r="I2412" s="39">
        <v>3</v>
      </c>
      <c r="J2412" s="39" t="s">
        <v>1478</v>
      </c>
      <c r="K2412" s="39" t="s">
        <v>2122</v>
      </c>
      <c r="L2412" s="39" t="s">
        <v>7830</v>
      </c>
      <c r="M2412" s="39" t="s">
        <v>7831</v>
      </c>
      <c r="N2412" s="39" t="str">
        <f>("0130116")</f>
        <v>0130116</v>
      </c>
      <c r="P2412" s="39" t="s">
        <v>13859</v>
      </c>
      <c r="Q2412" s="39" t="s">
        <v>8568</v>
      </c>
      <c r="R2412" s="39" t="s">
        <v>8569</v>
      </c>
      <c r="S2412" s="39" t="s">
        <v>8570</v>
      </c>
      <c r="AK2412" s="39" t="str">
        <f>("2025/03/25")</f>
        <v>2025/03/25</v>
      </c>
      <c r="AL2412" s="39" t="str">
        <f t="shared" si="188"/>
        <v>2025/04/01</v>
      </c>
    </row>
    <row r="2413" spans="1:39" x14ac:dyDescent="0.25">
      <c r="A2413" s="39" t="str">
        <f>("1609160106")</f>
        <v>1609160106</v>
      </c>
      <c r="C2413" s="39"/>
      <c r="D2413" s="39" t="s">
        <v>9952</v>
      </c>
      <c r="E2413" s="371" t="str">
        <f t="shared" si="186"/>
        <v>うめき　ひろせ</v>
      </c>
      <c r="F2413" s="39" t="s">
        <v>2505</v>
      </c>
      <c r="G2413" s="39" t="s">
        <v>7828</v>
      </c>
      <c r="H2413" s="39" t="str">
        <f>("2016/09/16")</f>
        <v>2016/09/16</v>
      </c>
      <c r="I2413" s="39">
        <v>3</v>
      </c>
      <c r="J2413" s="39" t="s">
        <v>1478</v>
      </c>
      <c r="K2413" s="39" t="s">
        <v>2122</v>
      </c>
      <c r="L2413" s="39" t="s">
        <v>7830</v>
      </c>
      <c r="M2413" s="39" t="s">
        <v>7831</v>
      </c>
      <c r="N2413" s="39" t="str">
        <f>("0129923")</f>
        <v>0129923</v>
      </c>
      <c r="P2413" s="39" t="s">
        <v>13860</v>
      </c>
      <c r="Q2413" s="39" t="s">
        <v>8568</v>
      </c>
      <c r="R2413" s="39" t="s">
        <v>8569</v>
      </c>
      <c r="S2413" s="39" t="s">
        <v>8570</v>
      </c>
      <c r="AK2413" s="39" t="str">
        <f>("2025/03/17")</f>
        <v>2025/03/17</v>
      </c>
      <c r="AL2413" s="39" t="str">
        <f t="shared" si="188"/>
        <v>2025/04/01</v>
      </c>
    </row>
    <row r="2414" spans="1:39" x14ac:dyDescent="0.25">
      <c r="A2414" s="39" t="str">
        <f>("1609160166")</f>
        <v>1609160166</v>
      </c>
      <c r="C2414" s="39"/>
      <c r="D2414" s="39" t="s">
        <v>9953</v>
      </c>
      <c r="E2414" s="371" t="str">
        <f t="shared" si="186"/>
        <v>うえだ　ひさし</v>
      </c>
      <c r="F2414" s="39" t="s">
        <v>2573</v>
      </c>
      <c r="G2414" s="39" t="s">
        <v>7828</v>
      </c>
      <c r="H2414" s="39" t="str">
        <f>("2016/09/16")</f>
        <v>2016/09/16</v>
      </c>
      <c r="I2414" s="39">
        <v>3</v>
      </c>
      <c r="J2414" s="39" t="s">
        <v>1478</v>
      </c>
      <c r="K2414" s="39" t="s">
        <v>2122</v>
      </c>
      <c r="L2414" s="39" t="s">
        <v>7830</v>
      </c>
      <c r="M2414" s="39" t="s">
        <v>7831</v>
      </c>
      <c r="N2414" s="39" t="str">
        <f>("0230982")</f>
        <v>0230982</v>
      </c>
      <c r="P2414" s="39" t="s">
        <v>13861</v>
      </c>
      <c r="Q2414" s="39" t="s">
        <v>8568</v>
      </c>
      <c r="R2414" s="39" t="s">
        <v>8569</v>
      </c>
      <c r="S2414" s="39" t="s">
        <v>8570</v>
      </c>
      <c r="AK2414" s="39" t="str">
        <f>("2025/10/07")</f>
        <v>2025/10/07</v>
      </c>
      <c r="AL2414" s="39" t="str">
        <f>("2025/10/07")</f>
        <v>2025/10/07</v>
      </c>
    </row>
    <row r="2415" spans="1:39" x14ac:dyDescent="0.25">
      <c r="A2415" s="39" t="str">
        <f>("1609170004")</f>
        <v>1609170004</v>
      </c>
      <c r="B2415" s="39" t="s">
        <v>9954</v>
      </c>
      <c r="C2415" s="39"/>
      <c r="D2415" s="39" t="s">
        <v>9955</v>
      </c>
      <c r="E2415" s="371" t="str">
        <f t="shared" si="186"/>
        <v>あべ　ゆうすけ</v>
      </c>
      <c r="F2415" s="39" t="s">
        <v>856</v>
      </c>
      <c r="G2415" s="39" t="s">
        <v>7828</v>
      </c>
      <c r="H2415" s="39" t="str">
        <f>("2016/09/17")</f>
        <v>2016/09/17</v>
      </c>
      <c r="I2415" s="39">
        <v>3</v>
      </c>
      <c r="J2415" s="39" t="s">
        <v>1478</v>
      </c>
      <c r="K2415" s="39" t="s">
        <v>2122</v>
      </c>
      <c r="L2415" s="39" t="s">
        <v>7830</v>
      </c>
      <c r="M2415" s="39" t="s">
        <v>7831</v>
      </c>
      <c r="N2415" s="39" t="str">
        <f>("0130149")</f>
        <v>0130149</v>
      </c>
      <c r="P2415" s="39" t="s">
        <v>13862</v>
      </c>
      <c r="Q2415" s="39" t="s">
        <v>8568</v>
      </c>
      <c r="R2415" s="39" t="s">
        <v>8569</v>
      </c>
      <c r="S2415" s="39" t="s">
        <v>8570</v>
      </c>
      <c r="AA2415" s="39" t="s">
        <v>2122</v>
      </c>
      <c r="AB2415" s="39" t="s">
        <v>7830</v>
      </c>
      <c r="AC2415" s="39" t="s">
        <v>7831</v>
      </c>
      <c r="AD2415" s="39" t="str">
        <f>("0130071")</f>
        <v>0130071</v>
      </c>
      <c r="AE2415" s="39" t="s">
        <v>2173</v>
      </c>
      <c r="AK2415" s="39" t="str">
        <f>("2025/03/25")</f>
        <v>2025/03/25</v>
      </c>
      <c r="AL2415" s="39" t="str">
        <f>("2025/04/01")</f>
        <v>2025/04/01</v>
      </c>
    </row>
    <row r="2416" spans="1:39" x14ac:dyDescent="0.25">
      <c r="A2416" s="39" t="str">
        <f>("1609170042")</f>
        <v>1609170042</v>
      </c>
      <c r="C2416" s="39"/>
      <c r="D2416" s="39" t="s">
        <v>9956</v>
      </c>
      <c r="E2416" s="371" t="str">
        <f t="shared" si="186"/>
        <v>はなきた　ひなた</v>
      </c>
      <c r="F2416" s="39" t="s">
        <v>2821</v>
      </c>
      <c r="G2416" s="39" t="s">
        <v>7828</v>
      </c>
      <c r="H2416" s="39" t="str">
        <f>("2016/09/17")</f>
        <v>2016/09/17</v>
      </c>
      <c r="I2416" s="39">
        <v>3</v>
      </c>
      <c r="J2416" s="39" t="s">
        <v>1478</v>
      </c>
      <c r="K2416" s="39" t="s">
        <v>2122</v>
      </c>
      <c r="L2416" s="39" t="s">
        <v>7830</v>
      </c>
      <c r="M2416" s="39" t="s">
        <v>7831</v>
      </c>
      <c r="N2416" s="39" t="str">
        <f>("0237631")</f>
        <v>0237631</v>
      </c>
      <c r="P2416" s="39" t="s">
        <v>13863</v>
      </c>
      <c r="Q2416" s="39" t="s">
        <v>8568</v>
      </c>
      <c r="R2416" s="39" t="s">
        <v>8569</v>
      </c>
      <c r="S2416" s="39" t="s">
        <v>8570</v>
      </c>
      <c r="AK2416" s="39" t="str">
        <f>("2025/03/17")</f>
        <v>2025/03/17</v>
      </c>
      <c r="AL2416" s="39" t="str">
        <f>("2025/04/01")</f>
        <v>2025/04/01</v>
      </c>
    </row>
    <row r="2417" spans="1:39" x14ac:dyDescent="0.25">
      <c r="A2417" s="39" t="str">
        <f>("1609180020")</f>
        <v>1609180020</v>
      </c>
      <c r="C2417" s="39"/>
      <c r="D2417" s="39" t="s">
        <v>6116</v>
      </c>
      <c r="E2417" s="371" t="str">
        <f t="shared" si="186"/>
        <v>たのうえ　るい</v>
      </c>
      <c r="F2417" s="39" t="s">
        <v>5618</v>
      </c>
      <c r="G2417" s="39" t="s">
        <v>7828</v>
      </c>
      <c r="H2417" s="39" t="str">
        <f>("2016/09/18")</f>
        <v>2016/09/18</v>
      </c>
      <c r="I2417" s="39">
        <v>3</v>
      </c>
      <c r="J2417" s="39" t="s">
        <v>1478</v>
      </c>
      <c r="K2417" s="39" t="s">
        <v>2122</v>
      </c>
      <c r="L2417" s="39" t="s">
        <v>7830</v>
      </c>
      <c r="M2417" s="39" t="s">
        <v>7831</v>
      </c>
      <c r="N2417" s="39" t="str">
        <f>("0433235")</f>
        <v>0433235</v>
      </c>
      <c r="P2417" s="39" t="s">
        <v>13864</v>
      </c>
      <c r="Q2417" s="39" t="s">
        <v>8568</v>
      </c>
      <c r="R2417" s="39" t="s">
        <v>8569</v>
      </c>
      <c r="S2417" s="39" t="s">
        <v>8570</v>
      </c>
      <c r="AK2417" s="39" t="str">
        <f>("2025/03/17")</f>
        <v>2025/03/17</v>
      </c>
      <c r="AL2417" s="39" t="str">
        <f>("2025/04/01")</f>
        <v>2025/04/01</v>
      </c>
    </row>
    <row r="2418" spans="1:39" x14ac:dyDescent="0.25">
      <c r="A2418" s="39" t="str">
        <f>("1609180044")</f>
        <v>1609180044</v>
      </c>
      <c r="C2418" s="39"/>
      <c r="D2418" s="39" t="s">
        <v>9957</v>
      </c>
      <c r="E2418" s="371" t="str">
        <f t="shared" si="186"/>
        <v>あらかわ　ゆいと</v>
      </c>
      <c r="F2418" s="39" t="s">
        <v>2138</v>
      </c>
      <c r="G2418" s="39" t="s">
        <v>7828</v>
      </c>
      <c r="H2418" s="39" t="str">
        <f>("2016/09/18")</f>
        <v>2016/09/18</v>
      </c>
      <c r="I2418" s="39">
        <v>3</v>
      </c>
      <c r="J2418" s="39" t="s">
        <v>1478</v>
      </c>
      <c r="K2418" s="39" t="s">
        <v>2122</v>
      </c>
      <c r="L2418" s="39" t="s">
        <v>7830</v>
      </c>
      <c r="M2418" s="39" t="s">
        <v>7831</v>
      </c>
      <c r="N2418" s="39" t="str">
        <f>("0130082")</f>
        <v>0130082</v>
      </c>
      <c r="P2418" s="39" t="s">
        <v>13865</v>
      </c>
      <c r="Q2418" s="39" t="s">
        <v>8568</v>
      </c>
      <c r="R2418" s="39" t="s">
        <v>8569</v>
      </c>
      <c r="S2418" s="39" t="s">
        <v>8570</v>
      </c>
      <c r="AK2418" s="39" t="str">
        <f>("2025/03/17")</f>
        <v>2025/03/17</v>
      </c>
      <c r="AL2418" s="39" t="str">
        <f>("2025/04/01")</f>
        <v>2025/04/01</v>
      </c>
    </row>
    <row r="2419" spans="1:39" x14ac:dyDescent="0.25">
      <c r="A2419" s="39" t="str">
        <f>("1609210045")</f>
        <v>1609210045</v>
      </c>
      <c r="C2419" s="39"/>
      <c r="D2419" s="39" t="s">
        <v>9958</v>
      </c>
      <c r="E2419" s="371" t="str">
        <f t="shared" si="186"/>
        <v>たかお　れいじ</v>
      </c>
      <c r="F2419" s="39" t="s">
        <v>2274</v>
      </c>
      <c r="G2419" s="39" t="s">
        <v>7828</v>
      </c>
      <c r="H2419" s="39" t="str">
        <f>("2016/09/21")</f>
        <v>2016/09/21</v>
      </c>
      <c r="I2419" s="39">
        <v>3</v>
      </c>
      <c r="J2419" s="39" t="s">
        <v>1478</v>
      </c>
      <c r="K2419" s="39" t="s">
        <v>2122</v>
      </c>
      <c r="L2419" s="39" t="s">
        <v>7830</v>
      </c>
      <c r="M2419" s="39" t="s">
        <v>7831</v>
      </c>
      <c r="N2419" s="39" t="str">
        <f>("0129563")</f>
        <v>0129563</v>
      </c>
      <c r="P2419" s="39" t="s">
        <v>13866</v>
      </c>
      <c r="Q2419" s="39" t="s">
        <v>8568</v>
      </c>
      <c r="R2419" s="39" t="s">
        <v>8569</v>
      </c>
      <c r="S2419" s="39" t="s">
        <v>8570</v>
      </c>
      <c r="AK2419" s="39" t="str">
        <f>("2025/03/17")</f>
        <v>2025/03/17</v>
      </c>
      <c r="AL2419" s="39" t="str">
        <f>("2025/04/01")</f>
        <v>2025/04/01</v>
      </c>
    </row>
    <row r="2420" spans="1:39" x14ac:dyDescent="0.25">
      <c r="A2420" s="39" t="str">
        <f>("1609220073")</f>
        <v>1609220073</v>
      </c>
      <c r="C2420" s="39"/>
      <c r="D2420" s="39" t="s">
        <v>9959</v>
      </c>
      <c r="E2420" s="371" t="str">
        <f t="shared" si="186"/>
        <v>きよはら　ゆいと</v>
      </c>
      <c r="F2420" s="39" t="s">
        <v>1865</v>
      </c>
      <c r="G2420" s="39" t="s">
        <v>7828</v>
      </c>
      <c r="H2420" s="39" t="str">
        <f>("2016/09/22")</f>
        <v>2016/09/22</v>
      </c>
      <c r="I2420" s="39">
        <v>3</v>
      </c>
      <c r="J2420" s="39" t="s">
        <v>1478</v>
      </c>
      <c r="K2420" s="39" t="s">
        <v>2122</v>
      </c>
      <c r="L2420" s="39" t="s">
        <v>7830</v>
      </c>
      <c r="M2420" s="39" t="s">
        <v>7831</v>
      </c>
      <c r="N2420" s="39" t="str">
        <f>("0310565")</f>
        <v>0310565</v>
      </c>
      <c r="P2420" s="39" t="s">
        <v>13867</v>
      </c>
      <c r="Q2420" s="39" t="s">
        <v>8568</v>
      </c>
      <c r="R2420" s="39" t="s">
        <v>8569</v>
      </c>
      <c r="S2420" s="39" t="s">
        <v>8570</v>
      </c>
      <c r="AK2420" s="39" t="str">
        <f>("2025/09/09")</f>
        <v>2025/09/09</v>
      </c>
      <c r="AL2420" s="39" t="str">
        <f>("2025/09/09")</f>
        <v>2025/09/09</v>
      </c>
    </row>
    <row r="2421" spans="1:39" x14ac:dyDescent="0.25">
      <c r="A2421" s="39" t="str">
        <f>("1609240007")</f>
        <v>1609240007</v>
      </c>
      <c r="B2421" s="39" t="s">
        <v>9960</v>
      </c>
      <c r="C2421" s="39"/>
      <c r="D2421" s="39" t="s">
        <v>9961</v>
      </c>
      <c r="E2421" s="371" t="str">
        <f t="shared" si="186"/>
        <v>としみつ　じゅん</v>
      </c>
      <c r="F2421" s="39" t="s">
        <v>2299</v>
      </c>
      <c r="G2421" s="39" t="s">
        <v>7828</v>
      </c>
      <c r="H2421" s="39" t="str">
        <f>("2016/09/24")</f>
        <v>2016/09/24</v>
      </c>
      <c r="I2421" s="39">
        <v>3</v>
      </c>
      <c r="J2421" s="39" t="s">
        <v>1478</v>
      </c>
      <c r="K2421" s="39" t="s">
        <v>2122</v>
      </c>
      <c r="L2421" s="39" t="s">
        <v>7830</v>
      </c>
      <c r="M2421" s="39" t="s">
        <v>7831</v>
      </c>
      <c r="N2421" s="39" t="str">
        <f>("1066647")</f>
        <v>1066647</v>
      </c>
      <c r="P2421" s="39" t="s">
        <v>13868</v>
      </c>
      <c r="Q2421" s="39" t="s">
        <v>8568</v>
      </c>
      <c r="R2421" s="39" t="s">
        <v>8569</v>
      </c>
      <c r="S2421" s="39" t="s">
        <v>8570</v>
      </c>
      <c r="AK2421" s="39" t="str">
        <f>("2025/03/21")</f>
        <v>2025/03/21</v>
      </c>
      <c r="AL2421" s="39" t="str">
        <f t="shared" ref="AL2421:AL2427" si="189">("2025/04/01")</f>
        <v>2025/04/01</v>
      </c>
    </row>
    <row r="2422" spans="1:39" x14ac:dyDescent="0.25">
      <c r="A2422" s="39" t="str">
        <f>("1609260011")</f>
        <v>1609260011</v>
      </c>
      <c r="C2422" s="39"/>
      <c r="D2422" s="39" t="s">
        <v>5907</v>
      </c>
      <c r="E2422" s="371" t="str">
        <f t="shared" si="186"/>
        <v>さとう　あさひ</v>
      </c>
      <c r="F2422" s="39" t="s">
        <v>2543</v>
      </c>
      <c r="G2422" s="39" t="s">
        <v>7876</v>
      </c>
      <c r="H2422" s="39" t="str">
        <f>("2016/09/26")</f>
        <v>2016/09/26</v>
      </c>
      <c r="I2422" s="39">
        <v>3</v>
      </c>
      <c r="J2422" s="39" t="s">
        <v>1478</v>
      </c>
      <c r="K2422" s="39" t="s">
        <v>2122</v>
      </c>
      <c r="L2422" s="39" t="s">
        <v>7830</v>
      </c>
      <c r="M2422" s="39" t="s">
        <v>7831</v>
      </c>
      <c r="N2422" s="39" t="str">
        <f>("0130600")</f>
        <v>0130600</v>
      </c>
      <c r="P2422" s="39" t="s">
        <v>13794</v>
      </c>
      <c r="Q2422" s="39" t="s">
        <v>8568</v>
      </c>
      <c r="R2422" s="39" t="s">
        <v>8569</v>
      </c>
      <c r="S2422" s="39" t="s">
        <v>8570</v>
      </c>
      <c r="AK2422" s="39" t="str">
        <f>("2025/03/17")</f>
        <v>2025/03/17</v>
      </c>
      <c r="AL2422" s="39" t="str">
        <f t="shared" si="189"/>
        <v>2025/04/01</v>
      </c>
      <c r="AM2422" s="39" t="str">
        <f>("2025/09/02")</f>
        <v>2025/09/02</v>
      </c>
    </row>
    <row r="2423" spans="1:39" x14ac:dyDescent="0.25">
      <c r="A2423" s="39" t="str">
        <f>("1609260021")</f>
        <v>1609260021</v>
      </c>
      <c r="C2423" s="39"/>
      <c r="D2423" s="39" t="s">
        <v>6115</v>
      </c>
      <c r="E2423" s="371" t="str">
        <f t="shared" si="186"/>
        <v>ともおか　こおせい</v>
      </c>
      <c r="F2423" s="39" t="s">
        <v>5618</v>
      </c>
      <c r="G2423" s="39" t="s">
        <v>7828</v>
      </c>
      <c r="H2423" s="39" t="str">
        <f>("2016/09/26")</f>
        <v>2016/09/26</v>
      </c>
      <c r="I2423" s="39">
        <v>3</v>
      </c>
      <c r="J2423" s="39" t="s">
        <v>1478</v>
      </c>
      <c r="K2423" s="39" t="s">
        <v>2122</v>
      </c>
      <c r="L2423" s="39" t="s">
        <v>7830</v>
      </c>
      <c r="M2423" s="39" t="s">
        <v>7831</v>
      </c>
      <c r="N2423" s="39" t="str">
        <f>("0433235")</f>
        <v>0433235</v>
      </c>
      <c r="P2423" s="39" t="s">
        <v>13869</v>
      </c>
      <c r="Q2423" s="39" t="s">
        <v>8568</v>
      </c>
      <c r="R2423" s="39" t="s">
        <v>8569</v>
      </c>
      <c r="S2423" s="39" t="s">
        <v>8570</v>
      </c>
      <c r="AK2423" s="39" t="str">
        <f>("2025/03/17")</f>
        <v>2025/03/17</v>
      </c>
      <c r="AL2423" s="39" t="str">
        <f t="shared" si="189"/>
        <v>2025/04/01</v>
      </c>
    </row>
    <row r="2424" spans="1:39" x14ac:dyDescent="0.25">
      <c r="A2424" s="39" t="str">
        <f>("1609260079")</f>
        <v>1609260079</v>
      </c>
      <c r="C2424" s="39"/>
      <c r="D2424" s="39" t="s">
        <v>9962</v>
      </c>
      <c r="E2424" s="371" t="str">
        <f t="shared" si="186"/>
        <v>やまもと　たける</v>
      </c>
      <c r="F2424" s="39" t="s">
        <v>2342</v>
      </c>
      <c r="G2424" s="39" t="s">
        <v>7828</v>
      </c>
      <c r="H2424" s="39" t="str">
        <f>("2016/09/26")</f>
        <v>2016/09/26</v>
      </c>
      <c r="I2424" s="39">
        <v>3</v>
      </c>
      <c r="J2424" s="39" t="s">
        <v>1478</v>
      </c>
      <c r="K2424" s="39" t="s">
        <v>2122</v>
      </c>
      <c r="L2424" s="39" t="s">
        <v>7830</v>
      </c>
      <c r="M2424" s="39" t="s">
        <v>7831</v>
      </c>
      <c r="N2424" s="39" t="str">
        <f>("0130307")</f>
        <v>0130307</v>
      </c>
      <c r="P2424" s="39" t="s">
        <v>13870</v>
      </c>
      <c r="Q2424" s="39" t="s">
        <v>8568</v>
      </c>
      <c r="R2424" s="39" t="s">
        <v>8569</v>
      </c>
      <c r="S2424" s="39" t="s">
        <v>8570</v>
      </c>
      <c r="AK2424" s="39" t="str">
        <f>("2025/03/17")</f>
        <v>2025/03/17</v>
      </c>
      <c r="AL2424" s="39" t="str">
        <f t="shared" si="189"/>
        <v>2025/04/01</v>
      </c>
    </row>
    <row r="2425" spans="1:39" x14ac:dyDescent="0.25">
      <c r="A2425" s="39" t="str">
        <f>("1609270033")</f>
        <v>1609270033</v>
      </c>
      <c r="B2425" s="39" t="s">
        <v>9963</v>
      </c>
      <c r="C2425" s="39"/>
      <c r="D2425" s="39" t="s">
        <v>9964</v>
      </c>
      <c r="E2425" s="371" t="str">
        <f t="shared" si="186"/>
        <v>たかはし　せんすけ</v>
      </c>
      <c r="F2425" s="39" t="s">
        <v>2485</v>
      </c>
      <c r="G2425" s="39" t="s">
        <v>7828</v>
      </c>
      <c r="H2425" s="39" t="str">
        <f>("2016/09/27")</f>
        <v>2016/09/27</v>
      </c>
      <c r="I2425" s="39">
        <v>3</v>
      </c>
      <c r="J2425" s="39" t="s">
        <v>1478</v>
      </c>
      <c r="K2425" s="39" t="s">
        <v>2122</v>
      </c>
      <c r="L2425" s="39" t="s">
        <v>7830</v>
      </c>
      <c r="M2425" s="39" t="s">
        <v>7831</v>
      </c>
      <c r="N2425" s="39" t="str">
        <f>("0129754")</f>
        <v>0129754</v>
      </c>
      <c r="P2425" s="39" t="s">
        <v>13871</v>
      </c>
      <c r="Q2425" s="39" t="s">
        <v>8568</v>
      </c>
      <c r="R2425" s="39" t="s">
        <v>8569</v>
      </c>
      <c r="S2425" s="39" t="s">
        <v>8570</v>
      </c>
      <c r="AK2425" s="39" t="str">
        <f>("2025/03/24")</f>
        <v>2025/03/24</v>
      </c>
      <c r="AL2425" s="39" t="str">
        <f t="shared" si="189"/>
        <v>2025/04/01</v>
      </c>
    </row>
    <row r="2426" spans="1:39" x14ac:dyDescent="0.25">
      <c r="A2426" s="39" t="str">
        <f>("1609270038")</f>
        <v>1609270038</v>
      </c>
      <c r="C2426" s="39"/>
      <c r="D2426" s="39" t="s">
        <v>9965</v>
      </c>
      <c r="E2426" s="371" t="str">
        <f t="shared" si="186"/>
        <v>たしま　かなめ</v>
      </c>
      <c r="F2426" s="39" t="s">
        <v>5621</v>
      </c>
      <c r="G2426" s="39" t="s">
        <v>7828</v>
      </c>
      <c r="H2426" s="39" t="str">
        <f>("2016/09/27")</f>
        <v>2016/09/27</v>
      </c>
      <c r="I2426" s="39">
        <v>3</v>
      </c>
      <c r="J2426" s="39" t="s">
        <v>1478</v>
      </c>
      <c r="K2426" s="39" t="s">
        <v>2122</v>
      </c>
      <c r="L2426" s="39" t="s">
        <v>7830</v>
      </c>
      <c r="M2426" s="39" t="s">
        <v>7831</v>
      </c>
      <c r="N2426" s="39" t="str">
        <f>("1110654")</f>
        <v>1110654</v>
      </c>
      <c r="P2426" s="39" t="s">
        <v>13872</v>
      </c>
      <c r="Q2426" s="39" t="s">
        <v>8568</v>
      </c>
      <c r="R2426" s="39" t="s">
        <v>8569</v>
      </c>
      <c r="S2426" s="39" t="s">
        <v>8570</v>
      </c>
      <c r="AK2426" s="39" t="str">
        <f>("2025/03/03")</f>
        <v>2025/03/03</v>
      </c>
      <c r="AL2426" s="39" t="str">
        <f t="shared" si="189"/>
        <v>2025/04/01</v>
      </c>
    </row>
    <row r="2427" spans="1:39" x14ac:dyDescent="0.25">
      <c r="A2427" s="39" t="str">
        <f>("1609270041")</f>
        <v>1609270041</v>
      </c>
      <c r="C2427" s="39"/>
      <c r="D2427" s="39" t="s">
        <v>9966</v>
      </c>
      <c r="E2427" s="371" t="str">
        <f t="shared" si="186"/>
        <v>おかざき　きよまさ</v>
      </c>
      <c r="F2427" s="39" t="s">
        <v>2274</v>
      </c>
      <c r="G2427" s="39" t="s">
        <v>7828</v>
      </c>
      <c r="H2427" s="39" t="str">
        <f>("2016/09/27")</f>
        <v>2016/09/27</v>
      </c>
      <c r="I2427" s="39">
        <v>3</v>
      </c>
      <c r="J2427" s="39" t="s">
        <v>1478</v>
      </c>
      <c r="K2427" s="39" t="s">
        <v>2122</v>
      </c>
      <c r="L2427" s="39" t="s">
        <v>7830</v>
      </c>
      <c r="M2427" s="39" t="s">
        <v>7831</v>
      </c>
      <c r="N2427" s="39" t="str">
        <f>("0129563")</f>
        <v>0129563</v>
      </c>
      <c r="P2427" s="39" t="s">
        <v>13873</v>
      </c>
      <c r="Q2427" s="39" t="s">
        <v>8568</v>
      </c>
      <c r="R2427" s="39" t="s">
        <v>8569</v>
      </c>
      <c r="S2427" s="39" t="s">
        <v>8570</v>
      </c>
      <c r="AK2427" s="39" t="str">
        <f>("2025/03/17")</f>
        <v>2025/03/17</v>
      </c>
      <c r="AL2427" s="39" t="str">
        <f t="shared" si="189"/>
        <v>2025/04/01</v>
      </c>
    </row>
    <row r="2428" spans="1:39" x14ac:dyDescent="0.25">
      <c r="A2428" s="39" t="str">
        <f>("1609270129")</f>
        <v>1609270129</v>
      </c>
      <c r="C2428" s="39"/>
      <c r="D2428" s="39" t="s">
        <v>9967</v>
      </c>
      <c r="E2428" s="371" t="str">
        <f t="shared" si="186"/>
        <v>しいはら　かほ</v>
      </c>
      <c r="F2428" s="39" t="s">
        <v>1082</v>
      </c>
      <c r="G2428" s="39" t="s">
        <v>7828</v>
      </c>
      <c r="H2428" s="39" t="str">
        <f>("2016/09/27")</f>
        <v>2016/09/27</v>
      </c>
      <c r="I2428" s="39">
        <v>3</v>
      </c>
      <c r="J2428" s="39" t="s">
        <v>1480</v>
      </c>
      <c r="K2428" s="39" t="s">
        <v>2122</v>
      </c>
      <c r="L2428" s="39" t="s">
        <v>7830</v>
      </c>
      <c r="M2428" s="39" t="s">
        <v>7831</v>
      </c>
      <c r="N2428" s="39" t="str">
        <f>("0450009")</f>
        <v>0450009</v>
      </c>
      <c r="P2428" s="39" t="s">
        <v>13874</v>
      </c>
      <c r="Q2428" s="39" t="s">
        <v>8568</v>
      </c>
      <c r="R2428" s="39" t="s">
        <v>8569</v>
      </c>
      <c r="S2428" s="39" t="s">
        <v>8570</v>
      </c>
      <c r="AK2428" s="39" t="str">
        <f>("2025/07/09")</f>
        <v>2025/07/09</v>
      </c>
      <c r="AL2428" s="39" t="str">
        <f>("2025/07/09")</f>
        <v>2025/07/09</v>
      </c>
    </row>
    <row r="2429" spans="1:39" x14ac:dyDescent="0.25">
      <c r="A2429" s="39" t="str">
        <f>("1609280115")</f>
        <v>1609280115</v>
      </c>
      <c r="C2429" s="39"/>
      <c r="D2429" s="39" t="s">
        <v>9968</v>
      </c>
      <c r="E2429" s="371" t="str">
        <f t="shared" si="186"/>
        <v>やまもと　あらた</v>
      </c>
      <c r="F2429" s="39" t="s">
        <v>2594</v>
      </c>
      <c r="G2429" s="39" t="s">
        <v>7828</v>
      </c>
      <c r="H2429" s="39" t="str">
        <f>("2016/09/28")</f>
        <v>2016/09/28</v>
      </c>
      <c r="I2429" s="39">
        <v>3</v>
      </c>
      <c r="J2429" s="39" t="s">
        <v>1478</v>
      </c>
      <c r="K2429" s="39" t="s">
        <v>2122</v>
      </c>
      <c r="L2429" s="39" t="s">
        <v>7830</v>
      </c>
      <c r="M2429" s="39" t="s">
        <v>7831</v>
      </c>
      <c r="N2429" s="39" t="str">
        <f>("0424583")</f>
        <v>0424583</v>
      </c>
      <c r="P2429" s="39" t="s">
        <v>13875</v>
      </c>
      <c r="Q2429" s="39" t="s">
        <v>8568</v>
      </c>
      <c r="R2429" s="39" t="s">
        <v>8569</v>
      </c>
      <c r="S2429" s="39" t="s">
        <v>8570</v>
      </c>
      <c r="AK2429" s="39" t="str">
        <f>("2025/09/04")</f>
        <v>2025/09/04</v>
      </c>
      <c r="AL2429" s="39" t="str">
        <f>("2025/09/04")</f>
        <v>2025/09/04</v>
      </c>
    </row>
    <row r="2430" spans="1:39" x14ac:dyDescent="0.25">
      <c r="A2430" s="39" t="str">
        <f>("1609280118")</f>
        <v>1609280118</v>
      </c>
      <c r="C2430" s="39"/>
      <c r="D2430" s="39" t="s">
        <v>9969</v>
      </c>
      <c r="E2430" s="371" t="str">
        <f t="shared" si="186"/>
        <v>かつお　ゆうま</v>
      </c>
      <c r="F2430" s="39" t="s">
        <v>8135</v>
      </c>
      <c r="G2430" s="39" t="s">
        <v>7828</v>
      </c>
      <c r="H2430" s="39" t="str">
        <f>("2016/09/28")</f>
        <v>2016/09/28</v>
      </c>
      <c r="I2430" s="39">
        <v>3</v>
      </c>
      <c r="J2430" s="39" t="s">
        <v>1478</v>
      </c>
      <c r="K2430" s="39" t="s">
        <v>2122</v>
      </c>
      <c r="L2430" s="39" t="s">
        <v>7830</v>
      </c>
      <c r="M2430" s="39" t="s">
        <v>7831</v>
      </c>
      <c r="N2430" s="39" t="str">
        <f>("0475567")</f>
        <v>0475567</v>
      </c>
      <c r="P2430" s="39" t="s">
        <v>13876</v>
      </c>
      <c r="Q2430" s="39" t="s">
        <v>8568</v>
      </c>
      <c r="R2430" s="39" t="s">
        <v>8569</v>
      </c>
      <c r="S2430" s="39" t="s">
        <v>8570</v>
      </c>
      <c r="AK2430" s="39" t="str">
        <f>("2025/09/10")</f>
        <v>2025/09/10</v>
      </c>
      <c r="AL2430" s="39" t="str">
        <f>("2025/09/10")</f>
        <v>2025/09/10</v>
      </c>
    </row>
    <row r="2431" spans="1:39" x14ac:dyDescent="0.25">
      <c r="A2431" s="39" t="str">
        <f>("1609300083")</f>
        <v>1609300083</v>
      </c>
      <c r="C2431" s="39"/>
      <c r="D2431" s="39" t="s">
        <v>9970</v>
      </c>
      <c r="E2431" s="371" t="str">
        <f t="shared" si="186"/>
        <v>こが　みつき</v>
      </c>
      <c r="F2431" s="39" t="s">
        <v>829</v>
      </c>
      <c r="G2431" s="39" t="s">
        <v>7828</v>
      </c>
      <c r="H2431" s="39" t="str">
        <f>("2016/09/30")</f>
        <v>2016/09/30</v>
      </c>
      <c r="I2431" s="39">
        <v>3</v>
      </c>
      <c r="J2431" s="39" t="s">
        <v>1478</v>
      </c>
      <c r="K2431" s="39" t="s">
        <v>2122</v>
      </c>
      <c r="L2431" s="39" t="s">
        <v>7830</v>
      </c>
      <c r="M2431" s="39" t="s">
        <v>7831</v>
      </c>
      <c r="N2431" s="39" t="str">
        <f>("0426631")</f>
        <v>0426631</v>
      </c>
      <c r="P2431" s="39" t="s">
        <v>13877</v>
      </c>
      <c r="Q2431" s="39" t="s">
        <v>8568</v>
      </c>
      <c r="R2431" s="39" t="s">
        <v>8569</v>
      </c>
      <c r="S2431" s="39" t="s">
        <v>8570</v>
      </c>
      <c r="AK2431" s="39" t="str">
        <f>("2025/03/21")</f>
        <v>2025/03/21</v>
      </c>
      <c r="AL2431" s="39" t="str">
        <f>("2025/04/01")</f>
        <v>2025/04/01</v>
      </c>
    </row>
    <row r="2432" spans="1:39" x14ac:dyDescent="0.25">
      <c r="A2432" s="39" t="str">
        <f>("1610010055")</f>
        <v>1610010055</v>
      </c>
      <c r="C2432" s="39"/>
      <c r="D2432" s="39" t="s">
        <v>9971</v>
      </c>
      <c r="E2432" s="371" t="str">
        <f t="shared" si="186"/>
        <v>ふくだ　ゆうひ</v>
      </c>
      <c r="F2432" s="39" t="s">
        <v>2395</v>
      </c>
      <c r="G2432" s="39" t="s">
        <v>7828</v>
      </c>
      <c r="H2432" s="39" t="str">
        <f>("2016/10/01")</f>
        <v>2016/10/01</v>
      </c>
      <c r="I2432" s="39">
        <v>3</v>
      </c>
      <c r="J2432" s="39" t="s">
        <v>1478</v>
      </c>
      <c r="K2432" s="39" t="s">
        <v>2122</v>
      </c>
      <c r="L2432" s="39" t="s">
        <v>7830</v>
      </c>
      <c r="M2432" s="39" t="s">
        <v>7831</v>
      </c>
      <c r="N2432" s="39" t="str">
        <f>("0366735")</f>
        <v>0366735</v>
      </c>
      <c r="P2432" s="39" t="s">
        <v>13878</v>
      </c>
      <c r="Q2432" s="39" t="s">
        <v>8568</v>
      </c>
      <c r="R2432" s="39" t="s">
        <v>8569</v>
      </c>
      <c r="S2432" s="39" t="s">
        <v>8570</v>
      </c>
      <c r="AK2432" s="39" t="str">
        <f>("2025/03/17")</f>
        <v>2025/03/17</v>
      </c>
      <c r="AL2432" s="39" t="str">
        <f>("2025/04/01")</f>
        <v>2025/04/01</v>
      </c>
    </row>
    <row r="2433" spans="1:39" x14ac:dyDescent="0.25">
      <c r="A2433" s="39" t="str">
        <f>("1610020085")</f>
        <v>1610020085</v>
      </c>
      <c r="C2433" s="39"/>
      <c r="D2433" s="39" t="s">
        <v>9972</v>
      </c>
      <c r="E2433" s="371" t="str">
        <f t="shared" si="186"/>
        <v>くどう　めい</v>
      </c>
      <c r="F2433" s="39" t="s">
        <v>1865</v>
      </c>
      <c r="G2433" s="39" t="s">
        <v>7828</v>
      </c>
      <c r="H2433" s="39" t="str">
        <f>("2016/10/02")</f>
        <v>2016/10/02</v>
      </c>
      <c r="I2433" s="39">
        <v>3</v>
      </c>
      <c r="J2433" s="39" t="s">
        <v>1480</v>
      </c>
      <c r="K2433" s="39" t="s">
        <v>2122</v>
      </c>
      <c r="L2433" s="39" t="s">
        <v>7830</v>
      </c>
      <c r="M2433" s="39" t="s">
        <v>7831</v>
      </c>
      <c r="N2433" s="39" t="str">
        <f>("0310565")</f>
        <v>0310565</v>
      </c>
      <c r="P2433" s="39" t="s">
        <v>13879</v>
      </c>
      <c r="Q2433" s="39" t="s">
        <v>8568</v>
      </c>
      <c r="R2433" s="39" t="s">
        <v>8569</v>
      </c>
      <c r="S2433" s="39" t="s">
        <v>8570</v>
      </c>
      <c r="AK2433" s="39" t="str">
        <f>("2025/05/07")</f>
        <v>2025/05/07</v>
      </c>
      <c r="AL2433" s="39" t="str">
        <f>("2025/05/07")</f>
        <v>2025/05/07</v>
      </c>
      <c r="AM2433" s="39" t="str">
        <f>("2025/09/12")</f>
        <v>2025/09/12</v>
      </c>
    </row>
    <row r="2434" spans="1:39" x14ac:dyDescent="0.25">
      <c r="A2434" s="39" t="str">
        <f>("1610030063")</f>
        <v>1610030063</v>
      </c>
      <c r="C2434" s="39"/>
      <c r="D2434" s="39" t="s">
        <v>9973</v>
      </c>
      <c r="E2434" s="371" t="str">
        <f t="shared" si="186"/>
        <v>のじ　てんま</v>
      </c>
      <c r="F2434" s="39" t="s">
        <v>834</v>
      </c>
      <c r="G2434" s="39" t="s">
        <v>7828</v>
      </c>
      <c r="H2434" s="39" t="str">
        <f>("2016/10/03")</f>
        <v>2016/10/03</v>
      </c>
      <c r="I2434" s="39">
        <v>3</v>
      </c>
      <c r="J2434" s="39" t="s">
        <v>1478</v>
      </c>
      <c r="K2434" s="39" t="s">
        <v>2122</v>
      </c>
      <c r="L2434" s="39" t="s">
        <v>7830</v>
      </c>
      <c r="M2434" s="39" t="s">
        <v>7831</v>
      </c>
      <c r="N2434" s="39" t="str">
        <f>("0129844")</f>
        <v>0129844</v>
      </c>
      <c r="P2434" s="39" t="s">
        <v>13880</v>
      </c>
      <c r="Q2434" s="39" t="s">
        <v>8568</v>
      </c>
      <c r="R2434" s="39" t="s">
        <v>8569</v>
      </c>
      <c r="S2434" s="39" t="s">
        <v>8570</v>
      </c>
      <c r="AK2434" s="39" t="str">
        <f>("2025/03/17")</f>
        <v>2025/03/17</v>
      </c>
      <c r="AL2434" s="39" t="str">
        <f>("2025/04/01")</f>
        <v>2025/04/01</v>
      </c>
    </row>
    <row r="2435" spans="1:39" x14ac:dyDescent="0.25">
      <c r="A2435" s="39" t="str">
        <f>("1610030126")</f>
        <v>1610030126</v>
      </c>
      <c r="C2435" s="39"/>
      <c r="D2435" s="39" t="s">
        <v>9974</v>
      </c>
      <c r="E2435" s="371" t="str">
        <f t="shared" ref="E2435:E2498" si="190">PHONETIC(P2435)</f>
        <v>わだ　えいた</v>
      </c>
      <c r="F2435" s="39" t="s">
        <v>1207</v>
      </c>
      <c r="G2435" s="39" t="s">
        <v>7828</v>
      </c>
      <c r="H2435" s="39" t="str">
        <f>("2016/10/03")</f>
        <v>2016/10/03</v>
      </c>
      <c r="I2435" s="39">
        <v>3</v>
      </c>
      <c r="J2435" s="39" t="s">
        <v>1478</v>
      </c>
      <c r="K2435" s="39" t="s">
        <v>2122</v>
      </c>
      <c r="L2435" s="39" t="s">
        <v>7830</v>
      </c>
      <c r="M2435" s="39" t="s">
        <v>7831</v>
      </c>
      <c r="N2435" s="39" t="str">
        <f>("0381608")</f>
        <v>0381608</v>
      </c>
      <c r="P2435" s="39" t="s">
        <v>13881</v>
      </c>
      <c r="Q2435" s="39" t="s">
        <v>8568</v>
      </c>
      <c r="R2435" s="39" t="s">
        <v>8569</v>
      </c>
      <c r="S2435" s="39" t="s">
        <v>8570</v>
      </c>
      <c r="AK2435" s="39" t="str">
        <f>("2025/10/17")</f>
        <v>2025/10/17</v>
      </c>
      <c r="AL2435" s="39" t="str">
        <f>("2025/10/17")</f>
        <v>2025/10/17</v>
      </c>
    </row>
    <row r="2436" spans="1:39" x14ac:dyDescent="0.25">
      <c r="A2436" s="39" t="str">
        <f>("1610040017")</f>
        <v>1610040017</v>
      </c>
      <c r="C2436" s="39"/>
      <c r="D2436" s="39" t="s">
        <v>9975</v>
      </c>
      <c r="E2436" s="371" t="str">
        <f t="shared" si="190"/>
        <v>いわお　じゅあ</v>
      </c>
      <c r="F2436" s="39" t="s">
        <v>2156</v>
      </c>
      <c r="G2436" s="39" t="s">
        <v>7828</v>
      </c>
      <c r="H2436" s="39" t="str">
        <f>("2016/10/04")</f>
        <v>2016/10/04</v>
      </c>
      <c r="I2436" s="39">
        <v>3</v>
      </c>
      <c r="J2436" s="39" t="s">
        <v>1480</v>
      </c>
      <c r="K2436" s="39" t="s">
        <v>2122</v>
      </c>
      <c r="L2436" s="39" t="s">
        <v>7830</v>
      </c>
      <c r="M2436" s="39" t="s">
        <v>7831</v>
      </c>
      <c r="N2436" s="39" t="str">
        <f>("0493040")</f>
        <v>0493040</v>
      </c>
      <c r="P2436" s="39" t="s">
        <v>13882</v>
      </c>
      <c r="Q2436" s="39" t="s">
        <v>8568</v>
      </c>
      <c r="R2436" s="39" t="s">
        <v>8569</v>
      </c>
      <c r="S2436" s="39" t="s">
        <v>8570</v>
      </c>
      <c r="AK2436" s="39" t="str">
        <f>("2025/03/17")</f>
        <v>2025/03/17</v>
      </c>
      <c r="AL2436" s="39" t="str">
        <f>("2025/04/01")</f>
        <v>2025/04/01</v>
      </c>
    </row>
    <row r="2437" spans="1:39" x14ac:dyDescent="0.25">
      <c r="A2437" s="39" t="str">
        <f>("1610040086")</f>
        <v>1610040086</v>
      </c>
      <c r="C2437" s="39"/>
      <c r="D2437" s="39" t="s">
        <v>9976</v>
      </c>
      <c r="E2437" s="371" t="str">
        <f t="shared" si="190"/>
        <v>わたなべ　ゆい</v>
      </c>
      <c r="F2437" s="39" t="s">
        <v>1330</v>
      </c>
      <c r="G2437" s="39" t="s">
        <v>7828</v>
      </c>
      <c r="H2437" s="39" t="str">
        <f>("2016/10/04")</f>
        <v>2016/10/04</v>
      </c>
      <c r="I2437" s="39">
        <v>3</v>
      </c>
      <c r="J2437" s="39" t="s">
        <v>1480</v>
      </c>
      <c r="K2437" s="39" t="s">
        <v>2122</v>
      </c>
      <c r="L2437" s="39" t="s">
        <v>7830</v>
      </c>
      <c r="M2437" s="39" t="s">
        <v>7831</v>
      </c>
      <c r="N2437" s="39" t="str">
        <f>("0130598")</f>
        <v>0130598</v>
      </c>
      <c r="P2437" s="39" t="s">
        <v>13883</v>
      </c>
      <c r="Q2437" s="39" t="s">
        <v>8568</v>
      </c>
      <c r="R2437" s="39" t="s">
        <v>8569</v>
      </c>
      <c r="S2437" s="39" t="s">
        <v>8570</v>
      </c>
      <c r="AK2437" s="39" t="str">
        <f>("2025/03/17")</f>
        <v>2025/03/17</v>
      </c>
      <c r="AL2437" s="39" t="str">
        <f>("2025/04/01")</f>
        <v>2025/04/01</v>
      </c>
    </row>
    <row r="2438" spans="1:39" x14ac:dyDescent="0.25">
      <c r="A2438" s="39" t="str">
        <f>("1610040088")</f>
        <v>1610040088</v>
      </c>
      <c r="C2438" s="39"/>
      <c r="D2438" s="39" t="s">
        <v>9977</v>
      </c>
      <c r="E2438" s="371" t="str">
        <f t="shared" si="190"/>
        <v>はたて　きいち</v>
      </c>
      <c r="F2438" s="39" t="s">
        <v>2496</v>
      </c>
      <c r="G2438" s="39" t="s">
        <v>7876</v>
      </c>
      <c r="H2438" s="39" t="str">
        <f>("2016/10/04")</f>
        <v>2016/10/04</v>
      </c>
      <c r="I2438" s="39">
        <v>3</v>
      </c>
      <c r="J2438" s="39" t="s">
        <v>1478</v>
      </c>
      <c r="K2438" s="39" t="s">
        <v>2122</v>
      </c>
      <c r="L2438" s="39" t="s">
        <v>7830</v>
      </c>
      <c r="M2438" s="39" t="s">
        <v>7831</v>
      </c>
      <c r="N2438" s="39" t="str">
        <f>("0129855")</f>
        <v>0129855</v>
      </c>
      <c r="P2438" s="39" t="s">
        <v>13884</v>
      </c>
      <c r="Q2438" s="39" t="s">
        <v>8568</v>
      </c>
      <c r="R2438" s="39" t="s">
        <v>8569</v>
      </c>
      <c r="S2438" s="39" t="s">
        <v>8570</v>
      </c>
      <c r="AK2438" s="39" t="str">
        <f>("2025/03/24")</f>
        <v>2025/03/24</v>
      </c>
      <c r="AL2438" s="39" t="str">
        <f>("2025/04/01")</f>
        <v>2025/04/01</v>
      </c>
      <c r="AM2438" s="39" t="str">
        <f>("2025/11/18")</f>
        <v>2025/11/18</v>
      </c>
    </row>
    <row r="2439" spans="1:39" x14ac:dyDescent="0.25">
      <c r="A2439" s="39" t="str">
        <f>("1610060115")</f>
        <v>1610060115</v>
      </c>
      <c r="C2439" s="39"/>
      <c r="D2439" s="39" t="s">
        <v>9978</v>
      </c>
      <c r="E2439" s="371" t="str">
        <f t="shared" si="190"/>
        <v>さとう　かなこ</v>
      </c>
      <c r="F2439" s="39" t="s">
        <v>1865</v>
      </c>
      <c r="G2439" s="39" t="s">
        <v>7828</v>
      </c>
      <c r="H2439" s="39" t="str">
        <f>("2016/10/06")</f>
        <v>2016/10/06</v>
      </c>
      <c r="I2439" s="39">
        <v>3</v>
      </c>
      <c r="J2439" s="39" t="s">
        <v>1478</v>
      </c>
      <c r="K2439" s="39" t="s">
        <v>2122</v>
      </c>
      <c r="L2439" s="39" t="s">
        <v>7830</v>
      </c>
      <c r="M2439" s="39" t="s">
        <v>7831</v>
      </c>
      <c r="N2439" s="39" t="str">
        <f>("0310565")</f>
        <v>0310565</v>
      </c>
      <c r="P2439" s="39" t="s">
        <v>13885</v>
      </c>
      <c r="Q2439" s="39" t="s">
        <v>8568</v>
      </c>
      <c r="R2439" s="39" t="s">
        <v>8569</v>
      </c>
      <c r="S2439" s="39" t="s">
        <v>8570</v>
      </c>
      <c r="AK2439" s="39" t="str">
        <f>("2025/09/09")</f>
        <v>2025/09/09</v>
      </c>
      <c r="AL2439" s="39" t="str">
        <f>("2025/09/09")</f>
        <v>2025/09/09</v>
      </c>
    </row>
    <row r="2440" spans="1:39" x14ac:dyDescent="0.25">
      <c r="A2440" s="39" t="str">
        <f>("1610070019")</f>
        <v>1610070019</v>
      </c>
      <c r="C2440" s="39"/>
      <c r="D2440" s="39" t="s">
        <v>9979</v>
      </c>
      <c r="E2440" s="371" t="str">
        <f t="shared" si="190"/>
        <v>すぎた　むあ</v>
      </c>
      <c r="F2440" s="39" t="s">
        <v>2256</v>
      </c>
      <c r="G2440" s="39" t="s">
        <v>7828</v>
      </c>
      <c r="H2440" s="39" t="str">
        <f>("2016/10/07")</f>
        <v>2016/10/07</v>
      </c>
      <c r="I2440" s="39">
        <v>3</v>
      </c>
      <c r="J2440" s="39" t="s">
        <v>1478</v>
      </c>
      <c r="K2440" s="39" t="s">
        <v>2122</v>
      </c>
      <c r="L2440" s="39" t="s">
        <v>7830</v>
      </c>
      <c r="M2440" s="39" t="s">
        <v>7831</v>
      </c>
      <c r="N2440" s="39" t="str">
        <f>("0449119")</f>
        <v>0449119</v>
      </c>
      <c r="P2440" s="39" t="s">
        <v>13886</v>
      </c>
      <c r="Q2440" s="39" t="s">
        <v>8568</v>
      </c>
      <c r="R2440" s="39" t="s">
        <v>8569</v>
      </c>
      <c r="S2440" s="39" t="s">
        <v>8570</v>
      </c>
      <c r="AK2440" s="39" t="str">
        <f>("2025/03/17")</f>
        <v>2025/03/17</v>
      </c>
      <c r="AL2440" s="39" t="str">
        <f>("2025/04/01")</f>
        <v>2025/04/01</v>
      </c>
    </row>
    <row r="2441" spans="1:39" x14ac:dyDescent="0.25">
      <c r="A2441" s="39" t="str">
        <f>("1610070153")</f>
        <v>1610070153</v>
      </c>
      <c r="C2441" s="39"/>
      <c r="D2441" s="39" t="s">
        <v>9980</v>
      </c>
      <c r="E2441" s="371" t="str">
        <f t="shared" si="190"/>
        <v>あなみ　けんいち</v>
      </c>
      <c r="F2441" s="39" t="s">
        <v>3866</v>
      </c>
      <c r="G2441" s="39" t="s">
        <v>7828</v>
      </c>
      <c r="H2441" s="39" t="str">
        <f>("2016/10/07")</f>
        <v>2016/10/07</v>
      </c>
      <c r="I2441" s="39">
        <v>3</v>
      </c>
      <c r="J2441" s="39" t="s">
        <v>1478</v>
      </c>
      <c r="K2441" s="39" t="s">
        <v>2122</v>
      </c>
      <c r="L2441" s="39" t="s">
        <v>7830</v>
      </c>
      <c r="M2441" s="39" t="s">
        <v>7831</v>
      </c>
      <c r="N2441" s="39" t="str">
        <f>("0129675")</f>
        <v>0129675</v>
      </c>
      <c r="P2441" s="39" t="s">
        <v>13887</v>
      </c>
      <c r="Q2441" s="39" t="s">
        <v>8568</v>
      </c>
      <c r="R2441" s="39" t="s">
        <v>8569</v>
      </c>
      <c r="S2441" s="39" t="s">
        <v>8570</v>
      </c>
      <c r="AK2441" s="39" t="str">
        <f>("2025/12/16")</f>
        <v>2025/12/16</v>
      </c>
      <c r="AL2441" s="39" t="str">
        <f>("2025/12/16")</f>
        <v>2025/12/16</v>
      </c>
    </row>
    <row r="2442" spans="1:39" x14ac:dyDescent="0.25">
      <c r="A2442" s="39" t="str">
        <f>("1610080103")</f>
        <v>1610080103</v>
      </c>
      <c r="C2442" s="39"/>
      <c r="D2442" s="39" t="s">
        <v>9981</v>
      </c>
      <c r="E2442" s="371" t="str">
        <f t="shared" si="190"/>
        <v>あんどう　たすく</v>
      </c>
      <c r="F2442" s="39" t="s">
        <v>1330</v>
      </c>
      <c r="G2442" s="39" t="s">
        <v>7828</v>
      </c>
      <c r="H2442" s="39" t="str">
        <f>("2016/10/08")</f>
        <v>2016/10/08</v>
      </c>
      <c r="I2442" s="39">
        <v>3</v>
      </c>
      <c r="J2442" s="39" t="s">
        <v>1478</v>
      </c>
      <c r="K2442" s="39" t="s">
        <v>2122</v>
      </c>
      <c r="L2442" s="39" t="s">
        <v>7830</v>
      </c>
      <c r="M2442" s="39" t="s">
        <v>7831</v>
      </c>
      <c r="N2442" s="39" t="str">
        <f>("0130598")</f>
        <v>0130598</v>
      </c>
      <c r="P2442" s="39" t="s">
        <v>13888</v>
      </c>
      <c r="Q2442" s="39" t="s">
        <v>8568</v>
      </c>
      <c r="R2442" s="39" t="s">
        <v>8569</v>
      </c>
      <c r="S2442" s="39" t="s">
        <v>8570</v>
      </c>
      <c r="AK2442" s="39" t="str">
        <f>("2025/07/25")</f>
        <v>2025/07/25</v>
      </c>
      <c r="AL2442" s="39" t="str">
        <f>("2025/07/25")</f>
        <v>2025/07/25</v>
      </c>
    </row>
    <row r="2443" spans="1:39" x14ac:dyDescent="0.25">
      <c r="A2443" s="39" t="str">
        <f>("1610090024")</f>
        <v>1610090024</v>
      </c>
      <c r="C2443" s="39"/>
      <c r="D2443" s="39" t="s">
        <v>9982</v>
      </c>
      <c r="E2443" s="371" t="str">
        <f t="shared" si="190"/>
        <v>まつたか　あさひ</v>
      </c>
      <c r="F2443" s="39" t="s">
        <v>2299</v>
      </c>
      <c r="G2443" s="39" t="s">
        <v>7828</v>
      </c>
      <c r="H2443" s="39" t="str">
        <f>("2016/10/09")</f>
        <v>2016/10/09</v>
      </c>
      <c r="I2443" s="39">
        <v>3</v>
      </c>
      <c r="J2443" s="39" t="s">
        <v>1478</v>
      </c>
      <c r="K2443" s="39" t="s">
        <v>2122</v>
      </c>
      <c r="L2443" s="39" t="s">
        <v>7830</v>
      </c>
      <c r="M2443" s="39" t="s">
        <v>7831</v>
      </c>
      <c r="N2443" s="39" t="str">
        <f>("1066647")</f>
        <v>1066647</v>
      </c>
      <c r="P2443" s="39" t="s">
        <v>13889</v>
      </c>
      <c r="Q2443" s="39" t="s">
        <v>8568</v>
      </c>
      <c r="R2443" s="39" t="s">
        <v>8569</v>
      </c>
      <c r="S2443" s="39" t="s">
        <v>8570</v>
      </c>
      <c r="AK2443" s="39" t="str">
        <f>("2025/03/21")</f>
        <v>2025/03/21</v>
      </c>
      <c r="AL2443" s="39" t="str">
        <f>("2025/04/01")</f>
        <v>2025/04/01</v>
      </c>
    </row>
    <row r="2444" spans="1:39" x14ac:dyDescent="0.25">
      <c r="A2444" s="39" t="str">
        <f>("1610090029")</f>
        <v>1610090029</v>
      </c>
      <c r="B2444" s="39" t="s">
        <v>9983</v>
      </c>
      <c r="C2444" s="39"/>
      <c r="D2444" s="39" t="s">
        <v>9984</v>
      </c>
      <c r="E2444" s="371" t="str">
        <f t="shared" si="190"/>
        <v>きもと　とお</v>
      </c>
      <c r="F2444" s="39" t="s">
        <v>2516</v>
      </c>
      <c r="G2444" s="39" t="s">
        <v>7828</v>
      </c>
      <c r="H2444" s="39" t="str">
        <f>("2016/10/09")</f>
        <v>2016/10/09</v>
      </c>
      <c r="I2444" s="39">
        <v>3</v>
      </c>
      <c r="J2444" s="39" t="s">
        <v>1478</v>
      </c>
      <c r="K2444" s="39" t="s">
        <v>2122</v>
      </c>
      <c r="L2444" s="39" t="s">
        <v>7830</v>
      </c>
      <c r="M2444" s="39" t="s">
        <v>7831</v>
      </c>
      <c r="N2444" s="39" t="str">
        <f>("0130116")</f>
        <v>0130116</v>
      </c>
      <c r="P2444" s="39" t="s">
        <v>13890</v>
      </c>
      <c r="Q2444" s="39" t="s">
        <v>8568</v>
      </c>
      <c r="R2444" s="39" t="s">
        <v>8569</v>
      </c>
      <c r="S2444" s="39" t="s">
        <v>8570</v>
      </c>
      <c r="AK2444" s="39" t="str">
        <f>("2025/03/25")</f>
        <v>2025/03/25</v>
      </c>
      <c r="AL2444" s="39" t="str">
        <f>("2025/04/01")</f>
        <v>2025/04/01</v>
      </c>
    </row>
    <row r="2445" spans="1:39" x14ac:dyDescent="0.25">
      <c r="A2445" s="39" t="str">
        <f>("1610090085")</f>
        <v>1610090085</v>
      </c>
      <c r="C2445" s="39"/>
      <c r="D2445" s="39" t="s">
        <v>9985</v>
      </c>
      <c r="E2445" s="371" t="str">
        <f t="shared" si="190"/>
        <v>いまた　ゆつき</v>
      </c>
      <c r="F2445" s="39" t="s">
        <v>2573</v>
      </c>
      <c r="G2445" s="39" t="s">
        <v>7828</v>
      </c>
      <c r="H2445" s="39" t="str">
        <f>("2016/10/09")</f>
        <v>2016/10/09</v>
      </c>
      <c r="I2445" s="39">
        <v>3</v>
      </c>
      <c r="J2445" s="39" t="s">
        <v>1480</v>
      </c>
      <c r="K2445" s="39" t="s">
        <v>2122</v>
      </c>
      <c r="L2445" s="39" t="s">
        <v>7830</v>
      </c>
      <c r="M2445" s="39" t="s">
        <v>7831</v>
      </c>
      <c r="N2445" s="39" t="str">
        <f>("0230982")</f>
        <v>0230982</v>
      </c>
      <c r="P2445" s="39" t="s">
        <v>13891</v>
      </c>
      <c r="Q2445" s="39" t="s">
        <v>8568</v>
      </c>
      <c r="R2445" s="39" t="s">
        <v>8569</v>
      </c>
      <c r="S2445" s="39" t="s">
        <v>8570</v>
      </c>
      <c r="AK2445" s="39" t="str">
        <f>("2025/08/12")</f>
        <v>2025/08/12</v>
      </c>
      <c r="AL2445" s="39" t="str">
        <f>("2025/08/12")</f>
        <v>2025/08/12</v>
      </c>
    </row>
    <row r="2446" spans="1:39" x14ac:dyDescent="0.25">
      <c r="A2446" s="39" t="str">
        <f>("1610100013")</f>
        <v>1610100013</v>
      </c>
      <c r="C2446" s="39"/>
      <c r="D2446" s="39" t="s">
        <v>6117</v>
      </c>
      <c r="E2446" s="371" t="str">
        <f t="shared" si="190"/>
        <v>きい　たくと</v>
      </c>
      <c r="F2446" s="39" t="s">
        <v>5618</v>
      </c>
      <c r="G2446" s="39" t="s">
        <v>7828</v>
      </c>
      <c r="H2446" s="39" t="str">
        <f>("2016/10/10")</f>
        <v>2016/10/10</v>
      </c>
      <c r="I2446" s="39">
        <v>3</v>
      </c>
      <c r="J2446" s="39" t="s">
        <v>1478</v>
      </c>
      <c r="K2446" s="39" t="s">
        <v>2122</v>
      </c>
      <c r="L2446" s="39" t="s">
        <v>7830</v>
      </c>
      <c r="M2446" s="39" t="s">
        <v>7831</v>
      </c>
      <c r="N2446" s="39" t="str">
        <f>("0433235")</f>
        <v>0433235</v>
      </c>
      <c r="P2446" s="39" t="s">
        <v>13892</v>
      </c>
      <c r="Q2446" s="39" t="s">
        <v>8568</v>
      </c>
      <c r="R2446" s="39" t="s">
        <v>8569</v>
      </c>
      <c r="S2446" s="39" t="s">
        <v>8570</v>
      </c>
      <c r="AK2446" s="39" t="str">
        <f>("2025/03/17")</f>
        <v>2025/03/17</v>
      </c>
      <c r="AL2446" s="39" t="str">
        <f>("2025/04/01")</f>
        <v>2025/04/01</v>
      </c>
    </row>
    <row r="2447" spans="1:39" x14ac:dyDescent="0.25">
      <c r="A2447" s="39" t="str">
        <f>("1610110025")</f>
        <v>1610110025</v>
      </c>
      <c r="C2447" s="39"/>
      <c r="D2447" s="39" t="s">
        <v>9986</v>
      </c>
      <c r="E2447" s="371" t="str">
        <f t="shared" si="190"/>
        <v>きもと　えいた</v>
      </c>
      <c r="F2447" s="39" t="s">
        <v>2544</v>
      </c>
      <c r="G2447" s="39" t="s">
        <v>7828</v>
      </c>
      <c r="H2447" s="39" t="str">
        <f>("2016/10/11")</f>
        <v>2016/10/11</v>
      </c>
      <c r="I2447" s="39">
        <v>3</v>
      </c>
      <c r="J2447" s="39" t="s">
        <v>1478</v>
      </c>
      <c r="K2447" s="39" t="s">
        <v>2122</v>
      </c>
      <c r="L2447" s="39" t="s">
        <v>7830</v>
      </c>
      <c r="M2447" s="39" t="s">
        <v>7831</v>
      </c>
      <c r="N2447" s="39" t="str">
        <f>("0130644")</f>
        <v>0130644</v>
      </c>
      <c r="P2447" s="39" t="s">
        <v>13893</v>
      </c>
      <c r="Q2447" s="39" t="s">
        <v>8568</v>
      </c>
      <c r="R2447" s="39" t="s">
        <v>8569</v>
      </c>
      <c r="S2447" s="39" t="s">
        <v>8570</v>
      </c>
      <c r="AK2447" s="39" t="str">
        <f>("2025/03/17")</f>
        <v>2025/03/17</v>
      </c>
      <c r="AL2447" s="39" t="str">
        <f>("2025/04/01")</f>
        <v>2025/04/01</v>
      </c>
    </row>
    <row r="2448" spans="1:39" x14ac:dyDescent="0.25">
      <c r="A2448" s="39" t="str">
        <f>("1610110100")</f>
        <v>1610110100</v>
      </c>
      <c r="C2448" s="39"/>
      <c r="D2448" s="39" t="s">
        <v>9987</v>
      </c>
      <c r="E2448" s="371" t="str">
        <f t="shared" si="190"/>
        <v>しょうの　かなと</v>
      </c>
      <c r="F2448" s="39" t="s">
        <v>2243</v>
      </c>
      <c r="G2448" s="39" t="s">
        <v>7828</v>
      </c>
      <c r="H2448" s="39" t="str">
        <f>("2016/10/11")</f>
        <v>2016/10/11</v>
      </c>
      <c r="I2448" s="39">
        <v>3</v>
      </c>
      <c r="J2448" s="39" t="s">
        <v>1478</v>
      </c>
      <c r="K2448" s="39" t="s">
        <v>2122</v>
      </c>
      <c r="L2448" s="39" t="s">
        <v>7830</v>
      </c>
      <c r="M2448" s="39" t="s">
        <v>7831</v>
      </c>
      <c r="N2448" s="39" t="str">
        <f>("0130565")</f>
        <v>0130565</v>
      </c>
      <c r="P2448" s="39" t="s">
        <v>13894</v>
      </c>
      <c r="Q2448" s="39" t="s">
        <v>8568</v>
      </c>
      <c r="R2448" s="39" t="s">
        <v>8569</v>
      </c>
      <c r="S2448" s="39" t="s">
        <v>8570</v>
      </c>
      <c r="AK2448" s="39" t="str">
        <f>("2025/05/29")</f>
        <v>2025/05/29</v>
      </c>
      <c r="AL2448" s="39" t="str">
        <f>("2025/05/29")</f>
        <v>2025/05/29</v>
      </c>
    </row>
    <row r="2449" spans="1:38" x14ac:dyDescent="0.25">
      <c r="A2449" s="39" t="str">
        <f>("1610110108")</f>
        <v>1610110108</v>
      </c>
      <c r="C2449" s="39"/>
      <c r="D2449" s="39" t="s">
        <v>9988</v>
      </c>
      <c r="E2449" s="371" t="str">
        <f t="shared" si="190"/>
        <v>さとう　たすく</v>
      </c>
      <c r="F2449" s="39" t="s">
        <v>827</v>
      </c>
      <c r="G2449" s="39" t="s">
        <v>7828</v>
      </c>
      <c r="H2449" s="39" t="str">
        <f>("2016/10/11")</f>
        <v>2016/10/11</v>
      </c>
      <c r="I2449" s="39">
        <v>3</v>
      </c>
      <c r="J2449" s="39" t="s">
        <v>1478</v>
      </c>
      <c r="K2449" s="39" t="s">
        <v>2122</v>
      </c>
      <c r="L2449" s="39" t="s">
        <v>7830</v>
      </c>
      <c r="M2449" s="39" t="s">
        <v>7831</v>
      </c>
      <c r="N2449" s="39" t="str">
        <f>("0504908")</f>
        <v>0504908</v>
      </c>
      <c r="P2449" s="39" t="s">
        <v>13895</v>
      </c>
      <c r="Q2449" s="39" t="s">
        <v>8568</v>
      </c>
      <c r="R2449" s="39" t="s">
        <v>8569</v>
      </c>
      <c r="S2449" s="39" t="s">
        <v>8570</v>
      </c>
      <c r="AK2449" s="39" t="str">
        <f>("2025/09/04")</f>
        <v>2025/09/04</v>
      </c>
      <c r="AL2449" s="39" t="str">
        <f>("2025/09/04")</f>
        <v>2025/09/04</v>
      </c>
    </row>
    <row r="2450" spans="1:38" x14ac:dyDescent="0.25">
      <c r="A2450" s="39" t="str">
        <f>("1610130011")</f>
        <v>1610130011</v>
      </c>
      <c r="C2450" s="39"/>
      <c r="D2450" s="39" t="s">
        <v>6113</v>
      </c>
      <c r="E2450" s="371" t="str">
        <f t="shared" si="190"/>
        <v>うえつか　たき</v>
      </c>
      <c r="F2450" s="39" t="s">
        <v>5618</v>
      </c>
      <c r="G2450" s="39" t="s">
        <v>7828</v>
      </c>
      <c r="H2450" s="39" t="str">
        <f>("2016/10/13")</f>
        <v>2016/10/13</v>
      </c>
      <c r="I2450" s="39">
        <v>3</v>
      </c>
      <c r="J2450" s="39" t="s">
        <v>1478</v>
      </c>
      <c r="K2450" s="39" t="s">
        <v>2122</v>
      </c>
      <c r="L2450" s="39" t="s">
        <v>7830</v>
      </c>
      <c r="M2450" s="39" t="s">
        <v>7831</v>
      </c>
      <c r="N2450" s="39" t="str">
        <f>("0433235")</f>
        <v>0433235</v>
      </c>
      <c r="P2450" s="39" t="s">
        <v>13896</v>
      </c>
      <c r="Q2450" s="39" t="s">
        <v>8568</v>
      </c>
      <c r="R2450" s="39" t="s">
        <v>8569</v>
      </c>
      <c r="S2450" s="39" t="s">
        <v>8570</v>
      </c>
      <c r="AK2450" s="39" t="str">
        <f>("2025/03/17")</f>
        <v>2025/03/17</v>
      </c>
      <c r="AL2450" s="39" t="str">
        <f>("2025/04/01")</f>
        <v>2025/04/01</v>
      </c>
    </row>
    <row r="2451" spans="1:38" x14ac:dyDescent="0.25">
      <c r="A2451" s="39" t="str">
        <f>("1610130116")</f>
        <v>1610130116</v>
      </c>
      <c r="B2451" s="39" t="s">
        <v>9989</v>
      </c>
      <c r="C2451" s="39"/>
      <c r="D2451" s="39" t="s">
        <v>9990</v>
      </c>
      <c r="E2451" s="371" t="str">
        <f t="shared" si="190"/>
        <v>おだ　けいた</v>
      </c>
      <c r="F2451" s="39" t="s">
        <v>1344</v>
      </c>
      <c r="G2451" s="39" t="s">
        <v>7828</v>
      </c>
      <c r="H2451" s="39" t="str">
        <f>("2016/10/13")</f>
        <v>2016/10/13</v>
      </c>
      <c r="I2451" s="39">
        <v>3</v>
      </c>
      <c r="J2451" s="39" t="s">
        <v>1478</v>
      </c>
      <c r="K2451" s="39" t="s">
        <v>2122</v>
      </c>
      <c r="L2451" s="39" t="s">
        <v>7830</v>
      </c>
      <c r="M2451" s="39" t="s">
        <v>7831</v>
      </c>
      <c r="N2451" s="39" t="str">
        <f>("0130587")</f>
        <v>0130587</v>
      </c>
      <c r="P2451" s="39" t="s">
        <v>13897</v>
      </c>
      <c r="Q2451" s="39" t="s">
        <v>8568</v>
      </c>
      <c r="R2451" s="39" t="s">
        <v>8569</v>
      </c>
      <c r="S2451" s="39" t="s">
        <v>8570</v>
      </c>
      <c r="AK2451" s="39" t="str">
        <f>("2025/08/19")</f>
        <v>2025/08/19</v>
      </c>
      <c r="AL2451" s="39" t="str">
        <f>("2025/08/19")</f>
        <v>2025/08/19</v>
      </c>
    </row>
    <row r="2452" spans="1:38" x14ac:dyDescent="0.25">
      <c r="A2452" s="39" t="str">
        <f>("1610140119")</f>
        <v>1610140119</v>
      </c>
      <c r="C2452" s="39"/>
      <c r="D2452" s="39" t="s">
        <v>9991</v>
      </c>
      <c r="E2452" s="371" t="str">
        <f t="shared" si="190"/>
        <v>さがら　はやと</v>
      </c>
      <c r="F2452" s="39" t="s">
        <v>1968</v>
      </c>
      <c r="G2452" s="39" t="s">
        <v>7828</v>
      </c>
      <c r="H2452" s="39" t="str">
        <f>("2016/10/14")</f>
        <v>2016/10/14</v>
      </c>
      <c r="I2452" s="39">
        <v>3</v>
      </c>
      <c r="J2452" s="39" t="s">
        <v>1478</v>
      </c>
      <c r="K2452" s="39" t="s">
        <v>2122</v>
      </c>
      <c r="L2452" s="39" t="s">
        <v>7830</v>
      </c>
      <c r="M2452" s="39" t="s">
        <v>7831</v>
      </c>
      <c r="N2452" s="39" t="str">
        <f>("0129507")</f>
        <v>0129507</v>
      </c>
      <c r="P2452" s="39" t="s">
        <v>13898</v>
      </c>
      <c r="Q2452" s="39" t="s">
        <v>8568</v>
      </c>
      <c r="R2452" s="39" t="s">
        <v>8569</v>
      </c>
      <c r="S2452" s="39" t="s">
        <v>8570</v>
      </c>
      <c r="AK2452" s="39" t="str">
        <f>("2025/08/22")</f>
        <v>2025/08/22</v>
      </c>
      <c r="AL2452" s="39" t="str">
        <f>("2025/08/22")</f>
        <v>2025/08/22</v>
      </c>
    </row>
    <row r="2453" spans="1:38" x14ac:dyDescent="0.25">
      <c r="A2453" s="39" t="str">
        <f>("1610150083")</f>
        <v>1610150083</v>
      </c>
      <c r="C2453" s="39"/>
      <c r="D2453" s="39" t="s">
        <v>9992</v>
      </c>
      <c r="E2453" s="371" t="str">
        <f t="shared" si="190"/>
        <v>すどう　まなと</v>
      </c>
      <c r="F2453" s="39" t="s">
        <v>2477</v>
      </c>
      <c r="G2453" s="39" t="s">
        <v>7828</v>
      </c>
      <c r="H2453" s="39" t="str">
        <f>("2016/10/15")</f>
        <v>2016/10/15</v>
      </c>
      <c r="I2453" s="39">
        <v>3</v>
      </c>
      <c r="J2453" s="39" t="s">
        <v>1478</v>
      </c>
      <c r="K2453" s="39" t="s">
        <v>2122</v>
      </c>
      <c r="L2453" s="39" t="s">
        <v>7830</v>
      </c>
      <c r="M2453" s="39" t="s">
        <v>7831</v>
      </c>
      <c r="N2453" s="39" t="str">
        <f>("0129541")</f>
        <v>0129541</v>
      </c>
      <c r="P2453" s="39" t="s">
        <v>13899</v>
      </c>
      <c r="Q2453" s="39" t="s">
        <v>8568</v>
      </c>
      <c r="R2453" s="39" t="s">
        <v>8569</v>
      </c>
      <c r="S2453" s="39" t="s">
        <v>8570</v>
      </c>
      <c r="AK2453" s="39" t="str">
        <f>("2025/05/12")</f>
        <v>2025/05/12</v>
      </c>
      <c r="AL2453" s="39" t="str">
        <f>("2025/05/12")</f>
        <v>2025/05/12</v>
      </c>
    </row>
    <row r="2454" spans="1:38" x14ac:dyDescent="0.25">
      <c r="A2454" s="39" t="str">
        <f>("1610160082")</f>
        <v>1610160082</v>
      </c>
      <c r="B2454" s="39" t="s">
        <v>9993</v>
      </c>
      <c r="C2454" s="39"/>
      <c r="D2454" s="39" t="s">
        <v>9994</v>
      </c>
      <c r="E2454" s="371" t="str">
        <f t="shared" si="190"/>
        <v>まつばら　さくと</v>
      </c>
      <c r="F2454" s="39" t="s">
        <v>1344</v>
      </c>
      <c r="G2454" s="39" t="s">
        <v>7828</v>
      </c>
      <c r="H2454" s="39" t="str">
        <f>("2016/10/16")</f>
        <v>2016/10/16</v>
      </c>
      <c r="I2454" s="39">
        <v>3</v>
      </c>
      <c r="J2454" s="39" t="s">
        <v>1478</v>
      </c>
      <c r="K2454" s="39" t="s">
        <v>2122</v>
      </c>
      <c r="L2454" s="39" t="s">
        <v>7830</v>
      </c>
      <c r="M2454" s="39" t="s">
        <v>7831</v>
      </c>
      <c r="N2454" s="39" t="str">
        <f>("0130587")</f>
        <v>0130587</v>
      </c>
      <c r="P2454" s="39" t="s">
        <v>13900</v>
      </c>
      <c r="Q2454" s="39" t="s">
        <v>8568</v>
      </c>
      <c r="R2454" s="39" t="s">
        <v>8569</v>
      </c>
      <c r="S2454" s="39" t="s">
        <v>8570</v>
      </c>
      <c r="AK2454" s="39" t="str">
        <f>("2025/08/19")</f>
        <v>2025/08/19</v>
      </c>
      <c r="AL2454" s="39" t="str">
        <f>("2025/08/19")</f>
        <v>2025/08/19</v>
      </c>
    </row>
    <row r="2455" spans="1:38" x14ac:dyDescent="0.25">
      <c r="A2455" s="39" t="str">
        <f>("1610160083")</f>
        <v>1610160083</v>
      </c>
      <c r="C2455" s="39"/>
      <c r="D2455" s="39" t="s">
        <v>9995</v>
      </c>
      <c r="E2455" s="371" t="str">
        <f t="shared" si="190"/>
        <v>たかさき　いと</v>
      </c>
      <c r="F2455" s="39" t="s">
        <v>1692</v>
      </c>
      <c r="G2455" s="39" t="s">
        <v>7828</v>
      </c>
      <c r="H2455" s="39" t="str">
        <f>("2016/10/16")</f>
        <v>2016/10/16</v>
      </c>
      <c r="I2455" s="39">
        <v>3</v>
      </c>
      <c r="J2455" s="39" t="s">
        <v>1478</v>
      </c>
      <c r="K2455" s="39" t="s">
        <v>2122</v>
      </c>
      <c r="L2455" s="39" t="s">
        <v>7830</v>
      </c>
      <c r="M2455" s="39" t="s">
        <v>7831</v>
      </c>
      <c r="N2455" s="39" t="str">
        <f>("1052299")</f>
        <v>1052299</v>
      </c>
      <c r="P2455" s="39" t="s">
        <v>13901</v>
      </c>
      <c r="Q2455" s="39" t="s">
        <v>8568</v>
      </c>
      <c r="R2455" s="39" t="s">
        <v>8569</v>
      </c>
      <c r="S2455" s="39" t="s">
        <v>8570</v>
      </c>
      <c r="AK2455" s="39" t="str">
        <f>("2025/08/29")</f>
        <v>2025/08/29</v>
      </c>
      <c r="AL2455" s="39" t="str">
        <f>("2025/08/29")</f>
        <v>2025/08/29</v>
      </c>
    </row>
    <row r="2456" spans="1:38" x14ac:dyDescent="0.25">
      <c r="A2456" s="39" t="str">
        <f>("1610170024")</f>
        <v>1610170024</v>
      </c>
      <c r="C2456" s="39"/>
      <c r="D2456" s="39" t="s">
        <v>9996</v>
      </c>
      <c r="E2456" s="371" t="str">
        <f t="shared" si="190"/>
        <v>よしみつ　かずと</v>
      </c>
      <c r="F2456" s="39" t="s">
        <v>2139</v>
      </c>
      <c r="G2456" s="39" t="s">
        <v>7828</v>
      </c>
      <c r="H2456" s="39" t="str">
        <f>("2016/10/17")</f>
        <v>2016/10/17</v>
      </c>
      <c r="I2456" s="39">
        <v>3</v>
      </c>
      <c r="J2456" s="39" t="s">
        <v>1478</v>
      </c>
      <c r="K2456" s="39" t="s">
        <v>2122</v>
      </c>
      <c r="L2456" s="39" t="s">
        <v>7830</v>
      </c>
      <c r="M2456" s="39" t="s">
        <v>7831</v>
      </c>
      <c r="N2456" s="39" t="str">
        <f>("0129798")</f>
        <v>0129798</v>
      </c>
      <c r="P2456" s="39" t="s">
        <v>13902</v>
      </c>
      <c r="Q2456" s="39" t="s">
        <v>8568</v>
      </c>
      <c r="R2456" s="39" t="s">
        <v>8569</v>
      </c>
      <c r="S2456" s="39" t="s">
        <v>8570</v>
      </c>
      <c r="AA2456" s="39" t="s">
        <v>2122</v>
      </c>
      <c r="AB2456" s="39" t="s">
        <v>7830</v>
      </c>
      <c r="AC2456" s="39" t="s">
        <v>7831</v>
      </c>
      <c r="AD2456" s="39" t="str">
        <f>("1111064")</f>
        <v>1111064</v>
      </c>
      <c r="AE2456" s="39" t="s">
        <v>7910</v>
      </c>
      <c r="AK2456" s="39" t="str">
        <f>("2025/10/15")</f>
        <v>2025/10/15</v>
      </c>
      <c r="AL2456" s="39" t="str">
        <f>("2025/10/15")</f>
        <v>2025/10/15</v>
      </c>
    </row>
    <row r="2457" spans="1:38" x14ac:dyDescent="0.25">
      <c r="A2457" s="39" t="str">
        <f>("1610170084")</f>
        <v>1610170084</v>
      </c>
      <c r="C2457" s="39"/>
      <c r="D2457" s="39" t="s">
        <v>9997</v>
      </c>
      <c r="E2457" s="371" t="str">
        <f t="shared" si="190"/>
        <v>にしもと　なおき</v>
      </c>
      <c r="F2457" s="39" t="s">
        <v>2496</v>
      </c>
      <c r="G2457" s="39" t="s">
        <v>7828</v>
      </c>
      <c r="H2457" s="39" t="str">
        <f>("2016/10/17")</f>
        <v>2016/10/17</v>
      </c>
      <c r="I2457" s="39">
        <v>3</v>
      </c>
      <c r="J2457" s="39" t="s">
        <v>1478</v>
      </c>
      <c r="K2457" s="39" t="s">
        <v>2122</v>
      </c>
      <c r="L2457" s="39" t="s">
        <v>7830</v>
      </c>
      <c r="M2457" s="39" t="s">
        <v>7831</v>
      </c>
      <c r="N2457" s="39" t="str">
        <f>("0129855")</f>
        <v>0129855</v>
      </c>
      <c r="P2457" s="39" t="s">
        <v>13903</v>
      </c>
      <c r="Q2457" s="39" t="s">
        <v>8568</v>
      </c>
      <c r="R2457" s="39" t="s">
        <v>8569</v>
      </c>
      <c r="S2457" s="39" t="s">
        <v>8570</v>
      </c>
      <c r="AK2457" s="39" t="str">
        <f>("2025/03/24")</f>
        <v>2025/03/24</v>
      </c>
      <c r="AL2457" s="39" t="str">
        <f>("2025/04/01")</f>
        <v>2025/04/01</v>
      </c>
    </row>
    <row r="2458" spans="1:38" x14ac:dyDescent="0.25">
      <c r="A2458" s="39" t="str">
        <f>("1610180087")</f>
        <v>1610180087</v>
      </c>
      <c r="C2458" s="39"/>
      <c r="D2458" s="39" t="s">
        <v>9998</v>
      </c>
      <c r="E2458" s="371" t="str">
        <f t="shared" si="190"/>
        <v>かまくら　おさむ</v>
      </c>
      <c r="F2458" s="39" t="s">
        <v>2342</v>
      </c>
      <c r="G2458" s="39" t="s">
        <v>7828</v>
      </c>
      <c r="H2458" s="39" t="str">
        <f>("2016/10/18")</f>
        <v>2016/10/18</v>
      </c>
      <c r="I2458" s="39">
        <v>3</v>
      </c>
      <c r="J2458" s="39" t="s">
        <v>1478</v>
      </c>
      <c r="K2458" s="39" t="s">
        <v>2122</v>
      </c>
      <c r="L2458" s="39" t="s">
        <v>7830</v>
      </c>
      <c r="M2458" s="39" t="s">
        <v>7831</v>
      </c>
      <c r="N2458" s="39" t="str">
        <f>("0130307")</f>
        <v>0130307</v>
      </c>
      <c r="P2458" s="39" t="s">
        <v>13904</v>
      </c>
      <c r="Q2458" s="39" t="s">
        <v>8568</v>
      </c>
      <c r="R2458" s="39" t="s">
        <v>8569</v>
      </c>
      <c r="S2458" s="39" t="s">
        <v>8570</v>
      </c>
      <c r="AK2458" s="39" t="str">
        <f>("2025/03/17")</f>
        <v>2025/03/17</v>
      </c>
      <c r="AL2458" s="39" t="str">
        <f>("2025/04/01")</f>
        <v>2025/04/01</v>
      </c>
    </row>
    <row r="2459" spans="1:38" x14ac:dyDescent="0.25">
      <c r="A2459" s="39" t="str">
        <f>("1610180104")</f>
        <v>1610180104</v>
      </c>
      <c r="C2459" s="39"/>
      <c r="D2459" s="39" t="s">
        <v>9999</v>
      </c>
      <c r="E2459" s="371" t="str">
        <f t="shared" si="190"/>
        <v>ひめの　しゅうた</v>
      </c>
      <c r="F2459" s="39" t="s">
        <v>2530</v>
      </c>
      <c r="G2459" s="39" t="s">
        <v>7828</v>
      </c>
      <c r="H2459" s="39" t="str">
        <f>("2016/10/18")</f>
        <v>2016/10/18</v>
      </c>
      <c r="I2459" s="39">
        <v>3</v>
      </c>
      <c r="J2459" s="39" t="s">
        <v>1478</v>
      </c>
      <c r="K2459" s="39" t="s">
        <v>2122</v>
      </c>
      <c r="L2459" s="39" t="s">
        <v>7830</v>
      </c>
      <c r="M2459" s="39" t="s">
        <v>7831</v>
      </c>
      <c r="N2459" s="39" t="str">
        <f>("0338756")</f>
        <v>0338756</v>
      </c>
      <c r="P2459" s="39" t="s">
        <v>13905</v>
      </c>
      <c r="Q2459" s="39" t="s">
        <v>8568</v>
      </c>
      <c r="R2459" s="39" t="s">
        <v>8569</v>
      </c>
      <c r="S2459" s="39" t="s">
        <v>8570</v>
      </c>
      <c r="AK2459" s="39" t="str">
        <f>("2025/04/01")</f>
        <v>2025/04/01</v>
      </c>
      <c r="AL2459" s="39" t="str">
        <f>("2025/04/01")</f>
        <v>2025/04/01</v>
      </c>
    </row>
    <row r="2460" spans="1:38" x14ac:dyDescent="0.25">
      <c r="A2460" s="39" t="str">
        <f>("1610180134")</f>
        <v>1610180134</v>
      </c>
      <c r="C2460" s="39"/>
      <c r="D2460" s="39" t="s">
        <v>10000</v>
      </c>
      <c r="E2460" s="371" t="str">
        <f t="shared" si="190"/>
        <v>もりた　りく</v>
      </c>
      <c r="F2460" s="39" t="s">
        <v>2323</v>
      </c>
      <c r="G2460" s="39" t="s">
        <v>7828</v>
      </c>
      <c r="H2460" s="39" t="str">
        <f>("2016/10/18")</f>
        <v>2016/10/18</v>
      </c>
      <c r="I2460" s="39">
        <v>3</v>
      </c>
      <c r="J2460" s="39" t="s">
        <v>1478</v>
      </c>
      <c r="K2460" s="39" t="s">
        <v>2122</v>
      </c>
      <c r="L2460" s="39" t="s">
        <v>7830</v>
      </c>
      <c r="M2460" s="39" t="s">
        <v>7831</v>
      </c>
      <c r="N2460" s="39" t="str">
        <f>("0472722")</f>
        <v>0472722</v>
      </c>
      <c r="P2460" s="39" t="s">
        <v>13906</v>
      </c>
      <c r="Q2460" s="39" t="s">
        <v>8568</v>
      </c>
      <c r="R2460" s="39" t="s">
        <v>8569</v>
      </c>
      <c r="S2460" s="39" t="s">
        <v>8570</v>
      </c>
      <c r="AK2460" s="39" t="str">
        <f>("2025/07/25")</f>
        <v>2025/07/25</v>
      </c>
      <c r="AL2460" s="39" t="str">
        <f>("2025/07/25")</f>
        <v>2025/07/25</v>
      </c>
    </row>
    <row r="2461" spans="1:38" x14ac:dyDescent="0.25">
      <c r="A2461" s="39" t="str">
        <f>("1610200002")</f>
        <v>1610200002</v>
      </c>
      <c r="B2461" s="39" t="s">
        <v>10001</v>
      </c>
      <c r="C2461" s="39"/>
      <c r="D2461" s="39" t="s">
        <v>10002</v>
      </c>
      <c r="E2461" s="371" t="str">
        <f t="shared" si="190"/>
        <v>やの　おういちろう</v>
      </c>
      <c r="F2461" s="39" t="s">
        <v>5615</v>
      </c>
      <c r="G2461" s="39" t="s">
        <v>7828</v>
      </c>
      <c r="H2461" s="39" t="str">
        <f>("2016/10/20")</f>
        <v>2016/10/20</v>
      </c>
      <c r="I2461" s="39">
        <v>3</v>
      </c>
      <c r="J2461" s="39" t="s">
        <v>1478</v>
      </c>
      <c r="K2461" s="39" t="s">
        <v>2122</v>
      </c>
      <c r="L2461" s="39" t="s">
        <v>7830</v>
      </c>
      <c r="M2461" s="39" t="s">
        <v>7831</v>
      </c>
      <c r="N2461" s="39" t="str">
        <f>("0129642")</f>
        <v>0129642</v>
      </c>
      <c r="P2461" s="39" t="s">
        <v>13907</v>
      </c>
      <c r="Q2461" s="39" t="s">
        <v>8568</v>
      </c>
      <c r="R2461" s="39" t="s">
        <v>8569</v>
      </c>
      <c r="S2461" s="39" t="s">
        <v>8570</v>
      </c>
      <c r="AK2461" s="39" t="str">
        <f>("2025/03/24")</f>
        <v>2025/03/24</v>
      </c>
      <c r="AL2461" s="39" t="str">
        <f>("2025/04/01")</f>
        <v>2025/04/01</v>
      </c>
    </row>
    <row r="2462" spans="1:38" x14ac:dyDescent="0.25">
      <c r="A2462" s="39" t="str">
        <f>("1610200048")</f>
        <v>1610200048</v>
      </c>
      <c r="C2462" s="39"/>
      <c r="D2462" s="39" t="s">
        <v>10003</v>
      </c>
      <c r="E2462" s="371" t="str">
        <f t="shared" si="190"/>
        <v>ごんどう　はる</v>
      </c>
      <c r="F2462" s="39" t="s">
        <v>8714</v>
      </c>
      <c r="G2462" s="39" t="s">
        <v>7828</v>
      </c>
      <c r="H2462" s="39" t="str">
        <f>("2016/10/20")</f>
        <v>2016/10/20</v>
      </c>
      <c r="I2462" s="39">
        <v>3</v>
      </c>
      <c r="J2462" s="39" t="s">
        <v>1478</v>
      </c>
      <c r="K2462" s="39" t="s">
        <v>2122</v>
      </c>
      <c r="L2462" s="39" t="s">
        <v>7830</v>
      </c>
      <c r="M2462" s="39" t="s">
        <v>7831</v>
      </c>
      <c r="N2462" s="39" t="str">
        <f>("1032147")</f>
        <v>1032147</v>
      </c>
      <c r="P2462" s="39" t="s">
        <v>13908</v>
      </c>
      <c r="Q2462" s="39" t="s">
        <v>8568</v>
      </c>
      <c r="R2462" s="39" t="s">
        <v>8569</v>
      </c>
      <c r="S2462" s="39" t="s">
        <v>8570</v>
      </c>
      <c r="AK2462" s="39" t="str">
        <f>("2025/03/17")</f>
        <v>2025/03/17</v>
      </c>
      <c r="AL2462" s="39" t="str">
        <f>("2025/04/01")</f>
        <v>2025/04/01</v>
      </c>
    </row>
    <row r="2463" spans="1:38" x14ac:dyDescent="0.25">
      <c r="A2463" s="39" t="str">
        <f>("1610210046")</f>
        <v>1610210046</v>
      </c>
      <c r="C2463" s="39"/>
      <c r="D2463" s="39" t="s">
        <v>10004</v>
      </c>
      <c r="E2463" s="371" t="str">
        <f t="shared" si="190"/>
        <v>しん　てるゆき</v>
      </c>
      <c r="F2463" s="39" t="s">
        <v>1917</v>
      </c>
      <c r="G2463" s="39" t="s">
        <v>7828</v>
      </c>
      <c r="H2463" s="39" t="str">
        <f>("2016/10/21")</f>
        <v>2016/10/21</v>
      </c>
      <c r="I2463" s="39">
        <v>3</v>
      </c>
      <c r="J2463" s="39" t="s">
        <v>1478</v>
      </c>
      <c r="K2463" s="39" t="s">
        <v>2122</v>
      </c>
      <c r="L2463" s="39" t="s">
        <v>7830</v>
      </c>
      <c r="M2463" s="39" t="s">
        <v>7831</v>
      </c>
      <c r="N2463" s="39" t="str">
        <f>("1032161")</f>
        <v>1032161</v>
      </c>
      <c r="P2463" s="39" t="s">
        <v>13909</v>
      </c>
      <c r="Q2463" s="39" t="s">
        <v>8568</v>
      </c>
      <c r="R2463" s="39" t="s">
        <v>8569</v>
      </c>
      <c r="S2463" s="39" t="s">
        <v>8570</v>
      </c>
      <c r="AK2463" s="39" t="str">
        <f>("2025/03/21")</f>
        <v>2025/03/21</v>
      </c>
      <c r="AL2463" s="39" t="str">
        <f>("2025/04/01")</f>
        <v>2025/04/01</v>
      </c>
    </row>
    <row r="2464" spans="1:38" x14ac:dyDescent="0.25">
      <c r="A2464" s="39" t="str">
        <f>("1610210053")</f>
        <v>1610210053</v>
      </c>
      <c r="B2464" s="39" t="s">
        <v>10005</v>
      </c>
      <c r="C2464" s="39"/>
      <c r="D2464" s="39" t="s">
        <v>10006</v>
      </c>
      <c r="E2464" s="371" t="str">
        <f t="shared" si="190"/>
        <v>さかもと　めいと</v>
      </c>
      <c r="F2464" s="39" t="s">
        <v>1912</v>
      </c>
      <c r="G2464" s="39" t="s">
        <v>7828</v>
      </c>
      <c r="H2464" s="39" t="str">
        <f>("2016/10/21")</f>
        <v>2016/10/21</v>
      </c>
      <c r="I2464" s="39">
        <v>3</v>
      </c>
      <c r="J2464" s="39" t="s">
        <v>1478</v>
      </c>
      <c r="K2464" s="39" t="s">
        <v>2122</v>
      </c>
      <c r="L2464" s="39" t="s">
        <v>7830</v>
      </c>
      <c r="M2464" s="39" t="s">
        <v>7831</v>
      </c>
      <c r="N2464" s="39" t="str">
        <f>("0130363")</f>
        <v>0130363</v>
      </c>
      <c r="P2464" s="39" t="s">
        <v>13910</v>
      </c>
      <c r="Q2464" s="39" t="s">
        <v>8568</v>
      </c>
      <c r="R2464" s="39" t="s">
        <v>8569</v>
      </c>
      <c r="S2464" s="39" t="s">
        <v>8570</v>
      </c>
      <c r="AK2464" s="39" t="str">
        <f>("2025/03/17")</f>
        <v>2025/03/17</v>
      </c>
      <c r="AL2464" s="39" t="str">
        <f>("2025/04/01")</f>
        <v>2025/04/01</v>
      </c>
    </row>
    <row r="2465" spans="1:39" x14ac:dyDescent="0.25">
      <c r="A2465" s="39" t="str">
        <f>("1610210121")</f>
        <v>1610210121</v>
      </c>
      <c r="C2465" s="39"/>
      <c r="D2465" s="39" t="s">
        <v>10007</v>
      </c>
      <c r="E2465" s="371" t="str">
        <f t="shared" si="190"/>
        <v>むらた　かなた</v>
      </c>
      <c r="F2465" s="39" t="s">
        <v>2256</v>
      </c>
      <c r="G2465" s="39" t="s">
        <v>7828</v>
      </c>
      <c r="H2465" s="39" t="str">
        <f>("2016/10/21")</f>
        <v>2016/10/21</v>
      </c>
      <c r="I2465" s="39">
        <v>3</v>
      </c>
      <c r="J2465" s="39" t="s">
        <v>1478</v>
      </c>
      <c r="K2465" s="39" t="s">
        <v>2122</v>
      </c>
      <c r="L2465" s="39" t="s">
        <v>7830</v>
      </c>
      <c r="M2465" s="39" t="s">
        <v>7831</v>
      </c>
      <c r="N2465" s="39" t="str">
        <f>("0449119")</f>
        <v>0449119</v>
      </c>
      <c r="P2465" s="39" t="s">
        <v>13911</v>
      </c>
      <c r="Q2465" s="39" t="s">
        <v>8568</v>
      </c>
      <c r="R2465" s="39" t="s">
        <v>8569</v>
      </c>
      <c r="S2465" s="39" t="s">
        <v>8570</v>
      </c>
      <c r="AK2465" s="39" t="str">
        <f>("2025/05/07")</f>
        <v>2025/05/07</v>
      </c>
      <c r="AL2465" s="39" t="str">
        <f>("2025/05/07")</f>
        <v>2025/05/07</v>
      </c>
    </row>
    <row r="2466" spans="1:39" x14ac:dyDescent="0.25">
      <c r="A2466" s="39" t="str">
        <f>("1610220055")</f>
        <v>1610220055</v>
      </c>
      <c r="C2466" s="39"/>
      <c r="D2466" s="39" t="s">
        <v>10008</v>
      </c>
      <c r="E2466" s="371" t="str">
        <f t="shared" si="190"/>
        <v>すえひろ　かずと</v>
      </c>
      <c r="F2466" s="39" t="s">
        <v>2485</v>
      </c>
      <c r="G2466" s="39" t="s">
        <v>7828</v>
      </c>
      <c r="H2466" s="39" t="str">
        <f>("2016/10/22")</f>
        <v>2016/10/22</v>
      </c>
      <c r="I2466" s="39">
        <v>3</v>
      </c>
      <c r="J2466" s="39" t="s">
        <v>1478</v>
      </c>
      <c r="K2466" s="39" t="s">
        <v>2122</v>
      </c>
      <c r="L2466" s="39" t="s">
        <v>7830</v>
      </c>
      <c r="M2466" s="39" t="s">
        <v>7831</v>
      </c>
      <c r="N2466" s="39" t="str">
        <f>("0129754")</f>
        <v>0129754</v>
      </c>
      <c r="P2466" s="39" t="s">
        <v>13912</v>
      </c>
      <c r="Q2466" s="39" t="s">
        <v>8568</v>
      </c>
      <c r="R2466" s="39" t="s">
        <v>8569</v>
      </c>
      <c r="S2466" s="39" t="s">
        <v>8570</v>
      </c>
      <c r="AK2466" s="39" t="str">
        <f>("2025/03/24")</f>
        <v>2025/03/24</v>
      </c>
      <c r="AL2466" s="39" t="str">
        <f>("2025/04/01")</f>
        <v>2025/04/01</v>
      </c>
    </row>
    <row r="2467" spans="1:39" x14ac:dyDescent="0.25">
      <c r="A2467" s="39" t="str">
        <f>("1610220074")</f>
        <v>1610220074</v>
      </c>
      <c r="C2467" s="39"/>
      <c r="D2467" s="39" t="s">
        <v>10009</v>
      </c>
      <c r="E2467" s="371" t="str">
        <f t="shared" si="190"/>
        <v>はたやま　のあ</v>
      </c>
      <c r="F2467" s="39" t="s">
        <v>2651</v>
      </c>
      <c r="G2467" s="39" t="s">
        <v>7828</v>
      </c>
      <c r="H2467" s="39" t="str">
        <f>("2016/10/22")</f>
        <v>2016/10/22</v>
      </c>
      <c r="I2467" s="39">
        <v>3</v>
      </c>
      <c r="J2467" s="39" t="s">
        <v>1480</v>
      </c>
      <c r="K2467" s="39" t="s">
        <v>2122</v>
      </c>
      <c r="L2467" s="39" t="s">
        <v>7830</v>
      </c>
      <c r="M2467" s="39" t="s">
        <v>7831</v>
      </c>
      <c r="N2467" s="39" t="str">
        <f>("1067415")</f>
        <v>1067415</v>
      </c>
      <c r="P2467" s="39" t="s">
        <v>13913</v>
      </c>
      <c r="Q2467" s="39" t="s">
        <v>8568</v>
      </c>
      <c r="R2467" s="39" t="s">
        <v>8569</v>
      </c>
      <c r="S2467" s="39" t="s">
        <v>8570</v>
      </c>
      <c r="AK2467" s="39" t="str">
        <f>("2025/09/04")</f>
        <v>2025/09/04</v>
      </c>
      <c r="AL2467" s="39" t="str">
        <f>("2025/09/04")</f>
        <v>2025/09/04</v>
      </c>
    </row>
    <row r="2468" spans="1:39" x14ac:dyDescent="0.25">
      <c r="A2468" s="39" t="str">
        <f>("1610230061")</f>
        <v>1610230061</v>
      </c>
      <c r="C2468" s="39"/>
      <c r="D2468" s="39" t="s">
        <v>10010</v>
      </c>
      <c r="E2468" s="371" t="str">
        <f t="shared" si="190"/>
        <v>しんや　ひろと</v>
      </c>
      <c r="F2468" s="39" t="s">
        <v>2023</v>
      </c>
      <c r="G2468" s="39" t="s">
        <v>7828</v>
      </c>
      <c r="H2468" s="39" t="str">
        <f>("2016/10/23")</f>
        <v>2016/10/23</v>
      </c>
      <c r="I2468" s="39">
        <v>3</v>
      </c>
      <c r="J2468" s="39" t="s">
        <v>1478</v>
      </c>
      <c r="K2468" s="39" t="s">
        <v>2122</v>
      </c>
      <c r="L2468" s="39" t="s">
        <v>7830</v>
      </c>
      <c r="M2468" s="39" t="s">
        <v>7831</v>
      </c>
      <c r="N2468" s="39" t="str">
        <f>("0129967")</f>
        <v>0129967</v>
      </c>
      <c r="P2468" s="39" t="s">
        <v>13914</v>
      </c>
      <c r="Q2468" s="39" t="s">
        <v>8568</v>
      </c>
      <c r="R2468" s="39" t="s">
        <v>8569</v>
      </c>
      <c r="S2468" s="39" t="s">
        <v>8570</v>
      </c>
      <c r="AK2468" s="39" t="str">
        <f>("2025/04/10")</f>
        <v>2025/04/10</v>
      </c>
      <c r="AL2468" s="39" t="str">
        <f>("2025/04/10")</f>
        <v>2025/04/10</v>
      </c>
    </row>
    <row r="2469" spans="1:39" x14ac:dyDescent="0.25">
      <c r="A2469" s="39" t="str">
        <f>("1610230062")</f>
        <v>1610230062</v>
      </c>
      <c r="C2469" s="39"/>
      <c r="D2469" s="39" t="s">
        <v>10011</v>
      </c>
      <c r="E2469" s="371" t="str">
        <f t="shared" si="190"/>
        <v>てつもと　けいすけ</v>
      </c>
      <c r="F2469" s="39" t="s">
        <v>1481</v>
      </c>
      <c r="G2469" s="39" t="s">
        <v>7828</v>
      </c>
      <c r="H2469" s="39" t="str">
        <f>("2016/10/23")</f>
        <v>2016/10/23</v>
      </c>
      <c r="I2469" s="39">
        <v>3</v>
      </c>
      <c r="J2469" s="39" t="s">
        <v>1478</v>
      </c>
      <c r="K2469" s="39" t="s">
        <v>2122</v>
      </c>
      <c r="L2469" s="39" t="s">
        <v>7830</v>
      </c>
      <c r="M2469" s="39" t="s">
        <v>7831</v>
      </c>
      <c r="N2469" s="39" t="str">
        <f>("0129866")</f>
        <v>0129866</v>
      </c>
      <c r="P2469" s="39" t="s">
        <v>13915</v>
      </c>
      <c r="Q2469" s="39" t="s">
        <v>8568</v>
      </c>
      <c r="R2469" s="39" t="s">
        <v>8569</v>
      </c>
      <c r="S2469" s="39" t="s">
        <v>8570</v>
      </c>
      <c r="AK2469" s="39" t="str">
        <f>("2025/04/10")</f>
        <v>2025/04/10</v>
      </c>
      <c r="AL2469" s="39" t="str">
        <f>("2025/04/10")</f>
        <v>2025/04/10</v>
      </c>
    </row>
    <row r="2470" spans="1:39" x14ac:dyDescent="0.25">
      <c r="A2470" s="39" t="str">
        <f>("1610240011")</f>
        <v>1610240011</v>
      </c>
      <c r="C2470" s="39"/>
      <c r="D2470" s="39" t="s">
        <v>10012</v>
      </c>
      <c r="E2470" s="371" t="str">
        <f t="shared" si="190"/>
        <v>おかもと　たろう</v>
      </c>
      <c r="F2470" s="39" t="s">
        <v>2544</v>
      </c>
      <c r="G2470" s="39" t="s">
        <v>7828</v>
      </c>
      <c r="H2470" s="39" t="str">
        <f>("2016/10/24")</f>
        <v>2016/10/24</v>
      </c>
      <c r="I2470" s="39">
        <v>3</v>
      </c>
      <c r="J2470" s="39" t="s">
        <v>1478</v>
      </c>
      <c r="K2470" s="39" t="s">
        <v>2122</v>
      </c>
      <c r="L2470" s="39" t="s">
        <v>7830</v>
      </c>
      <c r="M2470" s="39" t="s">
        <v>7831</v>
      </c>
      <c r="N2470" s="39" t="str">
        <f>("0130644")</f>
        <v>0130644</v>
      </c>
      <c r="P2470" s="39" t="s">
        <v>13916</v>
      </c>
      <c r="Q2470" s="39" t="s">
        <v>8568</v>
      </c>
      <c r="R2470" s="39" t="s">
        <v>8569</v>
      </c>
      <c r="S2470" s="39" t="s">
        <v>8570</v>
      </c>
      <c r="AK2470" s="39" t="str">
        <f>("2025/03/17")</f>
        <v>2025/03/17</v>
      </c>
      <c r="AL2470" s="39" t="str">
        <f>("2025/04/01")</f>
        <v>2025/04/01</v>
      </c>
    </row>
    <row r="2471" spans="1:39" x14ac:dyDescent="0.25">
      <c r="A2471" s="39" t="str">
        <f>("1610250009")</f>
        <v>1610250009</v>
      </c>
      <c r="B2471" s="39" t="s">
        <v>10013</v>
      </c>
      <c r="C2471" s="39"/>
      <c r="D2471" s="39" t="s">
        <v>10014</v>
      </c>
      <c r="E2471" s="371" t="str">
        <f t="shared" si="190"/>
        <v>いとなが　みお</v>
      </c>
      <c r="F2471" s="39" t="s">
        <v>2137</v>
      </c>
      <c r="G2471" s="39" t="s">
        <v>7828</v>
      </c>
      <c r="H2471" s="39" t="str">
        <f>("2016/10/25")</f>
        <v>2016/10/25</v>
      </c>
      <c r="I2471" s="39">
        <v>3</v>
      </c>
      <c r="J2471" s="39" t="s">
        <v>1480</v>
      </c>
      <c r="K2471" s="39" t="s">
        <v>2122</v>
      </c>
      <c r="L2471" s="39" t="s">
        <v>7830</v>
      </c>
      <c r="M2471" s="39" t="s">
        <v>7831</v>
      </c>
      <c r="N2471" s="39" t="str">
        <f>("0130510")</f>
        <v>0130510</v>
      </c>
      <c r="P2471" s="39" t="s">
        <v>13917</v>
      </c>
      <c r="Q2471" s="39" t="s">
        <v>8568</v>
      </c>
      <c r="R2471" s="39" t="s">
        <v>8569</v>
      </c>
      <c r="S2471" s="39" t="s">
        <v>8570</v>
      </c>
      <c r="AK2471" s="39" t="str">
        <f>("2025/03/21")</f>
        <v>2025/03/21</v>
      </c>
      <c r="AL2471" s="39" t="str">
        <f>("2025/04/01")</f>
        <v>2025/04/01</v>
      </c>
    </row>
    <row r="2472" spans="1:39" x14ac:dyDescent="0.25">
      <c r="A2472" s="39" t="str">
        <f>("1610260113")</f>
        <v>1610260113</v>
      </c>
      <c r="C2472" s="39"/>
      <c r="D2472" s="39" t="s">
        <v>10015</v>
      </c>
      <c r="E2472" s="371" t="str">
        <f t="shared" si="190"/>
        <v>いちかわ　りんたろう</v>
      </c>
      <c r="F2472" s="39" t="s">
        <v>1158</v>
      </c>
      <c r="G2472" s="39" t="s">
        <v>7876</v>
      </c>
      <c r="H2472" s="39" t="str">
        <f>("2016/10/26")</f>
        <v>2016/10/26</v>
      </c>
      <c r="I2472" s="39">
        <v>3</v>
      </c>
      <c r="J2472" s="39" t="s">
        <v>1478</v>
      </c>
      <c r="K2472" s="39" t="s">
        <v>2122</v>
      </c>
      <c r="L2472" s="39" t="s">
        <v>7830</v>
      </c>
      <c r="M2472" s="39" t="s">
        <v>7831</v>
      </c>
      <c r="N2472" s="39" t="str">
        <f>("0130318")</f>
        <v>0130318</v>
      </c>
      <c r="P2472" s="39" t="s">
        <v>13918</v>
      </c>
      <c r="Q2472" s="39" t="s">
        <v>8568</v>
      </c>
      <c r="R2472" s="39" t="s">
        <v>8569</v>
      </c>
      <c r="S2472" s="39" t="s">
        <v>8570</v>
      </c>
      <c r="AK2472" s="39" t="str">
        <f>("2025/08/25")</f>
        <v>2025/08/25</v>
      </c>
      <c r="AL2472" s="39" t="str">
        <f>("2025/08/25")</f>
        <v>2025/08/25</v>
      </c>
      <c r="AM2472" s="39" t="str">
        <f>("2026/01/08")</f>
        <v>2026/01/08</v>
      </c>
    </row>
    <row r="2473" spans="1:39" x14ac:dyDescent="0.25">
      <c r="A2473" s="39" t="str">
        <f>("1610260116")</f>
        <v>1610260116</v>
      </c>
      <c r="C2473" s="39"/>
      <c r="D2473" s="39" t="s">
        <v>10016</v>
      </c>
      <c r="E2473" s="371" t="str">
        <f t="shared" si="190"/>
        <v>おおくぼ　たつき</v>
      </c>
      <c r="F2473" s="39" t="s">
        <v>1865</v>
      </c>
      <c r="G2473" s="39" t="s">
        <v>7828</v>
      </c>
      <c r="H2473" s="39" t="str">
        <f>("2016/10/26")</f>
        <v>2016/10/26</v>
      </c>
      <c r="I2473" s="39">
        <v>3</v>
      </c>
      <c r="J2473" s="39" t="s">
        <v>1478</v>
      </c>
      <c r="K2473" s="39" t="s">
        <v>2122</v>
      </c>
      <c r="L2473" s="39" t="s">
        <v>7830</v>
      </c>
      <c r="M2473" s="39" t="s">
        <v>7831</v>
      </c>
      <c r="N2473" s="39" t="str">
        <f>("0310565")</f>
        <v>0310565</v>
      </c>
      <c r="P2473" s="39" t="s">
        <v>13919</v>
      </c>
      <c r="Q2473" s="39" t="s">
        <v>8568</v>
      </c>
      <c r="R2473" s="39" t="s">
        <v>8569</v>
      </c>
      <c r="S2473" s="39" t="s">
        <v>8570</v>
      </c>
      <c r="AK2473" s="39" t="str">
        <f>("2025/09/09")</f>
        <v>2025/09/09</v>
      </c>
      <c r="AL2473" s="39" t="str">
        <f>("2025/09/09")</f>
        <v>2025/09/09</v>
      </c>
    </row>
    <row r="2474" spans="1:39" x14ac:dyDescent="0.25">
      <c r="A2474" s="39" t="str">
        <f>("1610270103")</f>
        <v>1610270103</v>
      </c>
      <c r="C2474" s="39"/>
      <c r="D2474" s="39" t="s">
        <v>10017</v>
      </c>
      <c r="E2474" s="371" t="str">
        <f t="shared" si="190"/>
        <v>うえの　ゆうし</v>
      </c>
      <c r="F2474" s="39" t="s">
        <v>2587</v>
      </c>
      <c r="G2474" s="39" t="s">
        <v>7828</v>
      </c>
      <c r="H2474" s="39" t="str">
        <f>("2016/10/27")</f>
        <v>2016/10/27</v>
      </c>
      <c r="I2474" s="39">
        <v>3</v>
      </c>
      <c r="J2474" s="39" t="s">
        <v>1478</v>
      </c>
      <c r="K2474" s="39" t="s">
        <v>2122</v>
      </c>
      <c r="L2474" s="39" t="s">
        <v>7830</v>
      </c>
      <c r="M2474" s="39" t="s">
        <v>7831</v>
      </c>
      <c r="N2474" s="39" t="str">
        <f>("0387334")</f>
        <v>0387334</v>
      </c>
      <c r="P2474" s="39" t="s">
        <v>13920</v>
      </c>
      <c r="Q2474" s="39" t="s">
        <v>8568</v>
      </c>
      <c r="R2474" s="39" t="s">
        <v>8569</v>
      </c>
      <c r="S2474" s="39" t="s">
        <v>8570</v>
      </c>
      <c r="AK2474" s="39" t="str">
        <f>("2025/04/10")</f>
        <v>2025/04/10</v>
      </c>
      <c r="AL2474" s="39" t="str">
        <f>("2025/04/10")</f>
        <v>2025/04/10</v>
      </c>
    </row>
    <row r="2475" spans="1:39" x14ac:dyDescent="0.25">
      <c r="A2475" s="39" t="str">
        <f>("1610270124")</f>
        <v>1610270124</v>
      </c>
      <c r="B2475" s="39" t="s">
        <v>10018</v>
      </c>
      <c r="C2475" s="39"/>
      <c r="D2475" s="39" t="s">
        <v>10019</v>
      </c>
      <c r="E2475" s="371" t="str">
        <f t="shared" si="190"/>
        <v>しょうの　あやと</v>
      </c>
      <c r="F2475" s="39" t="s">
        <v>1344</v>
      </c>
      <c r="G2475" s="39" t="s">
        <v>7828</v>
      </c>
      <c r="H2475" s="39" t="str">
        <f>("2016/10/27")</f>
        <v>2016/10/27</v>
      </c>
      <c r="I2475" s="39">
        <v>3</v>
      </c>
      <c r="J2475" s="39" t="s">
        <v>1478</v>
      </c>
      <c r="K2475" s="39" t="s">
        <v>2122</v>
      </c>
      <c r="L2475" s="39" t="s">
        <v>7830</v>
      </c>
      <c r="M2475" s="39" t="s">
        <v>7831</v>
      </c>
      <c r="N2475" s="39" t="str">
        <f>("0130587")</f>
        <v>0130587</v>
      </c>
      <c r="P2475" s="39" t="s">
        <v>13921</v>
      </c>
      <c r="Q2475" s="39" t="s">
        <v>8568</v>
      </c>
      <c r="R2475" s="39" t="s">
        <v>8569</v>
      </c>
      <c r="S2475" s="39" t="s">
        <v>8570</v>
      </c>
      <c r="AK2475" s="39" t="str">
        <f>("2025/08/19")</f>
        <v>2025/08/19</v>
      </c>
      <c r="AL2475" s="39" t="str">
        <f>("2025/08/19")</f>
        <v>2025/08/19</v>
      </c>
    </row>
    <row r="2476" spans="1:39" x14ac:dyDescent="0.25">
      <c r="A2476" s="39" t="str">
        <f>("1610280073")</f>
        <v>1610280073</v>
      </c>
      <c r="C2476" s="39"/>
      <c r="D2476" s="39" t="s">
        <v>10020</v>
      </c>
      <c r="E2476" s="371" t="str">
        <f t="shared" si="190"/>
        <v>あかぼし　しゅうと</v>
      </c>
      <c r="F2476" s="39" t="s">
        <v>686</v>
      </c>
      <c r="G2476" s="39" t="s">
        <v>7828</v>
      </c>
      <c r="H2476" s="39" t="str">
        <f>("2016/10/28")</f>
        <v>2016/10/28</v>
      </c>
      <c r="I2476" s="39">
        <v>3</v>
      </c>
      <c r="J2476" s="39" t="s">
        <v>1478</v>
      </c>
      <c r="K2476" s="39" t="s">
        <v>2122</v>
      </c>
      <c r="L2476" s="39" t="s">
        <v>7830</v>
      </c>
      <c r="M2476" s="39" t="s">
        <v>7831</v>
      </c>
      <c r="N2476" s="39" t="str">
        <f>("0130745")</f>
        <v>0130745</v>
      </c>
      <c r="P2476" s="39" t="s">
        <v>13922</v>
      </c>
      <c r="Q2476" s="39" t="s">
        <v>8568</v>
      </c>
      <c r="R2476" s="39" t="s">
        <v>8569</v>
      </c>
      <c r="S2476" s="39" t="s">
        <v>8570</v>
      </c>
      <c r="AK2476" s="39" t="str">
        <f>("2025/03/17")</f>
        <v>2025/03/17</v>
      </c>
      <c r="AL2476" s="39" t="str">
        <f>("2025/04/01")</f>
        <v>2025/04/01</v>
      </c>
    </row>
    <row r="2477" spans="1:39" x14ac:dyDescent="0.25">
      <c r="A2477" s="39" t="str">
        <f>("1610280115")</f>
        <v>1610280115</v>
      </c>
      <c r="B2477" s="39" t="s">
        <v>10021</v>
      </c>
      <c r="C2477" s="39"/>
      <c r="D2477" s="39" t="s">
        <v>10022</v>
      </c>
      <c r="E2477" s="371" t="str">
        <f t="shared" si="190"/>
        <v>たかもり　てるま</v>
      </c>
      <c r="F2477" s="39" t="s">
        <v>1344</v>
      </c>
      <c r="G2477" s="39" t="s">
        <v>7828</v>
      </c>
      <c r="H2477" s="39" t="str">
        <f>("2016/10/28")</f>
        <v>2016/10/28</v>
      </c>
      <c r="I2477" s="39">
        <v>3</v>
      </c>
      <c r="J2477" s="39" t="s">
        <v>1478</v>
      </c>
      <c r="K2477" s="39" t="s">
        <v>2122</v>
      </c>
      <c r="L2477" s="39" t="s">
        <v>7830</v>
      </c>
      <c r="M2477" s="39" t="s">
        <v>7831</v>
      </c>
      <c r="N2477" s="39" t="str">
        <f>("0130587")</f>
        <v>0130587</v>
      </c>
      <c r="P2477" s="39" t="s">
        <v>13923</v>
      </c>
      <c r="Q2477" s="39" t="s">
        <v>8568</v>
      </c>
      <c r="R2477" s="39" t="s">
        <v>8569</v>
      </c>
      <c r="S2477" s="39" t="s">
        <v>8570</v>
      </c>
      <c r="AK2477" s="39" t="str">
        <f>("2025/08/29")</f>
        <v>2025/08/29</v>
      </c>
      <c r="AL2477" s="39" t="str">
        <f>("2025/08/29")</f>
        <v>2025/08/29</v>
      </c>
    </row>
    <row r="2478" spans="1:39" x14ac:dyDescent="0.25">
      <c r="A2478" s="39" t="str">
        <f>("1610310010")</f>
        <v>1610310010</v>
      </c>
      <c r="B2478" s="39" t="s">
        <v>10023</v>
      </c>
      <c r="C2478" s="39"/>
      <c r="D2478" s="39" t="s">
        <v>10024</v>
      </c>
      <c r="E2478" s="371" t="str">
        <f t="shared" si="190"/>
        <v>くどう　あさひ</v>
      </c>
      <c r="F2478" s="39" t="s">
        <v>2325</v>
      </c>
      <c r="G2478" s="39" t="s">
        <v>7828</v>
      </c>
      <c r="H2478" s="39" t="str">
        <f>("2016/10/31")</f>
        <v>2016/10/31</v>
      </c>
      <c r="I2478" s="39">
        <v>3</v>
      </c>
      <c r="J2478" s="39" t="s">
        <v>1478</v>
      </c>
      <c r="K2478" s="39" t="s">
        <v>2122</v>
      </c>
      <c r="L2478" s="39" t="s">
        <v>7830</v>
      </c>
      <c r="M2478" s="39" t="s">
        <v>7831</v>
      </c>
      <c r="N2478" s="39" t="str">
        <f>("0155034")</f>
        <v>0155034</v>
      </c>
      <c r="P2478" s="39" t="s">
        <v>13924</v>
      </c>
      <c r="Q2478" s="39" t="s">
        <v>8568</v>
      </c>
      <c r="R2478" s="39" t="s">
        <v>8569</v>
      </c>
      <c r="S2478" s="39" t="s">
        <v>8570</v>
      </c>
      <c r="AK2478" s="39" t="str">
        <f>("2025/03/17")</f>
        <v>2025/03/17</v>
      </c>
      <c r="AL2478" s="39" t="str">
        <f>("2025/04/01")</f>
        <v>2025/04/01</v>
      </c>
    </row>
    <row r="2479" spans="1:39" x14ac:dyDescent="0.25">
      <c r="A2479" s="39" t="str">
        <f>("1610310087")</f>
        <v>1610310087</v>
      </c>
      <c r="C2479" s="39"/>
      <c r="D2479" s="39" t="s">
        <v>10025</v>
      </c>
      <c r="E2479" s="371" t="str">
        <f t="shared" si="190"/>
        <v>どい　へいご</v>
      </c>
      <c r="F2479" s="39" t="s">
        <v>838</v>
      </c>
      <c r="G2479" s="39" t="s">
        <v>7828</v>
      </c>
      <c r="H2479" s="39" t="str">
        <f>("2016/10/31")</f>
        <v>2016/10/31</v>
      </c>
      <c r="I2479" s="39">
        <v>3</v>
      </c>
      <c r="J2479" s="39" t="s">
        <v>1478</v>
      </c>
      <c r="K2479" s="39" t="s">
        <v>2122</v>
      </c>
      <c r="L2479" s="39" t="s">
        <v>7830</v>
      </c>
      <c r="M2479" s="39" t="s">
        <v>7831</v>
      </c>
      <c r="N2479" s="39" t="str">
        <f>("0360021")</f>
        <v>0360021</v>
      </c>
      <c r="P2479" s="39" t="s">
        <v>13925</v>
      </c>
      <c r="Q2479" s="39" t="s">
        <v>8568</v>
      </c>
      <c r="R2479" s="39" t="s">
        <v>8569</v>
      </c>
      <c r="S2479" s="39" t="s">
        <v>8570</v>
      </c>
      <c r="AK2479" s="39" t="str">
        <f>("2025/04/10")</f>
        <v>2025/04/10</v>
      </c>
      <c r="AL2479" s="39" t="str">
        <f>("2025/04/10")</f>
        <v>2025/04/10</v>
      </c>
    </row>
    <row r="2480" spans="1:39" x14ac:dyDescent="0.25">
      <c r="A2480" s="39" t="str">
        <f>("1611020015")</f>
        <v>1611020015</v>
      </c>
      <c r="C2480" s="39"/>
      <c r="D2480" s="39" t="s">
        <v>10026</v>
      </c>
      <c r="E2480" s="371" t="str">
        <f t="shared" si="190"/>
        <v>まとう　ひかる</v>
      </c>
      <c r="F2480" s="39" t="s">
        <v>8135</v>
      </c>
      <c r="G2480" s="39" t="s">
        <v>7828</v>
      </c>
      <c r="H2480" s="39" t="str">
        <f>("2016/11/02")</f>
        <v>2016/11/02</v>
      </c>
      <c r="I2480" s="39">
        <v>3</v>
      </c>
      <c r="J2480" s="39" t="s">
        <v>1478</v>
      </c>
      <c r="K2480" s="39" t="s">
        <v>2122</v>
      </c>
      <c r="L2480" s="39" t="s">
        <v>7830</v>
      </c>
      <c r="M2480" s="39" t="s">
        <v>7831</v>
      </c>
      <c r="N2480" s="39" t="str">
        <f>("0475567")</f>
        <v>0475567</v>
      </c>
      <c r="P2480" s="39" t="s">
        <v>13926</v>
      </c>
      <c r="Q2480" s="39" t="s">
        <v>8568</v>
      </c>
      <c r="R2480" s="39" t="s">
        <v>8569</v>
      </c>
      <c r="S2480" s="39" t="s">
        <v>8570</v>
      </c>
      <c r="AK2480" s="39" t="str">
        <f>("2025/03/24")</f>
        <v>2025/03/24</v>
      </c>
      <c r="AL2480" s="39" t="str">
        <f>("2025/04/01")</f>
        <v>2025/04/01</v>
      </c>
    </row>
    <row r="2481" spans="1:39" x14ac:dyDescent="0.25">
      <c r="A2481" s="39" t="str">
        <f>("1611020018")</f>
        <v>1611020018</v>
      </c>
      <c r="C2481" s="39"/>
      <c r="D2481" s="39" t="s">
        <v>10027</v>
      </c>
      <c r="E2481" s="371" t="str">
        <f t="shared" si="190"/>
        <v>やだ　れん</v>
      </c>
      <c r="F2481" s="39" t="s">
        <v>156</v>
      </c>
      <c r="G2481" s="39" t="s">
        <v>7828</v>
      </c>
      <c r="H2481" s="39" t="str">
        <f>("2016/11/02")</f>
        <v>2016/11/02</v>
      </c>
      <c r="I2481" s="39">
        <v>3</v>
      </c>
      <c r="J2481" s="39" t="s">
        <v>1478</v>
      </c>
      <c r="K2481" s="39" t="s">
        <v>2122</v>
      </c>
      <c r="L2481" s="39" t="s">
        <v>7830</v>
      </c>
      <c r="M2481" s="39" t="s">
        <v>7831</v>
      </c>
      <c r="N2481" s="39" t="str">
        <f>("0130037")</f>
        <v>0130037</v>
      </c>
      <c r="P2481" s="39" t="s">
        <v>13927</v>
      </c>
      <c r="Q2481" s="39" t="s">
        <v>8568</v>
      </c>
      <c r="R2481" s="39" t="s">
        <v>8569</v>
      </c>
      <c r="S2481" s="39" t="s">
        <v>8570</v>
      </c>
      <c r="AK2481" s="39" t="str">
        <f>("2025/03/17")</f>
        <v>2025/03/17</v>
      </c>
      <c r="AL2481" s="39" t="str">
        <f>("2025/04/01")</f>
        <v>2025/04/01</v>
      </c>
    </row>
    <row r="2482" spans="1:39" x14ac:dyDescent="0.25">
      <c r="A2482" s="39" t="str">
        <f>("1611020107")</f>
        <v>1611020107</v>
      </c>
      <c r="C2482" s="39"/>
      <c r="D2482" s="39" t="s">
        <v>10028</v>
      </c>
      <c r="E2482" s="371" t="str">
        <f t="shared" si="190"/>
        <v>ゆき　りゅうじ</v>
      </c>
      <c r="F2482" s="39" t="s">
        <v>2033</v>
      </c>
      <c r="G2482" s="39" t="s">
        <v>7828</v>
      </c>
      <c r="H2482" s="39" t="str">
        <f>("2016/11/02")</f>
        <v>2016/11/02</v>
      </c>
      <c r="I2482" s="39">
        <v>3</v>
      </c>
      <c r="J2482" s="39" t="s">
        <v>1478</v>
      </c>
      <c r="K2482" s="39" t="s">
        <v>2122</v>
      </c>
      <c r="L2482" s="39" t="s">
        <v>7830</v>
      </c>
      <c r="M2482" s="39" t="s">
        <v>7831</v>
      </c>
      <c r="N2482" s="39" t="str">
        <f>("0130442")</f>
        <v>0130442</v>
      </c>
      <c r="P2482" s="39" t="s">
        <v>13928</v>
      </c>
      <c r="Q2482" s="39" t="s">
        <v>8568</v>
      </c>
      <c r="R2482" s="39" t="s">
        <v>8569</v>
      </c>
      <c r="S2482" s="39" t="s">
        <v>8570</v>
      </c>
      <c r="AK2482" s="39" t="str">
        <f>("2025/04/14")</f>
        <v>2025/04/14</v>
      </c>
      <c r="AL2482" s="39" t="str">
        <f>("2025/04/14")</f>
        <v>2025/04/14</v>
      </c>
    </row>
    <row r="2483" spans="1:39" x14ac:dyDescent="0.25">
      <c r="A2483" s="39" t="str">
        <f>("1611040080")</f>
        <v>1611040080</v>
      </c>
      <c r="C2483" s="39"/>
      <c r="D2483" s="39" t="s">
        <v>10029</v>
      </c>
      <c r="E2483" s="371" t="str">
        <f t="shared" si="190"/>
        <v>たなか　とうま</v>
      </c>
      <c r="F2483" s="39" t="s">
        <v>1481</v>
      </c>
      <c r="G2483" s="39" t="s">
        <v>7828</v>
      </c>
      <c r="H2483" s="39" t="str">
        <f>("2016/11/04")</f>
        <v>2016/11/04</v>
      </c>
      <c r="I2483" s="39">
        <v>3</v>
      </c>
      <c r="J2483" s="39" t="s">
        <v>1478</v>
      </c>
      <c r="K2483" s="39" t="s">
        <v>2122</v>
      </c>
      <c r="L2483" s="39" t="s">
        <v>7830</v>
      </c>
      <c r="M2483" s="39" t="s">
        <v>7831</v>
      </c>
      <c r="N2483" s="39" t="str">
        <f>("0129866")</f>
        <v>0129866</v>
      </c>
      <c r="P2483" s="39" t="s">
        <v>13929</v>
      </c>
      <c r="Q2483" s="39" t="s">
        <v>8568</v>
      </c>
      <c r="R2483" s="39" t="s">
        <v>8569</v>
      </c>
      <c r="S2483" s="39" t="s">
        <v>8570</v>
      </c>
      <c r="AK2483" s="39" t="str">
        <f>("2025/04/04")</f>
        <v>2025/04/04</v>
      </c>
      <c r="AL2483" s="39" t="str">
        <f>("2025/04/04")</f>
        <v>2025/04/04</v>
      </c>
    </row>
    <row r="2484" spans="1:39" x14ac:dyDescent="0.25">
      <c r="A2484" s="39" t="str">
        <f>("1611070029")</f>
        <v>1611070029</v>
      </c>
      <c r="C2484" s="39"/>
      <c r="D2484" s="39" t="s">
        <v>10030</v>
      </c>
      <c r="E2484" s="371" t="str">
        <f t="shared" si="190"/>
        <v>しんし　ときと</v>
      </c>
      <c r="F2484" s="39" t="s">
        <v>8032</v>
      </c>
      <c r="G2484" s="39" t="s">
        <v>7828</v>
      </c>
      <c r="H2484" s="39" t="str">
        <f>("2016/11/07")</f>
        <v>2016/11/07</v>
      </c>
      <c r="I2484" s="39">
        <v>3</v>
      </c>
      <c r="J2484" s="39" t="s">
        <v>1478</v>
      </c>
      <c r="K2484" s="39" t="s">
        <v>2122</v>
      </c>
      <c r="L2484" s="39" t="s">
        <v>7830</v>
      </c>
      <c r="M2484" s="39" t="s">
        <v>7831</v>
      </c>
      <c r="N2484" s="39" t="str">
        <f>("0452911")</f>
        <v>0452911</v>
      </c>
      <c r="P2484" s="39" t="s">
        <v>13930</v>
      </c>
      <c r="Q2484" s="39" t="s">
        <v>8568</v>
      </c>
      <c r="R2484" s="39" t="s">
        <v>8569</v>
      </c>
      <c r="S2484" s="39" t="s">
        <v>8570</v>
      </c>
      <c r="AK2484" s="39" t="str">
        <f>("2025/04/10")</f>
        <v>2025/04/10</v>
      </c>
      <c r="AL2484" s="39" t="str">
        <f>("2025/04/01")</f>
        <v>2025/04/01</v>
      </c>
    </row>
    <row r="2485" spans="1:39" x14ac:dyDescent="0.25">
      <c r="A2485" s="39" t="str">
        <f>("1611070035")</f>
        <v>1611070035</v>
      </c>
      <c r="C2485" s="39"/>
      <c r="D2485" s="39" t="s">
        <v>10031</v>
      </c>
      <c r="E2485" s="371" t="str">
        <f t="shared" si="190"/>
        <v>にいの　りりは</v>
      </c>
      <c r="F2485" s="39" t="s">
        <v>2630</v>
      </c>
      <c r="G2485" s="39" t="s">
        <v>7828</v>
      </c>
      <c r="H2485" s="39" t="str">
        <f>("2016/11/07")</f>
        <v>2016/11/07</v>
      </c>
      <c r="I2485" s="39">
        <v>3</v>
      </c>
      <c r="J2485" s="39" t="s">
        <v>1480</v>
      </c>
      <c r="K2485" s="39" t="s">
        <v>2122</v>
      </c>
      <c r="L2485" s="39" t="s">
        <v>7830</v>
      </c>
      <c r="M2485" s="39" t="s">
        <v>7831</v>
      </c>
      <c r="N2485" s="39" t="str">
        <f>("0506269")</f>
        <v>0506269</v>
      </c>
      <c r="P2485" s="39" t="s">
        <v>13931</v>
      </c>
      <c r="Q2485" s="39" t="s">
        <v>8568</v>
      </c>
      <c r="R2485" s="39" t="s">
        <v>8569</v>
      </c>
      <c r="S2485" s="39" t="s">
        <v>8570</v>
      </c>
      <c r="AK2485" s="39" t="str">
        <f>("2025/03/17")</f>
        <v>2025/03/17</v>
      </c>
      <c r="AL2485" s="39" t="str">
        <f>("2025/04/01")</f>
        <v>2025/04/01</v>
      </c>
    </row>
    <row r="2486" spans="1:39" x14ac:dyDescent="0.25">
      <c r="A2486" s="39" t="str">
        <f>("1611070111")</f>
        <v>1611070111</v>
      </c>
      <c r="C2486" s="39"/>
      <c r="D2486" s="39" t="s">
        <v>10032</v>
      </c>
      <c r="E2486" s="371" t="str">
        <f t="shared" si="190"/>
        <v>くどう　しゅんき</v>
      </c>
      <c r="F2486" s="39" t="s">
        <v>334</v>
      </c>
      <c r="G2486" s="39" t="s">
        <v>7828</v>
      </c>
      <c r="H2486" s="39" t="str">
        <f>("2016/11/07")</f>
        <v>2016/11/07</v>
      </c>
      <c r="I2486" s="39">
        <v>3</v>
      </c>
      <c r="J2486" s="39" t="s">
        <v>1478</v>
      </c>
      <c r="K2486" s="39" t="s">
        <v>2122</v>
      </c>
      <c r="L2486" s="39" t="s">
        <v>7830</v>
      </c>
      <c r="M2486" s="39" t="s">
        <v>7831</v>
      </c>
      <c r="N2486" s="39" t="str">
        <f>("0129664")</f>
        <v>0129664</v>
      </c>
      <c r="P2486" s="39" t="s">
        <v>13932</v>
      </c>
      <c r="Q2486" s="39" t="s">
        <v>8568</v>
      </c>
      <c r="R2486" s="39" t="s">
        <v>8569</v>
      </c>
      <c r="S2486" s="39" t="s">
        <v>8570</v>
      </c>
      <c r="AK2486" s="39" t="str">
        <f>("2025/11/13")</f>
        <v>2025/11/13</v>
      </c>
      <c r="AL2486" s="39" t="str">
        <f>("2025/11/13")</f>
        <v>2025/11/13</v>
      </c>
    </row>
    <row r="2487" spans="1:39" x14ac:dyDescent="0.25">
      <c r="A2487" s="39" t="str">
        <f>("1611080108")</f>
        <v>1611080108</v>
      </c>
      <c r="C2487" s="39"/>
      <c r="D2487" s="39" t="s">
        <v>10033</v>
      </c>
      <c r="E2487" s="371" t="str">
        <f t="shared" si="190"/>
        <v>せいけ　とわ</v>
      </c>
      <c r="F2487" s="39" t="s">
        <v>3870</v>
      </c>
      <c r="G2487" s="39" t="s">
        <v>7828</v>
      </c>
      <c r="H2487" s="39" t="str">
        <f>("2016/11/08")</f>
        <v>2016/11/08</v>
      </c>
      <c r="I2487" s="39">
        <v>2</v>
      </c>
      <c r="J2487" s="39" t="s">
        <v>1478</v>
      </c>
      <c r="K2487" s="39" t="s">
        <v>2122</v>
      </c>
      <c r="L2487" s="39" t="s">
        <v>7830</v>
      </c>
      <c r="M2487" s="39" t="s">
        <v>7831</v>
      </c>
      <c r="N2487" s="39" t="str">
        <f>("1094183")</f>
        <v>1094183</v>
      </c>
      <c r="P2487" s="39" t="s">
        <v>13933</v>
      </c>
      <c r="Q2487" s="39" t="s">
        <v>8568</v>
      </c>
      <c r="R2487" s="39" t="s">
        <v>8569</v>
      </c>
      <c r="S2487" s="39" t="s">
        <v>8570</v>
      </c>
      <c r="AK2487" s="39" t="str">
        <f>("2025/09/12")</f>
        <v>2025/09/12</v>
      </c>
      <c r="AL2487" s="39" t="str">
        <f>("2025/09/12")</f>
        <v>2025/09/12</v>
      </c>
    </row>
    <row r="2488" spans="1:39" x14ac:dyDescent="0.25">
      <c r="A2488" s="39" t="str">
        <f>("1611090033")</f>
        <v>1611090033</v>
      </c>
      <c r="C2488" s="39"/>
      <c r="D2488" s="39" t="s">
        <v>10034</v>
      </c>
      <c r="E2488" s="371" t="str">
        <f t="shared" si="190"/>
        <v>わきぐち　こうき</v>
      </c>
      <c r="F2488" s="39" t="s">
        <v>2544</v>
      </c>
      <c r="G2488" s="39" t="s">
        <v>7828</v>
      </c>
      <c r="H2488" s="39" t="str">
        <f>("2016/11/09")</f>
        <v>2016/11/09</v>
      </c>
      <c r="I2488" s="39">
        <v>3</v>
      </c>
      <c r="J2488" s="39" t="s">
        <v>1478</v>
      </c>
      <c r="K2488" s="39" t="s">
        <v>2122</v>
      </c>
      <c r="L2488" s="39" t="s">
        <v>7830</v>
      </c>
      <c r="M2488" s="39" t="s">
        <v>7831</v>
      </c>
      <c r="N2488" s="39" t="str">
        <f>("0130644")</f>
        <v>0130644</v>
      </c>
      <c r="P2488" s="39" t="s">
        <v>13934</v>
      </c>
      <c r="Q2488" s="39" t="s">
        <v>8568</v>
      </c>
      <c r="R2488" s="39" t="s">
        <v>8569</v>
      </c>
      <c r="S2488" s="39" t="s">
        <v>8570</v>
      </c>
      <c r="AK2488" s="39" t="str">
        <f>("2025/03/17")</f>
        <v>2025/03/17</v>
      </c>
      <c r="AL2488" s="39" t="str">
        <f>("2025/04/01")</f>
        <v>2025/04/01</v>
      </c>
    </row>
    <row r="2489" spans="1:39" x14ac:dyDescent="0.25">
      <c r="A2489" s="39" t="str">
        <f>("1611100006")</f>
        <v>1611100006</v>
      </c>
      <c r="C2489" s="39"/>
      <c r="D2489" s="39" t="s">
        <v>10035</v>
      </c>
      <c r="E2489" s="371" t="str">
        <f t="shared" si="190"/>
        <v>やくしじ　おうら</v>
      </c>
      <c r="F2489" s="39" t="s">
        <v>2530</v>
      </c>
      <c r="G2489" s="39" t="s">
        <v>7828</v>
      </c>
      <c r="H2489" s="39" t="str">
        <f>("2016/11/10")</f>
        <v>2016/11/10</v>
      </c>
      <c r="I2489" s="39">
        <v>3</v>
      </c>
      <c r="J2489" s="39" t="s">
        <v>1478</v>
      </c>
      <c r="K2489" s="39" t="s">
        <v>2122</v>
      </c>
      <c r="L2489" s="39" t="s">
        <v>7830</v>
      </c>
      <c r="M2489" s="39" t="s">
        <v>7831</v>
      </c>
      <c r="N2489" s="39" t="str">
        <f>("0338756")</f>
        <v>0338756</v>
      </c>
      <c r="P2489" s="39" t="s">
        <v>13935</v>
      </c>
      <c r="Q2489" s="39" t="s">
        <v>8568</v>
      </c>
      <c r="R2489" s="39" t="s">
        <v>8569</v>
      </c>
      <c r="S2489" s="39" t="s">
        <v>8570</v>
      </c>
      <c r="AA2489" s="39" t="s">
        <v>2122</v>
      </c>
      <c r="AB2489" s="39" t="s">
        <v>7830</v>
      </c>
      <c r="AC2489" s="39" t="s">
        <v>7831</v>
      </c>
      <c r="AD2489" s="39" t="str">
        <f>("0155034")</f>
        <v>0155034</v>
      </c>
      <c r="AE2489" s="39" t="s">
        <v>2325</v>
      </c>
      <c r="AK2489" s="39" t="str">
        <f>("2025/04/01")</f>
        <v>2025/04/01</v>
      </c>
      <c r="AL2489" s="39" t="str">
        <f>("2025/04/01")</f>
        <v>2025/04/01</v>
      </c>
    </row>
    <row r="2490" spans="1:39" x14ac:dyDescent="0.25">
      <c r="A2490" s="39" t="str">
        <f>("1611110014")</f>
        <v>1611110014</v>
      </c>
      <c r="C2490" s="39"/>
      <c r="D2490" s="39" t="s">
        <v>10036</v>
      </c>
      <c r="E2490" s="371" t="str">
        <f t="shared" si="190"/>
        <v>みね　ひなた</v>
      </c>
      <c r="F2490" s="39" t="s">
        <v>639</v>
      </c>
      <c r="G2490" s="39" t="s">
        <v>7828</v>
      </c>
      <c r="H2490" s="39" t="str">
        <f>("2016/11/11")</f>
        <v>2016/11/11</v>
      </c>
      <c r="I2490" s="39">
        <v>3</v>
      </c>
      <c r="J2490" s="39" t="s">
        <v>1478</v>
      </c>
      <c r="K2490" s="39" t="s">
        <v>2122</v>
      </c>
      <c r="L2490" s="39" t="s">
        <v>7830</v>
      </c>
      <c r="M2490" s="39" t="s">
        <v>7831</v>
      </c>
      <c r="N2490" s="39" t="str">
        <f>("0130633")</f>
        <v>0130633</v>
      </c>
      <c r="P2490" s="39" t="s">
        <v>13936</v>
      </c>
      <c r="Q2490" s="39" t="s">
        <v>8568</v>
      </c>
      <c r="R2490" s="39" t="s">
        <v>8569</v>
      </c>
      <c r="S2490" s="39" t="s">
        <v>8570</v>
      </c>
      <c r="AK2490" s="39" t="str">
        <f>("2025/03/17")</f>
        <v>2025/03/17</v>
      </c>
      <c r="AL2490" s="39" t="str">
        <f>("2025/04/01")</f>
        <v>2025/04/01</v>
      </c>
    </row>
    <row r="2491" spans="1:39" x14ac:dyDescent="0.25">
      <c r="A2491" s="39" t="str">
        <f>("1611110058")</f>
        <v>1611110058</v>
      </c>
      <c r="C2491" s="39"/>
      <c r="D2491" s="39" t="s">
        <v>10037</v>
      </c>
      <c r="E2491" s="371" t="str">
        <f t="shared" si="190"/>
        <v>ごとう　さくや</v>
      </c>
      <c r="F2491" s="39" t="s">
        <v>1912</v>
      </c>
      <c r="G2491" s="39" t="s">
        <v>7876</v>
      </c>
      <c r="H2491" s="39" t="str">
        <f>("2016/11/11")</f>
        <v>2016/11/11</v>
      </c>
      <c r="I2491" s="39">
        <v>3</v>
      </c>
      <c r="J2491" s="39" t="s">
        <v>1478</v>
      </c>
      <c r="K2491" s="39" t="s">
        <v>2122</v>
      </c>
      <c r="L2491" s="39" t="s">
        <v>7830</v>
      </c>
      <c r="M2491" s="39" t="s">
        <v>7831</v>
      </c>
      <c r="N2491" s="39" t="str">
        <f>("0130363")</f>
        <v>0130363</v>
      </c>
      <c r="P2491" s="39" t="s">
        <v>13937</v>
      </c>
      <c r="Q2491" s="39" t="s">
        <v>8568</v>
      </c>
      <c r="R2491" s="39" t="s">
        <v>8569</v>
      </c>
      <c r="S2491" s="39" t="s">
        <v>8570</v>
      </c>
      <c r="AK2491" s="39" t="str">
        <f>("2025/03/17")</f>
        <v>2025/03/17</v>
      </c>
      <c r="AL2491" s="39" t="str">
        <f>("2025/04/01")</f>
        <v>2025/04/01</v>
      </c>
      <c r="AM2491" s="39" t="str">
        <f>("2025/07/22")</f>
        <v>2025/07/22</v>
      </c>
    </row>
    <row r="2492" spans="1:39" x14ac:dyDescent="0.25">
      <c r="A2492" s="39" t="str">
        <f>("1611120006")</f>
        <v>1611120006</v>
      </c>
      <c r="C2492" s="39"/>
      <c r="D2492" s="39" t="s">
        <v>10038</v>
      </c>
      <c r="E2492" s="371" t="str">
        <f t="shared" si="190"/>
        <v>はしもと　ゆうじろう</v>
      </c>
      <c r="F2492" s="39" t="s">
        <v>5620</v>
      </c>
      <c r="G2492" s="39" t="s">
        <v>7828</v>
      </c>
      <c r="H2492" s="39" t="str">
        <f>("2016/11/12")</f>
        <v>2016/11/12</v>
      </c>
      <c r="I2492" s="39">
        <v>3</v>
      </c>
      <c r="J2492" s="39" t="s">
        <v>1478</v>
      </c>
      <c r="K2492" s="39" t="s">
        <v>2122</v>
      </c>
      <c r="L2492" s="39" t="s">
        <v>7830</v>
      </c>
      <c r="M2492" s="39" t="s">
        <v>7831</v>
      </c>
      <c r="N2492" s="39" t="str">
        <f>("1101553")</f>
        <v>1101553</v>
      </c>
      <c r="P2492" s="39" t="s">
        <v>13938</v>
      </c>
      <c r="Q2492" s="39" t="s">
        <v>8568</v>
      </c>
      <c r="R2492" s="39" t="s">
        <v>8569</v>
      </c>
      <c r="S2492" s="39" t="s">
        <v>8570</v>
      </c>
      <c r="AK2492" s="39" t="str">
        <f>("2025/03/19")</f>
        <v>2025/03/19</v>
      </c>
      <c r="AL2492" s="39" t="str">
        <f>("2025/04/01")</f>
        <v>2025/04/01</v>
      </c>
    </row>
    <row r="2493" spans="1:39" x14ac:dyDescent="0.25">
      <c r="A2493" s="39" t="str">
        <f>("1611120081")</f>
        <v>1611120081</v>
      </c>
      <c r="C2493" s="39"/>
      <c r="D2493" s="39" t="s">
        <v>10039</v>
      </c>
      <c r="E2493" s="371" t="str">
        <f t="shared" si="190"/>
        <v>なかしま　こうのすけ</v>
      </c>
      <c r="F2493" s="39" t="s">
        <v>684</v>
      </c>
      <c r="G2493" s="39" t="s">
        <v>7828</v>
      </c>
      <c r="H2493" s="39" t="str">
        <f>("2016/11/12")</f>
        <v>2016/11/12</v>
      </c>
      <c r="I2493" s="39">
        <v>3</v>
      </c>
      <c r="J2493" s="39" t="s">
        <v>1478</v>
      </c>
      <c r="K2493" s="39" t="s">
        <v>2122</v>
      </c>
      <c r="L2493" s="39" t="s">
        <v>7830</v>
      </c>
      <c r="M2493" s="39" t="s">
        <v>7831</v>
      </c>
      <c r="N2493" s="39" t="str">
        <f>("0129518")</f>
        <v>0129518</v>
      </c>
      <c r="P2493" s="39" t="s">
        <v>13939</v>
      </c>
      <c r="Q2493" s="39" t="s">
        <v>8568</v>
      </c>
      <c r="R2493" s="39" t="s">
        <v>8569</v>
      </c>
      <c r="S2493" s="39" t="s">
        <v>8570</v>
      </c>
      <c r="AK2493" s="39" t="str">
        <f>("2025/09/10")</f>
        <v>2025/09/10</v>
      </c>
      <c r="AL2493" s="39" t="str">
        <f>("2025/09/10")</f>
        <v>2025/09/10</v>
      </c>
    </row>
    <row r="2494" spans="1:39" x14ac:dyDescent="0.25">
      <c r="A2494" s="39" t="str">
        <f>("1611150004")</f>
        <v>1611150004</v>
      </c>
      <c r="C2494" s="39"/>
      <c r="D2494" s="39" t="s">
        <v>10040</v>
      </c>
      <c r="E2494" s="371" t="str">
        <f t="shared" si="190"/>
        <v>たむら　りゅうせい</v>
      </c>
      <c r="F2494" s="39" t="s">
        <v>2575</v>
      </c>
      <c r="G2494" s="39" t="s">
        <v>7828</v>
      </c>
      <c r="H2494" s="39" t="str">
        <f>("2016/11/15")</f>
        <v>2016/11/15</v>
      </c>
      <c r="I2494" s="39">
        <v>3</v>
      </c>
      <c r="J2494" s="39" t="s">
        <v>1478</v>
      </c>
      <c r="K2494" s="39" t="s">
        <v>2122</v>
      </c>
      <c r="L2494" s="39" t="s">
        <v>7830</v>
      </c>
      <c r="M2494" s="39" t="s">
        <v>7831</v>
      </c>
      <c r="N2494" s="39" t="str">
        <f>("0303040")</f>
        <v>0303040</v>
      </c>
      <c r="P2494" s="39" t="s">
        <v>13940</v>
      </c>
      <c r="Q2494" s="39" t="s">
        <v>8568</v>
      </c>
      <c r="R2494" s="39" t="s">
        <v>8569</v>
      </c>
      <c r="S2494" s="39" t="s">
        <v>8570</v>
      </c>
      <c r="AK2494" s="39" t="str">
        <f>("2025/03/17")</f>
        <v>2025/03/17</v>
      </c>
      <c r="AL2494" s="39" t="str">
        <f>("2025/04/01")</f>
        <v>2025/04/01</v>
      </c>
    </row>
    <row r="2495" spans="1:39" x14ac:dyDescent="0.25">
      <c r="A2495" s="39" t="str">
        <f>("1611150107")</f>
        <v>1611150107</v>
      </c>
      <c r="C2495" s="39"/>
      <c r="D2495" s="39" t="s">
        <v>10041</v>
      </c>
      <c r="E2495" s="371" t="str">
        <f t="shared" si="190"/>
        <v>ほりかわ　あおせ</v>
      </c>
      <c r="F2495" s="39" t="s">
        <v>2323</v>
      </c>
      <c r="G2495" s="39" t="s">
        <v>7828</v>
      </c>
      <c r="H2495" s="39" t="str">
        <f>("2016/11/15")</f>
        <v>2016/11/15</v>
      </c>
      <c r="I2495" s="39">
        <v>3</v>
      </c>
      <c r="J2495" s="39" t="s">
        <v>1478</v>
      </c>
      <c r="K2495" s="39" t="s">
        <v>2122</v>
      </c>
      <c r="L2495" s="39" t="s">
        <v>7830</v>
      </c>
      <c r="M2495" s="39" t="s">
        <v>7831</v>
      </c>
      <c r="N2495" s="39" t="str">
        <f>("0472722")</f>
        <v>0472722</v>
      </c>
      <c r="P2495" s="39" t="s">
        <v>13941</v>
      </c>
      <c r="Q2495" s="39" t="s">
        <v>8568</v>
      </c>
      <c r="R2495" s="39" t="s">
        <v>8569</v>
      </c>
      <c r="S2495" s="39" t="s">
        <v>8570</v>
      </c>
      <c r="AK2495" s="39" t="str">
        <f>("2025/07/25")</f>
        <v>2025/07/25</v>
      </c>
      <c r="AL2495" s="39" t="str">
        <f>("2025/07/25")</f>
        <v>2025/07/25</v>
      </c>
    </row>
    <row r="2496" spans="1:39" x14ac:dyDescent="0.25">
      <c r="A2496" s="39" t="str">
        <f>("1611150112")</f>
        <v>1611150112</v>
      </c>
      <c r="C2496" s="39"/>
      <c r="D2496" s="39" t="s">
        <v>10042</v>
      </c>
      <c r="E2496" s="371" t="str">
        <f t="shared" si="190"/>
        <v>さがら　とあ</v>
      </c>
      <c r="F2496" s="39" t="s">
        <v>520</v>
      </c>
      <c r="G2496" s="39" t="s">
        <v>7828</v>
      </c>
      <c r="H2496" s="39" t="str">
        <f>("2016/11/15")</f>
        <v>2016/11/15</v>
      </c>
      <c r="I2496" s="39">
        <v>3</v>
      </c>
      <c r="J2496" s="39" t="s">
        <v>1478</v>
      </c>
      <c r="K2496" s="39" t="s">
        <v>2122</v>
      </c>
      <c r="L2496" s="39" t="s">
        <v>7830</v>
      </c>
      <c r="M2496" s="39" t="s">
        <v>7831</v>
      </c>
      <c r="N2496" s="39" t="str">
        <f>("0129765")</f>
        <v>0129765</v>
      </c>
      <c r="P2496" s="39" t="s">
        <v>13942</v>
      </c>
      <c r="Q2496" s="39" t="s">
        <v>8568</v>
      </c>
      <c r="R2496" s="39" t="s">
        <v>8569</v>
      </c>
      <c r="S2496" s="39" t="s">
        <v>8570</v>
      </c>
      <c r="AK2496" s="39" t="str">
        <f>("2025/08/21")</f>
        <v>2025/08/21</v>
      </c>
      <c r="AL2496" s="39" t="str">
        <f>("2025/08/21")</f>
        <v>2025/08/21</v>
      </c>
    </row>
    <row r="2497" spans="1:39" x14ac:dyDescent="0.25">
      <c r="A2497" s="39" t="str">
        <f>("1611170004")</f>
        <v>1611170004</v>
      </c>
      <c r="C2497" s="39"/>
      <c r="D2497" s="39" t="s">
        <v>10043</v>
      </c>
      <c r="E2497" s="371" t="str">
        <f t="shared" si="190"/>
        <v>かとう　すすむ</v>
      </c>
      <c r="F2497" s="39" t="s">
        <v>2325</v>
      </c>
      <c r="G2497" s="39" t="s">
        <v>7828</v>
      </c>
      <c r="H2497" s="39" t="str">
        <f>("2016/11/17")</f>
        <v>2016/11/17</v>
      </c>
      <c r="I2497" s="39">
        <v>3</v>
      </c>
      <c r="J2497" s="39" t="s">
        <v>1478</v>
      </c>
      <c r="K2497" s="39" t="s">
        <v>2122</v>
      </c>
      <c r="L2497" s="39" t="s">
        <v>7830</v>
      </c>
      <c r="M2497" s="39" t="s">
        <v>7831</v>
      </c>
      <c r="N2497" s="39" t="str">
        <f>("0155034")</f>
        <v>0155034</v>
      </c>
      <c r="P2497" s="39" t="s">
        <v>13943</v>
      </c>
      <c r="Q2497" s="39" t="s">
        <v>8568</v>
      </c>
      <c r="R2497" s="39" t="s">
        <v>8569</v>
      </c>
      <c r="S2497" s="39" t="s">
        <v>8570</v>
      </c>
      <c r="AK2497" s="39" t="str">
        <f>("2025/03/17")</f>
        <v>2025/03/17</v>
      </c>
      <c r="AL2497" s="39" t="str">
        <f>("2025/04/01")</f>
        <v>2025/04/01</v>
      </c>
    </row>
    <row r="2498" spans="1:39" x14ac:dyDescent="0.25">
      <c r="A2498" s="39" t="str">
        <f>("1611170089")</f>
        <v>1611170089</v>
      </c>
      <c r="C2498" s="39"/>
      <c r="D2498" s="39" t="s">
        <v>10044</v>
      </c>
      <c r="E2498" s="371" t="str">
        <f t="shared" si="190"/>
        <v>ながの　ともや</v>
      </c>
      <c r="F2498" s="39" t="s">
        <v>1082</v>
      </c>
      <c r="G2498" s="39" t="s">
        <v>7828</v>
      </c>
      <c r="H2498" s="39" t="str">
        <f>("2016/11/17")</f>
        <v>2016/11/17</v>
      </c>
      <c r="I2498" s="39">
        <v>3</v>
      </c>
      <c r="J2498" s="39" t="s">
        <v>1478</v>
      </c>
      <c r="K2498" s="39" t="s">
        <v>2122</v>
      </c>
      <c r="L2498" s="39" t="s">
        <v>7830</v>
      </c>
      <c r="M2498" s="39" t="s">
        <v>7831</v>
      </c>
      <c r="N2498" s="39" t="str">
        <f>("0450009")</f>
        <v>0450009</v>
      </c>
      <c r="P2498" s="39" t="s">
        <v>13944</v>
      </c>
      <c r="Q2498" s="39" t="s">
        <v>8568</v>
      </c>
      <c r="R2498" s="39" t="s">
        <v>8569</v>
      </c>
      <c r="S2498" s="39" t="s">
        <v>8570</v>
      </c>
      <c r="AK2498" s="39" t="str">
        <f>("2025/07/09")</f>
        <v>2025/07/09</v>
      </c>
      <c r="AL2498" s="39" t="str">
        <f>("2025/07/09")</f>
        <v>2025/07/09</v>
      </c>
    </row>
    <row r="2499" spans="1:39" x14ac:dyDescent="0.25">
      <c r="A2499" s="39" t="str">
        <f>("1611200014")</f>
        <v>1611200014</v>
      </c>
      <c r="C2499" s="39"/>
      <c r="D2499" s="39" t="s">
        <v>10045</v>
      </c>
      <c r="E2499" s="371" t="str">
        <f t="shared" ref="E2499:E2562" si="191">PHONETIC(P2499)</f>
        <v>くまのみどう　れんと</v>
      </c>
      <c r="F2499" s="39" t="s">
        <v>2156</v>
      </c>
      <c r="G2499" s="39" t="s">
        <v>7828</v>
      </c>
      <c r="H2499" s="39" t="str">
        <f>("2016/11/20")</f>
        <v>2016/11/20</v>
      </c>
      <c r="I2499" s="39">
        <v>3</v>
      </c>
      <c r="J2499" s="39" t="s">
        <v>1478</v>
      </c>
      <c r="K2499" s="39" t="s">
        <v>2122</v>
      </c>
      <c r="L2499" s="39" t="s">
        <v>7830</v>
      </c>
      <c r="M2499" s="39" t="s">
        <v>7831</v>
      </c>
      <c r="N2499" s="39" t="str">
        <f>("0493040")</f>
        <v>0493040</v>
      </c>
      <c r="P2499" s="39" t="s">
        <v>13945</v>
      </c>
      <c r="Q2499" s="39" t="s">
        <v>8568</v>
      </c>
      <c r="R2499" s="39" t="s">
        <v>8569</v>
      </c>
      <c r="S2499" s="39" t="s">
        <v>8570</v>
      </c>
      <c r="AK2499" s="39" t="str">
        <f>("2025/03/17")</f>
        <v>2025/03/17</v>
      </c>
      <c r="AL2499" s="39" t="str">
        <f>("2025/04/01")</f>
        <v>2025/04/01</v>
      </c>
    </row>
    <row r="2500" spans="1:39" x14ac:dyDescent="0.25">
      <c r="A2500" s="39" t="str">
        <f>("1611210026")</f>
        <v>1611210026</v>
      </c>
      <c r="B2500" s="39" t="s">
        <v>10046</v>
      </c>
      <c r="C2500" s="39"/>
      <c r="D2500" s="39" t="s">
        <v>10047</v>
      </c>
      <c r="E2500" s="371" t="str">
        <f t="shared" si="191"/>
        <v>こもと　さや</v>
      </c>
      <c r="F2500" s="39" t="s">
        <v>1912</v>
      </c>
      <c r="G2500" s="39" t="s">
        <v>7828</v>
      </c>
      <c r="H2500" s="39" t="str">
        <f>("2016/11/21")</f>
        <v>2016/11/21</v>
      </c>
      <c r="I2500" s="39">
        <v>3</v>
      </c>
      <c r="J2500" s="39" t="s">
        <v>1480</v>
      </c>
      <c r="K2500" s="39" t="s">
        <v>2122</v>
      </c>
      <c r="L2500" s="39" t="s">
        <v>7830</v>
      </c>
      <c r="M2500" s="39" t="s">
        <v>7831</v>
      </c>
      <c r="N2500" s="39" t="str">
        <f>("0130363")</f>
        <v>0130363</v>
      </c>
      <c r="P2500" s="39" t="s">
        <v>13946</v>
      </c>
      <c r="Q2500" s="39" t="s">
        <v>8568</v>
      </c>
      <c r="R2500" s="39" t="s">
        <v>8569</v>
      </c>
      <c r="S2500" s="39" t="s">
        <v>8570</v>
      </c>
      <c r="AK2500" s="39" t="str">
        <f>("2025/03/17")</f>
        <v>2025/03/17</v>
      </c>
      <c r="AL2500" s="39" t="str">
        <f>("2025/04/01")</f>
        <v>2025/04/01</v>
      </c>
    </row>
    <row r="2501" spans="1:39" x14ac:dyDescent="0.25">
      <c r="A2501" s="39" t="str">
        <f>("1611240010")</f>
        <v>1611240010</v>
      </c>
      <c r="C2501" s="39"/>
      <c r="D2501" s="39" t="s">
        <v>10048</v>
      </c>
      <c r="E2501" s="371" t="str">
        <f t="shared" si="191"/>
        <v>みなみ　いちか</v>
      </c>
      <c r="F2501" s="39" t="s">
        <v>2543</v>
      </c>
      <c r="G2501" s="39" t="s">
        <v>7828</v>
      </c>
      <c r="H2501" s="39" t="str">
        <f>("2016/11/24")</f>
        <v>2016/11/24</v>
      </c>
      <c r="I2501" s="39">
        <v>3</v>
      </c>
      <c r="J2501" s="39" t="s">
        <v>1480</v>
      </c>
      <c r="K2501" s="39" t="s">
        <v>2122</v>
      </c>
      <c r="L2501" s="39" t="s">
        <v>7830</v>
      </c>
      <c r="M2501" s="39" t="s">
        <v>7831</v>
      </c>
      <c r="N2501" s="39" t="str">
        <f>("0130600")</f>
        <v>0130600</v>
      </c>
      <c r="P2501" s="39" t="s">
        <v>13947</v>
      </c>
      <c r="Q2501" s="39" t="s">
        <v>8568</v>
      </c>
      <c r="R2501" s="39" t="s">
        <v>8569</v>
      </c>
      <c r="S2501" s="39" t="s">
        <v>8570</v>
      </c>
      <c r="AK2501" s="39" t="str">
        <f>("2025/03/17")</f>
        <v>2025/03/17</v>
      </c>
      <c r="AL2501" s="39" t="str">
        <f>("2025/04/01")</f>
        <v>2025/04/01</v>
      </c>
    </row>
    <row r="2502" spans="1:39" x14ac:dyDescent="0.25">
      <c r="A2502" s="39" t="str">
        <f>("1611240037")</f>
        <v>1611240037</v>
      </c>
      <c r="C2502" s="39"/>
      <c r="D2502" s="39" t="s">
        <v>10049</v>
      </c>
      <c r="E2502" s="371" t="str">
        <f t="shared" si="191"/>
        <v>なかむら　いちた</v>
      </c>
      <c r="F2502" s="39" t="s">
        <v>2516</v>
      </c>
      <c r="G2502" s="39" t="s">
        <v>7828</v>
      </c>
      <c r="H2502" s="39" t="str">
        <f>("2016/11/24")</f>
        <v>2016/11/24</v>
      </c>
      <c r="I2502" s="39">
        <v>3</v>
      </c>
      <c r="J2502" s="39" t="s">
        <v>1478</v>
      </c>
      <c r="K2502" s="39" t="s">
        <v>2122</v>
      </c>
      <c r="L2502" s="39" t="s">
        <v>7830</v>
      </c>
      <c r="M2502" s="39" t="s">
        <v>7831</v>
      </c>
      <c r="N2502" s="39" t="str">
        <f>("0130116")</f>
        <v>0130116</v>
      </c>
      <c r="P2502" s="39" t="s">
        <v>13948</v>
      </c>
      <c r="Q2502" s="39" t="s">
        <v>8568</v>
      </c>
      <c r="R2502" s="39" t="s">
        <v>8569</v>
      </c>
      <c r="S2502" s="39" t="s">
        <v>8570</v>
      </c>
      <c r="AK2502" s="39" t="str">
        <f>("2025/03/25")</f>
        <v>2025/03/25</v>
      </c>
      <c r="AL2502" s="39" t="str">
        <f>("2025/04/01")</f>
        <v>2025/04/01</v>
      </c>
    </row>
    <row r="2503" spans="1:39" x14ac:dyDescent="0.25">
      <c r="A2503" s="39" t="str">
        <f>("1611250097")</f>
        <v>1611250097</v>
      </c>
      <c r="C2503" s="39"/>
      <c r="D2503" s="39" t="s">
        <v>10050</v>
      </c>
      <c r="E2503" s="371" t="str">
        <f t="shared" si="191"/>
        <v>ふるさわ　あつと</v>
      </c>
      <c r="F2503" s="39" t="s">
        <v>838</v>
      </c>
      <c r="G2503" s="39" t="s">
        <v>7828</v>
      </c>
      <c r="H2503" s="39" t="str">
        <f>("2016/11/25")</f>
        <v>2016/11/25</v>
      </c>
      <c r="I2503" s="39">
        <v>3</v>
      </c>
      <c r="J2503" s="39" t="s">
        <v>1478</v>
      </c>
      <c r="K2503" s="39" t="s">
        <v>2122</v>
      </c>
      <c r="L2503" s="39" t="s">
        <v>7830</v>
      </c>
      <c r="M2503" s="39" t="s">
        <v>7831</v>
      </c>
      <c r="N2503" s="39" t="str">
        <f>("0360021")</f>
        <v>0360021</v>
      </c>
      <c r="P2503" s="39" t="s">
        <v>13949</v>
      </c>
      <c r="Q2503" s="39" t="s">
        <v>8568</v>
      </c>
      <c r="R2503" s="39" t="s">
        <v>8569</v>
      </c>
      <c r="S2503" s="39" t="s">
        <v>8570</v>
      </c>
      <c r="AK2503" s="39" t="str">
        <f>("2025/04/10")</f>
        <v>2025/04/10</v>
      </c>
      <c r="AL2503" s="39" t="str">
        <f>("2025/04/10")</f>
        <v>2025/04/10</v>
      </c>
    </row>
    <row r="2504" spans="1:39" x14ac:dyDescent="0.25">
      <c r="A2504" s="39" t="str">
        <f>("1611250108")</f>
        <v>1611250108</v>
      </c>
      <c r="C2504" s="39"/>
      <c r="D2504" s="39" t="s">
        <v>10051</v>
      </c>
      <c r="E2504" s="371" t="str">
        <f t="shared" si="191"/>
        <v>なかがわ　あいと</v>
      </c>
      <c r="F2504" s="39" t="s">
        <v>1751</v>
      </c>
      <c r="G2504" s="39" t="s">
        <v>7828</v>
      </c>
      <c r="H2504" s="39" t="str">
        <f>("2016/11/25")</f>
        <v>2016/11/25</v>
      </c>
      <c r="I2504" s="39">
        <v>3</v>
      </c>
      <c r="J2504" s="39" t="s">
        <v>1478</v>
      </c>
      <c r="K2504" s="39" t="s">
        <v>2122</v>
      </c>
      <c r="L2504" s="39" t="s">
        <v>7830</v>
      </c>
      <c r="M2504" s="39" t="s">
        <v>7831</v>
      </c>
      <c r="N2504" s="39" t="str">
        <f>("0130453")</f>
        <v>0130453</v>
      </c>
      <c r="P2504" s="39" t="s">
        <v>13950</v>
      </c>
      <c r="Q2504" s="39" t="s">
        <v>8568</v>
      </c>
      <c r="R2504" s="39" t="s">
        <v>8569</v>
      </c>
      <c r="S2504" s="39" t="s">
        <v>8570</v>
      </c>
      <c r="AK2504" s="39" t="str">
        <f>("2025/07/28")</f>
        <v>2025/07/28</v>
      </c>
      <c r="AL2504" s="39" t="str">
        <f>("2025/07/28")</f>
        <v>2025/07/28</v>
      </c>
    </row>
    <row r="2505" spans="1:39" x14ac:dyDescent="0.25">
      <c r="A2505" s="39" t="str">
        <f>("1611260064")</f>
        <v>1611260064</v>
      </c>
      <c r="C2505" s="39"/>
      <c r="D2505" s="39" t="s">
        <v>10052</v>
      </c>
      <c r="E2505" s="371" t="str">
        <f t="shared" si="191"/>
        <v>こだま　しょうた</v>
      </c>
      <c r="F2505" s="39" t="s">
        <v>2033</v>
      </c>
      <c r="G2505" s="39" t="s">
        <v>7828</v>
      </c>
      <c r="H2505" s="39" t="str">
        <f>("2016/11/26")</f>
        <v>2016/11/26</v>
      </c>
      <c r="I2505" s="39">
        <v>3</v>
      </c>
      <c r="J2505" s="39" t="s">
        <v>1478</v>
      </c>
      <c r="K2505" s="39" t="s">
        <v>2122</v>
      </c>
      <c r="L2505" s="39" t="s">
        <v>7830</v>
      </c>
      <c r="M2505" s="39" t="s">
        <v>7831</v>
      </c>
      <c r="N2505" s="39" t="str">
        <f>("0130442")</f>
        <v>0130442</v>
      </c>
      <c r="P2505" s="39" t="s">
        <v>13951</v>
      </c>
      <c r="Q2505" s="39" t="s">
        <v>8568</v>
      </c>
      <c r="R2505" s="39" t="s">
        <v>8569</v>
      </c>
      <c r="S2505" s="39" t="s">
        <v>8570</v>
      </c>
      <c r="AK2505" s="39" t="str">
        <f t="shared" ref="AK2505:AL2507" si="192">("2025/04/14")</f>
        <v>2025/04/14</v>
      </c>
      <c r="AL2505" s="39" t="str">
        <f t="shared" si="192"/>
        <v>2025/04/14</v>
      </c>
    </row>
    <row r="2506" spans="1:39" x14ac:dyDescent="0.25">
      <c r="A2506" s="39" t="str">
        <f>("1611260065")</f>
        <v>1611260065</v>
      </c>
      <c r="C2506" s="39"/>
      <c r="D2506" s="39" t="s">
        <v>10053</v>
      </c>
      <c r="E2506" s="371" t="str">
        <f t="shared" si="191"/>
        <v>くどう　こうた</v>
      </c>
      <c r="F2506" s="39" t="s">
        <v>2033</v>
      </c>
      <c r="G2506" s="39" t="s">
        <v>7828</v>
      </c>
      <c r="H2506" s="39" t="str">
        <f>("2016/11/26")</f>
        <v>2016/11/26</v>
      </c>
      <c r="I2506" s="39">
        <v>3</v>
      </c>
      <c r="J2506" s="39" t="s">
        <v>1478</v>
      </c>
      <c r="K2506" s="39" t="s">
        <v>2122</v>
      </c>
      <c r="L2506" s="39" t="s">
        <v>7830</v>
      </c>
      <c r="M2506" s="39" t="s">
        <v>7831</v>
      </c>
      <c r="N2506" s="39" t="str">
        <f>("0130442")</f>
        <v>0130442</v>
      </c>
      <c r="P2506" s="39" t="s">
        <v>13952</v>
      </c>
      <c r="Q2506" s="39" t="s">
        <v>8568</v>
      </c>
      <c r="R2506" s="39" t="s">
        <v>8569</v>
      </c>
      <c r="S2506" s="39" t="s">
        <v>8570</v>
      </c>
      <c r="AK2506" s="39" t="str">
        <f t="shared" si="192"/>
        <v>2025/04/14</v>
      </c>
      <c r="AL2506" s="39" t="str">
        <f t="shared" si="192"/>
        <v>2025/04/14</v>
      </c>
    </row>
    <row r="2507" spans="1:39" x14ac:dyDescent="0.25">
      <c r="A2507" s="39" t="str">
        <f>("1611290104")</f>
        <v>1611290104</v>
      </c>
      <c r="C2507" s="39"/>
      <c r="D2507" s="39" t="s">
        <v>10054</v>
      </c>
      <c r="E2507" s="371" t="str">
        <f t="shared" si="191"/>
        <v>やまさき　ゆうひ</v>
      </c>
      <c r="F2507" s="39" t="s">
        <v>639</v>
      </c>
      <c r="G2507" s="39" t="s">
        <v>7828</v>
      </c>
      <c r="H2507" s="39" t="str">
        <f>("2016/11/29")</f>
        <v>2016/11/29</v>
      </c>
      <c r="I2507" s="39">
        <v>3</v>
      </c>
      <c r="J2507" s="39" t="s">
        <v>1478</v>
      </c>
      <c r="K2507" s="39" t="s">
        <v>2122</v>
      </c>
      <c r="L2507" s="39" t="s">
        <v>7830</v>
      </c>
      <c r="M2507" s="39" t="s">
        <v>7831</v>
      </c>
      <c r="N2507" s="39" t="str">
        <f>("0130633")</f>
        <v>0130633</v>
      </c>
      <c r="P2507" s="39" t="s">
        <v>13953</v>
      </c>
      <c r="Q2507" s="39" t="s">
        <v>8568</v>
      </c>
      <c r="R2507" s="39" t="s">
        <v>8569</v>
      </c>
      <c r="S2507" s="39" t="s">
        <v>8570</v>
      </c>
      <c r="AK2507" s="39" t="str">
        <f t="shared" si="192"/>
        <v>2025/04/14</v>
      </c>
      <c r="AL2507" s="39" t="str">
        <f t="shared" si="192"/>
        <v>2025/04/14</v>
      </c>
      <c r="AM2507" s="39" t="str">
        <f>("2025/04/15")</f>
        <v>2025/04/15</v>
      </c>
    </row>
    <row r="2508" spans="1:39" x14ac:dyDescent="0.25">
      <c r="A2508" s="39" t="str">
        <f>("1611290131")</f>
        <v>1611290131</v>
      </c>
      <c r="C2508" s="39"/>
      <c r="D2508" s="39" t="s">
        <v>10055</v>
      </c>
      <c r="E2508" s="371" t="str">
        <f t="shared" si="191"/>
        <v>ぬかが　ゆうせい</v>
      </c>
      <c r="F2508" s="39" t="s">
        <v>2544</v>
      </c>
      <c r="G2508" s="39" t="s">
        <v>7828</v>
      </c>
      <c r="H2508" s="39" t="str">
        <f>("2016/11/29")</f>
        <v>2016/11/29</v>
      </c>
      <c r="I2508" s="39">
        <v>3</v>
      </c>
      <c r="J2508" s="39" t="s">
        <v>1478</v>
      </c>
      <c r="K2508" s="39" t="s">
        <v>2122</v>
      </c>
      <c r="L2508" s="39" t="s">
        <v>7830</v>
      </c>
      <c r="M2508" s="39" t="s">
        <v>7831</v>
      </c>
      <c r="N2508" s="39" t="str">
        <f>("0130644")</f>
        <v>0130644</v>
      </c>
      <c r="P2508" s="39" t="s">
        <v>13954</v>
      </c>
      <c r="Q2508" s="39" t="s">
        <v>8568</v>
      </c>
      <c r="R2508" s="39" t="s">
        <v>8569</v>
      </c>
      <c r="S2508" s="39" t="s">
        <v>8570</v>
      </c>
      <c r="AK2508" s="39" t="str">
        <f>("2025/09/30")</f>
        <v>2025/09/30</v>
      </c>
      <c r="AL2508" s="39" t="str">
        <f>("2025/09/30")</f>
        <v>2025/09/30</v>
      </c>
    </row>
    <row r="2509" spans="1:39" x14ac:dyDescent="0.25">
      <c r="A2509" s="39" t="str">
        <f>("1611300009")</f>
        <v>1611300009</v>
      </c>
      <c r="B2509" s="39" t="s">
        <v>10056</v>
      </c>
      <c r="C2509" s="39"/>
      <c r="D2509" s="39" t="s">
        <v>10057</v>
      </c>
      <c r="E2509" s="371" t="str">
        <f t="shared" si="191"/>
        <v>しん　みなと</v>
      </c>
      <c r="F2509" s="39" t="s">
        <v>2325</v>
      </c>
      <c r="G2509" s="39" t="s">
        <v>7876</v>
      </c>
      <c r="H2509" s="39" t="str">
        <f>("2016/11/30")</f>
        <v>2016/11/30</v>
      </c>
      <c r="I2509" s="39">
        <v>3</v>
      </c>
      <c r="J2509" s="39" t="s">
        <v>1478</v>
      </c>
      <c r="K2509" s="39" t="s">
        <v>2122</v>
      </c>
      <c r="L2509" s="39" t="s">
        <v>7830</v>
      </c>
      <c r="M2509" s="39" t="s">
        <v>7831</v>
      </c>
      <c r="N2509" s="39" t="str">
        <f>("0155034")</f>
        <v>0155034</v>
      </c>
      <c r="P2509" s="39" t="s">
        <v>13955</v>
      </c>
      <c r="Q2509" s="39" t="s">
        <v>8568</v>
      </c>
      <c r="R2509" s="39" t="s">
        <v>8569</v>
      </c>
      <c r="S2509" s="39" t="s">
        <v>8570</v>
      </c>
      <c r="AK2509" s="39" t="str">
        <f>("2025/03/17")</f>
        <v>2025/03/17</v>
      </c>
      <c r="AL2509" s="39" t="str">
        <f>("2025/04/01")</f>
        <v>2025/04/01</v>
      </c>
      <c r="AM2509" s="39" t="str">
        <f>("2025/06/04")</f>
        <v>2025/06/04</v>
      </c>
    </row>
    <row r="2510" spans="1:39" x14ac:dyDescent="0.25">
      <c r="A2510" s="39" t="str">
        <f>("1611300046")</f>
        <v>1611300046</v>
      </c>
      <c r="C2510" s="39"/>
      <c r="D2510" s="39" t="s">
        <v>10058</v>
      </c>
      <c r="E2510" s="371" t="str">
        <f t="shared" si="191"/>
        <v>おおいし　かずみ</v>
      </c>
      <c r="F2510" s="39" t="s">
        <v>1014</v>
      </c>
      <c r="G2510" s="39" t="s">
        <v>7828</v>
      </c>
      <c r="H2510" s="39" t="str">
        <f>("2016/11/30")</f>
        <v>2016/11/30</v>
      </c>
      <c r="I2510" s="39">
        <v>3</v>
      </c>
      <c r="J2510" s="39" t="s">
        <v>1478</v>
      </c>
      <c r="K2510" s="39" t="s">
        <v>2122</v>
      </c>
      <c r="L2510" s="39" t="s">
        <v>7830</v>
      </c>
      <c r="M2510" s="39" t="s">
        <v>7831</v>
      </c>
      <c r="N2510" s="39" t="str">
        <f>("0513313")</f>
        <v>0513313</v>
      </c>
      <c r="P2510" s="39" t="s">
        <v>13956</v>
      </c>
      <c r="Q2510" s="39" t="s">
        <v>8568</v>
      </c>
      <c r="R2510" s="39" t="s">
        <v>8569</v>
      </c>
      <c r="S2510" s="39" t="s">
        <v>8570</v>
      </c>
      <c r="AK2510" s="39" t="str">
        <f>("2025/03/17")</f>
        <v>2025/03/17</v>
      </c>
      <c r="AL2510" s="39" t="str">
        <f>("2025/04/01")</f>
        <v>2025/04/01</v>
      </c>
    </row>
    <row r="2511" spans="1:39" x14ac:dyDescent="0.25">
      <c r="A2511" s="39" t="str">
        <f>("1612010064")</f>
        <v>1612010064</v>
      </c>
      <c r="C2511" s="39"/>
      <c r="D2511" s="39" t="s">
        <v>10059</v>
      </c>
      <c r="E2511" s="371" t="str">
        <f t="shared" si="191"/>
        <v>やまさき　だいや</v>
      </c>
      <c r="F2511" s="39" t="s">
        <v>1330</v>
      </c>
      <c r="G2511" s="39" t="s">
        <v>7828</v>
      </c>
      <c r="H2511" s="39" t="str">
        <f>("2016/12/01")</f>
        <v>2016/12/01</v>
      </c>
      <c r="I2511" s="39">
        <v>3</v>
      </c>
      <c r="J2511" s="39" t="s">
        <v>1478</v>
      </c>
      <c r="K2511" s="39" t="s">
        <v>2122</v>
      </c>
      <c r="L2511" s="39" t="s">
        <v>7830</v>
      </c>
      <c r="M2511" s="39" t="s">
        <v>7831</v>
      </c>
      <c r="N2511" s="39" t="str">
        <f>("0130598")</f>
        <v>0130598</v>
      </c>
      <c r="P2511" s="39" t="s">
        <v>13957</v>
      </c>
      <c r="Q2511" s="39" t="s">
        <v>8568</v>
      </c>
      <c r="R2511" s="39" t="s">
        <v>8569</v>
      </c>
      <c r="S2511" s="39" t="s">
        <v>8570</v>
      </c>
      <c r="AK2511" s="39" t="str">
        <f>("2025/03/17")</f>
        <v>2025/03/17</v>
      </c>
      <c r="AL2511" s="39" t="str">
        <f>("2025/04/01")</f>
        <v>2025/04/01</v>
      </c>
    </row>
    <row r="2512" spans="1:39" x14ac:dyDescent="0.25">
      <c r="A2512" s="39" t="str">
        <f>("1612010084")</f>
        <v>1612010084</v>
      </c>
      <c r="C2512" s="39"/>
      <c r="D2512" s="39" t="s">
        <v>10060</v>
      </c>
      <c r="E2512" s="371" t="str">
        <f t="shared" si="191"/>
        <v>すがた　あおい</v>
      </c>
      <c r="F2512" s="39" t="s">
        <v>5621</v>
      </c>
      <c r="G2512" s="39" t="s">
        <v>7828</v>
      </c>
      <c r="H2512" s="39" t="str">
        <f>("2016/12/01")</f>
        <v>2016/12/01</v>
      </c>
      <c r="I2512" s="39">
        <v>3</v>
      </c>
      <c r="J2512" s="39" t="s">
        <v>1478</v>
      </c>
      <c r="K2512" s="39" t="s">
        <v>2122</v>
      </c>
      <c r="L2512" s="39" t="s">
        <v>7830</v>
      </c>
      <c r="M2512" s="39" t="s">
        <v>7831</v>
      </c>
      <c r="N2512" s="39" t="str">
        <f>("1110654")</f>
        <v>1110654</v>
      </c>
      <c r="P2512" s="39" t="s">
        <v>13958</v>
      </c>
      <c r="Q2512" s="39" t="s">
        <v>8568</v>
      </c>
      <c r="R2512" s="39" t="s">
        <v>8569</v>
      </c>
      <c r="S2512" s="39" t="s">
        <v>8570</v>
      </c>
      <c r="AK2512" s="39" t="str">
        <f>("2025/04/22")</f>
        <v>2025/04/22</v>
      </c>
      <c r="AL2512" s="39" t="str">
        <f>("2025/04/22")</f>
        <v>2025/04/22</v>
      </c>
    </row>
    <row r="2513" spans="1:38" x14ac:dyDescent="0.25">
      <c r="A2513" s="39" t="str">
        <f>("1612030041")</f>
        <v>1612030041</v>
      </c>
      <c r="C2513" s="39"/>
      <c r="D2513" s="39" t="s">
        <v>5837</v>
      </c>
      <c r="E2513" s="371" t="str">
        <f t="shared" si="191"/>
        <v>あさだ　ひなた</v>
      </c>
      <c r="F2513" s="39" t="s">
        <v>5616</v>
      </c>
      <c r="G2513" s="39" t="s">
        <v>7828</v>
      </c>
      <c r="H2513" s="39" t="str">
        <f>("2016/12/03")</f>
        <v>2016/12/03</v>
      </c>
      <c r="I2513" s="39">
        <v>3</v>
      </c>
      <c r="J2513" s="39" t="s">
        <v>1478</v>
      </c>
      <c r="K2513" s="39" t="s">
        <v>2122</v>
      </c>
      <c r="L2513" s="39" t="s">
        <v>7830</v>
      </c>
      <c r="M2513" s="39" t="s">
        <v>7831</v>
      </c>
      <c r="N2513" s="39" t="str">
        <f>("0130385")</f>
        <v>0130385</v>
      </c>
      <c r="P2513" s="39" t="s">
        <v>13959</v>
      </c>
      <c r="Q2513" s="39" t="s">
        <v>8568</v>
      </c>
      <c r="R2513" s="39" t="s">
        <v>8569</v>
      </c>
      <c r="S2513" s="39" t="s">
        <v>8570</v>
      </c>
      <c r="AK2513" s="39" t="str">
        <f>("2025/03/17")</f>
        <v>2025/03/17</v>
      </c>
      <c r="AL2513" s="39" t="str">
        <f>("2025/04/01")</f>
        <v>2025/04/01</v>
      </c>
    </row>
    <row r="2514" spans="1:38" x14ac:dyDescent="0.25">
      <c r="A2514" s="39" t="str">
        <f>("1612040068")</f>
        <v>1612040068</v>
      </c>
      <c r="C2514" s="39"/>
      <c r="D2514" s="39" t="s">
        <v>10061</v>
      </c>
      <c r="E2514" s="371" t="str">
        <f t="shared" si="191"/>
        <v>みたらい　たつおみ</v>
      </c>
      <c r="F2514" s="39" t="s">
        <v>1207</v>
      </c>
      <c r="G2514" s="39" t="s">
        <v>7828</v>
      </c>
      <c r="H2514" s="39" t="str">
        <f>("2016/12/04")</f>
        <v>2016/12/04</v>
      </c>
      <c r="I2514" s="39">
        <v>3</v>
      </c>
      <c r="J2514" s="39" t="s">
        <v>1478</v>
      </c>
      <c r="K2514" s="39" t="s">
        <v>2122</v>
      </c>
      <c r="L2514" s="39" t="s">
        <v>7830</v>
      </c>
      <c r="M2514" s="39" t="s">
        <v>7831</v>
      </c>
      <c r="N2514" s="39" t="str">
        <f>("0381608")</f>
        <v>0381608</v>
      </c>
      <c r="P2514" s="39" t="s">
        <v>13960</v>
      </c>
      <c r="Q2514" s="39" t="s">
        <v>8568</v>
      </c>
      <c r="R2514" s="39" t="s">
        <v>8569</v>
      </c>
      <c r="S2514" s="39" t="s">
        <v>8570</v>
      </c>
      <c r="AK2514" s="39" t="str">
        <f>("2025/04/23")</f>
        <v>2025/04/23</v>
      </c>
      <c r="AL2514" s="39" t="str">
        <f>("2025/04/23")</f>
        <v>2025/04/23</v>
      </c>
    </row>
    <row r="2515" spans="1:38" x14ac:dyDescent="0.25">
      <c r="A2515" s="39" t="str">
        <f>("1612060115")</f>
        <v>1612060115</v>
      </c>
      <c r="C2515" s="39"/>
      <c r="D2515" s="39" t="s">
        <v>10062</v>
      </c>
      <c r="E2515" s="371" t="str">
        <f t="shared" si="191"/>
        <v>かばた　るいき</v>
      </c>
      <c r="F2515" s="39" t="s">
        <v>2557</v>
      </c>
      <c r="G2515" s="39" t="s">
        <v>7828</v>
      </c>
      <c r="H2515" s="39" t="str">
        <f>("2016/12/06")</f>
        <v>2016/12/06</v>
      </c>
      <c r="I2515" s="39">
        <v>3</v>
      </c>
      <c r="J2515" s="39" t="s">
        <v>1478</v>
      </c>
      <c r="K2515" s="39" t="s">
        <v>2122</v>
      </c>
      <c r="L2515" s="39" t="s">
        <v>7830</v>
      </c>
      <c r="M2515" s="39" t="s">
        <v>7831</v>
      </c>
      <c r="N2515" s="39" t="str">
        <f>("0130723")</f>
        <v>0130723</v>
      </c>
      <c r="P2515" s="39" t="s">
        <v>13961</v>
      </c>
      <c r="Q2515" s="39" t="s">
        <v>8568</v>
      </c>
      <c r="R2515" s="39" t="s">
        <v>8569</v>
      </c>
      <c r="S2515" s="39" t="s">
        <v>8570</v>
      </c>
      <c r="AK2515" s="39" t="str">
        <f>("2025/09/26")</f>
        <v>2025/09/26</v>
      </c>
      <c r="AL2515" s="39" t="str">
        <f>("2025/09/26")</f>
        <v>2025/09/26</v>
      </c>
    </row>
    <row r="2516" spans="1:38" x14ac:dyDescent="0.25">
      <c r="A2516" s="39" t="str">
        <f>("1612070006")</f>
        <v>1612070006</v>
      </c>
      <c r="B2516" s="39" t="s">
        <v>10063</v>
      </c>
      <c r="C2516" s="39"/>
      <c r="D2516" s="39" t="s">
        <v>10064</v>
      </c>
      <c r="E2516" s="371" t="str">
        <f t="shared" si="191"/>
        <v>たなむら　たける</v>
      </c>
      <c r="F2516" s="39" t="s">
        <v>928</v>
      </c>
      <c r="G2516" s="39" t="s">
        <v>7828</v>
      </c>
      <c r="H2516" s="39" t="str">
        <f>("2016/12/07")</f>
        <v>2016/12/07</v>
      </c>
      <c r="I2516" s="39">
        <v>3</v>
      </c>
      <c r="J2516" s="39" t="s">
        <v>1478</v>
      </c>
      <c r="K2516" s="39" t="s">
        <v>2122</v>
      </c>
      <c r="L2516" s="39" t="s">
        <v>7830</v>
      </c>
      <c r="M2516" s="39" t="s">
        <v>7831</v>
      </c>
      <c r="N2516" s="39" t="str">
        <f>("0130532")</f>
        <v>0130532</v>
      </c>
      <c r="P2516" s="39" t="s">
        <v>13962</v>
      </c>
      <c r="Q2516" s="39" t="s">
        <v>8568</v>
      </c>
      <c r="R2516" s="39" t="s">
        <v>8569</v>
      </c>
      <c r="S2516" s="39" t="s">
        <v>8570</v>
      </c>
      <c r="AK2516" s="39" t="str">
        <f>("2025/03/17")</f>
        <v>2025/03/17</v>
      </c>
      <c r="AL2516" s="39" t="str">
        <f>("2025/04/01")</f>
        <v>2025/04/01</v>
      </c>
    </row>
    <row r="2517" spans="1:38" x14ac:dyDescent="0.25">
      <c r="A2517" s="39" t="str">
        <f>("1612080108")</f>
        <v>1612080108</v>
      </c>
      <c r="C2517" s="39"/>
      <c r="D2517" s="39" t="s">
        <v>10065</v>
      </c>
      <c r="E2517" s="371" t="str">
        <f t="shared" si="191"/>
        <v>さとう　あさひ</v>
      </c>
      <c r="F2517" s="39" t="s">
        <v>1968</v>
      </c>
      <c r="G2517" s="39" t="s">
        <v>7828</v>
      </c>
      <c r="H2517" s="39" t="str">
        <f>("2016/12/08")</f>
        <v>2016/12/08</v>
      </c>
      <c r="I2517" s="39">
        <v>3</v>
      </c>
      <c r="J2517" s="39" t="s">
        <v>1478</v>
      </c>
      <c r="K2517" s="39" t="s">
        <v>2122</v>
      </c>
      <c r="L2517" s="39" t="s">
        <v>7830</v>
      </c>
      <c r="M2517" s="39" t="s">
        <v>7831</v>
      </c>
      <c r="N2517" s="39" t="str">
        <f>("0129507")</f>
        <v>0129507</v>
      </c>
      <c r="P2517" s="39" t="s">
        <v>13794</v>
      </c>
      <c r="Q2517" s="39" t="s">
        <v>8568</v>
      </c>
      <c r="R2517" s="39" t="s">
        <v>8569</v>
      </c>
      <c r="S2517" s="39" t="s">
        <v>8570</v>
      </c>
      <c r="AK2517" s="39" t="str">
        <f>("2025/08/22")</f>
        <v>2025/08/22</v>
      </c>
      <c r="AL2517" s="39" t="str">
        <f>("2025/08/22")</f>
        <v>2025/08/22</v>
      </c>
    </row>
    <row r="2518" spans="1:38" x14ac:dyDescent="0.25">
      <c r="A2518" s="39" t="str">
        <f>("1612080110")</f>
        <v>1612080110</v>
      </c>
      <c r="C2518" s="39"/>
      <c r="D2518" s="39" t="s">
        <v>10066</v>
      </c>
      <c r="E2518" s="371" t="str">
        <f t="shared" si="191"/>
        <v>わたなべ　なぎ</v>
      </c>
      <c r="F2518" s="39" t="s">
        <v>2469</v>
      </c>
      <c r="G2518" s="39" t="s">
        <v>7828</v>
      </c>
      <c r="H2518" s="39" t="str">
        <f>("2016/12/08")</f>
        <v>2016/12/08</v>
      </c>
      <c r="I2518" s="39">
        <v>3</v>
      </c>
      <c r="J2518" s="39" t="s">
        <v>1480</v>
      </c>
      <c r="K2518" s="39" t="s">
        <v>2122</v>
      </c>
      <c r="L2518" s="39" t="s">
        <v>7830</v>
      </c>
      <c r="M2518" s="39" t="s">
        <v>7831</v>
      </c>
      <c r="N2518" s="39" t="str">
        <f>("0129462")</f>
        <v>0129462</v>
      </c>
      <c r="P2518" s="39" t="s">
        <v>13963</v>
      </c>
      <c r="Q2518" s="39" t="s">
        <v>8568</v>
      </c>
      <c r="R2518" s="39" t="s">
        <v>8569</v>
      </c>
      <c r="S2518" s="39" t="s">
        <v>8570</v>
      </c>
      <c r="AK2518" s="39" t="str">
        <f>("2025/09/02")</f>
        <v>2025/09/02</v>
      </c>
      <c r="AL2518" s="39" t="str">
        <f>("2025/09/02")</f>
        <v>2025/09/02</v>
      </c>
    </row>
    <row r="2519" spans="1:38" x14ac:dyDescent="0.25">
      <c r="A2519" s="39" t="str">
        <f>("1612090005")</f>
        <v>1612090005</v>
      </c>
      <c r="C2519" s="39"/>
      <c r="D2519" s="39" t="s">
        <v>10067</v>
      </c>
      <c r="E2519" s="371" t="str">
        <f t="shared" si="191"/>
        <v>あさだ　かいと</v>
      </c>
      <c r="F2519" s="39" t="s">
        <v>2299</v>
      </c>
      <c r="G2519" s="39" t="s">
        <v>7828</v>
      </c>
      <c r="H2519" s="39" t="str">
        <f>("2016/12/09")</f>
        <v>2016/12/09</v>
      </c>
      <c r="I2519" s="39">
        <v>3</v>
      </c>
      <c r="J2519" s="39" t="s">
        <v>1478</v>
      </c>
      <c r="K2519" s="39" t="s">
        <v>2122</v>
      </c>
      <c r="L2519" s="39" t="s">
        <v>7830</v>
      </c>
      <c r="M2519" s="39" t="s">
        <v>7831</v>
      </c>
      <c r="N2519" s="39" t="str">
        <f>("1066647")</f>
        <v>1066647</v>
      </c>
      <c r="P2519" s="39" t="s">
        <v>13964</v>
      </c>
      <c r="Q2519" s="39" t="s">
        <v>8568</v>
      </c>
      <c r="R2519" s="39" t="s">
        <v>8569</v>
      </c>
      <c r="S2519" s="39" t="s">
        <v>8570</v>
      </c>
      <c r="AK2519" s="39" t="str">
        <f>("2025/03/21")</f>
        <v>2025/03/21</v>
      </c>
      <c r="AL2519" s="39" t="str">
        <f>("2025/04/01")</f>
        <v>2025/04/01</v>
      </c>
    </row>
    <row r="2520" spans="1:38" x14ac:dyDescent="0.25">
      <c r="A2520" s="39" t="str">
        <f>("1612110080")</f>
        <v>1612110080</v>
      </c>
      <c r="C2520" s="39"/>
      <c r="D2520" s="39" t="s">
        <v>10068</v>
      </c>
      <c r="E2520" s="371" t="str">
        <f t="shared" si="191"/>
        <v>やの　しょうま</v>
      </c>
      <c r="F2520" s="39" t="s">
        <v>928</v>
      </c>
      <c r="G2520" s="39" t="s">
        <v>7828</v>
      </c>
      <c r="H2520" s="39" t="str">
        <f>("2016/12/11")</f>
        <v>2016/12/11</v>
      </c>
      <c r="I2520" s="39">
        <v>3</v>
      </c>
      <c r="J2520" s="39" t="s">
        <v>1478</v>
      </c>
      <c r="K2520" s="39" t="s">
        <v>2122</v>
      </c>
      <c r="L2520" s="39" t="s">
        <v>7830</v>
      </c>
      <c r="M2520" s="39" t="s">
        <v>7831</v>
      </c>
      <c r="N2520" s="39" t="str">
        <f>("0130532")</f>
        <v>0130532</v>
      </c>
      <c r="P2520" s="39" t="s">
        <v>13965</v>
      </c>
      <c r="Q2520" s="39" t="s">
        <v>8568</v>
      </c>
      <c r="R2520" s="39" t="s">
        <v>8569</v>
      </c>
      <c r="S2520" s="39" t="s">
        <v>8570</v>
      </c>
      <c r="AK2520" s="39" t="str">
        <f>("2025/10/14")</f>
        <v>2025/10/14</v>
      </c>
      <c r="AL2520" s="39" t="str">
        <f>("2025/10/14")</f>
        <v>2025/10/14</v>
      </c>
    </row>
    <row r="2521" spans="1:38" x14ac:dyDescent="0.25">
      <c r="A2521" s="39" t="str">
        <f>("1612120038")</f>
        <v>1612120038</v>
      </c>
      <c r="C2521" s="39"/>
      <c r="D2521" s="39" t="s">
        <v>10069</v>
      </c>
      <c r="E2521" s="371" t="str">
        <f t="shared" si="191"/>
        <v>やました　はる</v>
      </c>
      <c r="F2521" s="39" t="s">
        <v>639</v>
      </c>
      <c r="G2521" s="39" t="s">
        <v>7828</v>
      </c>
      <c r="H2521" s="39" t="str">
        <f>("2016/12/12")</f>
        <v>2016/12/12</v>
      </c>
      <c r="I2521" s="39">
        <v>3</v>
      </c>
      <c r="J2521" s="39" t="s">
        <v>1478</v>
      </c>
      <c r="K2521" s="39" t="s">
        <v>2122</v>
      </c>
      <c r="L2521" s="39" t="s">
        <v>7830</v>
      </c>
      <c r="M2521" s="39" t="s">
        <v>7831</v>
      </c>
      <c r="N2521" s="39" t="str">
        <f>("0130633")</f>
        <v>0130633</v>
      </c>
      <c r="P2521" s="39" t="s">
        <v>13966</v>
      </c>
      <c r="Q2521" s="39" t="s">
        <v>8568</v>
      </c>
      <c r="R2521" s="39" t="s">
        <v>8569</v>
      </c>
      <c r="S2521" s="39" t="s">
        <v>8570</v>
      </c>
      <c r="AK2521" s="39" t="str">
        <f>("2025/03/17")</f>
        <v>2025/03/17</v>
      </c>
      <c r="AL2521" s="39" t="str">
        <f>("2025/04/01")</f>
        <v>2025/04/01</v>
      </c>
    </row>
    <row r="2522" spans="1:38" x14ac:dyDescent="0.25">
      <c r="A2522" s="39" t="str">
        <f>("1612120099")</f>
        <v>1612120099</v>
      </c>
      <c r="C2522" s="39"/>
      <c r="D2522" s="39" t="s">
        <v>10070</v>
      </c>
      <c r="E2522" s="371" t="str">
        <f t="shared" si="191"/>
        <v>かしわぎ　りゅうのすけ</v>
      </c>
      <c r="F2522" s="39" t="s">
        <v>1751</v>
      </c>
      <c r="G2522" s="39" t="s">
        <v>7828</v>
      </c>
      <c r="H2522" s="39" t="str">
        <f>("2016/12/12")</f>
        <v>2016/12/12</v>
      </c>
      <c r="I2522" s="39">
        <v>3</v>
      </c>
      <c r="J2522" s="39" t="s">
        <v>1478</v>
      </c>
      <c r="K2522" s="39" t="s">
        <v>2122</v>
      </c>
      <c r="L2522" s="39" t="s">
        <v>7830</v>
      </c>
      <c r="M2522" s="39" t="s">
        <v>7831</v>
      </c>
      <c r="N2522" s="39" t="str">
        <f>("0130453")</f>
        <v>0130453</v>
      </c>
      <c r="P2522" s="39" t="s">
        <v>13967</v>
      </c>
      <c r="Q2522" s="39" t="s">
        <v>8568</v>
      </c>
      <c r="R2522" s="39" t="s">
        <v>8569</v>
      </c>
      <c r="S2522" s="39" t="s">
        <v>8570</v>
      </c>
      <c r="AK2522" s="39" t="str">
        <f>("2025/07/28")</f>
        <v>2025/07/28</v>
      </c>
      <c r="AL2522" s="39" t="str">
        <f>("2025/07/28")</f>
        <v>2025/07/28</v>
      </c>
    </row>
    <row r="2523" spans="1:38" x14ac:dyDescent="0.25">
      <c r="A2523" s="39" t="str">
        <f>("1612120100")</f>
        <v>1612120100</v>
      </c>
      <c r="C2523" s="39"/>
      <c r="D2523" s="39" t="s">
        <v>10071</v>
      </c>
      <c r="E2523" s="371" t="str">
        <f t="shared" si="191"/>
        <v>かしわぎ　こうのすけ</v>
      </c>
      <c r="F2523" s="39" t="s">
        <v>1751</v>
      </c>
      <c r="G2523" s="39" t="s">
        <v>7828</v>
      </c>
      <c r="H2523" s="39" t="str">
        <f>("2016/12/12")</f>
        <v>2016/12/12</v>
      </c>
      <c r="I2523" s="39">
        <v>3</v>
      </c>
      <c r="J2523" s="39" t="s">
        <v>1478</v>
      </c>
      <c r="K2523" s="39" t="s">
        <v>2122</v>
      </c>
      <c r="L2523" s="39" t="s">
        <v>7830</v>
      </c>
      <c r="M2523" s="39" t="s">
        <v>7831</v>
      </c>
      <c r="N2523" s="39" t="str">
        <f>("0130453")</f>
        <v>0130453</v>
      </c>
      <c r="P2523" s="39" t="s">
        <v>13968</v>
      </c>
      <c r="Q2523" s="39" t="s">
        <v>8568</v>
      </c>
      <c r="R2523" s="39" t="s">
        <v>8569</v>
      </c>
      <c r="S2523" s="39" t="s">
        <v>8570</v>
      </c>
      <c r="AK2523" s="39" t="str">
        <f>("2025/07/28")</f>
        <v>2025/07/28</v>
      </c>
      <c r="AL2523" s="39" t="str">
        <f>("2025/07/28")</f>
        <v>2025/07/28</v>
      </c>
    </row>
    <row r="2524" spans="1:38" x14ac:dyDescent="0.25">
      <c r="A2524" s="39" t="str">
        <f>("1612130022")</f>
        <v>1612130022</v>
      </c>
      <c r="C2524" s="39"/>
      <c r="D2524" s="39" t="s">
        <v>10072</v>
      </c>
      <c r="E2524" s="371" t="str">
        <f t="shared" si="191"/>
        <v>いわた　たすく</v>
      </c>
      <c r="F2524" s="39" t="s">
        <v>1917</v>
      </c>
      <c r="G2524" s="39" t="s">
        <v>7828</v>
      </c>
      <c r="H2524" s="39" t="str">
        <f>("2016/12/13")</f>
        <v>2016/12/13</v>
      </c>
      <c r="I2524" s="39">
        <v>3</v>
      </c>
      <c r="J2524" s="39" t="s">
        <v>1478</v>
      </c>
      <c r="K2524" s="39" t="s">
        <v>2122</v>
      </c>
      <c r="L2524" s="39" t="s">
        <v>7830</v>
      </c>
      <c r="M2524" s="39" t="s">
        <v>7831</v>
      </c>
      <c r="N2524" s="39" t="str">
        <f>("1032161")</f>
        <v>1032161</v>
      </c>
      <c r="P2524" s="39" t="s">
        <v>13969</v>
      </c>
      <c r="Q2524" s="39" t="s">
        <v>8568</v>
      </c>
      <c r="R2524" s="39" t="s">
        <v>8569</v>
      </c>
      <c r="S2524" s="39" t="s">
        <v>8570</v>
      </c>
      <c r="AK2524" s="39" t="str">
        <f>("2025/03/21")</f>
        <v>2025/03/21</v>
      </c>
      <c r="AL2524" s="39" t="str">
        <f>("2025/04/01")</f>
        <v>2025/04/01</v>
      </c>
    </row>
    <row r="2525" spans="1:38" x14ac:dyDescent="0.25">
      <c r="A2525" s="39" t="str">
        <f>("1612170085")</f>
        <v>1612170085</v>
      </c>
      <c r="C2525" s="39"/>
      <c r="D2525" s="39" t="s">
        <v>10073</v>
      </c>
      <c r="E2525" s="371" t="str">
        <f t="shared" si="191"/>
        <v>なかお　こうた</v>
      </c>
      <c r="F2525" s="39" t="s">
        <v>2651</v>
      </c>
      <c r="G2525" s="39" t="s">
        <v>7828</v>
      </c>
      <c r="H2525" s="39" t="str">
        <f>("2016/12/17")</f>
        <v>2016/12/17</v>
      </c>
      <c r="I2525" s="39">
        <v>3</v>
      </c>
      <c r="J2525" s="39" t="s">
        <v>1478</v>
      </c>
      <c r="K2525" s="39" t="s">
        <v>2122</v>
      </c>
      <c r="L2525" s="39" t="s">
        <v>7830</v>
      </c>
      <c r="M2525" s="39" t="s">
        <v>7831</v>
      </c>
      <c r="N2525" s="39" t="str">
        <f>("1067415")</f>
        <v>1067415</v>
      </c>
      <c r="P2525" s="39" t="s">
        <v>13970</v>
      </c>
      <c r="Q2525" s="39" t="s">
        <v>8568</v>
      </c>
      <c r="R2525" s="39" t="s">
        <v>8569</v>
      </c>
      <c r="S2525" s="39" t="s">
        <v>8570</v>
      </c>
      <c r="AK2525" s="39" t="str">
        <f>("2025/09/04")</f>
        <v>2025/09/04</v>
      </c>
      <c r="AL2525" s="39" t="str">
        <f>("2025/09/04")</f>
        <v>2025/09/04</v>
      </c>
    </row>
    <row r="2526" spans="1:38" x14ac:dyDescent="0.25">
      <c r="A2526" s="39" t="str">
        <f>("1612180038")</f>
        <v>1612180038</v>
      </c>
      <c r="C2526" s="39"/>
      <c r="D2526" s="39" t="s">
        <v>10074</v>
      </c>
      <c r="E2526" s="371" t="str">
        <f t="shared" si="191"/>
        <v>うえむら　こうへい</v>
      </c>
      <c r="F2526" s="39" t="s">
        <v>2533</v>
      </c>
      <c r="G2526" s="39" t="s">
        <v>7828</v>
      </c>
      <c r="H2526" s="39" t="str">
        <f>("2016/12/18")</f>
        <v>2016/12/18</v>
      </c>
      <c r="I2526" s="39">
        <v>3</v>
      </c>
      <c r="J2526" s="39" t="s">
        <v>1478</v>
      </c>
      <c r="K2526" s="39" t="s">
        <v>2122</v>
      </c>
      <c r="L2526" s="39" t="s">
        <v>7830</v>
      </c>
      <c r="M2526" s="39" t="s">
        <v>7831</v>
      </c>
      <c r="N2526" s="39" t="str">
        <f>("0130497")</f>
        <v>0130497</v>
      </c>
      <c r="P2526" s="39" t="s">
        <v>13971</v>
      </c>
      <c r="Q2526" s="39" t="s">
        <v>8568</v>
      </c>
      <c r="R2526" s="39" t="s">
        <v>8569</v>
      </c>
      <c r="S2526" s="39" t="s">
        <v>8570</v>
      </c>
      <c r="AK2526" s="39" t="str">
        <f>("2025/03/17")</f>
        <v>2025/03/17</v>
      </c>
      <c r="AL2526" s="39" t="str">
        <f>("2025/04/01")</f>
        <v>2025/04/01</v>
      </c>
    </row>
    <row r="2527" spans="1:38" x14ac:dyDescent="0.25">
      <c r="A2527" s="39" t="str">
        <f>("1612180060")</f>
        <v>1612180060</v>
      </c>
      <c r="C2527" s="39"/>
      <c r="D2527" s="39" t="s">
        <v>10075</v>
      </c>
      <c r="E2527" s="371" t="str">
        <f t="shared" si="191"/>
        <v>よこた　りゅうすけ</v>
      </c>
      <c r="F2527" s="39" t="s">
        <v>1968</v>
      </c>
      <c r="G2527" s="39" t="s">
        <v>7828</v>
      </c>
      <c r="H2527" s="39" t="str">
        <f>("2016/12/18")</f>
        <v>2016/12/18</v>
      </c>
      <c r="I2527" s="39">
        <v>3</v>
      </c>
      <c r="J2527" s="39" t="s">
        <v>1478</v>
      </c>
      <c r="K2527" s="39" t="s">
        <v>2122</v>
      </c>
      <c r="L2527" s="39" t="s">
        <v>7830</v>
      </c>
      <c r="M2527" s="39" t="s">
        <v>7831</v>
      </c>
      <c r="N2527" s="39" t="str">
        <f>("0129507")</f>
        <v>0129507</v>
      </c>
      <c r="P2527" s="39" t="s">
        <v>13972</v>
      </c>
      <c r="Q2527" s="39" t="s">
        <v>8568</v>
      </c>
      <c r="R2527" s="39" t="s">
        <v>8569</v>
      </c>
      <c r="S2527" s="39" t="s">
        <v>8570</v>
      </c>
      <c r="AK2527" s="39" t="str">
        <f>("2025/08/22")</f>
        <v>2025/08/22</v>
      </c>
      <c r="AL2527" s="39" t="str">
        <f>("2025/08/22")</f>
        <v>2025/08/22</v>
      </c>
    </row>
    <row r="2528" spans="1:38" x14ac:dyDescent="0.25">
      <c r="A2528" s="39" t="str">
        <f>("1612200008")</f>
        <v>1612200008</v>
      </c>
      <c r="C2528" s="39"/>
      <c r="D2528" s="39" t="s">
        <v>10076</v>
      </c>
      <c r="E2528" s="371" t="str">
        <f t="shared" si="191"/>
        <v>にしだ　かいと</v>
      </c>
      <c r="F2528" s="39" t="s">
        <v>5621</v>
      </c>
      <c r="G2528" s="39" t="s">
        <v>7828</v>
      </c>
      <c r="H2528" s="39" t="str">
        <f>("2016/12/20")</f>
        <v>2016/12/20</v>
      </c>
      <c r="I2528" s="39">
        <v>3</v>
      </c>
      <c r="J2528" s="39" t="s">
        <v>1478</v>
      </c>
      <c r="K2528" s="39" t="s">
        <v>2122</v>
      </c>
      <c r="L2528" s="39" t="s">
        <v>7830</v>
      </c>
      <c r="M2528" s="39" t="s">
        <v>7831</v>
      </c>
      <c r="N2528" s="39" t="str">
        <f>("1110654")</f>
        <v>1110654</v>
      </c>
      <c r="P2528" s="39" t="s">
        <v>13973</v>
      </c>
      <c r="Q2528" s="39" t="s">
        <v>8568</v>
      </c>
      <c r="R2528" s="39" t="s">
        <v>8569</v>
      </c>
      <c r="S2528" s="39" t="s">
        <v>8570</v>
      </c>
      <c r="AA2528" s="39" t="s">
        <v>2122</v>
      </c>
      <c r="AB2528" s="39" t="s">
        <v>7830</v>
      </c>
      <c r="AC2528" s="39" t="s">
        <v>7831</v>
      </c>
      <c r="AD2528" s="39" t="str">
        <f>("0130701")</f>
        <v>0130701</v>
      </c>
      <c r="AE2528" s="39" t="s">
        <v>8818</v>
      </c>
      <c r="AK2528" s="39" t="str">
        <f>("2025/03/17")</f>
        <v>2025/03/17</v>
      </c>
      <c r="AL2528" s="39" t="str">
        <f>("2025/04/01")</f>
        <v>2025/04/01</v>
      </c>
    </row>
    <row r="2529" spans="1:38" x14ac:dyDescent="0.25">
      <c r="A2529" s="39" t="str">
        <f>("1612200025")</f>
        <v>1612200025</v>
      </c>
      <c r="B2529" s="39" t="s">
        <v>8542</v>
      </c>
      <c r="C2529" s="39"/>
      <c r="D2529" s="39" t="s">
        <v>8543</v>
      </c>
      <c r="E2529" s="371" t="str">
        <f t="shared" si="191"/>
        <v>やすい　りくと</v>
      </c>
      <c r="F2529" s="39" t="s">
        <v>1344</v>
      </c>
      <c r="G2529" s="39" t="s">
        <v>7828</v>
      </c>
      <c r="H2529" s="39" t="str">
        <f>("2014/12/20")</f>
        <v>2014/12/20</v>
      </c>
      <c r="I2529" s="39">
        <v>5</v>
      </c>
      <c r="J2529" s="39" t="s">
        <v>1478</v>
      </c>
      <c r="K2529" s="39" t="s">
        <v>2122</v>
      </c>
      <c r="L2529" s="39" t="s">
        <v>7830</v>
      </c>
      <c r="M2529" s="39" t="s">
        <v>7831</v>
      </c>
      <c r="N2529" s="39" t="str">
        <f>("0130587")</f>
        <v>0130587</v>
      </c>
      <c r="P2529" s="39" t="s">
        <v>13974</v>
      </c>
      <c r="Q2529" s="39" t="s">
        <v>8568</v>
      </c>
      <c r="R2529" s="39" t="s">
        <v>8569</v>
      </c>
      <c r="S2529" s="39" t="s">
        <v>8570</v>
      </c>
      <c r="AK2529" s="39" t="str">
        <f>("2025/03/17")</f>
        <v>2025/03/17</v>
      </c>
      <c r="AL2529" s="39" t="str">
        <f>("2025/04/01")</f>
        <v>2025/04/01</v>
      </c>
    </row>
    <row r="2530" spans="1:38" x14ac:dyDescent="0.25">
      <c r="A2530" s="39" t="str">
        <f>("1612200104")</f>
        <v>1612200104</v>
      </c>
      <c r="C2530" s="39"/>
      <c r="D2530" s="39" t="s">
        <v>10077</v>
      </c>
      <c r="E2530" s="371" t="str">
        <f t="shared" si="191"/>
        <v>てらお　そうた</v>
      </c>
      <c r="F2530" s="39" t="s">
        <v>1912</v>
      </c>
      <c r="G2530" s="39" t="s">
        <v>7828</v>
      </c>
      <c r="H2530" s="39" t="str">
        <f>("2016/12/20")</f>
        <v>2016/12/20</v>
      </c>
      <c r="I2530" s="39">
        <v>3</v>
      </c>
      <c r="J2530" s="39" t="s">
        <v>1478</v>
      </c>
      <c r="K2530" s="39" t="s">
        <v>2122</v>
      </c>
      <c r="L2530" s="39" t="s">
        <v>7830</v>
      </c>
      <c r="M2530" s="39" t="s">
        <v>7831</v>
      </c>
      <c r="N2530" s="39" t="str">
        <f>("0130363")</f>
        <v>0130363</v>
      </c>
      <c r="P2530" s="39" t="s">
        <v>13975</v>
      </c>
      <c r="Q2530" s="39" t="s">
        <v>8568</v>
      </c>
      <c r="R2530" s="39" t="s">
        <v>8569</v>
      </c>
      <c r="S2530" s="39" t="s">
        <v>8570</v>
      </c>
      <c r="AK2530" s="39" t="str">
        <f>("2025/03/27")</f>
        <v>2025/03/27</v>
      </c>
      <c r="AL2530" s="39" t="str">
        <f>("2025/04/01")</f>
        <v>2025/04/01</v>
      </c>
    </row>
    <row r="2531" spans="1:38" x14ac:dyDescent="0.25">
      <c r="A2531" s="39" t="str">
        <f>("1612200138")</f>
        <v>1612200138</v>
      </c>
      <c r="C2531" s="39"/>
      <c r="D2531" s="39" t="s">
        <v>10078</v>
      </c>
      <c r="E2531" s="371" t="str">
        <f t="shared" si="191"/>
        <v>きら　あらた</v>
      </c>
      <c r="F2531" s="39" t="s">
        <v>1692</v>
      </c>
      <c r="G2531" s="39" t="s">
        <v>7828</v>
      </c>
      <c r="H2531" s="39" t="str">
        <f>("2016/12/20")</f>
        <v>2016/12/20</v>
      </c>
      <c r="I2531" s="39">
        <v>3</v>
      </c>
      <c r="J2531" s="39" t="s">
        <v>1478</v>
      </c>
      <c r="K2531" s="39" t="s">
        <v>2122</v>
      </c>
      <c r="L2531" s="39" t="s">
        <v>7830</v>
      </c>
      <c r="M2531" s="39" t="s">
        <v>7831</v>
      </c>
      <c r="N2531" s="39" t="str">
        <f>("1052299")</f>
        <v>1052299</v>
      </c>
      <c r="P2531" s="39" t="s">
        <v>13976</v>
      </c>
      <c r="Q2531" s="39" t="s">
        <v>8568</v>
      </c>
      <c r="R2531" s="39" t="s">
        <v>8569</v>
      </c>
      <c r="S2531" s="39" t="s">
        <v>8570</v>
      </c>
      <c r="AK2531" s="39" t="str">
        <f>("2025/08/29")</f>
        <v>2025/08/29</v>
      </c>
      <c r="AL2531" s="39" t="str">
        <f>("2025/08/29")</f>
        <v>2025/08/29</v>
      </c>
    </row>
    <row r="2532" spans="1:38" x14ac:dyDescent="0.25">
      <c r="A2532" s="39" t="str">
        <f>("1612220050")</f>
        <v>1612220050</v>
      </c>
      <c r="C2532" s="39"/>
      <c r="D2532" s="39" t="s">
        <v>10079</v>
      </c>
      <c r="E2532" s="371" t="str">
        <f t="shared" si="191"/>
        <v>たかくら　けいと</v>
      </c>
      <c r="F2532" s="39" t="s">
        <v>7910</v>
      </c>
      <c r="G2532" s="39" t="s">
        <v>7828</v>
      </c>
      <c r="H2532" s="39" t="str">
        <f>("2016/12/22")</f>
        <v>2016/12/22</v>
      </c>
      <c r="I2532" s="39">
        <v>3</v>
      </c>
      <c r="J2532" s="39" t="s">
        <v>1478</v>
      </c>
      <c r="K2532" s="39" t="s">
        <v>2122</v>
      </c>
      <c r="L2532" s="39" t="s">
        <v>7830</v>
      </c>
      <c r="M2532" s="39" t="s">
        <v>7831</v>
      </c>
      <c r="N2532" s="39" t="str">
        <f>("1111064")</f>
        <v>1111064</v>
      </c>
      <c r="P2532" s="39" t="s">
        <v>13977</v>
      </c>
      <c r="Q2532" s="39" t="s">
        <v>8568</v>
      </c>
      <c r="R2532" s="39" t="s">
        <v>8569</v>
      </c>
      <c r="S2532" s="39" t="s">
        <v>8570</v>
      </c>
      <c r="AK2532" s="39" t="str">
        <f>("2025/03/17")</f>
        <v>2025/03/17</v>
      </c>
      <c r="AL2532" s="39" t="str">
        <f>("2025/04/01")</f>
        <v>2025/04/01</v>
      </c>
    </row>
    <row r="2533" spans="1:38" x14ac:dyDescent="0.25">
      <c r="A2533" s="39" t="str">
        <f>("1612250042")</f>
        <v>1612250042</v>
      </c>
      <c r="C2533" s="39"/>
      <c r="D2533" s="39" t="s">
        <v>10080</v>
      </c>
      <c r="E2533" s="371" t="str">
        <f t="shared" si="191"/>
        <v>しみず　しゅうや</v>
      </c>
      <c r="F2533" s="39" t="s">
        <v>2575</v>
      </c>
      <c r="G2533" s="39" t="s">
        <v>7828</v>
      </c>
      <c r="H2533" s="39" t="str">
        <f>("2016/12/25")</f>
        <v>2016/12/25</v>
      </c>
      <c r="I2533" s="39">
        <v>3</v>
      </c>
      <c r="J2533" s="39" t="s">
        <v>1478</v>
      </c>
      <c r="K2533" s="39" t="s">
        <v>2122</v>
      </c>
      <c r="L2533" s="39" t="s">
        <v>7830</v>
      </c>
      <c r="M2533" s="39" t="s">
        <v>7831</v>
      </c>
      <c r="N2533" s="39" t="str">
        <f>("0303040")</f>
        <v>0303040</v>
      </c>
      <c r="P2533" s="39" t="s">
        <v>13978</v>
      </c>
      <c r="Q2533" s="39" t="s">
        <v>8568</v>
      </c>
      <c r="R2533" s="39" t="s">
        <v>8569</v>
      </c>
      <c r="S2533" s="39" t="s">
        <v>8570</v>
      </c>
      <c r="AK2533" s="39" t="str">
        <f>("2025/03/17")</f>
        <v>2025/03/17</v>
      </c>
      <c r="AL2533" s="39" t="str">
        <f>("2025/04/01")</f>
        <v>2025/04/01</v>
      </c>
    </row>
    <row r="2534" spans="1:38" x14ac:dyDescent="0.25">
      <c r="A2534" s="39" t="str">
        <f>("1612260003")</f>
        <v>1612260003</v>
      </c>
      <c r="C2534" s="39"/>
      <c r="D2534" s="39" t="s">
        <v>10081</v>
      </c>
      <c r="E2534" s="371" t="str">
        <f t="shared" si="191"/>
        <v>なかの　ゆいり</v>
      </c>
      <c r="F2534" s="39" t="s">
        <v>5620</v>
      </c>
      <c r="G2534" s="39" t="s">
        <v>7828</v>
      </c>
      <c r="H2534" s="39" t="str">
        <f>("2016/12/26")</f>
        <v>2016/12/26</v>
      </c>
      <c r="I2534" s="39">
        <v>3</v>
      </c>
      <c r="J2534" s="39" t="s">
        <v>1478</v>
      </c>
      <c r="K2534" s="39" t="s">
        <v>2122</v>
      </c>
      <c r="L2534" s="39" t="s">
        <v>7830</v>
      </c>
      <c r="M2534" s="39" t="s">
        <v>7831</v>
      </c>
      <c r="N2534" s="39" t="str">
        <f>("1101553")</f>
        <v>1101553</v>
      </c>
      <c r="P2534" s="39" t="s">
        <v>13979</v>
      </c>
      <c r="Q2534" s="39" t="s">
        <v>8568</v>
      </c>
      <c r="R2534" s="39" t="s">
        <v>8569</v>
      </c>
      <c r="S2534" s="39" t="s">
        <v>8570</v>
      </c>
      <c r="AK2534" s="39" t="str">
        <f>("2025/03/19")</f>
        <v>2025/03/19</v>
      </c>
      <c r="AL2534" s="39" t="str">
        <f>("2025/04/01")</f>
        <v>2025/04/01</v>
      </c>
    </row>
    <row r="2535" spans="1:38" x14ac:dyDescent="0.25">
      <c r="A2535" s="39" t="str">
        <f>("1612260099")</f>
        <v>1612260099</v>
      </c>
      <c r="C2535" s="39"/>
      <c r="D2535" s="39" t="s">
        <v>10082</v>
      </c>
      <c r="E2535" s="371" t="str">
        <f t="shared" si="191"/>
        <v>うちだ　りおと</v>
      </c>
      <c r="F2535" s="39" t="s">
        <v>1190</v>
      </c>
      <c r="G2535" s="39" t="s">
        <v>7828</v>
      </c>
      <c r="H2535" s="39" t="str">
        <f>("2016/12/26")</f>
        <v>2016/12/26</v>
      </c>
      <c r="I2535" s="39">
        <v>3</v>
      </c>
      <c r="J2535" s="39" t="s">
        <v>1478</v>
      </c>
      <c r="K2535" s="39" t="s">
        <v>2122</v>
      </c>
      <c r="L2535" s="39" t="s">
        <v>7830</v>
      </c>
      <c r="M2535" s="39" t="s">
        <v>7831</v>
      </c>
      <c r="N2535" s="39" t="str">
        <f>("0130554")</f>
        <v>0130554</v>
      </c>
      <c r="P2535" s="39" t="s">
        <v>13980</v>
      </c>
      <c r="Q2535" s="39" t="s">
        <v>8568</v>
      </c>
      <c r="R2535" s="39" t="s">
        <v>8569</v>
      </c>
      <c r="S2535" s="39" t="s">
        <v>8570</v>
      </c>
      <c r="AK2535" s="39" t="str">
        <f>("2025/03/31")</f>
        <v>2025/03/31</v>
      </c>
      <c r="AL2535" s="39" t="str">
        <f>("2025/04/01")</f>
        <v>2025/04/01</v>
      </c>
    </row>
    <row r="2536" spans="1:38" x14ac:dyDescent="0.25">
      <c r="A2536" s="39" t="str">
        <f>("1612260107")</f>
        <v>1612260107</v>
      </c>
      <c r="C2536" s="39"/>
      <c r="D2536" s="39" t="s">
        <v>10083</v>
      </c>
      <c r="E2536" s="371" t="str">
        <f t="shared" si="191"/>
        <v>たぐち　たくみ</v>
      </c>
      <c r="F2536" s="39" t="s">
        <v>2033</v>
      </c>
      <c r="G2536" s="39" t="s">
        <v>7828</v>
      </c>
      <c r="H2536" s="39" t="str">
        <f>("2016/12/26")</f>
        <v>2016/12/26</v>
      </c>
      <c r="I2536" s="39">
        <v>3</v>
      </c>
      <c r="J2536" s="39" t="s">
        <v>1478</v>
      </c>
      <c r="K2536" s="39" t="s">
        <v>2122</v>
      </c>
      <c r="L2536" s="39" t="s">
        <v>7830</v>
      </c>
      <c r="M2536" s="39" t="s">
        <v>7831</v>
      </c>
      <c r="N2536" s="39" t="str">
        <f>("0130442")</f>
        <v>0130442</v>
      </c>
      <c r="P2536" s="39" t="s">
        <v>13981</v>
      </c>
      <c r="Q2536" s="39" t="s">
        <v>8568</v>
      </c>
      <c r="R2536" s="39" t="s">
        <v>8569</v>
      </c>
      <c r="S2536" s="39" t="s">
        <v>8570</v>
      </c>
      <c r="AK2536" s="39" t="str">
        <f>("2025/04/14")</f>
        <v>2025/04/14</v>
      </c>
      <c r="AL2536" s="39" t="str">
        <f>("2025/04/14")</f>
        <v>2025/04/14</v>
      </c>
    </row>
    <row r="2537" spans="1:38" x14ac:dyDescent="0.25">
      <c r="A2537" s="39" t="str">
        <f>("1612270128")</f>
        <v>1612270128</v>
      </c>
      <c r="B2537" s="39" t="s">
        <v>10084</v>
      </c>
      <c r="C2537" s="39"/>
      <c r="D2537" s="39" t="s">
        <v>10085</v>
      </c>
      <c r="E2537" s="371" t="str">
        <f t="shared" si="191"/>
        <v>しゅとう　りん</v>
      </c>
      <c r="F2537" s="39" t="s">
        <v>8050</v>
      </c>
      <c r="G2537" s="39" t="s">
        <v>7828</v>
      </c>
      <c r="H2537" s="39" t="str">
        <f>("2016/12/27")</f>
        <v>2016/12/27</v>
      </c>
      <c r="I2537" s="39">
        <v>3</v>
      </c>
      <c r="J2537" s="39" t="s">
        <v>1478</v>
      </c>
      <c r="K2537" s="39" t="s">
        <v>2122</v>
      </c>
      <c r="L2537" s="39" t="s">
        <v>7830</v>
      </c>
      <c r="M2537" s="39" t="s">
        <v>7831</v>
      </c>
      <c r="N2537" s="39" t="str">
        <f>("0130015")</f>
        <v>0130015</v>
      </c>
      <c r="P2537" s="39" t="s">
        <v>13982</v>
      </c>
      <c r="Q2537" s="39" t="s">
        <v>8568</v>
      </c>
      <c r="R2537" s="39" t="s">
        <v>8569</v>
      </c>
      <c r="S2537" s="39" t="s">
        <v>8570</v>
      </c>
      <c r="AK2537" s="39" t="str">
        <f>("2025/09/30")</f>
        <v>2025/09/30</v>
      </c>
      <c r="AL2537" s="39" t="str">
        <f>("2025/09/30")</f>
        <v>2025/09/30</v>
      </c>
    </row>
    <row r="2538" spans="1:38" x14ac:dyDescent="0.25">
      <c r="A2538" s="39" t="str">
        <f>("1612300014")</f>
        <v>1612300014</v>
      </c>
      <c r="C2538" s="39"/>
      <c r="D2538" s="39" t="s">
        <v>10086</v>
      </c>
      <c r="E2538" s="371" t="str">
        <f t="shared" si="191"/>
        <v>みやざき　たいち</v>
      </c>
      <c r="F2538" s="39" t="s">
        <v>928</v>
      </c>
      <c r="G2538" s="39" t="s">
        <v>7828</v>
      </c>
      <c r="H2538" s="39" t="str">
        <f>("2016/12/30")</f>
        <v>2016/12/30</v>
      </c>
      <c r="I2538" s="39">
        <v>3</v>
      </c>
      <c r="J2538" s="39" t="s">
        <v>1478</v>
      </c>
      <c r="K2538" s="39" t="s">
        <v>2122</v>
      </c>
      <c r="L2538" s="39" t="s">
        <v>7830</v>
      </c>
      <c r="M2538" s="39" t="s">
        <v>7831</v>
      </c>
      <c r="N2538" s="39" t="str">
        <f>("0130532")</f>
        <v>0130532</v>
      </c>
      <c r="P2538" s="39" t="s">
        <v>13983</v>
      </c>
      <c r="Q2538" s="39" t="s">
        <v>8568</v>
      </c>
      <c r="R2538" s="39" t="s">
        <v>8569</v>
      </c>
      <c r="S2538" s="39" t="s">
        <v>8570</v>
      </c>
      <c r="AK2538" s="39" t="str">
        <f>("2025/03/17")</f>
        <v>2025/03/17</v>
      </c>
      <c r="AL2538" s="39" t="str">
        <f>("2025/04/01")</f>
        <v>2025/04/01</v>
      </c>
    </row>
    <row r="2539" spans="1:38" x14ac:dyDescent="0.25">
      <c r="A2539" s="39" t="str">
        <f>("1612300070")</f>
        <v>1612300070</v>
      </c>
      <c r="C2539" s="39"/>
      <c r="D2539" s="39" t="s">
        <v>10087</v>
      </c>
      <c r="E2539" s="371" t="str">
        <f t="shared" si="191"/>
        <v>ひろせ　つかさ</v>
      </c>
      <c r="F2539" s="39" t="s">
        <v>2350</v>
      </c>
      <c r="G2539" s="39" t="s">
        <v>7828</v>
      </c>
      <c r="H2539" s="39" t="str">
        <f>("2016/12/30")</f>
        <v>2016/12/30</v>
      </c>
      <c r="I2539" s="39">
        <v>3</v>
      </c>
      <c r="J2539" s="39" t="s">
        <v>1478</v>
      </c>
      <c r="K2539" s="39" t="s">
        <v>2122</v>
      </c>
      <c r="L2539" s="39" t="s">
        <v>7830</v>
      </c>
      <c r="M2539" s="39" t="s">
        <v>7831</v>
      </c>
      <c r="N2539" s="39" t="str">
        <f>("0360032")</f>
        <v>0360032</v>
      </c>
      <c r="P2539" s="39" t="s">
        <v>13984</v>
      </c>
      <c r="Q2539" s="39" t="s">
        <v>8568</v>
      </c>
      <c r="R2539" s="39" t="s">
        <v>8569</v>
      </c>
      <c r="S2539" s="39" t="s">
        <v>8570</v>
      </c>
      <c r="AK2539" s="39" t="str">
        <f>("2025/09/03")</f>
        <v>2025/09/03</v>
      </c>
      <c r="AL2539" s="39" t="str">
        <f>("2025/09/03")</f>
        <v>2025/09/03</v>
      </c>
    </row>
    <row r="2540" spans="1:38" x14ac:dyDescent="0.25">
      <c r="A2540" s="39" t="str">
        <f>("1701020005")</f>
        <v>1701020005</v>
      </c>
      <c r="B2540" s="39" t="s">
        <v>10088</v>
      </c>
      <c r="C2540" s="39"/>
      <c r="D2540" s="39" t="s">
        <v>10089</v>
      </c>
      <c r="E2540" s="371" t="str">
        <f t="shared" si="191"/>
        <v>みやた　かいり</v>
      </c>
      <c r="F2540" s="39" t="s">
        <v>5620</v>
      </c>
      <c r="G2540" s="39" t="s">
        <v>7828</v>
      </c>
      <c r="H2540" s="39" t="str">
        <f>("2017/01/02")</f>
        <v>2017/01/02</v>
      </c>
      <c r="I2540" s="39">
        <v>3</v>
      </c>
      <c r="J2540" s="39" t="s">
        <v>1478</v>
      </c>
      <c r="K2540" s="39" t="s">
        <v>2122</v>
      </c>
      <c r="L2540" s="39" t="s">
        <v>7830</v>
      </c>
      <c r="M2540" s="39" t="s">
        <v>7831</v>
      </c>
      <c r="N2540" s="39" t="str">
        <f>("1101553")</f>
        <v>1101553</v>
      </c>
      <c r="P2540" s="39" t="s">
        <v>13985</v>
      </c>
      <c r="Q2540" s="39" t="s">
        <v>8568</v>
      </c>
      <c r="R2540" s="39" t="s">
        <v>8569</v>
      </c>
      <c r="S2540" s="39" t="s">
        <v>8570</v>
      </c>
      <c r="AK2540" s="39" t="str">
        <f>("2025/03/19")</f>
        <v>2025/03/19</v>
      </c>
      <c r="AL2540" s="39" t="str">
        <f>("2025/04/01")</f>
        <v>2025/04/01</v>
      </c>
    </row>
    <row r="2541" spans="1:38" x14ac:dyDescent="0.25">
      <c r="A2541" s="39" t="str">
        <f>("1701020057")</f>
        <v>1701020057</v>
      </c>
      <c r="C2541" s="39"/>
      <c r="D2541" s="39" t="s">
        <v>10090</v>
      </c>
      <c r="E2541" s="371" t="str">
        <f t="shared" si="191"/>
        <v>ほんま　あおと</v>
      </c>
      <c r="F2541" s="39" t="s">
        <v>1190</v>
      </c>
      <c r="G2541" s="39" t="s">
        <v>7828</v>
      </c>
      <c r="H2541" s="39" t="str">
        <f>("2017/01/02")</f>
        <v>2017/01/02</v>
      </c>
      <c r="I2541" s="39">
        <v>3</v>
      </c>
      <c r="J2541" s="39" t="s">
        <v>1478</v>
      </c>
      <c r="K2541" s="39" t="s">
        <v>2122</v>
      </c>
      <c r="L2541" s="39" t="s">
        <v>7830</v>
      </c>
      <c r="M2541" s="39" t="s">
        <v>7831</v>
      </c>
      <c r="N2541" s="39" t="str">
        <f>("0130554")</f>
        <v>0130554</v>
      </c>
      <c r="P2541" s="39" t="s">
        <v>13986</v>
      </c>
      <c r="Q2541" s="39" t="s">
        <v>8568</v>
      </c>
      <c r="R2541" s="39" t="s">
        <v>8569</v>
      </c>
      <c r="S2541" s="39" t="s">
        <v>8570</v>
      </c>
      <c r="AK2541" s="39" t="str">
        <f>("2025/03/17")</f>
        <v>2025/03/17</v>
      </c>
      <c r="AL2541" s="39" t="str">
        <f>("2025/04/01")</f>
        <v>2025/04/01</v>
      </c>
    </row>
    <row r="2542" spans="1:38" x14ac:dyDescent="0.25">
      <c r="A2542" s="39" t="str">
        <f>("1701020080")</f>
        <v>1701020080</v>
      </c>
      <c r="C2542" s="39"/>
      <c r="D2542" s="39" t="s">
        <v>10091</v>
      </c>
      <c r="E2542" s="371" t="str">
        <f t="shared" si="191"/>
        <v>くろき　しょうた</v>
      </c>
      <c r="F2542" s="39" t="s">
        <v>2573</v>
      </c>
      <c r="G2542" s="39" t="s">
        <v>7828</v>
      </c>
      <c r="H2542" s="39" t="str">
        <f>("2017/01/02")</f>
        <v>2017/01/02</v>
      </c>
      <c r="I2542" s="39">
        <v>3</v>
      </c>
      <c r="J2542" s="39" t="s">
        <v>1478</v>
      </c>
      <c r="K2542" s="39" t="s">
        <v>2122</v>
      </c>
      <c r="L2542" s="39" t="s">
        <v>7830</v>
      </c>
      <c r="M2542" s="39" t="s">
        <v>7831</v>
      </c>
      <c r="N2542" s="39" t="str">
        <f>("0230982")</f>
        <v>0230982</v>
      </c>
      <c r="P2542" s="39" t="s">
        <v>13987</v>
      </c>
      <c r="Q2542" s="39" t="s">
        <v>8568</v>
      </c>
      <c r="R2542" s="39" t="s">
        <v>8569</v>
      </c>
      <c r="S2542" s="39" t="s">
        <v>8570</v>
      </c>
      <c r="AK2542" s="39" t="str">
        <f>("2025/10/07")</f>
        <v>2025/10/07</v>
      </c>
      <c r="AL2542" s="39" t="str">
        <f>("2025/10/07")</f>
        <v>2025/10/07</v>
      </c>
    </row>
    <row r="2543" spans="1:38" x14ac:dyDescent="0.25">
      <c r="A2543" s="39" t="str">
        <f>("1701040069")</f>
        <v>1701040069</v>
      </c>
      <c r="C2543" s="39"/>
      <c r="D2543" s="39" t="s">
        <v>10092</v>
      </c>
      <c r="E2543" s="371" t="str">
        <f t="shared" si="191"/>
        <v>かく　あおい</v>
      </c>
      <c r="F2543" s="39" t="s">
        <v>334</v>
      </c>
      <c r="G2543" s="39" t="s">
        <v>7828</v>
      </c>
      <c r="H2543" s="39" t="str">
        <f>("2017/01/04")</f>
        <v>2017/01/04</v>
      </c>
      <c r="I2543" s="39">
        <v>3</v>
      </c>
      <c r="J2543" s="39" t="s">
        <v>1480</v>
      </c>
      <c r="K2543" s="39" t="s">
        <v>2122</v>
      </c>
      <c r="L2543" s="39" t="s">
        <v>7830</v>
      </c>
      <c r="M2543" s="39" t="s">
        <v>7831</v>
      </c>
      <c r="N2543" s="39" t="str">
        <f>("0129664")</f>
        <v>0129664</v>
      </c>
      <c r="P2543" s="39" t="s">
        <v>13988</v>
      </c>
      <c r="Q2543" s="39" t="s">
        <v>8568</v>
      </c>
      <c r="R2543" s="39" t="s">
        <v>8569</v>
      </c>
      <c r="S2543" s="39" t="s">
        <v>8570</v>
      </c>
      <c r="AK2543" s="39" t="str">
        <f>("2025/03/17")</f>
        <v>2025/03/17</v>
      </c>
      <c r="AL2543" s="39" t="str">
        <f t="shared" ref="AL2543:AL2549" si="193">("2025/04/01")</f>
        <v>2025/04/01</v>
      </c>
    </row>
    <row r="2544" spans="1:38" x14ac:dyDescent="0.25">
      <c r="A2544" s="39" t="str">
        <f>("1701040076")</f>
        <v>1701040076</v>
      </c>
      <c r="C2544" s="39"/>
      <c r="D2544" s="39" t="s">
        <v>10093</v>
      </c>
      <c r="E2544" s="371" t="str">
        <f t="shared" si="191"/>
        <v>あかお　のあ</v>
      </c>
      <c r="F2544" s="39" t="s">
        <v>2485</v>
      </c>
      <c r="G2544" s="39" t="s">
        <v>7828</v>
      </c>
      <c r="H2544" s="39" t="str">
        <f>("2017/01/04")</f>
        <v>2017/01/04</v>
      </c>
      <c r="I2544" s="39">
        <v>3</v>
      </c>
      <c r="J2544" s="39" t="s">
        <v>1480</v>
      </c>
      <c r="K2544" s="39" t="s">
        <v>2122</v>
      </c>
      <c r="L2544" s="39" t="s">
        <v>7830</v>
      </c>
      <c r="M2544" s="39" t="s">
        <v>7831</v>
      </c>
      <c r="N2544" s="39" t="str">
        <f>("0129754")</f>
        <v>0129754</v>
      </c>
      <c r="P2544" s="39" t="s">
        <v>13989</v>
      </c>
      <c r="Q2544" s="39" t="s">
        <v>8568</v>
      </c>
      <c r="R2544" s="39" t="s">
        <v>8569</v>
      </c>
      <c r="S2544" s="39" t="s">
        <v>8570</v>
      </c>
      <c r="AK2544" s="39" t="str">
        <f>("2025/03/24")</f>
        <v>2025/03/24</v>
      </c>
      <c r="AL2544" s="39" t="str">
        <f t="shared" si="193"/>
        <v>2025/04/01</v>
      </c>
    </row>
    <row r="2545" spans="1:39" x14ac:dyDescent="0.25">
      <c r="A2545" s="39" t="str">
        <f>("1701040104")</f>
        <v>1701040104</v>
      </c>
      <c r="B2545" s="39" t="s">
        <v>10094</v>
      </c>
      <c r="C2545" s="39"/>
      <c r="D2545" s="39" t="s">
        <v>10095</v>
      </c>
      <c r="E2545" s="371" t="str">
        <f t="shared" si="191"/>
        <v>おの　はると</v>
      </c>
      <c r="F2545" s="39" t="s">
        <v>2485</v>
      </c>
      <c r="G2545" s="39" t="s">
        <v>7828</v>
      </c>
      <c r="H2545" s="39" t="str">
        <f>("2017/01/04")</f>
        <v>2017/01/04</v>
      </c>
      <c r="I2545" s="39">
        <v>3</v>
      </c>
      <c r="J2545" s="39" t="s">
        <v>1478</v>
      </c>
      <c r="K2545" s="39" t="s">
        <v>2122</v>
      </c>
      <c r="L2545" s="39" t="s">
        <v>7830</v>
      </c>
      <c r="M2545" s="39" t="s">
        <v>7831</v>
      </c>
      <c r="N2545" s="39" t="str">
        <f>("0129754")</f>
        <v>0129754</v>
      </c>
      <c r="P2545" s="39" t="s">
        <v>13990</v>
      </c>
      <c r="Q2545" s="39" t="s">
        <v>8568</v>
      </c>
      <c r="R2545" s="39" t="s">
        <v>8569</v>
      </c>
      <c r="S2545" s="39" t="s">
        <v>8570</v>
      </c>
      <c r="AK2545" s="39" t="str">
        <f>("2025/03/24")</f>
        <v>2025/03/24</v>
      </c>
      <c r="AL2545" s="39" t="str">
        <f t="shared" si="193"/>
        <v>2025/04/01</v>
      </c>
      <c r="AM2545" s="39" t="str">
        <f>("2025/07/28")</f>
        <v>2025/07/28</v>
      </c>
    </row>
    <row r="2546" spans="1:39" x14ac:dyDescent="0.25">
      <c r="A2546" s="39" t="str">
        <f>("1701050031")</f>
        <v>1701050031</v>
      </c>
      <c r="C2546" s="39"/>
      <c r="D2546" s="39" t="s">
        <v>5883</v>
      </c>
      <c r="E2546" s="371" t="str">
        <f t="shared" si="191"/>
        <v>かまはら　あきと</v>
      </c>
      <c r="F2546" s="39" t="s">
        <v>4220</v>
      </c>
      <c r="G2546" s="39" t="s">
        <v>7828</v>
      </c>
      <c r="H2546" s="39" t="str">
        <f>("2017/01/05")</f>
        <v>2017/01/05</v>
      </c>
      <c r="I2546" s="39">
        <v>3</v>
      </c>
      <c r="J2546" s="39" t="s">
        <v>1478</v>
      </c>
      <c r="K2546" s="39" t="s">
        <v>2122</v>
      </c>
      <c r="L2546" s="39" t="s">
        <v>7830</v>
      </c>
      <c r="M2546" s="39" t="s">
        <v>7831</v>
      </c>
      <c r="N2546" s="39" t="str">
        <f>("0130543")</f>
        <v>0130543</v>
      </c>
      <c r="P2546" s="39" t="s">
        <v>13991</v>
      </c>
      <c r="Q2546" s="39" t="s">
        <v>8568</v>
      </c>
      <c r="R2546" s="39" t="s">
        <v>8569</v>
      </c>
      <c r="S2546" s="39" t="s">
        <v>8570</v>
      </c>
      <c r="AK2546" s="39" t="str">
        <f>("2025/03/17")</f>
        <v>2025/03/17</v>
      </c>
      <c r="AL2546" s="39" t="str">
        <f t="shared" si="193"/>
        <v>2025/04/01</v>
      </c>
    </row>
    <row r="2547" spans="1:39" x14ac:dyDescent="0.25">
      <c r="A2547" s="39" t="str">
        <f>("1701050087")</f>
        <v>1701050087</v>
      </c>
      <c r="C2547" s="39"/>
      <c r="D2547" s="39" t="s">
        <v>10096</v>
      </c>
      <c r="E2547" s="371" t="str">
        <f t="shared" si="191"/>
        <v>にし　とうま</v>
      </c>
      <c r="F2547" s="39" t="s">
        <v>1330</v>
      </c>
      <c r="G2547" s="39" t="s">
        <v>7828</v>
      </c>
      <c r="H2547" s="39" t="str">
        <f>("2017/01/05")</f>
        <v>2017/01/05</v>
      </c>
      <c r="I2547" s="39">
        <v>3</v>
      </c>
      <c r="J2547" s="39" t="s">
        <v>1478</v>
      </c>
      <c r="K2547" s="39" t="s">
        <v>2122</v>
      </c>
      <c r="L2547" s="39" t="s">
        <v>7830</v>
      </c>
      <c r="M2547" s="39" t="s">
        <v>7831</v>
      </c>
      <c r="N2547" s="39" t="str">
        <f>("0130598")</f>
        <v>0130598</v>
      </c>
      <c r="P2547" s="39" t="s">
        <v>13992</v>
      </c>
      <c r="Q2547" s="39" t="s">
        <v>8568</v>
      </c>
      <c r="R2547" s="39" t="s">
        <v>8569</v>
      </c>
      <c r="S2547" s="39" t="s">
        <v>8570</v>
      </c>
      <c r="AK2547" s="39" t="str">
        <f>("2025/03/17")</f>
        <v>2025/03/17</v>
      </c>
      <c r="AL2547" s="39" t="str">
        <f t="shared" si="193"/>
        <v>2025/04/01</v>
      </c>
    </row>
    <row r="2548" spans="1:39" x14ac:dyDescent="0.25">
      <c r="A2548" s="39" t="str">
        <f>("1701050091")</f>
        <v>1701050091</v>
      </c>
      <c r="C2548" s="39"/>
      <c r="D2548" s="39" t="s">
        <v>10097</v>
      </c>
      <c r="E2548" s="371" t="str">
        <f t="shared" si="191"/>
        <v>むらかみ　びゃくや</v>
      </c>
      <c r="F2548" s="39" t="s">
        <v>2496</v>
      </c>
      <c r="G2548" s="39" t="s">
        <v>7828</v>
      </c>
      <c r="H2548" s="39" t="str">
        <f>("2017/01/05")</f>
        <v>2017/01/05</v>
      </c>
      <c r="I2548" s="39">
        <v>3</v>
      </c>
      <c r="J2548" s="39" t="s">
        <v>1478</v>
      </c>
      <c r="K2548" s="39" t="s">
        <v>2122</v>
      </c>
      <c r="L2548" s="39" t="s">
        <v>7830</v>
      </c>
      <c r="M2548" s="39" t="s">
        <v>7831</v>
      </c>
      <c r="N2548" s="39" t="str">
        <f>("0129855")</f>
        <v>0129855</v>
      </c>
      <c r="P2548" s="39" t="s">
        <v>13993</v>
      </c>
      <c r="Q2548" s="39" t="s">
        <v>8568</v>
      </c>
      <c r="R2548" s="39" t="s">
        <v>8569</v>
      </c>
      <c r="S2548" s="39" t="s">
        <v>8570</v>
      </c>
      <c r="AK2548" s="39" t="str">
        <f>("2025/03/24")</f>
        <v>2025/03/24</v>
      </c>
      <c r="AL2548" s="39" t="str">
        <f t="shared" si="193"/>
        <v>2025/04/01</v>
      </c>
    </row>
    <row r="2549" spans="1:39" x14ac:dyDescent="0.25">
      <c r="A2549" s="39" t="str">
        <f>("1701070001")</f>
        <v>1701070001</v>
      </c>
      <c r="B2549" s="39" t="s">
        <v>10098</v>
      </c>
      <c r="C2549" s="39"/>
      <c r="D2549" s="39" t="s">
        <v>10099</v>
      </c>
      <c r="E2549" s="371" t="str">
        <f t="shared" si="191"/>
        <v>なかぼり　えいと</v>
      </c>
      <c r="F2549" s="39" t="s">
        <v>5615</v>
      </c>
      <c r="G2549" s="39" t="s">
        <v>7828</v>
      </c>
      <c r="H2549" s="39" t="str">
        <f>("2017/01/07")</f>
        <v>2017/01/07</v>
      </c>
      <c r="I2549" s="39">
        <v>3</v>
      </c>
      <c r="J2549" s="39" t="s">
        <v>1478</v>
      </c>
      <c r="K2549" s="39" t="s">
        <v>2122</v>
      </c>
      <c r="L2549" s="39" t="s">
        <v>7830</v>
      </c>
      <c r="M2549" s="39" t="s">
        <v>7831</v>
      </c>
      <c r="N2549" s="39" t="str">
        <f>("0129642")</f>
        <v>0129642</v>
      </c>
      <c r="P2549" s="39" t="s">
        <v>13994</v>
      </c>
      <c r="Q2549" s="39" t="s">
        <v>8568</v>
      </c>
      <c r="R2549" s="39" t="s">
        <v>8569</v>
      </c>
      <c r="S2549" s="39" t="s">
        <v>8570</v>
      </c>
      <c r="AK2549" s="39" t="str">
        <f>("2025/03/24")</f>
        <v>2025/03/24</v>
      </c>
      <c r="AL2549" s="39" t="str">
        <f t="shared" si="193"/>
        <v>2025/04/01</v>
      </c>
    </row>
    <row r="2550" spans="1:39" x14ac:dyDescent="0.25">
      <c r="A2550" s="39" t="str">
        <f>("1701100087")</f>
        <v>1701100087</v>
      </c>
      <c r="C2550" s="39"/>
      <c r="D2550" s="39" t="s">
        <v>10100</v>
      </c>
      <c r="E2550" s="371" t="str">
        <f t="shared" si="191"/>
        <v>あない　おうき</v>
      </c>
      <c r="F2550" s="39" t="s">
        <v>2477</v>
      </c>
      <c r="G2550" s="39" t="s">
        <v>7828</v>
      </c>
      <c r="H2550" s="39" t="str">
        <f>("2017/01/10")</f>
        <v>2017/01/10</v>
      </c>
      <c r="I2550" s="39">
        <v>3</v>
      </c>
      <c r="J2550" s="39" t="s">
        <v>1478</v>
      </c>
      <c r="K2550" s="39" t="s">
        <v>2122</v>
      </c>
      <c r="L2550" s="39" t="s">
        <v>7830</v>
      </c>
      <c r="M2550" s="39" t="s">
        <v>7831</v>
      </c>
      <c r="N2550" s="39" t="str">
        <f>("0129541")</f>
        <v>0129541</v>
      </c>
      <c r="P2550" s="39" t="s">
        <v>13995</v>
      </c>
      <c r="Q2550" s="39" t="s">
        <v>8568</v>
      </c>
      <c r="R2550" s="39" t="s">
        <v>8569</v>
      </c>
      <c r="S2550" s="39" t="s">
        <v>8570</v>
      </c>
      <c r="AK2550" s="39" t="str">
        <f>("2025/05/12")</f>
        <v>2025/05/12</v>
      </c>
      <c r="AL2550" s="39" t="str">
        <f>("2025/05/12")</f>
        <v>2025/05/12</v>
      </c>
    </row>
    <row r="2551" spans="1:39" x14ac:dyDescent="0.25">
      <c r="A2551" s="39" t="str">
        <f>("1701100096")</f>
        <v>1701100096</v>
      </c>
      <c r="C2551" s="39"/>
      <c r="D2551" s="39" t="s">
        <v>10101</v>
      </c>
      <c r="E2551" s="371" t="str">
        <f t="shared" si="191"/>
        <v>わかばやし　りく</v>
      </c>
      <c r="F2551" s="39" t="s">
        <v>2544</v>
      </c>
      <c r="G2551" s="39" t="s">
        <v>7828</v>
      </c>
      <c r="H2551" s="39" t="str">
        <f>("2017/01/10")</f>
        <v>2017/01/10</v>
      </c>
      <c r="I2551" s="39">
        <v>3</v>
      </c>
      <c r="J2551" s="39" t="s">
        <v>1478</v>
      </c>
      <c r="K2551" s="39" t="s">
        <v>2122</v>
      </c>
      <c r="L2551" s="39" t="s">
        <v>7830</v>
      </c>
      <c r="M2551" s="39" t="s">
        <v>7831</v>
      </c>
      <c r="N2551" s="39" t="str">
        <f>("0130644")</f>
        <v>0130644</v>
      </c>
      <c r="P2551" s="39" t="s">
        <v>13996</v>
      </c>
      <c r="Q2551" s="39" t="s">
        <v>8568</v>
      </c>
      <c r="R2551" s="39" t="s">
        <v>8569</v>
      </c>
      <c r="S2551" s="39" t="s">
        <v>8570</v>
      </c>
      <c r="AK2551" s="39" t="str">
        <f>("2025/06/24")</f>
        <v>2025/06/24</v>
      </c>
      <c r="AL2551" s="39" t="str">
        <f>("2025/06/24")</f>
        <v>2025/06/24</v>
      </c>
    </row>
    <row r="2552" spans="1:39" x14ac:dyDescent="0.25">
      <c r="A2552" s="39" t="str">
        <f>("1701120017")</f>
        <v>1701120017</v>
      </c>
      <c r="C2552" s="39"/>
      <c r="D2552" s="39" t="s">
        <v>10102</v>
      </c>
      <c r="E2552" s="371" t="str">
        <f t="shared" si="191"/>
        <v>おおつか　けんと</v>
      </c>
      <c r="F2552" s="39" t="s">
        <v>2575</v>
      </c>
      <c r="G2552" s="39" t="s">
        <v>7828</v>
      </c>
      <c r="H2552" s="39" t="str">
        <f>("2017/01/12")</f>
        <v>2017/01/12</v>
      </c>
      <c r="I2552" s="39">
        <v>3</v>
      </c>
      <c r="J2552" s="39" t="s">
        <v>1478</v>
      </c>
      <c r="K2552" s="39" t="s">
        <v>2122</v>
      </c>
      <c r="L2552" s="39" t="s">
        <v>7830</v>
      </c>
      <c r="M2552" s="39" t="s">
        <v>7831</v>
      </c>
      <c r="N2552" s="39" t="str">
        <f>("0303040")</f>
        <v>0303040</v>
      </c>
      <c r="P2552" s="39" t="s">
        <v>13997</v>
      </c>
      <c r="Q2552" s="39" t="s">
        <v>8568</v>
      </c>
      <c r="R2552" s="39" t="s">
        <v>8569</v>
      </c>
      <c r="S2552" s="39" t="s">
        <v>8570</v>
      </c>
      <c r="AK2552" s="39" t="str">
        <f>("2025/03/17")</f>
        <v>2025/03/17</v>
      </c>
      <c r="AL2552" s="39" t="str">
        <f>("2025/04/01")</f>
        <v>2025/04/01</v>
      </c>
    </row>
    <row r="2553" spans="1:39" x14ac:dyDescent="0.25">
      <c r="A2553" s="39" t="str">
        <f>("1701120066")</f>
        <v>1701120066</v>
      </c>
      <c r="C2553" s="39"/>
      <c r="D2553" s="39" t="s">
        <v>10103</v>
      </c>
      <c r="E2553" s="371" t="str">
        <f t="shared" si="191"/>
        <v>よしだ　こうた</v>
      </c>
      <c r="F2553" s="39" t="s">
        <v>1330</v>
      </c>
      <c r="G2553" s="39" t="s">
        <v>7828</v>
      </c>
      <c r="H2553" s="39" t="str">
        <f>("2017/01/12")</f>
        <v>2017/01/12</v>
      </c>
      <c r="I2553" s="39">
        <v>3</v>
      </c>
      <c r="J2553" s="39" t="s">
        <v>1478</v>
      </c>
      <c r="K2553" s="39" t="s">
        <v>2122</v>
      </c>
      <c r="L2553" s="39" t="s">
        <v>7830</v>
      </c>
      <c r="M2553" s="39" t="s">
        <v>7831</v>
      </c>
      <c r="N2553" s="39" t="str">
        <f>("0130598")</f>
        <v>0130598</v>
      </c>
      <c r="P2553" s="39" t="s">
        <v>13998</v>
      </c>
      <c r="Q2553" s="39" t="s">
        <v>8568</v>
      </c>
      <c r="R2553" s="39" t="s">
        <v>8569</v>
      </c>
      <c r="S2553" s="39" t="s">
        <v>8570</v>
      </c>
      <c r="AK2553" s="39" t="str">
        <f>("2025/03/17")</f>
        <v>2025/03/17</v>
      </c>
      <c r="AL2553" s="39" t="str">
        <f>("2025/04/01")</f>
        <v>2025/04/01</v>
      </c>
    </row>
    <row r="2554" spans="1:39" x14ac:dyDescent="0.25">
      <c r="A2554" s="39" t="str">
        <f>("1701130019")</f>
        <v>1701130019</v>
      </c>
      <c r="C2554" s="39"/>
      <c r="D2554" s="39" t="s">
        <v>10104</v>
      </c>
      <c r="E2554" s="371" t="str">
        <f t="shared" si="191"/>
        <v>のむら　そうた</v>
      </c>
      <c r="F2554" s="39" t="s">
        <v>1190</v>
      </c>
      <c r="G2554" s="39" t="s">
        <v>7828</v>
      </c>
      <c r="H2554" s="39" t="str">
        <f>("2017/01/13")</f>
        <v>2017/01/13</v>
      </c>
      <c r="I2554" s="39">
        <v>3</v>
      </c>
      <c r="J2554" s="39" t="s">
        <v>1478</v>
      </c>
      <c r="K2554" s="39" t="s">
        <v>2122</v>
      </c>
      <c r="L2554" s="39" t="s">
        <v>7830</v>
      </c>
      <c r="M2554" s="39" t="s">
        <v>7831</v>
      </c>
      <c r="N2554" s="39" t="str">
        <f>("0130554")</f>
        <v>0130554</v>
      </c>
      <c r="P2554" s="39" t="s">
        <v>13999</v>
      </c>
      <c r="Q2554" s="39" t="s">
        <v>8568</v>
      </c>
      <c r="R2554" s="39" t="s">
        <v>8569</v>
      </c>
      <c r="S2554" s="39" t="s">
        <v>8570</v>
      </c>
      <c r="AK2554" s="39" t="str">
        <f>("2025/03/17")</f>
        <v>2025/03/17</v>
      </c>
      <c r="AL2554" s="39" t="str">
        <f>("2025/04/01")</f>
        <v>2025/04/01</v>
      </c>
    </row>
    <row r="2555" spans="1:39" x14ac:dyDescent="0.25">
      <c r="A2555" s="39" t="str">
        <f>("1701130043")</f>
        <v>1701130043</v>
      </c>
      <c r="C2555" s="39"/>
      <c r="D2555" s="39" t="s">
        <v>10105</v>
      </c>
      <c r="E2555" s="371" t="str">
        <f t="shared" si="191"/>
        <v>うの　ゆいと</v>
      </c>
      <c r="F2555" s="39" t="s">
        <v>2469</v>
      </c>
      <c r="G2555" s="39" t="s">
        <v>7828</v>
      </c>
      <c r="H2555" s="39" t="str">
        <f>("2017/01/13")</f>
        <v>2017/01/13</v>
      </c>
      <c r="I2555" s="39">
        <v>3</v>
      </c>
      <c r="J2555" s="39" t="s">
        <v>1478</v>
      </c>
      <c r="K2555" s="39" t="s">
        <v>2122</v>
      </c>
      <c r="L2555" s="39" t="s">
        <v>7830</v>
      </c>
      <c r="M2555" s="39" t="s">
        <v>7831</v>
      </c>
      <c r="N2555" s="39" t="str">
        <f>("0129462")</f>
        <v>0129462</v>
      </c>
      <c r="P2555" s="39" t="s">
        <v>14000</v>
      </c>
      <c r="Q2555" s="39" t="s">
        <v>8568</v>
      </c>
      <c r="R2555" s="39" t="s">
        <v>8569</v>
      </c>
      <c r="S2555" s="39" t="s">
        <v>8570</v>
      </c>
      <c r="AK2555" s="39" t="str">
        <f>("2025/03/21")</f>
        <v>2025/03/21</v>
      </c>
      <c r="AL2555" s="39" t="str">
        <f>("2025/04/01")</f>
        <v>2025/04/01</v>
      </c>
    </row>
    <row r="2556" spans="1:39" x14ac:dyDescent="0.25">
      <c r="A2556" s="39" t="str">
        <f>("1701130108")</f>
        <v>1701130108</v>
      </c>
      <c r="C2556" s="39"/>
      <c r="D2556" s="39" t="s">
        <v>10106</v>
      </c>
      <c r="E2556" s="371" t="str">
        <f t="shared" si="191"/>
        <v>きもと　たかはる</v>
      </c>
      <c r="F2556" s="39" t="s">
        <v>686</v>
      </c>
      <c r="G2556" s="39" t="s">
        <v>7828</v>
      </c>
      <c r="H2556" s="39" t="str">
        <f>("2017/01/13")</f>
        <v>2017/01/13</v>
      </c>
      <c r="I2556" s="39">
        <v>3</v>
      </c>
      <c r="J2556" s="39" t="s">
        <v>1478</v>
      </c>
      <c r="K2556" s="39" t="s">
        <v>2122</v>
      </c>
      <c r="L2556" s="39" t="s">
        <v>7830</v>
      </c>
      <c r="M2556" s="39" t="s">
        <v>7831</v>
      </c>
      <c r="N2556" s="39" t="str">
        <f>("0130745")</f>
        <v>0130745</v>
      </c>
      <c r="P2556" s="39" t="s">
        <v>14001</v>
      </c>
      <c r="Q2556" s="39" t="s">
        <v>8568</v>
      </c>
      <c r="R2556" s="39" t="s">
        <v>8569</v>
      </c>
      <c r="S2556" s="39" t="s">
        <v>8570</v>
      </c>
      <c r="AK2556" s="39" t="str">
        <f>("2025/09/04")</f>
        <v>2025/09/04</v>
      </c>
      <c r="AL2556" s="39" t="str">
        <f>("2025/09/04")</f>
        <v>2025/09/04</v>
      </c>
    </row>
    <row r="2557" spans="1:39" x14ac:dyDescent="0.25">
      <c r="A2557" s="39" t="str">
        <f>("1701150003")</f>
        <v>1701150003</v>
      </c>
      <c r="B2557" s="39" t="s">
        <v>10107</v>
      </c>
      <c r="C2557" s="39"/>
      <c r="D2557" s="39" t="s">
        <v>10108</v>
      </c>
      <c r="E2557" s="371" t="str">
        <f t="shared" si="191"/>
        <v>いたきよ　あさひ</v>
      </c>
      <c r="F2557" s="39" t="s">
        <v>1912</v>
      </c>
      <c r="G2557" s="39" t="s">
        <v>7828</v>
      </c>
      <c r="H2557" s="39" t="str">
        <f>("2017/01/15")</f>
        <v>2017/01/15</v>
      </c>
      <c r="I2557" s="39">
        <v>3</v>
      </c>
      <c r="J2557" s="39" t="s">
        <v>1478</v>
      </c>
      <c r="K2557" s="39" t="s">
        <v>2122</v>
      </c>
      <c r="L2557" s="39" t="s">
        <v>7830</v>
      </c>
      <c r="M2557" s="39" t="s">
        <v>7831</v>
      </c>
      <c r="N2557" s="39" t="str">
        <f>("0130363")</f>
        <v>0130363</v>
      </c>
      <c r="P2557" s="39" t="s">
        <v>14002</v>
      </c>
      <c r="Q2557" s="39" t="s">
        <v>8568</v>
      </c>
      <c r="R2557" s="39" t="s">
        <v>8569</v>
      </c>
      <c r="S2557" s="39" t="s">
        <v>8570</v>
      </c>
      <c r="AK2557" s="39" t="str">
        <f>("2025/03/17")</f>
        <v>2025/03/17</v>
      </c>
      <c r="AL2557" s="39" t="str">
        <f>("2025/04/01")</f>
        <v>2025/04/01</v>
      </c>
    </row>
    <row r="2558" spans="1:39" x14ac:dyDescent="0.25">
      <c r="A2558" s="39" t="str">
        <f>("1701150059")</f>
        <v>1701150059</v>
      </c>
      <c r="C2558" s="39"/>
      <c r="D2558" s="39" t="s">
        <v>10109</v>
      </c>
      <c r="E2558" s="371" t="str">
        <f t="shared" si="191"/>
        <v>のばやし　かなた</v>
      </c>
      <c r="F2558" s="39" t="s">
        <v>2033</v>
      </c>
      <c r="G2558" s="39" t="s">
        <v>7828</v>
      </c>
      <c r="H2558" s="39" t="str">
        <f>("2017/01/15")</f>
        <v>2017/01/15</v>
      </c>
      <c r="I2558" s="39">
        <v>3</v>
      </c>
      <c r="J2558" s="39" t="s">
        <v>1478</v>
      </c>
      <c r="K2558" s="39" t="s">
        <v>2122</v>
      </c>
      <c r="L2558" s="39" t="s">
        <v>7830</v>
      </c>
      <c r="M2558" s="39" t="s">
        <v>7831</v>
      </c>
      <c r="N2558" s="39" t="str">
        <f>("0130442")</f>
        <v>0130442</v>
      </c>
      <c r="P2558" s="39" t="s">
        <v>14003</v>
      </c>
      <c r="Q2558" s="39" t="s">
        <v>8568</v>
      </c>
      <c r="R2558" s="39" t="s">
        <v>8569</v>
      </c>
      <c r="S2558" s="39" t="s">
        <v>8570</v>
      </c>
      <c r="AK2558" s="39" t="str">
        <f>("2025/04/14")</f>
        <v>2025/04/14</v>
      </c>
      <c r="AL2558" s="39" t="str">
        <f>("2025/04/14")</f>
        <v>2025/04/14</v>
      </c>
      <c r="AM2558" s="39" t="str">
        <f>("2025/05/21")</f>
        <v>2025/05/21</v>
      </c>
    </row>
    <row r="2559" spans="1:39" x14ac:dyDescent="0.25">
      <c r="A2559" s="39" t="str">
        <f>("1701160074")</f>
        <v>1701160074</v>
      </c>
      <c r="C2559" s="39"/>
      <c r="D2559" s="39" t="s">
        <v>10110</v>
      </c>
      <c r="E2559" s="371" t="str">
        <f t="shared" si="191"/>
        <v>やの　あさひ</v>
      </c>
      <c r="F2559" s="39" t="s">
        <v>2496</v>
      </c>
      <c r="G2559" s="39" t="s">
        <v>7828</v>
      </c>
      <c r="H2559" s="39" t="str">
        <f>("2017/01/16")</f>
        <v>2017/01/16</v>
      </c>
      <c r="I2559" s="39">
        <v>3</v>
      </c>
      <c r="J2559" s="39" t="s">
        <v>1478</v>
      </c>
      <c r="K2559" s="39" t="s">
        <v>2122</v>
      </c>
      <c r="L2559" s="39" t="s">
        <v>7830</v>
      </c>
      <c r="M2559" s="39" t="s">
        <v>7831</v>
      </c>
      <c r="N2559" s="39" t="str">
        <f>("0129855")</f>
        <v>0129855</v>
      </c>
      <c r="P2559" s="39" t="s">
        <v>14004</v>
      </c>
      <c r="Q2559" s="39" t="s">
        <v>8568</v>
      </c>
      <c r="R2559" s="39" t="s">
        <v>8569</v>
      </c>
      <c r="S2559" s="39" t="s">
        <v>8570</v>
      </c>
      <c r="AK2559" s="39" t="str">
        <f>("2025/03/24")</f>
        <v>2025/03/24</v>
      </c>
      <c r="AL2559" s="39" t="str">
        <f>("2025/04/01")</f>
        <v>2025/04/01</v>
      </c>
    </row>
    <row r="2560" spans="1:39" x14ac:dyDescent="0.25">
      <c r="A2560" s="39" t="str">
        <f>("1701170075")</f>
        <v>1701170075</v>
      </c>
      <c r="C2560" s="39"/>
      <c r="D2560" s="39" t="s">
        <v>10111</v>
      </c>
      <c r="E2560" s="371" t="str">
        <f t="shared" si="191"/>
        <v>たじま　つばさ</v>
      </c>
      <c r="F2560" s="39" t="s">
        <v>2033</v>
      </c>
      <c r="G2560" s="39" t="s">
        <v>7828</v>
      </c>
      <c r="H2560" s="39" t="str">
        <f>("2017/01/17")</f>
        <v>2017/01/17</v>
      </c>
      <c r="I2560" s="39">
        <v>3</v>
      </c>
      <c r="J2560" s="39" t="s">
        <v>1478</v>
      </c>
      <c r="K2560" s="39" t="s">
        <v>2122</v>
      </c>
      <c r="L2560" s="39" t="s">
        <v>7830</v>
      </c>
      <c r="M2560" s="39" t="s">
        <v>7831</v>
      </c>
      <c r="N2560" s="39" t="str">
        <f>("0130442")</f>
        <v>0130442</v>
      </c>
      <c r="P2560" s="39" t="s">
        <v>14005</v>
      </c>
      <c r="Q2560" s="39" t="s">
        <v>8568</v>
      </c>
      <c r="R2560" s="39" t="s">
        <v>8569</v>
      </c>
      <c r="S2560" s="39" t="s">
        <v>8570</v>
      </c>
      <c r="AK2560" s="39" t="str">
        <f>("2025/04/14")</f>
        <v>2025/04/14</v>
      </c>
      <c r="AL2560" s="39" t="str">
        <f>("2025/04/14")</f>
        <v>2025/04/14</v>
      </c>
    </row>
    <row r="2561" spans="1:39" x14ac:dyDescent="0.25">
      <c r="A2561" s="39" t="str">
        <f>("1701190043")</f>
        <v>1701190043</v>
      </c>
      <c r="C2561" s="39"/>
      <c r="D2561" s="39" t="s">
        <v>10112</v>
      </c>
      <c r="E2561" s="371" t="str">
        <f t="shared" si="191"/>
        <v>まつもと　いおり</v>
      </c>
      <c r="F2561" s="39" t="s">
        <v>8714</v>
      </c>
      <c r="G2561" s="39" t="s">
        <v>7828</v>
      </c>
      <c r="H2561" s="39" t="str">
        <f>("2017/01/19")</f>
        <v>2017/01/19</v>
      </c>
      <c r="I2561" s="39">
        <v>3</v>
      </c>
      <c r="J2561" s="39" t="s">
        <v>1478</v>
      </c>
      <c r="K2561" s="39" t="s">
        <v>2122</v>
      </c>
      <c r="L2561" s="39" t="s">
        <v>7830</v>
      </c>
      <c r="M2561" s="39" t="s">
        <v>7831</v>
      </c>
      <c r="N2561" s="39" t="str">
        <f>("1032147")</f>
        <v>1032147</v>
      </c>
      <c r="P2561" s="39" t="s">
        <v>14006</v>
      </c>
      <c r="Q2561" s="39" t="s">
        <v>8568</v>
      </c>
      <c r="R2561" s="39" t="s">
        <v>8569</v>
      </c>
      <c r="S2561" s="39" t="s">
        <v>8570</v>
      </c>
      <c r="AK2561" s="39" t="str">
        <f>("2025/03/17")</f>
        <v>2025/03/17</v>
      </c>
      <c r="AL2561" s="39" t="str">
        <f>("2025/04/01")</f>
        <v>2025/04/01</v>
      </c>
    </row>
    <row r="2562" spans="1:39" x14ac:dyDescent="0.25">
      <c r="A2562" s="39" t="str">
        <f>("1701190077")</f>
        <v>1701190077</v>
      </c>
      <c r="C2562" s="39"/>
      <c r="D2562" s="39" t="s">
        <v>10113</v>
      </c>
      <c r="E2562" s="371" t="str">
        <f t="shared" si="191"/>
        <v>こうの　そう</v>
      </c>
      <c r="F2562" s="39" t="s">
        <v>2033</v>
      </c>
      <c r="G2562" s="39" t="s">
        <v>7828</v>
      </c>
      <c r="H2562" s="39" t="str">
        <f>("2017/01/19")</f>
        <v>2017/01/19</v>
      </c>
      <c r="I2562" s="39">
        <v>3</v>
      </c>
      <c r="J2562" s="39" t="s">
        <v>1478</v>
      </c>
      <c r="K2562" s="39" t="s">
        <v>2122</v>
      </c>
      <c r="L2562" s="39" t="s">
        <v>7830</v>
      </c>
      <c r="M2562" s="39" t="s">
        <v>7831</v>
      </c>
      <c r="N2562" s="39" t="str">
        <f>("0130442")</f>
        <v>0130442</v>
      </c>
      <c r="P2562" s="39" t="s">
        <v>14007</v>
      </c>
      <c r="Q2562" s="39" t="s">
        <v>8568</v>
      </c>
      <c r="R2562" s="39" t="s">
        <v>8569</v>
      </c>
      <c r="S2562" s="39" t="s">
        <v>8570</v>
      </c>
      <c r="AK2562" s="39" t="str">
        <f>("2025/04/14")</f>
        <v>2025/04/14</v>
      </c>
      <c r="AL2562" s="39" t="str">
        <f>("2025/04/14")</f>
        <v>2025/04/14</v>
      </c>
    </row>
    <row r="2563" spans="1:39" x14ac:dyDescent="0.25">
      <c r="A2563" s="39" t="str">
        <f>("1701200095")</f>
        <v>1701200095</v>
      </c>
      <c r="C2563" s="39"/>
      <c r="D2563" s="39" t="s">
        <v>10114</v>
      </c>
      <c r="E2563" s="371" t="str">
        <f t="shared" ref="E2563:E2626" si="194">PHONETIC(P2563)</f>
        <v>ささはら　ぎんじ</v>
      </c>
      <c r="F2563" s="39" t="s">
        <v>520</v>
      </c>
      <c r="G2563" s="39" t="s">
        <v>7828</v>
      </c>
      <c r="H2563" s="39" t="str">
        <f>("2017/01/20")</f>
        <v>2017/01/20</v>
      </c>
      <c r="I2563" s="39">
        <v>3</v>
      </c>
      <c r="J2563" s="39" t="s">
        <v>1478</v>
      </c>
      <c r="K2563" s="39" t="s">
        <v>2122</v>
      </c>
      <c r="L2563" s="39" t="s">
        <v>7830</v>
      </c>
      <c r="M2563" s="39" t="s">
        <v>7831</v>
      </c>
      <c r="N2563" s="39" t="str">
        <f>("0129765")</f>
        <v>0129765</v>
      </c>
      <c r="P2563" s="39" t="s">
        <v>14008</v>
      </c>
      <c r="Q2563" s="39" t="s">
        <v>8568</v>
      </c>
      <c r="R2563" s="39" t="s">
        <v>8569</v>
      </c>
      <c r="S2563" s="39" t="s">
        <v>8570</v>
      </c>
      <c r="AK2563" s="39" t="str">
        <f>("2025/08/21")</f>
        <v>2025/08/21</v>
      </c>
      <c r="AL2563" s="39" t="str">
        <f>("2025/08/21")</f>
        <v>2025/08/21</v>
      </c>
    </row>
    <row r="2564" spans="1:39" x14ac:dyDescent="0.25">
      <c r="A2564" s="39" t="str">
        <f>("1701210052")</f>
        <v>1701210052</v>
      </c>
      <c r="C2564" s="39"/>
      <c r="D2564" s="39" t="s">
        <v>10115</v>
      </c>
      <c r="E2564" s="371" t="str">
        <f t="shared" si="194"/>
        <v>ひろき　はるいち</v>
      </c>
      <c r="F2564" s="39" t="s">
        <v>2505</v>
      </c>
      <c r="G2564" s="39" t="s">
        <v>7828</v>
      </c>
      <c r="H2564" s="39" t="str">
        <f>("2017/01/21")</f>
        <v>2017/01/21</v>
      </c>
      <c r="I2564" s="39">
        <v>3</v>
      </c>
      <c r="J2564" s="39" t="s">
        <v>1478</v>
      </c>
      <c r="K2564" s="39" t="s">
        <v>2122</v>
      </c>
      <c r="L2564" s="39" t="s">
        <v>7830</v>
      </c>
      <c r="M2564" s="39" t="s">
        <v>7831</v>
      </c>
      <c r="N2564" s="39" t="str">
        <f>("0129923")</f>
        <v>0129923</v>
      </c>
      <c r="P2564" s="39" t="s">
        <v>14009</v>
      </c>
      <c r="Q2564" s="39" t="s">
        <v>8568</v>
      </c>
      <c r="R2564" s="39" t="s">
        <v>8569</v>
      </c>
      <c r="S2564" s="39" t="s">
        <v>8570</v>
      </c>
      <c r="AK2564" s="39" t="str">
        <f>("2025/03/17")</f>
        <v>2025/03/17</v>
      </c>
      <c r="AL2564" s="39" t="str">
        <f>("2025/04/01")</f>
        <v>2025/04/01</v>
      </c>
    </row>
    <row r="2565" spans="1:39" x14ac:dyDescent="0.25">
      <c r="A2565" s="39" t="str">
        <f>("1701210056")</f>
        <v>1701210056</v>
      </c>
      <c r="C2565" s="39"/>
      <c r="D2565" s="39" t="s">
        <v>10116</v>
      </c>
      <c r="E2565" s="371" t="str">
        <f t="shared" si="194"/>
        <v>あべ　そうすけ</v>
      </c>
      <c r="F2565" s="39" t="s">
        <v>2549</v>
      </c>
      <c r="G2565" s="39" t="s">
        <v>7828</v>
      </c>
      <c r="H2565" s="39" t="str">
        <f>("2017/01/21")</f>
        <v>2017/01/21</v>
      </c>
      <c r="I2565" s="39">
        <v>3</v>
      </c>
      <c r="J2565" s="39" t="s">
        <v>1478</v>
      </c>
      <c r="K2565" s="39" t="s">
        <v>2122</v>
      </c>
      <c r="L2565" s="39" t="s">
        <v>7830</v>
      </c>
      <c r="M2565" s="39" t="s">
        <v>7831</v>
      </c>
      <c r="N2565" s="39" t="str">
        <f>("0130688")</f>
        <v>0130688</v>
      </c>
      <c r="P2565" s="39" t="s">
        <v>14010</v>
      </c>
      <c r="Q2565" s="39" t="s">
        <v>8568</v>
      </c>
      <c r="R2565" s="39" t="s">
        <v>8569</v>
      </c>
      <c r="S2565" s="39" t="s">
        <v>8570</v>
      </c>
      <c r="AK2565" s="39" t="str">
        <f>("2025/03/24")</f>
        <v>2025/03/24</v>
      </c>
      <c r="AL2565" s="39" t="str">
        <f>("2025/04/01")</f>
        <v>2025/04/01</v>
      </c>
    </row>
    <row r="2566" spans="1:39" x14ac:dyDescent="0.25">
      <c r="A2566" s="39" t="str">
        <f>("1701210083")</f>
        <v>1701210083</v>
      </c>
      <c r="C2566" s="39"/>
      <c r="D2566" s="39" t="s">
        <v>10117</v>
      </c>
      <c r="E2566" s="371" t="str">
        <f t="shared" si="194"/>
        <v>ふじい　おうが</v>
      </c>
      <c r="F2566" s="39" t="s">
        <v>2469</v>
      </c>
      <c r="G2566" s="39" t="s">
        <v>7828</v>
      </c>
      <c r="H2566" s="39" t="str">
        <f>("2017/01/21")</f>
        <v>2017/01/21</v>
      </c>
      <c r="I2566" s="39">
        <v>3</v>
      </c>
      <c r="J2566" s="39" t="s">
        <v>1478</v>
      </c>
      <c r="K2566" s="39" t="s">
        <v>2122</v>
      </c>
      <c r="L2566" s="39" t="s">
        <v>7830</v>
      </c>
      <c r="M2566" s="39" t="s">
        <v>7831</v>
      </c>
      <c r="N2566" s="39" t="str">
        <f>("0129462")</f>
        <v>0129462</v>
      </c>
      <c r="P2566" s="39" t="s">
        <v>14011</v>
      </c>
      <c r="Q2566" s="39" t="s">
        <v>8568</v>
      </c>
      <c r="R2566" s="39" t="s">
        <v>8569</v>
      </c>
      <c r="S2566" s="39" t="s">
        <v>8570</v>
      </c>
      <c r="AK2566" s="39" t="str">
        <f>("2025/09/02")</f>
        <v>2025/09/02</v>
      </c>
      <c r="AL2566" s="39" t="str">
        <f>("2025/09/02")</f>
        <v>2025/09/02</v>
      </c>
    </row>
    <row r="2567" spans="1:39" x14ac:dyDescent="0.25">
      <c r="A2567" s="39" t="str">
        <f>("1701230111")</f>
        <v>1701230111</v>
      </c>
      <c r="C2567" s="39"/>
      <c r="D2567" s="39" t="s">
        <v>10118</v>
      </c>
      <c r="E2567" s="371" t="str">
        <f t="shared" si="194"/>
        <v>きさき　たいせい</v>
      </c>
      <c r="F2567" s="39" t="s">
        <v>3867</v>
      </c>
      <c r="G2567" s="39" t="s">
        <v>7828</v>
      </c>
      <c r="H2567" s="39" t="str">
        <f>("2017/01/23")</f>
        <v>2017/01/23</v>
      </c>
      <c r="I2567" s="39">
        <v>3</v>
      </c>
      <c r="J2567" s="39" t="s">
        <v>1478</v>
      </c>
      <c r="K2567" s="39" t="s">
        <v>2122</v>
      </c>
      <c r="L2567" s="39" t="s">
        <v>7830</v>
      </c>
      <c r="M2567" s="39" t="s">
        <v>7831</v>
      </c>
      <c r="N2567" s="39" t="str">
        <f>("0129990")</f>
        <v>0129990</v>
      </c>
      <c r="P2567" s="39" t="s">
        <v>14012</v>
      </c>
      <c r="Q2567" s="39" t="s">
        <v>8568</v>
      </c>
      <c r="R2567" s="39" t="s">
        <v>8569</v>
      </c>
      <c r="S2567" s="39" t="s">
        <v>8570</v>
      </c>
      <c r="AK2567" s="39" t="str">
        <f>("2025/11/12")</f>
        <v>2025/11/12</v>
      </c>
      <c r="AL2567" s="39" t="str">
        <f>("2025/11/12")</f>
        <v>2025/11/12</v>
      </c>
    </row>
    <row r="2568" spans="1:39" x14ac:dyDescent="0.25">
      <c r="A2568" s="39" t="str">
        <f>("1701250096")</f>
        <v>1701250096</v>
      </c>
      <c r="C2568" s="39"/>
      <c r="D2568" s="39" t="s">
        <v>10119</v>
      </c>
      <c r="E2568" s="371" t="str">
        <f t="shared" si="194"/>
        <v>やまだ　ともや</v>
      </c>
      <c r="F2568" s="39" t="s">
        <v>1751</v>
      </c>
      <c r="G2568" s="39" t="s">
        <v>7828</v>
      </c>
      <c r="H2568" s="39" t="str">
        <f>("2017/01/25")</f>
        <v>2017/01/25</v>
      </c>
      <c r="I2568" s="39">
        <v>3</v>
      </c>
      <c r="J2568" s="39" t="s">
        <v>1478</v>
      </c>
      <c r="K2568" s="39" t="s">
        <v>2122</v>
      </c>
      <c r="L2568" s="39" t="s">
        <v>7830</v>
      </c>
      <c r="M2568" s="39" t="s">
        <v>7831</v>
      </c>
      <c r="N2568" s="39" t="str">
        <f>("0130453")</f>
        <v>0130453</v>
      </c>
      <c r="P2568" s="39" t="s">
        <v>14013</v>
      </c>
      <c r="Q2568" s="39" t="s">
        <v>8568</v>
      </c>
      <c r="R2568" s="39" t="s">
        <v>8569</v>
      </c>
      <c r="S2568" s="39" t="s">
        <v>8570</v>
      </c>
      <c r="AK2568" s="39" t="str">
        <f>("2025/07/28")</f>
        <v>2025/07/28</v>
      </c>
      <c r="AL2568" s="39" t="str">
        <f>("2025/07/28")</f>
        <v>2025/07/28</v>
      </c>
    </row>
    <row r="2569" spans="1:39" x14ac:dyDescent="0.25">
      <c r="A2569" s="39" t="str">
        <f>("1701260001")</f>
        <v>1701260001</v>
      </c>
      <c r="C2569" s="39"/>
      <c r="D2569" s="39" t="s">
        <v>10120</v>
      </c>
      <c r="E2569" s="371" t="str">
        <f t="shared" si="194"/>
        <v>みやもと　はやた</v>
      </c>
      <c r="F2569" s="39" t="s">
        <v>2573</v>
      </c>
      <c r="G2569" s="39" t="s">
        <v>7828</v>
      </c>
      <c r="H2569" s="39" t="str">
        <f>("2017/01/26")</f>
        <v>2017/01/26</v>
      </c>
      <c r="I2569" s="39">
        <v>3</v>
      </c>
      <c r="J2569" s="39" t="s">
        <v>1478</v>
      </c>
      <c r="K2569" s="39" t="s">
        <v>2122</v>
      </c>
      <c r="L2569" s="39" t="s">
        <v>7830</v>
      </c>
      <c r="M2569" s="39" t="s">
        <v>7831</v>
      </c>
      <c r="N2569" s="39" t="str">
        <f>("0230982")</f>
        <v>0230982</v>
      </c>
      <c r="P2569" s="39" t="s">
        <v>14014</v>
      </c>
      <c r="Q2569" s="39" t="s">
        <v>8568</v>
      </c>
      <c r="R2569" s="39" t="s">
        <v>8569</v>
      </c>
      <c r="S2569" s="39" t="s">
        <v>8570</v>
      </c>
      <c r="AK2569" s="39" t="str">
        <f>("2025/09/09")</f>
        <v>2025/09/09</v>
      </c>
      <c r="AL2569" s="39" t="str">
        <f>("2025/09/09")</f>
        <v>2025/09/09</v>
      </c>
    </row>
    <row r="2570" spans="1:39" x14ac:dyDescent="0.25">
      <c r="A2570" s="39" t="str">
        <f>("1701260089")</f>
        <v>1701260089</v>
      </c>
      <c r="C2570" s="39"/>
      <c r="D2570" s="39" t="s">
        <v>10121</v>
      </c>
      <c r="E2570" s="371" t="str">
        <f t="shared" si="194"/>
        <v>まつお　いしん</v>
      </c>
      <c r="F2570" s="39" t="s">
        <v>2556</v>
      </c>
      <c r="G2570" s="39" t="s">
        <v>7828</v>
      </c>
      <c r="H2570" s="39" t="str">
        <f>("2017/01/26")</f>
        <v>2017/01/26</v>
      </c>
      <c r="I2570" s="39">
        <v>3</v>
      </c>
      <c r="J2570" s="39" t="s">
        <v>1478</v>
      </c>
      <c r="K2570" s="39" t="s">
        <v>2122</v>
      </c>
      <c r="L2570" s="39" t="s">
        <v>7830</v>
      </c>
      <c r="M2570" s="39" t="s">
        <v>7831</v>
      </c>
      <c r="N2570" s="39" t="str">
        <f>("0130712")</f>
        <v>0130712</v>
      </c>
      <c r="P2570" s="39" t="s">
        <v>14015</v>
      </c>
      <c r="Q2570" s="39" t="s">
        <v>8568</v>
      </c>
      <c r="R2570" s="39" t="s">
        <v>8569</v>
      </c>
      <c r="S2570" s="39" t="s">
        <v>8570</v>
      </c>
      <c r="AK2570" s="39" t="str">
        <f>("2025/04/04")</f>
        <v>2025/04/04</v>
      </c>
      <c r="AL2570" s="39" t="str">
        <f>("2025/04/04")</f>
        <v>2025/04/04</v>
      </c>
    </row>
    <row r="2571" spans="1:39" x14ac:dyDescent="0.25">
      <c r="A2571" s="39" t="str">
        <f>("1701270044")</f>
        <v>1701270044</v>
      </c>
      <c r="C2571" s="39"/>
      <c r="D2571" s="39" t="s">
        <v>10122</v>
      </c>
      <c r="E2571" s="371" t="str">
        <f t="shared" si="194"/>
        <v>もりさき　いっさ</v>
      </c>
      <c r="F2571" s="39" t="s">
        <v>8714</v>
      </c>
      <c r="G2571" s="39" t="s">
        <v>7828</v>
      </c>
      <c r="H2571" s="39" t="str">
        <f>("2017/01/27")</f>
        <v>2017/01/27</v>
      </c>
      <c r="I2571" s="39">
        <v>3</v>
      </c>
      <c r="J2571" s="39" t="s">
        <v>1478</v>
      </c>
      <c r="K2571" s="39" t="s">
        <v>2122</v>
      </c>
      <c r="L2571" s="39" t="s">
        <v>7830</v>
      </c>
      <c r="M2571" s="39" t="s">
        <v>7831</v>
      </c>
      <c r="N2571" s="39" t="str">
        <f>("1032147")</f>
        <v>1032147</v>
      </c>
      <c r="P2571" s="39" t="s">
        <v>14016</v>
      </c>
      <c r="Q2571" s="39" t="s">
        <v>8568</v>
      </c>
      <c r="R2571" s="39" t="s">
        <v>8569</v>
      </c>
      <c r="S2571" s="39" t="s">
        <v>8570</v>
      </c>
      <c r="AK2571" s="39" t="str">
        <f>("2025/03/17")</f>
        <v>2025/03/17</v>
      </c>
      <c r="AL2571" s="39" t="str">
        <f>("2025/04/01")</f>
        <v>2025/04/01</v>
      </c>
    </row>
    <row r="2572" spans="1:39" x14ac:dyDescent="0.25">
      <c r="A2572" s="39" t="str">
        <f>("1701270099")</f>
        <v>1701270099</v>
      </c>
      <c r="C2572" s="39"/>
      <c r="D2572" s="39" t="s">
        <v>10123</v>
      </c>
      <c r="E2572" s="371" t="str">
        <f t="shared" si="194"/>
        <v>のぐち　こたろう</v>
      </c>
      <c r="F2572" s="39" t="s">
        <v>1446</v>
      </c>
      <c r="G2572" s="39" t="s">
        <v>7828</v>
      </c>
      <c r="H2572" s="39" t="str">
        <f>("2017/01/27")</f>
        <v>2017/01/27</v>
      </c>
      <c r="I2572" s="39">
        <v>3</v>
      </c>
      <c r="J2572" s="39" t="s">
        <v>1478</v>
      </c>
      <c r="K2572" s="39" t="s">
        <v>2122</v>
      </c>
      <c r="L2572" s="39" t="s">
        <v>7830</v>
      </c>
      <c r="M2572" s="39" t="s">
        <v>7831</v>
      </c>
      <c r="N2572" s="39" t="str">
        <f>("0478807")</f>
        <v>0478807</v>
      </c>
      <c r="P2572" s="39" t="s">
        <v>14017</v>
      </c>
      <c r="Q2572" s="39" t="s">
        <v>8568</v>
      </c>
      <c r="R2572" s="39" t="s">
        <v>8569</v>
      </c>
      <c r="S2572" s="39" t="s">
        <v>8570</v>
      </c>
      <c r="AK2572" s="39" t="str">
        <f>("2025/09/12")</f>
        <v>2025/09/12</v>
      </c>
      <c r="AL2572" s="39" t="str">
        <f>("2025/09/12")</f>
        <v>2025/09/12</v>
      </c>
    </row>
    <row r="2573" spans="1:39" x14ac:dyDescent="0.25">
      <c r="A2573" s="39" t="str">
        <f>("1701280047")</f>
        <v>1701280047</v>
      </c>
      <c r="C2573" s="39"/>
      <c r="D2573" s="39" t="s">
        <v>10124</v>
      </c>
      <c r="E2573" s="371" t="str">
        <f t="shared" si="194"/>
        <v>ながおか　そうた</v>
      </c>
      <c r="F2573" s="39" t="s">
        <v>2395</v>
      </c>
      <c r="G2573" s="39" t="s">
        <v>7828</v>
      </c>
      <c r="H2573" s="39" t="str">
        <f>("2017/01/28")</f>
        <v>2017/01/28</v>
      </c>
      <c r="I2573" s="39">
        <v>3</v>
      </c>
      <c r="J2573" s="39" t="s">
        <v>1478</v>
      </c>
      <c r="K2573" s="39" t="s">
        <v>2122</v>
      </c>
      <c r="L2573" s="39" t="s">
        <v>7830</v>
      </c>
      <c r="M2573" s="39" t="s">
        <v>7831</v>
      </c>
      <c r="N2573" s="39" t="str">
        <f>("0366735")</f>
        <v>0366735</v>
      </c>
      <c r="P2573" s="39" t="s">
        <v>14018</v>
      </c>
      <c r="Q2573" s="39" t="s">
        <v>8568</v>
      </c>
      <c r="R2573" s="39" t="s">
        <v>8569</v>
      </c>
      <c r="S2573" s="39" t="s">
        <v>8570</v>
      </c>
      <c r="AK2573" s="39" t="str">
        <f>("2025/03/17")</f>
        <v>2025/03/17</v>
      </c>
      <c r="AL2573" s="39" t="str">
        <f>("2025/04/01")</f>
        <v>2025/04/01</v>
      </c>
    </row>
    <row r="2574" spans="1:39" x14ac:dyDescent="0.25">
      <c r="A2574" s="39" t="str">
        <f>("1701280061")</f>
        <v>1701280061</v>
      </c>
      <c r="C2574" s="39"/>
      <c r="D2574" s="39" t="s">
        <v>10125</v>
      </c>
      <c r="E2574" s="371" t="str">
        <f t="shared" si="194"/>
        <v>にし　きしん</v>
      </c>
      <c r="F2574" s="39" t="s">
        <v>3867</v>
      </c>
      <c r="G2574" s="39" t="s">
        <v>7828</v>
      </c>
      <c r="H2574" s="39" t="str">
        <f>("2017/01/28")</f>
        <v>2017/01/28</v>
      </c>
      <c r="I2574" s="39">
        <v>3</v>
      </c>
      <c r="J2574" s="39" t="s">
        <v>1478</v>
      </c>
      <c r="K2574" s="39" t="s">
        <v>2122</v>
      </c>
      <c r="L2574" s="39" t="s">
        <v>7830</v>
      </c>
      <c r="M2574" s="39" t="s">
        <v>7831</v>
      </c>
      <c r="N2574" s="39" t="str">
        <f>("0129990")</f>
        <v>0129990</v>
      </c>
      <c r="P2574" s="39" t="s">
        <v>14019</v>
      </c>
      <c r="Q2574" s="39" t="s">
        <v>8568</v>
      </c>
      <c r="R2574" s="39" t="s">
        <v>8569</v>
      </c>
      <c r="S2574" s="39" t="s">
        <v>8570</v>
      </c>
      <c r="AK2574" s="39" t="str">
        <f>("2025/04/01")</f>
        <v>2025/04/01</v>
      </c>
      <c r="AL2574" s="39" t="str">
        <f>("2025/04/01")</f>
        <v>2025/04/01</v>
      </c>
      <c r="AM2574" s="39" t="str">
        <f>("2025/04/08")</f>
        <v>2025/04/08</v>
      </c>
    </row>
    <row r="2575" spans="1:39" x14ac:dyDescent="0.25">
      <c r="A2575" s="39" t="str">
        <f>("1701290011")</f>
        <v>1701290011</v>
      </c>
      <c r="C2575" s="39"/>
      <c r="D2575" s="39" t="s">
        <v>10126</v>
      </c>
      <c r="E2575" s="371" t="str">
        <f t="shared" si="194"/>
        <v>ゆき　あいり</v>
      </c>
      <c r="F2575" s="39" t="s">
        <v>2543</v>
      </c>
      <c r="G2575" s="39" t="s">
        <v>7828</v>
      </c>
      <c r="H2575" s="39" t="str">
        <f>("2017/01/29")</f>
        <v>2017/01/29</v>
      </c>
      <c r="I2575" s="39">
        <v>3</v>
      </c>
      <c r="J2575" s="39" t="s">
        <v>1480</v>
      </c>
      <c r="K2575" s="39" t="s">
        <v>2122</v>
      </c>
      <c r="L2575" s="39" t="s">
        <v>7830</v>
      </c>
      <c r="M2575" s="39" t="s">
        <v>7831</v>
      </c>
      <c r="N2575" s="39" t="str">
        <f>("0130600")</f>
        <v>0130600</v>
      </c>
      <c r="P2575" s="39" t="s">
        <v>14020</v>
      </c>
      <c r="Q2575" s="39" t="s">
        <v>8568</v>
      </c>
      <c r="R2575" s="39" t="s">
        <v>8569</v>
      </c>
      <c r="S2575" s="39" t="s">
        <v>8570</v>
      </c>
      <c r="AK2575" s="39" t="str">
        <f>("2025/03/17")</f>
        <v>2025/03/17</v>
      </c>
      <c r="AL2575" s="39" t="str">
        <f>("2025/04/01")</f>
        <v>2025/04/01</v>
      </c>
    </row>
    <row r="2576" spans="1:39" x14ac:dyDescent="0.25">
      <c r="A2576" s="39" t="str">
        <f>("1701290022")</f>
        <v>1701290022</v>
      </c>
      <c r="C2576" s="39"/>
      <c r="D2576" s="39" t="s">
        <v>8544</v>
      </c>
      <c r="E2576" s="371" t="str">
        <f t="shared" si="194"/>
        <v>ちば　さつか</v>
      </c>
      <c r="F2576" s="39" t="s">
        <v>5621</v>
      </c>
      <c r="G2576" s="39" t="s">
        <v>7828</v>
      </c>
      <c r="H2576" s="39" t="str">
        <f>("2015/01/29")</f>
        <v>2015/01/29</v>
      </c>
      <c r="I2576" s="39">
        <v>5</v>
      </c>
      <c r="J2576" s="39" t="s">
        <v>1480</v>
      </c>
      <c r="K2576" s="39" t="s">
        <v>2122</v>
      </c>
      <c r="L2576" s="39" t="s">
        <v>7830</v>
      </c>
      <c r="M2576" s="39" t="s">
        <v>7831</v>
      </c>
      <c r="N2576" s="39" t="str">
        <f>("1110654")</f>
        <v>1110654</v>
      </c>
      <c r="P2576" s="39" t="s">
        <v>14021</v>
      </c>
      <c r="Q2576" s="39" t="s">
        <v>8568</v>
      </c>
      <c r="R2576" s="39" t="s">
        <v>8569</v>
      </c>
      <c r="S2576" s="39" t="s">
        <v>8570</v>
      </c>
      <c r="AK2576" s="39" t="str">
        <f>("2025/03/03")</f>
        <v>2025/03/03</v>
      </c>
      <c r="AL2576" s="39" t="str">
        <f>("2025/04/01")</f>
        <v>2025/04/01</v>
      </c>
    </row>
    <row r="2577" spans="1:39" x14ac:dyDescent="0.25">
      <c r="A2577" s="39" t="str">
        <f>("1701290084")</f>
        <v>1701290084</v>
      </c>
      <c r="C2577" s="39"/>
      <c r="D2577" s="39" t="s">
        <v>10127</v>
      </c>
      <c r="E2577" s="371" t="str">
        <f t="shared" si="194"/>
        <v>おの　つむぎ</v>
      </c>
      <c r="F2577" s="39" t="s">
        <v>829</v>
      </c>
      <c r="G2577" s="39" t="s">
        <v>7828</v>
      </c>
      <c r="H2577" s="39" t="str">
        <f>("2017/01/29")</f>
        <v>2017/01/29</v>
      </c>
      <c r="I2577" s="39">
        <v>3</v>
      </c>
      <c r="J2577" s="39" t="s">
        <v>1478</v>
      </c>
      <c r="K2577" s="39" t="s">
        <v>2122</v>
      </c>
      <c r="L2577" s="39" t="s">
        <v>7830</v>
      </c>
      <c r="M2577" s="39" t="s">
        <v>7831</v>
      </c>
      <c r="N2577" s="39" t="str">
        <f>("0426631")</f>
        <v>0426631</v>
      </c>
      <c r="P2577" s="39" t="s">
        <v>14022</v>
      </c>
      <c r="Q2577" s="39" t="s">
        <v>8568</v>
      </c>
      <c r="R2577" s="39" t="s">
        <v>8569</v>
      </c>
      <c r="S2577" s="39" t="s">
        <v>8570</v>
      </c>
      <c r="AK2577" s="39" t="str">
        <f>("2025/09/09")</f>
        <v>2025/09/09</v>
      </c>
      <c r="AL2577" s="39" t="str">
        <f>("2025/09/09")</f>
        <v>2025/09/09</v>
      </c>
    </row>
    <row r="2578" spans="1:39" x14ac:dyDescent="0.25">
      <c r="A2578" s="39" t="str">
        <f>("1701300092")</f>
        <v>1701300092</v>
      </c>
      <c r="C2578" s="39"/>
      <c r="D2578" s="39" t="s">
        <v>10128</v>
      </c>
      <c r="E2578" s="371" t="str">
        <f t="shared" si="194"/>
        <v>ありよし　かける</v>
      </c>
      <c r="F2578" s="39" t="s">
        <v>2024</v>
      </c>
      <c r="G2578" s="39" t="s">
        <v>7828</v>
      </c>
      <c r="H2578" s="39" t="str">
        <f>("2017/01/30")</f>
        <v>2017/01/30</v>
      </c>
      <c r="I2578" s="39">
        <v>3</v>
      </c>
      <c r="J2578" s="39" t="s">
        <v>1478</v>
      </c>
      <c r="K2578" s="39" t="s">
        <v>2122</v>
      </c>
      <c r="L2578" s="39" t="s">
        <v>7830</v>
      </c>
      <c r="M2578" s="39" t="s">
        <v>7831</v>
      </c>
      <c r="N2578" s="39" t="str">
        <f>("0130475")</f>
        <v>0130475</v>
      </c>
      <c r="P2578" s="39" t="s">
        <v>14023</v>
      </c>
      <c r="Q2578" s="39" t="s">
        <v>8568</v>
      </c>
      <c r="R2578" s="39" t="s">
        <v>8569</v>
      </c>
      <c r="S2578" s="39" t="s">
        <v>8570</v>
      </c>
      <c r="AK2578" s="39" t="str">
        <f>("2025/09/26")</f>
        <v>2025/09/26</v>
      </c>
      <c r="AL2578" s="39" t="str">
        <f>("2025/09/26")</f>
        <v>2025/09/26</v>
      </c>
    </row>
    <row r="2579" spans="1:39" x14ac:dyDescent="0.25">
      <c r="A2579" s="39" t="str">
        <f>("1701310013")</f>
        <v>1701310013</v>
      </c>
      <c r="B2579" s="39" t="s">
        <v>10129</v>
      </c>
      <c r="C2579" s="39"/>
      <c r="D2579" s="39" t="s">
        <v>10130</v>
      </c>
      <c r="E2579" s="371" t="str">
        <f t="shared" si="194"/>
        <v>いけべ　むねちか</v>
      </c>
      <c r="F2579" s="39" t="s">
        <v>2325</v>
      </c>
      <c r="G2579" s="39" t="s">
        <v>7828</v>
      </c>
      <c r="H2579" s="39" t="str">
        <f>("2017/01/31")</f>
        <v>2017/01/31</v>
      </c>
      <c r="I2579" s="39">
        <v>3</v>
      </c>
      <c r="J2579" s="39" t="s">
        <v>1478</v>
      </c>
      <c r="K2579" s="39" t="s">
        <v>2122</v>
      </c>
      <c r="L2579" s="39" t="s">
        <v>7830</v>
      </c>
      <c r="M2579" s="39" t="s">
        <v>7831</v>
      </c>
      <c r="N2579" s="39" t="str">
        <f>("0155034")</f>
        <v>0155034</v>
      </c>
      <c r="P2579" s="39" t="s">
        <v>14024</v>
      </c>
      <c r="Q2579" s="39" t="s">
        <v>8568</v>
      </c>
      <c r="R2579" s="39" t="s">
        <v>8569</v>
      </c>
      <c r="S2579" s="39" t="s">
        <v>8570</v>
      </c>
      <c r="AK2579" s="39" t="str">
        <f>("2025/03/17")</f>
        <v>2025/03/17</v>
      </c>
      <c r="AL2579" s="39" t="str">
        <f>("2025/04/01")</f>
        <v>2025/04/01</v>
      </c>
    </row>
    <row r="2580" spans="1:39" x14ac:dyDescent="0.25">
      <c r="A2580" s="39" t="str">
        <f>("1702010093")</f>
        <v>1702010093</v>
      </c>
      <c r="C2580" s="39"/>
      <c r="D2580" s="39" t="s">
        <v>10131</v>
      </c>
      <c r="E2580" s="371" t="str">
        <f t="shared" si="194"/>
        <v>いしかわ　そら</v>
      </c>
      <c r="F2580" s="39" t="s">
        <v>1912</v>
      </c>
      <c r="G2580" s="39" t="s">
        <v>7876</v>
      </c>
      <c r="H2580" s="39" t="str">
        <f>("2017/02/01")</f>
        <v>2017/02/01</v>
      </c>
      <c r="I2580" s="39">
        <v>3</v>
      </c>
      <c r="J2580" s="39" t="s">
        <v>1478</v>
      </c>
      <c r="K2580" s="39" t="s">
        <v>2122</v>
      </c>
      <c r="L2580" s="39" t="s">
        <v>7830</v>
      </c>
      <c r="M2580" s="39" t="s">
        <v>7831</v>
      </c>
      <c r="N2580" s="39" t="str">
        <f>("0130363")</f>
        <v>0130363</v>
      </c>
      <c r="P2580" s="39" t="s">
        <v>14025</v>
      </c>
      <c r="Q2580" s="39" t="s">
        <v>8568</v>
      </c>
      <c r="R2580" s="39" t="s">
        <v>8569</v>
      </c>
      <c r="S2580" s="39" t="s">
        <v>8570</v>
      </c>
      <c r="AK2580" s="39" t="str">
        <f>("2025/04/23")</f>
        <v>2025/04/23</v>
      </c>
      <c r="AL2580" s="39" t="str">
        <f>("2025/04/23")</f>
        <v>2025/04/23</v>
      </c>
      <c r="AM2580" s="39" t="str">
        <f>("2025/07/22")</f>
        <v>2025/07/22</v>
      </c>
    </row>
    <row r="2581" spans="1:39" x14ac:dyDescent="0.25">
      <c r="A2581" s="39" t="str">
        <f>("1702020072")</f>
        <v>1702020072</v>
      </c>
      <c r="C2581" s="39"/>
      <c r="D2581" s="39" t="s">
        <v>10132</v>
      </c>
      <c r="E2581" s="371" t="str">
        <f t="shared" si="194"/>
        <v>わたなべ　ひなた</v>
      </c>
      <c r="F2581" s="39" t="s">
        <v>8485</v>
      </c>
      <c r="G2581" s="39" t="s">
        <v>7828</v>
      </c>
      <c r="H2581" s="39" t="str">
        <f>("2017/02/02")</f>
        <v>2017/02/02</v>
      </c>
      <c r="I2581" s="39">
        <v>3</v>
      </c>
      <c r="J2581" s="39" t="s">
        <v>1478</v>
      </c>
      <c r="K2581" s="39" t="s">
        <v>2122</v>
      </c>
      <c r="L2581" s="39" t="s">
        <v>7830</v>
      </c>
      <c r="M2581" s="39" t="s">
        <v>7831</v>
      </c>
      <c r="N2581" s="39" t="str">
        <f>("0130666")</f>
        <v>0130666</v>
      </c>
      <c r="P2581" s="39" t="s">
        <v>12133</v>
      </c>
      <c r="Q2581" s="39" t="s">
        <v>8568</v>
      </c>
      <c r="R2581" s="39" t="s">
        <v>8569</v>
      </c>
      <c r="S2581" s="39" t="s">
        <v>8570</v>
      </c>
      <c r="AK2581" s="39" t="str">
        <f>("2025/04/04")</f>
        <v>2025/04/04</v>
      </c>
      <c r="AL2581" s="39" t="str">
        <f>("2025/04/04")</f>
        <v>2025/04/04</v>
      </c>
    </row>
    <row r="2582" spans="1:39" x14ac:dyDescent="0.25">
      <c r="A2582" s="39" t="str">
        <f>("1702030032")</f>
        <v>1702030032</v>
      </c>
      <c r="C2582" s="39"/>
      <c r="D2582" s="39" t="s">
        <v>10133</v>
      </c>
      <c r="E2582" s="371" t="str">
        <f t="shared" si="194"/>
        <v>このもと　さき</v>
      </c>
      <c r="F2582" s="39" t="s">
        <v>2573</v>
      </c>
      <c r="G2582" s="39" t="s">
        <v>7828</v>
      </c>
      <c r="H2582" s="39" t="str">
        <f>("2017/02/03")</f>
        <v>2017/02/03</v>
      </c>
      <c r="I2582" s="39">
        <v>3</v>
      </c>
      <c r="J2582" s="39" t="s">
        <v>1480</v>
      </c>
      <c r="K2582" s="39" t="s">
        <v>2122</v>
      </c>
      <c r="L2582" s="39" t="s">
        <v>7830</v>
      </c>
      <c r="M2582" s="39" t="s">
        <v>7831</v>
      </c>
      <c r="N2582" s="39" t="str">
        <f>("0230982")</f>
        <v>0230982</v>
      </c>
      <c r="P2582" s="39" t="s">
        <v>14026</v>
      </c>
      <c r="Q2582" s="39" t="s">
        <v>8568</v>
      </c>
      <c r="R2582" s="39" t="s">
        <v>8569</v>
      </c>
      <c r="S2582" s="39" t="s">
        <v>8570</v>
      </c>
      <c r="AK2582" s="39" t="str">
        <f>("2025/03/17")</f>
        <v>2025/03/17</v>
      </c>
      <c r="AL2582" s="39" t="str">
        <f t="shared" ref="AL2582:AL2587" si="195">("2025/04/01")</f>
        <v>2025/04/01</v>
      </c>
    </row>
    <row r="2583" spans="1:39" x14ac:dyDescent="0.25">
      <c r="A2583" s="39" t="str">
        <f>("1702050003")</f>
        <v>1702050003</v>
      </c>
      <c r="B2583" s="39" t="s">
        <v>10134</v>
      </c>
      <c r="C2583" s="39"/>
      <c r="D2583" s="39" t="s">
        <v>10135</v>
      </c>
      <c r="E2583" s="371" t="str">
        <f t="shared" si="194"/>
        <v>ことう　ゆうま</v>
      </c>
      <c r="F2583" s="39" t="s">
        <v>5620</v>
      </c>
      <c r="G2583" s="39" t="s">
        <v>7828</v>
      </c>
      <c r="H2583" s="39" t="str">
        <f>("2017/02/05")</f>
        <v>2017/02/05</v>
      </c>
      <c r="I2583" s="39">
        <v>3</v>
      </c>
      <c r="J2583" s="39" t="s">
        <v>1478</v>
      </c>
      <c r="K2583" s="39" t="s">
        <v>2122</v>
      </c>
      <c r="L2583" s="39" t="s">
        <v>7830</v>
      </c>
      <c r="M2583" s="39" t="s">
        <v>7831</v>
      </c>
      <c r="N2583" s="39" t="str">
        <f>("1101553")</f>
        <v>1101553</v>
      </c>
      <c r="P2583" s="39" t="s">
        <v>14027</v>
      </c>
      <c r="Q2583" s="39" t="s">
        <v>8568</v>
      </c>
      <c r="R2583" s="39" t="s">
        <v>8569</v>
      </c>
      <c r="S2583" s="39" t="s">
        <v>8570</v>
      </c>
      <c r="AK2583" s="39" t="str">
        <f>("2025/03/19")</f>
        <v>2025/03/19</v>
      </c>
      <c r="AL2583" s="39" t="str">
        <f t="shared" si="195"/>
        <v>2025/04/01</v>
      </c>
    </row>
    <row r="2584" spans="1:39" x14ac:dyDescent="0.25">
      <c r="A2584" s="39" t="str">
        <f>("1702050041")</f>
        <v>1702050041</v>
      </c>
      <c r="C2584" s="39"/>
      <c r="D2584" s="39" t="s">
        <v>10136</v>
      </c>
      <c r="E2584" s="371" t="str">
        <f t="shared" si="194"/>
        <v>なかお　みつき</v>
      </c>
      <c r="F2584" s="39" t="s">
        <v>2533</v>
      </c>
      <c r="G2584" s="39" t="s">
        <v>7828</v>
      </c>
      <c r="H2584" s="39" t="str">
        <f>("2017/02/05")</f>
        <v>2017/02/05</v>
      </c>
      <c r="I2584" s="39">
        <v>3</v>
      </c>
      <c r="J2584" s="39" t="s">
        <v>1478</v>
      </c>
      <c r="K2584" s="39" t="s">
        <v>2122</v>
      </c>
      <c r="L2584" s="39" t="s">
        <v>7830</v>
      </c>
      <c r="M2584" s="39" t="s">
        <v>7831</v>
      </c>
      <c r="N2584" s="39" t="str">
        <f>("0130497")</f>
        <v>0130497</v>
      </c>
      <c r="P2584" s="39" t="s">
        <v>14028</v>
      </c>
      <c r="Q2584" s="39" t="s">
        <v>8568</v>
      </c>
      <c r="R2584" s="39" t="s">
        <v>8569</v>
      </c>
      <c r="S2584" s="39" t="s">
        <v>8570</v>
      </c>
      <c r="AK2584" s="39" t="str">
        <f>("2025/03/17")</f>
        <v>2025/03/17</v>
      </c>
      <c r="AL2584" s="39" t="str">
        <f t="shared" si="195"/>
        <v>2025/04/01</v>
      </c>
    </row>
    <row r="2585" spans="1:39" x14ac:dyDescent="0.25">
      <c r="A2585" s="39" t="str">
        <f>("1702060017")</f>
        <v>1702060017</v>
      </c>
      <c r="C2585" s="39"/>
      <c r="D2585" s="39" t="s">
        <v>10137</v>
      </c>
      <c r="E2585" s="371" t="str">
        <f t="shared" si="194"/>
        <v>あなん　そうま</v>
      </c>
      <c r="F2585" s="39" t="s">
        <v>2575</v>
      </c>
      <c r="G2585" s="39" t="s">
        <v>7828</v>
      </c>
      <c r="H2585" s="39" t="str">
        <f>("2017/02/06")</f>
        <v>2017/02/06</v>
      </c>
      <c r="I2585" s="39">
        <v>3</v>
      </c>
      <c r="J2585" s="39" t="s">
        <v>1478</v>
      </c>
      <c r="K2585" s="39" t="s">
        <v>2122</v>
      </c>
      <c r="L2585" s="39" t="s">
        <v>7830</v>
      </c>
      <c r="M2585" s="39" t="s">
        <v>7831</v>
      </c>
      <c r="N2585" s="39" t="str">
        <f>("0303040")</f>
        <v>0303040</v>
      </c>
      <c r="P2585" s="39" t="s">
        <v>12151</v>
      </c>
      <c r="Q2585" s="39" t="s">
        <v>8568</v>
      </c>
      <c r="R2585" s="39" t="s">
        <v>8569</v>
      </c>
      <c r="S2585" s="39" t="s">
        <v>8570</v>
      </c>
      <c r="AK2585" s="39" t="str">
        <f>("2025/03/17")</f>
        <v>2025/03/17</v>
      </c>
      <c r="AL2585" s="39" t="str">
        <f t="shared" si="195"/>
        <v>2025/04/01</v>
      </c>
    </row>
    <row r="2586" spans="1:39" x14ac:dyDescent="0.25">
      <c r="A2586" s="39" t="str">
        <f>("1702060063")</f>
        <v>1702060063</v>
      </c>
      <c r="C2586" s="39"/>
      <c r="D2586" s="39" t="s">
        <v>10138</v>
      </c>
      <c r="E2586" s="371" t="str">
        <f t="shared" si="194"/>
        <v>うえむら　なぎさ</v>
      </c>
      <c r="F2586" s="39" t="s">
        <v>2342</v>
      </c>
      <c r="G2586" s="39" t="s">
        <v>7828</v>
      </c>
      <c r="H2586" s="39" t="str">
        <f>("2017/02/06")</f>
        <v>2017/02/06</v>
      </c>
      <c r="I2586" s="39">
        <v>3</v>
      </c>
      <c r="J2586" s="39" t="s">
        <v>1478</v>
      </c>
      <c r="K2586" s="39" t="s">
        <v>2122</v>
      </c>
      <c r="L2586" s="39" t="s">
        <v>7830</v>
      </c>
      <c r="M2586" s="39" t="s">
        <v>7831</v>
      </c>
      <c r="N2586" s="39" t="str">
        <f>("0130307")</f>
        <v>0130307</v>
      </c>
      <c r="P2586" s="39" t="s">
        <v>14029</v>
      </c>
      <c r="Q2586" s="39" t="s">
        <v>8568</v>
      </c>
      <c r="R2586" s="39" t="s">
        <v>8569</v>
      </c>
      <c r="S2586" s="39" t="s">
        <v>8570</v>
      </c>
      <c r="AK2586" s="39" t="str">
        <f>("2025/03/17")</f>
        <v>2025/03/17</v>
      </c>
      <c r="AL2586" s="39" t="str">
        <f t="shared" si="195"/>
        <v>2025/04/01</v>
      </c>
    </row>
    <row r="2587" spans="1:39" x14ac:dyDescent="0.25">
      <c r="A2587" s="39" t="str">
        <f>("1702070002")</f>
        <v>1702070002</v>
      </c>
      <c r="B2587" s="39" t="s">
        <v>10139</v>
      </c>
      <c r="C2587" s="39"/>
      <c r="D2587" s="39" t="s">
        <v>10140</v>
      </c>
      <c r="E2587" s="371" t="str">
        <f t="shared" si="194"/>
        <v>いわもと　しんじ</v>
      </c>
      <c r="F2587" s="39" t="s">
        <v>2574</v>
      </c>
      <c r="G2587" s="39" t="s">
        <v>7828</v>
      </c>
      <c r="H2587" s="39" t="str">
        <f>("2017/02/07")</f>
        <v>2017/02/07</v>
      </c>
      <c r="I2587" s="39">
        <v>3</v>
      </c>
      <c r="J2587" s="39" t="s">
        <v>1478</v>
      </c>
      <c r="K2587" s="39" t="s">
        <v>2122</v>
      </c>
      <c r="L2587" s="39" t="s">
        <v>7830</v>
      </c>
      <c r="M2587" s="39" t="s">
        <v>7831</v>
      </c>
      <c r="N2587" s="39" t="str">
        <f>("0237620")</f>
        <v>0237620</v>
      </c>
      <c r="P2587" s="39" t="s">
        <v>14030</v>
      </c>
      <c r="Q2587" s="39" t="s">
        <v>8568</v>
      </c>
      <c r="R2587" s="39" t="s">
        <v>8569</v>
      </c>
      <c r="S2587" s="39" t="s">
        <v>8570</v>
      </c>
      <c r="AK2587" s="39" t="str">
        <f>("2025/03/17")</f>
        <v>2025/03/17</v>
      </c>
      <c r="AL2587" s="39" t="str">
        <f t="shared" si="195"/>
        <v>2025/04/01</v>
      </c>
    </row>
    <row r="2588" spans="1:39" x14ac:dyDescent="0.25">
      <c r="A2588" s="39" t="str">
        <f>("1702070089")</f>
        <v>1702070089</v>
      </c>
      <c r="C2588" s="39"/>
      <c r="D2588" s="39" t="s">
        <v>10141</v>
      </c>
      <c r="E2588" s="371" t="str">
        <f t="shared" si="194"/>
        <v>まつもと　いっせい</v>
      </c>
      <c r="F2588" s="39" t="s">
        <v>2024</v>
      </c>
      <c r="G2588" s="39" t="s">
        <v>7828</v>
      </c>
      <c r="H2588" s="39" t="str">
        <f>("2017/02/07")</f>
        <v>2017/02/07</v>
      </c>
      <c r="I2588" s="39">
        <v>3</v>
      </c>
      <c r="J2588" s="39" t="s">
        <v>1478</v>
      </c>
      <c r="K2588" s="39" t="s">
        <v>2122</v>
      </c>
      <c r="L2588" s="39" t="s">
        <v>7830</v>
      </c>
      <c r="M2588" s="39" t="s">
        <v>7831</v>
      </c>
      <c r="N2588" s="39" t="str">
        <f>("0130475")</f>
        <v>0130475</v>
      </c>
      <c r="P2588" s="39" t="s">
        <v>14031</v>
      </c>
      <c r="Q2588" s="39" t="s">
        <v>8568</v>
      </c>
      <c r="R2588" s="39" t="s">
        <v>8569</v>
      </c>
      <c r="S2588" s="39" t="s">
        <v>8570</v>
      </c>
      <c r="AK2588" s="39" t="str">
        <f>("2025/06/10")</f>
        <v>2025/06/10</v>
      </c>
      <c r="AL2588" s="39" t="str">
        <f>("2025/06/10")</f>
        <v>2025/06/10</v>
      </c>
    </row>
    <row r="2589" spans="1:39" x14ac:dyDescent="0.25">
      <c r="A2589" s="39" t="str">
        <f>("1702080094")</f>
        <v>1702080094</v>
      </c>
      <c r="B2589" s="39" t="s">
        <v>10142</v>
      </c>
      <c r="C2589" s="39"/>
      <c r="D2589" s="39" t="s">
        <v>10143</v>
      </c>
      <c r="E2589" s="371" t="str">
        <f t="shared" si="194"/>
        <v>やすい　たくみ</v>
      </c>
      <c r="F2589" s="39" t="s">
        <v>1344</v>
      </c>
      <c r="G2589" s="39" t="s">
        <v>7828</v>
      </c>
      <c r="H2589" s="39" t="str">
        <f>("2017/02/08")</f>
        <v>2017/02/08</v>
      </c>
      <c r="I2589" s="39">
        <v>3</v>
      </c>
      <c r="J2589" s="39" t="s">
        <v>1478</v>
      </c>
      <c r="K2589" s="39" t="s">
        <v>2122</v>
      </c>
      <c r="L2589" s="39" t="s">
        <v>7830</v>
      </c>
      <c r="M2589" s="39" t="s">
        <v>7831</v>
      </c>
      <c r="N2589" s="39" t="str">
        <f>("0130587")</f>
        <v>0130587</v>
      </c>
      <c r="P2589" s="39" t="s">
        <v>14032</v>
      </c>
      <c r="Q2589" s="39" t="s">
        <v>8568</v>
      </c>
      <c r="R2589" s="39" t="s">
        <v>8569</v>
      </c>
      <c r="S2589" s="39" t="s">
        <v>8570</v>
      </c>
      <c r="AK2589" s="39" t="str">
        <f>("2025/08/19")</f>
        <v>2025/08/19</v>
      </c>
      <c r="AL2589" s="39" t="str">
        <f>("2025/08/19")</f>
        <v>2025/08/19</v>
      </c>
    </row>
    <row r="2590" spans="1:39" x14ac:dyDescent="0.25">
      <c r="A2590" s="39" t="str">
        <f>("1702090014")</f>
        <v>1702090014</v>
      </c>
      <c r="C2590" s="39"/>
      <c r="D2590" s="39" t="s">
        <v>10144</v>
      </c>
      <c r="E2590" s="371" t="str">
        <f t="shared" si="194"/>
        <v>こんどう　あさひ</v>
      </c>
      <c r="F2590" s="39" t="s">
        <v>639</v>
      </c>
      <c r="G2590" s="39" t="s">
        <v>7828</v>
      </c>
      <c r="H2590" s="39" t="str">
        <f>("2017/02/09")</f>
        <v>2017/02/09</v>
      </c>
      <c r="I2590" s="39">
        <v>3</v>
      </c>
      <c r="J2590" s="39" t="s">
        <v>1478</v>
      </c>
      <c r="K2590" s="39" t="s">
        <v>2122</v>
      </c>
      <c r="L2590" s="39" t="s">
        <v>7830</v>
      </c>
      <c r="M2590" s="39" t="s">
        <v>7831</v>
      </c>
      <c r="N2590" s="39" t="str">
        <f>("0130633")</f>
        <v>0130633</v>
      </c>
      <c r="P2590" s="39" t="s">
        <v>14033</v>
      </c>
      <c r="Q2590" s="39" t="s">
        <v>8568</v>
      </c>
      <c r="R2590" s="39" t="s">
        <v>8569</v>
      </c>
      <c r="S2590" s="39" t="s">
        <v>8570</v>
      </c>
      <c r="AK2590" s="39" t="str">
        <f>("2025/03/17")</f>
        <v>2025/03/17</v>
      </c>
      <c r="AL2590" s="39" t="str">
        <f>("2025/04/01")</f>
        <v>2025/04/01</v>
      </c>
    </row>
    <row r="2591" spans="1:39" x14ac:dyDescent="0.25">
      <c r="A2591" s="39" t="str">
        <f>("1702100008")</f>
        <v>1702100008</v>
      </c>
      <c r="C2591" s="39"/>
      <c r="D2591" s="39" t="s">
        <v>10145</v>
      </c>
      <c r="E2591" s="371" t="str">
        <f t="shared" si="194"/>
        <v>やまうえ　りょうた</v>
      </c>
      <c r="F2591" s="39" t="s">
        <v>2544</v>
      </c>
      <c r="G2591" s="39" t="s">
        <v>7828</v>
      </c>
      <c r="H2591" s="39" t="str">
        <f>("2017/02/10")</f>
        <v>2017/02/10</v>
      </c>
      <c r="I2591" s="39">
        <v>3</v>
      </c>
      <c r="J2591" s="39" t="s">
        <v>1478</v>
      </c>
      <c r="K2591" s="39" t="s">
        <v>2122</v>
      </c>
      <c r="L2591" s="39" t="s">
        <v>7830</v>
      </c>
      <c r="M2591" s="39" t="s">
        <v>7831</v>
      </c>
      <c r="N2591" s="39" t="str">
        <f>("0130644")</f>
        <v>0130644</v>
      </c>
      <c r="P2591" s="39" t="s">
        <v>14034</v>
      </c>
      <c r="Q2591" s="39" t="s">
        <v>8568</v>
      </c>
      <c r="R2591" s="39" t="s">
        <v>8569</v>
      </c>
      <c r="S2591" s="39" t="s">
        <v>8570</v>
      </c>
      <c r="AK2591" s="39" t="str">
        <f>("2025/03/17")</f>
        <v>2025/03/17</v>
      </c>
      <c r="AL2591" s="39" t="str">
        <f>("2025/04/01")</f>
        <v>2025/04/01</v>
      </c>
    </row>
    <row r="2592" spans="1:39" x14ac:dyDescent="0.25">
      <c r="A2592" s="39" t="str">
        <f>("1702100091")</f>
        <v>1702100091</v>
      </c>
      <c r="C2592" s="39"/>
      <c r="D2592" s="39" t="s">
        <v>10146</v>
      </c>
      <c r="E2592" s="371" t="str">
        <f t="shared" si="194"/>
        <v>ふじた　ゆきと</v>
      </c>
      <c r="F2592" s="39" t="s">
        <v>2648</v>
      </c>
      <c r="G2592" s="39" t="s">
        <v>7828</v>
      </c>
      <c r="H2592" s="39" t="str">
        <f>("2017/02/10")</f>
        <v>2017/02/10</v>
      </c>
      <c r="I2592" s="39">
        <v>3</v>
      </c>
      <c r="J2592" s="39" t="s">
        <v>1478</v>
      </c>
      <c r="K2592" s="39" t="s">
        <v>2122</v>
      </c>
      <c r="L2592" s="39" t="s">
        <v>7830</v>
      </c>
      <c r="M2592" s="39" t="s">
        <v>7831</v>
      </c>
      <c r="N2592" s="39" t="str">
        <f>("1050097")</f>
        <v>1050097</v>
      </c>
      <c r="P2592" s="39" t="s">
        <v>14035</v>
      </c>
      <c r="Q2592" s="39" t="s">
        <v>8568</v>
      </c>
      <c r="R2592" s="39" t="s">
        <v>8569</v>
      </c>
      <c r="S2592" s="39" t="s">
        <v>8570</v>
      </c>
      <c r="AK2592" s="39" t="str">
        <f>("2025/09/02")</f>
        <v>2025/09/02</v>
      </c>
      <c r="AL2592" s="39" t="str">
        <f>("2025/09/02")</f>
        <v>2025/09/02</v>
      </c>
    </row>
    <row r="2593" spans="1:39" x14ac:dyDescent="0.25">
      <c r="A2593" s="39" t="str">
        <f>("1702100092")</f>
        <v>1702100092</v>
      </c>
      <c r="C2593" s="39"/>
      <c r="D2593" s="39" t="s">
        <v>10147</v>
      </c>
      <c r="E2593" s="371" t="str">
        <f t="shared" si="194"/>
        <v>ひろせ　はると</v>
      </c>
      <c r="F2593" s="39" t="s">
        <v>1865</v>
      </c>
      <c r="G2593" s="39" t="s">
        <v>7828</v>
      </c>
      <c r="H2593" s="39" t="str">
        <f>("2017/02/10")</f>
        <v>2017/02/10</v>
      </c>
      <c r="I2593" s="39">
        <v>3</v>
      </c>
      <c r="J2593" s="39" t="s">
        <v>1478</v>
      </c>
      <c r="K2593" s="39" t="s">
        <v>2122</v>
      </c>
      <c r="L2593" s="39" t="s">
        <v>7830</v>
      </c>
      <c r="M2593" s="39" t="s">
        <v>7831</v>
      </c>
      <c r="N2593" s="39" t="str">
        <f>("0310565")</f>
        <v>0310565</v>
      </c>
      <c r="P2593" s="39" t="s">
        <v>13204</v>
      </c>
      <c r="Q2593" s="39" t="s">
        <v>8568</v>
      </c>
      <c r="R2593" s="39" t="s">
        <v>8569</v>
      </c>
      <c r="S2593" s="39" t="s">
        <v>8570</v>
      </c>
      <c r="AK2593" s="39" t="str">
        <f>("2025/09/09")</f>
        <v>2025/09/09</v>
      </c>
      <c r="AL2593" s="39" t="str">
        <f>("2025/09/09")</f>
        <v>2025/09/09</v>
      </c>
    </row>
    <row r="2594" spans="1:39" x14ac:dyDescent="0.25">
      <c r="A2594" s="39" t="str">
        <f>("1702110038")</f>
        <v>1702110038</v>
      </c>
      <c r="C2594" s="39"/>
      <c r="D2594" s="39" t="s">
        <v>10148</v>
      </c>
      <c r="E2594" s="371" t="str">
        <f t="shared" si="194"/>
        <v>たぐち　えん</v>
      </c>
      <c r="F2594" s="39" t="s">
        <v>686</v>
      </c>
      <c r="G2594" s="39" t="s">
        <v>7828</v>
      </c>
      <c r="H2594" s="39" t="str">
        <f>("2017/02/11")</f>
        <v>2017/02/11</v>
      </c>
      <c r="I2594" s="39">
        <v>3</v>
      </c>
      <c r="J2594" s="39" t="s">
        <v>1478</v>
      </c>
      <c r="K2594" s="39" t="s">
        <v>2122</v>
      </c>
      <c r="L2594" s="39" t="s">
        <v>7830</v>
      </c>
      <c r="M2594" s="39" t="s">
        <v>7831</v>
      </c>
      <c r="N2594" s="39" t="str">
        <f>("0130745")</f>
        <v>0130745</v>
      </c>
      <c r="P2594" s="39" t="s">
        <v>14036</v>
      </c>
      <c r="Q2594" s="39" t="s">
        <v>8568</v>
      </c>
      <c r="R2594" s="39" t="s">
        <v>8569</v>
      </c>
      <c r="S2594" s="39" t="s">
        <v>8570</v>
      </c>
      <c r="AK2594" s="39" t="str">
        <f>("2025/03/17")</f>
        <v>2025/03/17</v>
      </c>
      <c r="AL2594" s="39" t="str">
        <f t="shared" ref="AL2594:AL2601" si="196">("2025/04/01")</f>
        <v>2025/04/01</v>
      </c>
    </row>
    <row r="2595" spans="1:39" x14ac:dyDescent="0.25">
      <c r="A2595" s="39" t="str">
        <f>("1702130002")</f>
        <v>1702130002</v>
      </c>
      <c r="B2595" s="39" t="s">
        <v>10149</v>
      </c>
      <c r="C2595" s="39"/>
      <c r="D2595" s="39" t="s">
        <v>10150</v>
      </c>
      <c r="E2595" s="371" t="str">
        <f t="shared" si="194"/>
        <v>はしもと　なおや</v>
      </c>
      <c r="F2595" s="39" t="s">
        <v>2137</v>
      </c>
      <c r="G2595" s="39" t="s">
        <v>7828</v>
      </c>
      <c r="H2595" s="39" t="str">
        <f>("2017/02/13")</f>
        <v>2017/02/13</v>
      </c>
      <c r="I2595" s="39">
        <v>3</v>
      </c>
      <c r="J2595" s="39" t="s">
        <v>1478</v>
      </c>
      <c r="K2595" s="39" t="s">
        <v>2122</v>
      </c>
      <c r="L2595" s="39" t="s">
        <v>7830</v>
      </c>
      <c r="M2595" s="39" t="s">
        <v>7831</v>
      </c>
      <c r="N2595" s="39" t="str">
        <f>("0130510")</f>
        <v>0130510</v>
      </c>
      <c r="P2595" s="39" t="s">
        <v>14037</v>
      </c>
      <c r="Q2595" s="39" t="s">
        <v>8568</v>
      </c>
      <c r="R2595" s="39" t="s">
        <v>8569</v>
      </c>
      <c r="S2595" s="39" t="s">
        <v>8570</v>
      </c>
      <c r="AK2595" s="39" t="str">
        <f>("2025/03/21")</f>
        <v>2025/03/21</v>
      </c>
      <c r="AL2595" s="39" t="str">
        <f t="shared" si="196"/>
        <v>2025/04/01</v>
      </c>
    </row>
    <row r="2596" spans="1:39" x14ac:dyDescent="0.25">
      <c r="A2596" s="39" t="str">
        <f>("1702130055")</f>
        <v>1702130055</v>
      </c>
      <c r="C2596" s="39"/>
      <c r="D2596" s="39" t="s">
        <v>10151</v>
      </c>
      <c r="E2596" s="371" t="str">
        <f t="shared" si="194"/>
        <v>わたなべ　はるひ</v>
      </c>
      <c r="F2596" s="39" t="s">
        <v>2584</v>
      </c>
      <c r="G2596" s="39" t="s">
        <v>7828</v>
      </c>
      <c r="H2596" s="39" t="str">
        <f>("2017/02/13")</f>
        <v>2017/02/13</v>
      </c>
      <c r="I2596" s="39">
        <v>3</v>
      </c>
      <c r="J2596" s="39" t="s">
        <v>1478</v>
      </c>
      <c r="K2596" s="39" t="s">
        <v>2122</v>
      </c>
      <c r="L2596" s="39" t="s">
        <v>7830</v>
      </c>
      <c r="M2596" s="39" t="s">
        <v>7831</v>
      </c>
      <c r="N2596" s="39" t="str">
        <f>("0374071")</f>
        <v>0374071</v>
      </c>
      <c r="P2596" s="39" t="s">
        <v>14038</v>
      </c>
      <c r="Q2596" s="39" t="s">
        <v>8568</v>
      </c>
      <c r="R2596" s="39" t="s">
        <v>8569</v>
      </c>
      <c r="S2596" s="39" t="s">
        <v>8570</v>
      </c>
      <c r="AK2596" s="39" t="str">
        <f>("2025/03/17")</f>
        <v>2025/03/17</v>
      </c>
      <c r="AL2596" s="39" t="str">
        <f t="shared" si="196"/>
        <v>2025/04/01</v>
      </c>
    </row>
    <row r="2597" spans="1:39" x14ac:dyDescent="0.25">
      <c r="A2597" s="39" t="str">
        <f>("1702140023")</f>
        <v>1702140023</v>
      </c>
      <c r="C2597" s="39"/>
      <c r="D2597" s="39" t="s">
        <v>10152</v>
      </c>
      <c r="E2597" s="371" t="str">
        <f t="shared" si="194"/>
        <v>いとう　あき</v>
      </c>
      <c r="F2597" s="39" t="s">
        <v>2349</v>
      </c>
      <c r="G2597" s="39" t="s">
        <v>7828</v>
      </c>
      <c r="H2597" s="39" t="str">
        <f>("2017/02/14")</f>
        <v>2017/02/14</v>
      </c>
      <c r="I2597" s="39">
        <v>3</v>
      </c>
      <c r="J2597" s="39" t="s">
        <v>1478</v>
      </c>
      <c r="K2597" s="39" t="s">
        <v>2122</v>
      </c>
      <c r="L2597" s="39" t="s">
        <v>7830</v>
      </c>
      <c r="M2597" s="39" t="s">
        <v>7831</v>
      </c>
      <c r="N2597" s="39" t="str">
        <f>("0292081")</f>
        <v>0292081</v>
      </c>
      <c r="P2597" s="39" t="s">
        <v>12715</v>
      </c>
      <c r="Q2597" s="39" t="s">
        <v>8568</v>
      </c>
      <c r="R2597" s="39" t="s">
        <v>8569</v>
      </c>
      <c r="S2597" s="39" t="s">
        <v>8570</v>
      </c>
      <c r="AK2597" s="39" t="str">
        <f>("2025/03/24")</f>
        <v>2025/03/24</v>
      </c>
      <c r="AL2597" s="39" t="str">
        <f t="shared" si="196"/>
        <v>2025/04/01</v>
      </c>
    </row>
    <row r="2598" spans="1:39" x14ac:dyDescent="0.25">
      <c r="A2598" s="39" t="str">
        <f>("1702140025")</f>
        <v>1702140025</v>
      </c>
      <c r="C2598" s="39"/>
      <c r="D2598" s="39" t="s">
        <v>6167</v>
      </c>
      <c r="E2598" s="371" t="str">
        <f t="shared" si="194"/>
        <v>かやじま　かいと</v>
      </c>
      <c r="F2598" s="39" t="s">
        <v>1095</v>
      </c>
      <c r="G2598" s="39" t="s">
        <v>7828</v>
      </c>
      <c r="H2598" s="39" t="str">
        <f>("2017/02/14")</f>
        <v>2017/02/14</v>
      </c>
      <c r="I2598" s="39">
        <v>3</v>
      </c>
      <c r="J2598" s="39" t="s">
        <v>1478</v>
      </c>
      <c r="K2598" s="39" t="s">
        <v>2122</v>
      </c>
      <c r="L2598" s="39" t="s">
        <v>7830</v>
      </c>
      <c r="M2598" s="39" t="s">
        <v>7831</v>
      </c>
      <c r="N2598" s="39" t="str">
        <f>("0487492")</f>
        <v>0487492</v>
      </c>
      <c r="P2598" s="39" t="s">
        <v>14039</v>
      </c>
      <c r="Q2598" s="39" t="s">
        <v>8568</v>
      </c>
      <c r="R2598" s="39" t="s">
        <v>8569</v>
      </c>
      <c r="S2598" s="39" t="s">
        <v>8570</v>
      </c>
      <c r="AK2598" s="39" t="str">
        <f>("2025/03/21")</f>
        <v>2025/03/21</v>
      </c>
      <c r="AL2598" s="39" t="str">
        <f t="shared" si="196"/>
        <v>2025/04/01</v>
      </c>
    </row>
    <row r="2599" spans="1:39" x14ac:dyDescent="0.25">
      <c r="A2599" s="39" t="str">
        <f>("1702150005")</f>
        <v>1702150005</v>
      </c>
      <c r="C2599" s="39"/>
      <c r="D2599" s="39" t="s">
        <v>10153</v>
      </c>
      <c r="E2599" s="371" t="str">
        <f t="shared" si="194"/>
        <v>すがの　さくら</v>
      </c>
      <c r="F2599" s="39" t="s">
        <v>2023</v>
      </c>
      <c r="G2599" s="39" t="s">
        <v>7828</v>
      </c>
      <c r="H2599" s="39" t="str">
        <f>("2017/02/15")</f>
        <v>2017/02/15</v>
      </c>
      <c r="I2599" s="39">
        <v>3</v>
      </c>
      <c r="J2599" s="39" t="s">
        <v>1480</v>
      </c>
      <c r="K2599" s="39" t="s">
        <v>2122</v>
      </c>
      <c r="L2599" s="39" t="s">
        <v>7830</v>
      </c>
      <c r="M2599" s="39" t="s">
        <v>7831</v>
      </c>
      <c r="N2599" s="39" t="str">
        <f>("0129967")</f>
        <v>0129967</v>
      </c>
      <c r="P2599" s="39" t="s">
        <v>14040</v>
      </c>
      <c r="Q2599" s="39" t="s">
        <v>8568</v>
      </c>
      <c r="R2599" s="39" t="s">
        <v>8569</v>
      </c>
      <c r="S2599" s="39" t="s">
        <v>8570</v>
      </c>
      <c r="AK2599" s="39" t="str">
        <f>("2025/03/17")</f>
        <v>2025/03/17</v>
      </c>
      <c r="AL2599" s="39" t="str">
        <f t="shared" si="196"/>
        <v>2025/04/01</v>
      </c>
    </row>
    <row r="2600" spans="1:39" x14ac:dyDescent="0.25">
      <c r="A2600" s="39" t="str">
        <f>("1702160027")</f>
        <v>1702160027</v>
      </c>
      <c r="C2600" s="39"/>
      <c r="D2600" s="39" t="s">
        <v>10154</v>
      </c>
      <c r="E2600" s="371" t="str">
        <f t="shared" si="194"/>
        <v>いしざき　てっしん</v>
      </c>
      <c r="F2600" s="39" t="s">
        <v>188</v>
      </c>
      <c r="G2600" s="39" t="s">
        <v>7828</v>
      </c>
      <c r="H2600" s="39" t="str">
        <f>("2017/02/16")</f>
        <v>2017/02/16</v>
      </c>
      <c r="I2600" s="39">
        <v>3</v>
      </c>
      <c r="J2600" s="39" t="s">
        <v>1478</v>
      </c>
      <c r="K2600" s="39" t="s">
        <v>2122</v>
      </c>
      <c r="L2600" s="39" t="s">
        <v>7830</v>
      </c>
      <c r="M2600" s="39" t="s">
        <v>7831</v>
      </c>
      <c r="N2600" s="39" t="str">
        <f>("0130734")</f>
        <v>0130734</v>
      </c>
      <c r="P2600" s="39" t="s">
        <v>14041</v>
      </c>
      <c r="Q2600" s="39" t="s">
        <v>8568</v>
      </c>
      <c r="R2600" s="39" t="s">
        <v>8569</v>
      </c>
      <c r="S2600" s="39" t="s">
        <v>8570</v>
      </c>
      <c r="AK2600" s="39" t="str">
        <f>("2025/03/17")</f>
        <v>2025/03/17</v>
      </c>
      <c r="AL2600" s="39" t="str">
        <f t="shared" si="196"/>
        <v>2025/04/01</v>
      </c>
    </row>
    <row r="2601" spans="1:39" x14ac:dyDescent="0.25">
      <c r="A2601" s="39" t="str">
        <f>("1702170043")</f>
        <v>1702170043</v>
      </c>
      <c r="B2601" s="39" t="s">
        <v>10155</v>
      </c>
      <c r="C2601" s="39"/>
      <c r="D2601" s="39" t="s">
        <v>10156</v>
      </c>
      <c r="E2601" s="371" t="str">
        <f t="shared" si="194"/>
        <v>かわばた　りと</v>
      </c>
      <c r="F2601" s="39" t="s">
        <v>2325</v>
      </c>
      <c r="G2601" s="39" t="s">
        <v>7876</v>
      </c>
      <c r="H2601" s="39" t="str">
        <f>("2017/02/17")</f>
        <v>2017/02/17</v>
      </c>
      <c r="I2601" s="39">
        <v>3</v>
      </c>
      <c r="J2601" s="39" t="s">
        <v>1478</v>
      </c>
      <c r="K2601" s="39" t="s">
        <v>2122</v>
      </c>
      <c r="L2601" s="39" t="s">
        <v>7830</v>
      </c>
      <c r="M2601" s="39" t="s">
        <v>7831</v>
      </c>
      <c r="N2601" s="39" t="str">
        <f>("0155034")</f>
        <v>0155034</v>
      </c>
      <c r="P2601" s="39" t="s">
        <v>14042</v>
      </c>
      <c r="Q2601" s="39" t="s">
        <v>8568</v>
      </c>
      <c r="R2601" s="39" t="s">
        <v>8569</v>
      </c>
      <c r="S2601" s="39" t="s">
        <v>8570</v>
      </c>
      <c r="AK2601" s="39" t="str">
        <f>("2025/03/17")</f>
        <v>2025/03/17</v>
      </c>
      <c r="AL2601" s="39" t="str">
        <f t="shared" si="196"/>
        <v>2025/04/01</v>
      </c>
      <c r="AM2601" s="39" t="str">
        <f>("2025/06/04")</f>
        <v>2025/06/04</v>
      </c>
    </row>
    <row r="2602" spans="1:39" x14ac:dyDescent="0.25">
      <c r="A2602" s="39" t="str">
        <f>("1702170108")</f>
        <v>1702170108</v>
      </c>
      <c r="C2602" s="39"/>
      <c r="D2602" s="39" t="s">
        <v>10157</v>
      </c>
      <c r="E2602" s="371" t="str">
        <f t="shared" si="194"/>
        <v>なかじま　しゅうじ</v>
      </c>
      <c r="F2602" s="39" t="s">
        <v>2651</v>
      </c>
      <c r="G2602" s="39" t="s">
        <v>7828</v>
      </c>
      <c r="H2602" s="39" t="str">
        <f>("2017/02/17")</f>
        <v>2017/02/17</v>
      </c>
      <c r="I2602" s="39">
        <v>3</v>
      </c>
      <c r="J2602" s="39" t="s">
        <v>1478</v>
      </c>
      <c r="K2602" s="39" t="s">
        <v>2122</v>
      </c>
      <c r="L2602" s="39" t="s">
        <v>7830</v>
      </c>
      <c r="M2602" s="39" t="s">
        <v>7831</v>
      </c>
      <c r="N2602" s="39" t="str">
        <f>("1067415")</f>
        <v>1067415</v>
      </c>
      <c r="P2602" s="39" t="s">
        <v>14043</v>
      </c>
      <c r="Q2602" s="39" t="s">
        <v>8568</v>
      </c>
      <c r="R2602" s="39" t="s">
        <v>8569</v>
      </c>
      <c r="S2602" s="39" t="s">
        <v>8570</v>
      </c>
      <c r="AK2602" s="39" t="str">
        <f>("2025/09/04")</f>
        <v>2025/09/04</v>
      </c>
      <c r="AL2602" s="39" t="str">
        <f>("2025/09/04")</f>
        <v>2025/09/04</v>
      </c>
    </row>
    <row r="2603" spans="1:39" x14ac:dyDescent="0.25">
      <c r="A2603" s="39" t="str">
        <f>("1702180072")</f>
        <v>1702180072</v>
      </c>
      <c r="C2603" s="39"/>
      <c r="D2603" s="39" t="s">
        <v>10158</v>
      </c>
      <c r="E2603" s="371" t="str">
        <f t="shared" si="194"/>
        <v>しおやま　こう</v>
      </c>
      <c r="F2603" s="39" t="s">
        <v>520</v>
      </c>
      <c r="G2603" s="39" t="s">
        <v>7828</v>
      </c>
      <c r="H2603" s="39" t="str">
        <f>("2017/02/18")</f>
        <v>2017/02/18</v>
      </c>
      <c r="I2603" s="39">
        <v>3</v>
      </c>
      <c r="J2603" s="39" t="s">
        <v>1478</v>
      </c>
      <c r="K2603" s="39" t="s">
        <v>2122</v>
      </c>
      <c r="L2603" s="39" t="s">
        <v>7830</v>
      </c>
      <c r="M2603" s="39" t="s">
        <v>7831</v>
      </c>
      <c r="N2603" s="39" t="str">
        <f>("0129765")</f>
        <v>0129765</v>
      </c>
      <c r="P2603" s="39" t="s">
        <v>14044</v>
      </c>
      <c r="Q2603" s="39" t="s">
        <v>8568</v>
      </c>
      <c r="R2603" s="39" t="s">
        <v>8569</v>
      </c>
      <c r="S2603" s="39" t="s">
        <v>8570</v>
      </c>
      <c r="AK2603" s="39" t="str">
        <f>("2025/08/21")</f>
        <v>2025/08/21</v>
      </c>
      <c r="AL2603" s="39" t="str">
        <f>("2025/08/21")</f>
        <v>2025/08/21</v>
      </c>
    </row>
    <row r="2604" spans="1:39" x14ac:dyDescent="0.25">
      <c r="A2604" s="39" t="str">
        <f>("1702190014")</f>
        <v>1702190014</v>
      </c>
      <c r="C2604" s="39"/>
      <c r="D2604" s="39" t="s">
        <v>10159</v>
      </c>
      <c r="E2604" s="371" t="str">
        <f t="shared" si="194"/>
        <v>こやま　こうぞう</v>
      </c>
      <c r="F2604" s="39" t="s">
        <v>156</v>
      </c>
      <c r="G2604" s="39" t="s">
        <v>7828</v>
      </c>
      <c r="H2604" s="39" t="str">
        <f>("2017/02/19")</f>
        <v>2017/02/19</v>
      </c>
      <c r="I2604" s="39">
        <v>3</v>
      </c>
      <c r="J2604" s="39" t="s">
        <v>1478</v>
      </c>
      <c r="K2604" s="39" t="s">
        <v>2122</v>
      </c>
      <c r="L2604" s="39" t="s">
        <v>7830</v>
      </c>
      <c r="M2604" s="39" t="s">
        <v>7831</v>
      </c>
      <c r="N2604" s="39" t="str">
        <f>("0130037")</f>
        <v>0130037</v>
      </c>
      <c r="P2604" s="39" t="s">
        <v>14045</v>
      </c>
      <c r="Q2604" s="39" t="s">
        <v>8568</v>
      </c>
      <c r="R2604" s="39" t="s">
        <v>8569</v>
      </c>
      <c r="S2604" s="39" t="s">
        <v>8570</v>
      </c>
      <c r="AK2604" s="39" t="str">
        <f>("2025/03/17")</f>
        <v>2025/03/17</v>
      </c>
      <c r="AL2604" s="39" t="str">
        <f>("2025/04/01")</f>
        <v>2025/04/01</v>
      </c>
      <c r="AM2604" s="39" t="str">
        <f>("2025/05/20")</f>
        <v>2025/05/20</v>
      </c>
    </row>
    <row r="2605" spans="1:39" x14ac:dyDescent="0.25">
      <c r="A2605" s="39" t="str">
        <f>("1702190053")</f>
        <v>1702190053</v>
      </c>
      <c r="C2605" s="39"/>
      <c r="D2605" s="39" t="s">
        <v>10160</v>
      </c>
      <c r="E2605" s="371" t="str">
        <f t="shared" si="194"/>
        <v>しおた　れい</v>
      </c>
      <c r="F2605" s="39" t="s">
        <v>1692</v>
      </c>
      <c r="G2605" s="39" t="s">
        <v>7828</v>
      </c>
      <c r="H2605" s="39" t="str">
        <f>("2017/02/19")</f>
        <v>2017/02/19</v>
      </c>
      <c r="I2605" s="39">
        <v>3</v>
      </c>
      <c r="J2605" s="39" t="s">
        <v>1478</v>
      </c>
      <c r="K2605" s="39" t="s">
        <v>2122</v>
      </c>
      <c r="L2605" s="39" t="s">
        <v>7830</v>
      </c>
      <c r="M2605" s="39" t="s">
        <v>7831</v>
      </c>
      <c r="N2605" s="39" t="str">
        <f>("1052299")</f>
        <v>1052299</v>
      </c>
      <c r="P2605" s="39" t="s">
        <v>14046</v>
      </c>
      <c r="Q2605" s="39" t="s">
        <v>8568</v>
      </c>
      <c r="R2605" s="39" t="s">
        <v>8569</v>
      </c>
      <c r="S2605" s="39" t="s">
        <v>8570</v>
      </c>
      <c r="AK2605" s="39" t="str">
        <f>("2025/08/29")</f>
        <v>2025/08/29</v>
      </c>
      <c r="AL2605" s="39" t="str">
        <f>("2025/08/29")</f>
        <v>2025/08/29</v>
      </c>
    </row>
    <row r="2606" spans="1:39" x14ac:dyDescent="0.25">
      <c r="A2606" s="39" t="str">
        <f>("1702210035")</f>
        <v>1702210035</v>
      </c>
      <c r="C2606" s="39"/>
      <c r="D2606" s="39" t="s">
        <v>5836</v>
      </c>
      <c r="E2606" s="371" t="str">
        <f t="shared" si="194"/>
        <v>なかむら　さくたろう</v>
      </c>
      <c r="F2606" s="39" t="s">
        <v>5616</v>
      </c>
      <c r="G2606" s="39" t="s">
        <v>7828</v>
      </c>
      <c r="H2606" s="39" t="str">
        <f>("2017/02/21")</f>
        <v>2017/02/21</v>
      </c>
      <c r="I2606" s="39">
        <v>3</v>
      </c>
      <c r="J2606" s="39" t="s">
        <v>1478</v>
      </c>
      <c r="K2606" s="39" t="s">
        <v>2122</v>
      </c>
      <c r="L2606" s="39" t="s">
        <v>7830</v>
      </c>
      <c r="M2606" s="39" t="s">
        <v>7831</v>
      </c>
      <c r="N2606" s="39" t="str">
        <f>("0130385")</f>
        <v>0130385</v>
      </c>
      <c r="P2606" s="39" t="s">
        <v>14047</v>
      </c>
      <c r="Q2606" s="39" t="s">
        <v>8568</v>
      </c>
      <c r="R2606" s="39" t="s">
        <v>8569</v>
      </c>
      <c r="S2606" s="39" t="s">
        <v>8570</v>
      </c>
      <c r="AK2606" s="39" t="str">
        <f>("2025/03/17")</f>
        <v>2025/03/17</v>
      </c>
      <c r="AL2606" s="39" t="str">
        <f>("2025/04/01")</f>
        <v>2025/04/01</v>
      </c>
    </row>
    <row r="2607" spans="1:39" x14ac:dyDescent="0.25">
      <c r="A2607" s="39" t="str">
        <f>("1702210068")</f>
        <v>1702210068</v>
      </c>
      <c r="C2607" s="39"/>
      <c r="D2607" s="39" t="s">
        <v>10161</v>
      </c>
      <c r="E2607" s="371" t="str">
        <f t="shared" si="194"/>
        <v>しゅくり　かいと</v>
      </c>
      <c r="F2607" s="39" t="s">
        <v>834</v>
      </c>
      <c r="G2607" s="39" t="s">
        <v>7828</v>
      </c>
      <c r="H2607" s="39" t="str">
        <f>("2017/02/21")</f>
        <v>2017/02/21</v>
      </c>
      <c r="I2607" s="39">
        <v>3</v>
      </c>
      <c r="J2607" s="39" t="s">
        <v>1478</v>
      </c>
      <c r="K2607" s="39" t="s">
        <v>2122</v>
      </c>
      <c r="L2607" s="39" t="s">
        <v>7830</v>
      </c>
      <c r="M2607" s="39" t="s">
        <v>7831</v>
      </c>
      <c r="N2607" s="39" t="str">
        <f>("0129844")</f>
        <v>0129844</v>
      </c>
      <c r="P2607" s="39" t="s">
        <v>14048</v>
      </c>
      <c r="Q2607" s="39" t="s">
        <v>8568</v>
      </c>
      <c r="R2607" s="39" t="s">
        <v>8569</v>
      </c>
      <c r="S2607" s="39" t="s">
        <v>8570</v>
      </c>
      <c r="AK2607" s="39" t="str">
        <f>("2025/03/17")</f>
        <v>2025/03/17</v>
      </c>
      <c r="AL2607" s="39" t="str">
        <f>("2025/04/01")</f>
        <v>2025/04/01</v>
      </c>
    </row>
    <row r="2608" spans="1:39" x14ac:dyDescent="0.25">
      <c r="A2608" s="39" t="str">
        <f>("1702210069")</f>
        <v>1702210069</v>
      </c>
      <c r="B2608" s="39" t="s">
        <v>10162</v>
      </c>
      <c r="C2608" s="39"/>
      <c r="D2608" s="39" t="s">
        <v>10163</v>
      </c>
      <c r="E2608" s="371" t="str">
        <f t="shared" si="194"/>
        <v>ひらの　まりあ</v>
      </c>
      <c r="F2608" s="39" t="s">
        <v>8050</v>
      </c>
      <c r="G2608" s="39" t="s">
        <v>7828</v>
      </c>
      <c r="H2608" s="39" t="str">
        <f>("2017/02/21")</f>
        <v>2017/02/21</v>
      </c>
      <c r="I2608" s="39">
        <v>3</v>
      </c>
      <c r="J2608" s="39" t="s">
        <v>1480</v>
      </c>
      <c r="K2608" s="39" t="s">
        <v>2122</v>
      </c>
      <c r="L2608" s="39" t="s">
        <v>7830</v>
      </c>
      <c r="M2608" s="39" t="s">
        <v>7831</v>
      </c>
      <c r="N2608" s="39" t="str">
        <f>("0130015")</f>
        <v>0130015</v>
      </c>
      <c r="P2608" s="39" t="s">
        <v>14049</v>
      </c>
      <c r="Q2608" s="39" t="s">
        <v>8568</v>
      </c>
      <c r="R2608" s="39" t="s">
        <v>8569</v>
      </c>
      <c r="S2608" s="39" t="s">
        <v>8570</v>
      </c>
      <c r="AK2608" s="39" t="str">
        <f>("2025/03/17")</f>
        <v>2025/03/17</v>
      </c>
      <c r="AL2608" s="39" t="str">
        <f>("2025/04/01")</f>
        <v>2025/04/01</v>
      </c>
    </row>
    <row r="2609" spans="1:39" x14ac:dyDescent="0.25">
      <c r="A2609" s="39" t="str">
        <f>("1702210099")</f>
        <v>1702210099</v>
      </c>
      <c r="C2609" s="39"/>
      <c r="D2609" s="39" t="s">
        <v>10164</v>
      </c>
      <c r="E2609" s="371" t="str">
        <f t="shared" si="194"/>
        <v>たかしま　あお</v>
      </c>
      <c r="F2609" s="39" t="s">
        <v>3867</v>
      </c>
      <c r="G2609" s="39" t="s">
        <v>7828</v>
      </c>
      <c r="H2609" s="39" t="str">
        <f>("2017/02/21")</f>
        <v>2017/02/21</v>
      </c>
      <c r="I2609" s="39">
        <v>3</v>
      </c>
      <c r="J2609" s="39" t="s">
        <v>1478</v>
      </c>
      <c r="K2609" s="39" t="s">
        <v>2122</v>
      </c>
      <c r="L2609" s="39" t="s">
        <v>7830</v>
      </c>
      <c r="M2609" s="39" t="s">
        <v>7831</v>
      </c>
      <c r="N2609" s="39" t="str">
        <f>("0129990")</f>
        <v>0129990</v>
      </c>
      <c r="P2609" s="39" t="s">
        <v>14050</v>
      </c>
      <c r="Q2609" s="39" t="s">
        <v>8568</v>
      </c>
      <c r="R2609" s="39" t="s">
        <v>8569</v>
      </c>
      <c r="S2609" s="39" t="s">
        <v>8570</v>
      </c>
      <c r="AK2609" s="39" t="str">
        <f>("2025/08/06")</f>
        <v>2025/08/06</v>
      </c>
      <c r="AL2609" s="39" t="str">
        <f>("2025/08/06")</f>
        <v>2025/08/06</v>
      </c>
    </row>
    <row r="2610" spans="1:39" x14ac:dyDescent="0.25">
      <c r="A2610" s="39" t="str">
        <f>("1702210101")</f>
        <v>1702210101</v>
      </c>
      <c r="C2610" s="39"/>
      <c r="D2610" s="39" t="s">
        <v>10165</v>
      </c>
      <c r="E2610" s="371" t="str">
        <f t="shared" si="194"/>
        <v>こばる　じん</v>
      </c>
      <c r="F2610" s="39" t="s">
        <v>2544</v>
      </c>
      <c r="G2610" s="39" t="s">
        <v>7828</v>
      </c>
      <c r="H2610" s="39" t="str">
        <f>("2017/02/21")</f>
        <v>2017/02/21</v>
      </c>
      <c r="I2610" s="39">
        <v>3</v>
      </c>
      <c r="J2610" s="39" t="s">
        <v>1478</v>
      </c>
      <c r="K2610" s="39" t="s">
        <v>2122</v>
      </c>
      <c r="L2610" s="39" t="s">
        <v>7830</v>
      </c>
      <c r="M2610" s="39" t="s">
        <v>7831</v>
      </c>
      <c r="N2610" s="39" t="str">
        <f>("0130644")</f>
        <v>0130644</v>
      </c>
      <c r="P2610" s="39" t="s">
        <v>14051</v>
      </c>
      <c r="Q2610" s="39" t="s">
        <v>8568</v>
      </c>
      <c r="R2610" s="39" t="s">
        <v>8569</v>
      </c>
      <c r="S2610" s="39" t="s">
        <v>8570</v>
      </c>
      <c r="AK2610" s="39" t="str">
        <f>("2025/08/25")</f>
        <v>2025/08/25</v>
      </c>
      <c r="AL2610" s="39" t="str">
        <f>("2025/08/25")</f>
        <v>2025/08/25</v>
      </c>
    </row>
    <row r="2611" spans="1:39" x14ac:dyDescent="0.25">
      <c r="A2611" s="39" t="str">
        <f>("1702220091")</f>
        <v>1702220091</v>
      </c>
      <c r="C2611" s="39"/>
      <c r="D2611" s="39" t="s">
        <v>10166</v>
      </c>
      <c r="E2611" s="371" t="str">
        <f t="shared" si="194"/>
        <v>いけべ　げんき</v>
      </c>
      <c r="F2611" s="39" t="s">
        <v>2024</v>
      </c>
      <c r="G2611" s="39" t="s">
        <v>7828</v>
      </c>
      <c r="H2611" s="39" t="str">
        <f>("2017/02/22")</f>
        <v>2017/02/22</v>
      </c>
      <c r="I2611" s="39">
        <v>3</v>
      </c>
      <c r="J2611" s="39" t="s">
        <v>1478</v>
      </c>
      <c r="K2611" s="39" t="s">
        <v>2122</v>
      </c>
      <c r="L2611" s="39" t="s">
        <v>7830</v>
      </c>
      <c r="M2611" s="39" t="s">
        <v>7831</v>
      </c>
      <c r="N2611" s="39" t="str">
        <f>("0130475")</f>
        <v>0130475</v>
      </c>
      <c r="P2611" s="39" t="s">
        <v>14052</v>
      </c>
      <c r="Q2611" s="39" t="s">
        <v>8568</v>
      </c>
      <c r="R2611" s="39" t="s">
        <v>8569</v>
      </c>
      <c r="S2611" s="39" t="s">
        <v>8570</v>
      </c>
      <c r="AK2611" s="39" t="str">
        <f>("2025/06/10")</f>
        <v>2025/06/10</v>
      </c>
      <c r="AL2611" s="39" t="str">
        <f>("2025/06/10")</f>
        <v>2025/06/10</v>
      </c>
    </row>
    <row r="2612" spans="1:39" x14ac:dyDescent="0.25">
      <c r="A2612" s="39" t="str">
        <f>("1702230036")</f>
        <v>1702230036</v>
      </c>
      <c r="C2612" s="39"/>
      <c r="D2612" s="39" t="s">
        <v>10167</v>
      </c>
      <c r="E2612" s="371" t="str">
        <f t="shared" si="194"/>
        <v>とみひさ　りゅうと</v>
      </c>
      <c r="F2612" s="39" t="s">
        <v>2574</v>
      </c>
      <c r="G2612" s="39" t="s">
        <v>7828</v>
      </c>
      <c r="H2612" s="39" t="str">
        <f>("2017/02/23")</f>
        <v>2017/02/23</v>
      </c>
      <c r="I2612" s="39">
        <v>3</v>
      </c>
      <c r="J2612" s="39" t="s">
        <v>1478</v>
      </c>
      <c r="K2612" s="39" t="s">
        <v>2122</v>
      </c>
      <c r="L2612" s="39" t="s">
        <v>7830</v>
      </c>
      <c r="M2612" s="39" t="s">
        <v>7831</v>
      </c>
      <c r="N2612" s="39" t="str">
        <f>("0237620")</f>
        <v>0237620</v>
      </c>
      <c r="P2612" s="39" t="s">
        <v>14053</v>
      </c>
      <c r="Q2612" s="39" t="s">
        <v>8568</v>
      </c>
      <c r="R2612" s="39" t="s">
        <v>8569</v>
      </c>
      <c r="S2612" s="39" t="s">
        <v>8570</v>
      </c>
      <c r="AK2612" s="39" t="str">
        <f>("2025/03/17")</f>
        <v>2025/03/17</v>
      </c>
      <c r="AL2612" s="39" t="str">
        <f>("2025/04/01")</f>
        <v>2025/04/01</v>
      </c>
    </row>
    <row r="2613" spans="1:39" x14ac:dyDescent="0.25">
      <c r="A2613" s="39" t="str">
        <f>("1702230109")</f>
        <v>1702230109</v>
      </c>
      <c r="C2613" s="39"/>
      <c r="D2613" s="39" t="s">
        <v>10168</v>
      </c>
      <c r="E2613" s="371" t="str">
        <f t="shared" si="194"/>
        <v>こばやし　りょうた</v>
      </c>
      <c r="F2613" s="39" t="s">
        <v>2821</v>
      </c>
      <c r="G2613" s="39" t="s">
        <v>7828</v>
      </c>
      <c r="H2613" s="39" t="str">
        <f>("2017/02/23")</f>
        <v>2017/02/23</v>
      </c>
      <c r="I2613" s="39">
        <v>3</v>
      </c>
      <c r="J2613" s="39" t="s">
        <v>1478</v>
      </c>
      <c r="K2613" s="39" t="s">
        <v>2122</v>
      </c>
      <c r="L2613" s="39" t="s">
        <v>7830</v>
      </c>
      <c r="M2613" s="39" t="s">
        <v>7831</v>
      </c>
      <c r="N2613" s="39" t="str">
        <f>("0237631")</f>
        <v>0237631</v>
      </c>
      <c r="P2613" s="39" t="s">
        <v>14054</v>
      </c>
      <c r="Q2613" s="39" t="s">
        <v>8568</v>
      </c>
      <c r="R2613" s="39" t="s">
        <v>8569</v>
      </c>
      <c r="S2613" s="39" t="s">
        <v>8570</v>
      </c>
      <c r="AK2613" s="39" t="str">
        <f>("2025/07/24")</f>
        <v>2025/07/24</v>
      </c>
      <c r="AL2613" s="39" t="str">
        <f>("2025/07/24")</f>
        <v>2025/07/24</v>
      </c>
    </row>
    <row r="2614" spans="1:39" x14ac:dyDescent="0.25">
      <c r="A2614" s="39" t="str">
        <f>("1702230112")</f>
        <v>1702230112</v>
      </c>
      <c r="C2614" s="39"/>
      <c r="D2614" s="39" t="s">
        <v>10169</v>
      </c>
      <c r="E2614" s="371" t="str">
        <f t="shared" si="194"/>
        <v>たけお　やまと</v>
      </c>
      <c r="F2614" s="39" t="s">
        <v>686</v>
      </c>
      <c r="G2614" s="39" t="s">
        <v>7828</v>
      </c>
      <c r="H2614" s="39" t="str">
        <f>("2017/02/23")</f>
        <v>2017/02/23</v>
      </c>
      <c r="I2614" s="39">
        <v>3</v>
      </c>
      <c r="J2614" s="39" t="s">
        <v>1478</v>
      </c>
      <c r="K2614" s="39" t="s">
        <v>2122</v>
      </c>
      <c r="L2614" s="39" t="s">
        <v>7830</v>
      </c>
      <c r="M2614" s="39" t="s">
        <v>7831</v>
      </c>
      <c r="N2614" s="39" t="str">
        <f>("0130745")</f>
        <v>0130745</v>
      </c>
      <c r="P2614" s="39" t="s">
        <v>14055</v>
      </c>
      <c r="Q2614" s="39" t="s">
        <v>8568</v>
      </c>
      <c r="R2614" s="39" t="s">
        <v>8569</v>
      </c>
      <c r="S2614" s="39" t="s">
        <v>8570</v>
      </c>
      <c r="AK2614" s="39" t="str">
        <f>("2025/09/04")</f>
        <v>2025/09/04</v>
      </c>
      <c r="AL2614" s="39" t="str">
        <f>("2025/09/04")</f>
        <v>2025/09/04</v>
      </c>
    </row>
    <row r="2615" spans="1:39" x14ac:dyDescent="0.25">
      <c r="A2615" s="39" t="str">
        <f>("1702230115")</f>
        <v>1702230115</v>
      </c>
      <c r="C2615" s="39"/>
      <c r="D2615" s="39" t="s">
        <v>10170</v>
      </c>
      <c r="E2615" s="371" t="str">
        <f t="shared" si="194"/>
        <v>なかの　こうせい</v>
      </c>
      <c r="F2615" s="39" t="s">
        <v>2573</v>
      </c>
      <c r="G2615" s="39" t="s">
        <v>7828</v>
      </c>
      <c r="H2615" s="39" t="str">
        <f>("2017/02/23")</f>
        <v>2017/02/23</v>
      </c>
      <c r="I2615" s="39">
        <v>3</v>
      </c>
      <c r="J2615" s="39" t="s">
        <v>1478</v>
      </c>
      <c r="K2615" s="39" t="s">
        <v>2122</v>
      </c>
      <c r="L2615" s="39" t="s">
        <v>7830</v>
      </c>
      <c r="M2615" s="39" t="s">
        <v>7831</v>
      </c>
      <c r="N2615" s="39" t="str">
        <f>("0230982")</f>
        <v>0230982</v>
      </c>
      <c r="P2615" s="39" t="s">
        <v>14056</v>
      </c>
      <c r="Q2615" s="39" t="s">
        <v>8568</v>
      </c>
      <c r="R2615" s="39" t="s">
        <v>8569</v>
      </c>
      <c r="S2615" s="39" t="s">
        <v>8570</v>
      </c>
      <c r="AK2615" s="39" t="str">
        <f>("2025/09/24")</f>
        <v>2025/09/24</v>
      </c>
      <c r="AL2615" s="39" t="str">
        <f>("2025/09/24")</f>
        <v>2025/09/24</v>
      </c>
    </row>
    <row r="2616" spans="1:39" x14ac:dyDescent="0.25">
      <c r="A2616" s="39" t="str">
        <f>("1702240008")</f>
        <v>1702240008</v>
      </c>
      <c r="C2616" s="39"/>
      <c r="D2616" s="39" t="s">
        <v>10171</v>
      </c>
      <c r="E2616" s="371" t="str">
        <f t="shared" si="194"/>
        <v>さだかね　かなと</v>
      </c>
      <c r="F2616" s="39" t="s">
        <v>8485</v>
      </c>
      <c r="G2616" s="39" t="s">
        <v>7828</v>
      </c>
      <c r="H2616" s="39" t="str">
        <f>("2017/02/24")</f>
        <v>2017/02/24</v>
      </c>
      <c r="I2616" s="39">
        <v>3</v>
      </c>
      <c r="J2616" s="39" t="s">
        <v>1478</v>
      </c>
      <c r="K2616" s="39" t="s">
        <v>2122</v>
      </c>
      <c r="L2616" s="39" t="s">
        <v>7830</v>
      </c>
      <c r="M2616" s="39" t="s">
        <v>7831</v>
      </c>
      <c r="N2616" s="39" t="str">
        <f>("0130666")</f>
        <v>0130666</v>
      </c>
      <c r="P2616" s="39" t="s">
        <v>14057</v>
      </c>
      <c r="Q2616" s="39" t="s">
        <v>8568</v>
      </c>
      <c r="R2616" s="39" t="s">
        <v>8569</v>
      </c>
      <c r="S2616" s="39" t="s">
        <v>8570</v>
      </c>
      <c r="AK2616" s="39" t="str">
        <f>("2025/03/24")</f>
        <v>2025/03/24</v>
      </c>
      <c r="AL2616" s="39" t="str">
        <f>("2025/04/01")</f>
        <v>2025/04/01</v>
      </c>
    </row>
    <row r="2617" spans="1:39" x14ac:dyDescent="0.25">
      <c r="A2617" s="39" t="str">
        <f>("1702250071")</f>
        <v>1702250071</v>
      </c>
      <c r="C2617" s="39"/>
      <c r="D2617" s="39" t="s">
        <v>10172</v>
      </c>
      <c r="E2617" s="371" t="str">
        <f t="shared" si="194"/>
        <v>あべ　しょうま</v>
      </c>
      <c r="F2617" s="39" t="s">
        <v>2821</v>
      </c>
      <c r="G2617" s="39" t="s">
        <v>7828</v>
      </c>
      <c r="H2617" s="39" t="str">
        <f>("2017/02/25")</f>
        <v>2017/02/25</v>
      </c>
      <c r="I2617" s="39">
        <v>3</v>
      </c>
      <c r="J2617" s="39" t="s">
        <v>1478</v>
      </c>
      <c r="K2617" s="39" t="s">
        <v>2122</v>
      </c>
      <c r="L2617" s="39" t="s">
        <v>7830</v>
      </c>
      <c r="M2617" s="39" t="s">
        <v>7831</v>
      </c>
      <c r="N2617" s="39" t="str">
        <f>("0237631")</f>
        <v>0237631</v>
      </c>
      <c r="P2617" s="39" t="s">
        <v>14058</v>
      </c>
      <c r="Q2617" s="39" t="s">
        <v>8568</v>
      </c>
      <c r="R2617" s="39" t="s">
        <v>8569</v>
      </c>
      <c r="S2617" s="39" t="s">
        <v>8570</v>
      </c>
      <c r="AK2617" s="39" t="str">
        <f>("2025/10/10")</f>
        <v>2025/10/10</v>
      </c>
      <c r="AL2617" s="39" t="str">
        <f>("2025/10/10")</f>
        <v>2025/10/10</v>
      </c>
    </row>
    <row r="2618" spans="1:39" x14ac:dyDescent="0.25">
      <c r="A2618" s="39" t="str">
        <f>("1702260067")</f>
        <v>1702260067</v>
      </c>
      <c r="C2618" s="39"/>
      <c r="D2618" s="39" t="s">
        <v>10173</v>
      </c>
      <c r="E2618" s="371" t="str">
        <f t="shared" si="194"/>
        <v>こばやし　たいき</v>
      </c>
      <c r="F2618" s="39" t="s">
        <v>1917</v>
      </c>
      <c r="G2618" s="39" t="s">
        <v>7828</v>
      </c>
      <c r="H2618" s="39" t="str">
        <f>("2017/02/26")</f>
        <v>2017/02/26</v>
      </c>
      <c r="I2618" s="39">
        <v>3</v>
      </c>
      <c r="J2618" s="39" t="s">
        <v>1478</v>
      </c>
      <c r="K2618" s="39" t="s">
        <v>2122</v>
      </c>
      <c r="L2618" s="39" t="s">
        <v>7830</v>
      </c>
      <c r="M2618" s="39" t="s">
        <v>7831</v>
      </c>
      <c r="N2618" s="39" t="str">
        <f>("1032161")</f>
        <v>1032161</v>
      </c>
      <c r="P2618" s="39" t="s">
        <v>14059</v>
      </c>
      <c r="Q2618" s="39" t="s">
        <v>8568</v>
      </c>
      <c r="R2618" s="39" t="s">
        <v>8569</v>
      </c>
      <c r="S2618" s="39" t="s">
        <v>8570</v>
      </c>
      <c r="AK2618" s="39" t="str">
        <f>("2025/04/28")</f>
        <v>2025/04/28</v>
      </c>
      <c r="AL2618" s="39" t="str">
        <f>("2025/04/28")</f>
        <v>2025/04/28</v>
      </c>
    </row>
    <row r="2619" spans="1:39" x14ac:dyDescent="0.25">
      <c r="A2619" s="39" t="str">
        <f>("1703010022")</f>
        <v>1703010022</v>
      </c>
      <c r="B2619" s="39" t="s">
        <v>10174</v>
      </c>
      <c r="C2619" s="39"/>
      <c r="D2619" s="39" t="s">
        <v>10175</v>
      </c>
      <c r="E2619" s="371" t="str">
        <f t="shared" si="194"/>
        <v>ながお　こたろう</v>
      </c>
      <c r="F2619" s="39" t="s">
        <v>2325</v>
      </c>
      <c r="G2619" s="39" t="s">
        <v>7828</v>
      </c>
      <c r="H2619" s="39" t="str">
        <f>("2017/03/01")</f>
        <v>2017/03/01</v>
      </c>
      <c r="I2619" s="39">
        <v>3</v>
      </c>
      <c r="J2619" s="39" t="s">
        <v>1478</v>
      </c>
      <c r="K2619" s="39" t="s">
        <v>2122</v>
      </c>
      <c r="L2619" s="39" t="s">
        <v>7830</v>
      </c>
      <c r="M2619" s="39" t="s">
        <v>7831</v>
      </c>
      <c r="N2619" s="39" t="str">
        <f>("0155034")</f>
        <v>0155034</v>
      </c>
      <c r="P2619" s="39" t="s">
        <v>14060</v>
      </c>
      <c r="Q2619" s="39" t="s">
        <v>8568</v>
      </c>
      <c r="R2619" s="39" t="s">
        <v>8569</v>
      </c>
      <c r="S2619" s="39" t="s">
        <v>8570</v>
      </c>
      <c r="AK2619" s="39" t="str">
        <f>("2025/03/17")</f>
        <v>2025/03/17</v>
      </c>
      <c r="AL2619" s="39" t="str">
        <f>("2025/04/01")</f>
        <v>2025/04/01</v>
      </c>
    </row>
    <row r="2620" spans="1:39" x14ac:dyDescent="0.25">
      <c r="A2620" s="39" t="str">
        <f>("1703010088")</f>
        <v>1703010088</v>
      </c>
      <c r="B2620" s="39" t="s">
        <v>10176</v>
      </c>
      <c r="C2620" s="39"/>
      <c r="D2620" s="39" t="s">
        <v>10177</v>
      </c>
      <c r="E2620" s="371" t="str">
        <f t="shared" si="194"/>
        <v>にいな　なぎさ</v>
      </c>
      <c r="F2620" s="39" t="s">
        <v>1344</v>
      </c>
      <c r="G2620" s="39" t="s">
        <v>7828</v>
      </c>
      <c r="H2620" s="39" t="str">
        <f>("2017/03/01")</f>
        <v>2017/03/01</v>
      </c>
      <c r="I2620" s="39">
        <v>3</v>
      </c>
      <c r="J2620" s="39" t="s">
        <v>1478</v>
      </c>
      <c r="K2620" s="39" t="s">
        <v>2122</v>
      </c>
      <c r="L2620" s="39" t="s">
        <v>7830</v>
      </c>
      <c r="M2620" s="39" t="s">
        <v>7831</v>
      </c>
      <c r="N2620" s="39" t="str">
        <f>("0130587")</f>
        <v>0130587</v>
      </c>
      <c r="P2620" s="39" t="s">
        <v>14061</v>
      </c>
      <c r="Q2620" s="39" t="s">
        <v>8568</v>
      </c>
      <c r="R2620" s="39" t="s">
        <v>8569</v>
      </c>
      <c r="S2620" s="39" t="s">
        <v>8570</v>
      </c>
      <c r="AK2620" s="39" t="str">
        <f>("2025/08/19")</f>
        <v>2025/08/19</v>
      </c>
      <c r="AL2620" s="39" t="str">
        <f>("2025/08/19")</f>
        <v>2025/08/19</v>
      </c>
    </row>
    <row r="2621" spans="1:39" x14ac:dyDescent="0.25">
      <c r="A2621" s="39" t="str">
        <f>("1703020003")</f>
        <v>1703020003</v>
      </c>
      <c r="B2621" s="39" t="s">
        <v>10178</v>
      </c>
      <c r="C2621" s="39"/>
      <c r="D2621" s="39" t="s">
        <v>10179</v>
      </c>
      <c r="E2621" s="371" t="str">
        <f t="shared" si="194"/>
        <v>おばた　わたる</v>
      </c>
      <c r="F2621" s="39" t="s">
        <v>2325</v>
      </c>
      <c r="G2621" s="39" t="s">
        <v>7828</v>
      </c>
      <c r="H2621" s="39" t="str">
        <f>("2017/03/02")</f>
        <v>2017/03/02</v>
      </c>
      <c r="I2621" s="39">
        <v>3</v>
      </c>
      <c r="J2621" s="39" t="s">
        <v>1478</v>
      </c>
      <c r="K2621" s="39" t="s">
        <v>2122</v>
      </c>
      <c r="L2621" s="39" t="s">
        <v>7830</v>
      </c>
      <c r="M2621" s="39" t="s">
        <v>7831</v>
      </c>
      <c r="N2621" s="39" t="str">
        <f>("0155034")</f>
        <v>0155034</v>
      </c>
      <c r="P2621" s="39" t="s">
        <v>14062</v>
      </c>
      <c r="Q2621" s="39" t="s">
        <v>8568</v>
      </c>
      <c r="R2621" s="39" t="s">
        <v>8569</v>
      </c>
      <c r="S2621" s="39" t="s">
        <v>8570</v>
      </c>
      <c r="AK2621" s="39" t="str">
        <f>("2025/03/17")</f>
        <v>2025/03/17</v>
      </c>
      <c r="AL2621" s="39" t="str">
        <f>("2025/04/01")</f>
        <v>2025/04/01</v>
      </c>
    </row>
    <row r="2622" spans="1:39" x14ac:dyDescent="0.25">
      <c r="A2622" s="39" t="str">
        <f>("1703020095")</f>
        <v>1703020095</v>
      </c>
      <c r="C2622" s="39"/>
      <c r="D2622" s="39" t="s">
        <v>10180</v>
      </c>
      <c r="E2622" s="371" t="str">
        <f t="shared" si="194"/>
        <v>ふたむら　こたろう</v>
      </c>
      <c r="F2622" s="39" t="s">
        <v>2821</v>
      </c>
      <c r="G2622" s="39" t="s">
        <v>7828</v>
      </c>
      <c r="H2622" s="39" t="str">
        <f>("2017/03/02")</f>
        <v>2017/03/02</v>
      </c>
      <c r="I2622" s="39">
        <v>3</v>
      </c>
      <c r="J2622" s="39" t="s">
        <v>1478</v>
      </c>
      <c r="K2622" s="39" t="s">
        <v>2122</v>
      </c>
      <c r="L2622" s="39" t="s">
        <v>7830</v>
      </c>
      <c r="M2622" s="39" t="s">
        <v>7831</v>
      </c>
      <c r="N2622" s="39" t="str">
        <f>("0237631")</f>
        <v>0237631</v>
      </c>
      <c r="P2622" s="39" t="s">
        <v>14063</v>
      </c>
      <c r="Q2622" s="39" t="s">
        <v>8568</v>
      </c>
      <c r="R2622" s="39" t="s">
        <v>8569</v>
      </c>
      <c r="S2622" s="39" t="s">
        <v>8570</v>
      </c>
      <c r="AK2622" s="39" t="str">
        <f>("2025/07/24")</f>
        <v>2025/07/24</v>
      </c>
      <c r="AL2622" s="39" t="str">
        <f>("2025/07/24")</f>
        <v>2025/07/24</v>
      </c>
      <c r="AM2622" s="39" t="str">
        <f>("2025/09/10")</f>
        <v>2025/09/10</v>
      </c>
    </row>
    <row r="2623" spans="1:39" x14ac:dyDescent="0.25">
      <c r="A2623" s="39" t="str">
        <f>("1703030119")</f>
        <v>1703030119</v>
      </c>
      <c r="C2623" s="39"/>
      <c r="D2623" s="39" t="s">
        <v>10181</v>
      </c>
      <c r="E2623" s="371" t="str">
        <f t="shared" si="194"/>
        <v>せぐち　てんじろう</v>
      </c>
      <c r="F2623" s="39" t="s">
        <v>1968</v>
      </c>
      <c r="G2623" s="39" t="s">
        <v>7828</v>
      </c>
      <c r="H2623" s="39" t="str">
        <f>("2017/03/03")</f>
        <v>2017/03/03</v>
      </c>
      <c r="I2623" s="39">
        <v>3</v>
      </c>
      <c r="J2623" s="39" t="s">
        <v>1478</v>
      </c>
      <c r="K2623" s="39" t="s">
        <v>2122</v>
      </c>
      <c r="L2623" s="39" t="s">
        <v>7830</v>
      </c>
      <c r="M2623" s="39" t="s">
        <v>7831</v>
      </c>
      <c r="N2623" s="39" t="str">
        <f>("0129507")</f>
        <v>0129507</v>
      </c>
      <c r="P2623" s="39" t="s">
        <v>14064</v>
      </c>
      <c r="Q2623" s="39" t="s">
        <v>8568</v>
      </c>
      <c r="R2623" s="39" t="s">
        <v>8569</v>
      </c>
      <c r="S2623" s="39" t="s">
        <v>8570</v>
      </c>
      <c r="AK2623" s="39" t="str">
        <f>("2025/08/22")</f>
        <v>2025/08/22</v>
      </c>
      <c r="AL2623" s="39" t="str">
        <f>("2025/08/22")</f>
        <v>2025/08/22</v>
      </c>
    </row>
    <row r="2624" spans="1:39" x14ac:dyDescent="0.25">
      <c r="A2624" s="39" t="str">
        <f>("1703030130")</f>
        <v>1703030130</v>
      </c>
      <c r="C2624" s="39"/>
      <c r="D2624" s="39" t="s">
        <v>10182</v>
      </c>
      <c r="E2624" s="371" t="str">
        <f t="shared" si="194"/>
        <v>しろま　ゆうと</v>
      </c>
      <c r="F2624" s="39" t="s">
        <v>2878</v>
      </c>
      <c r="G2624" s="39" t="s">
        <v>7828</v>
      </c>
      <c r="H2624" s="39" t="str">
        <f>("2017/03/03")</f>
        <v>2017/03/03</v>
      </c>
      <c r="I2624" s="39">
        <v>3</v>
      </c>
      <c r="J2624" s="39" t="s">
        <v>1478</v>
      </c>
      <c r="K2624" s="39" t="s">
        <v>2122</v>
      </c>
      <c r="L2624" s="39" t="s">
        <v>7830</v>
      </c>
      <c r="M2624" s="39" t="s">
        <v>7831</v>
      </c>
      <c r="N2624" s="39" t="str">
        <f>("0129484")</f>
        <v>0129484</v>
      </c>
      <c r="P2624" s="39" t="s">
        <v>14065</v>
      </c>
      <c r="Q2624" s="39" t="s">
        <v>8568</v>
      </c>
      <c r="R2624" s="39" t="s">
        <v>8569</v>
      </c>
      <c r="S2624" s="39" t="s">
        <v>8570</v>
      </c>
      <c r="AK2624" s="39" t="str">
        <f>("2025/11/14")</f>
        <v>2025/11/14</v>
      </c>
      <c r="AL2624" s="39" t="str">
        <f>("2025/11/14")</f>
        <v>2025/11/14</v>
      </c>
    </row>
    <row r="2625" spans="1:38" x14ac:dyDescent="0.25">
      <c r="A2625" s="39" t="str">
        <f>("1703050060")</f>
        <v>1703050060</v>
      </c>
      <c r="C2625" s="39"/>
      <c r="D2625" s="39" t="s">
        <v>10183</v>
      </c>
      <c r="E2625" s="371" t="str">
        <f t="shared" si="194"/>
        <v>やまぐち　はやと</v>
      </c>
      <c r="F2625" s="39" t="s">
        <v>1239</v>
      </c>
      <c r="G2625" s="39" t="s">
        <v>7828</v>
      </c>
      <c r="H2625" s="39" t="str">
        <f>("2017/03/05")</f>
        <v>2017/03/05</v>
      </c>
      <c r="I2625" s="39">
        <v>3</v>
      </c>
      <c r="J2625" s="39" t="s">
        <v>1478</v>
      </c>
      <c r="K2625" s="39" t="s">
        <v>2122</v>
      </c>
      <c r="L2625" s="39" t="s">
        <v>7830</v>
      </c>
      <c r="M2625" s="39" t="s">
        <v>7831</v>
      </c>
      <c r="N2625" s="39" t="str">
        <f>("0129585")</f>
        <v>0129585</v>
      </c>
      <c r="P2625" s="39" t="s">
        <v>14066</v>
      </c>
      <c r="Q2625" s="39" t="s">
        <v>8568</v>
      </c>
      <c r="R2625" s="39" t="s">
        <v>8569</v>
      </c>
      <c r="S2625" s="39" t="s">
        <v>8570</v>
      </c>
      <c r="AK2625" s="39" t="str">
        <f>("2025/10/02")</f>
        <v>2025/10/02</v>
      </c>
      <c r="AL2625" s="39" t="str">
        <f>("2025/10/02")</f>
        <v>2025/10/02</v>
      </c>
    </row>
    <row r="2626" spans="1:38" x14ac:dyDescent="0.25">
      <c r="A2626" s="39" t="str">
        <f>("1703060008")</f>
        <v>1703060008</v>
      </c>
      <c r="B2626" s="39" t="s">
        <v>10184</v>
      </c>
      <c r="C2626" s="39"/>
      <c r="D2626" s="39" t="s">
        <v>10185</v>
      </c>
      <c r="E2626" s="371" t="str">
        <f t="shared" si="194"/>
        <v>あそう　ろく</v>
      </c>
      <c r="F2626" s="39" t="s">
        <v>5620</v>
      </c>
      <c r="G2626" s="39" t="s">
        <v>7828</v>
      </c>
      <c r="H2626" s="39" t="str">
        <f>("2017/03/06")</f>
        <v>2017/03/06</v>
      </c>
      <c r="I2626" s="39">
        <v>3</v>
      </c>
      <c r="J2626" s="39" t="s">
        <v>1478</v>
      </c>
      <c r="K2626" s="39" t="s">
        <v>2122</v>
      </c>
      <c r="L2626" s="39" t="s">
        <v>7830</v>
      </c>
      <c r="M2626" s="39" t="s">
        <v>7831</v>
      </c>
      <c r="N2626" s="39" t="str">
        <f>("1101553")</f>
        <v>1101553</v>
      </c>
      <c r="P2626" s="39" t="s">
        <v>14067</v>
      </c>
      <c r="Q2626" s="39" t="s">
        <v>8568</v>
      </c>
      <c r="R2626" s="39" t="s">
        <v>8569</v>
      </c>
      <c r="S2626" s="39" t="s">
        <v>8570</v>
      </c>
      <c r="AK2626" s="39" t="str">
        <f>("2025/03/19")</f>
        <v>2025/03/19</v>
      </c>
      <c r="AL2626" s="39" t="str">
        <f>("2025/04/01")</f>
        <v>2025/04/01</v>
      </c>
    </row>
    <row r="2627" spans="1:38" x14ac:dyDescent="0.25">
      <c r="A2627" s="39" t="str">
        <f>("1703070098")</f>
        <v>1703070098</v>
      </c>
      <c r="C2627" s="39"/>
      <c r="D2627" s="39" t="s">
        <v>10186</v>
      </c>
      <c r="E2627" s="371" t="str">
        <f t="shared" ref="E2627:E2690" si="197">PHONETIC(P2627)</f>
        <v>ふるてら　とうや</v>
      </c>
      <c r="F2627" s="39" t="s">
        <v>2023</v>
      </c>
      <c r="G2627" s="39" t="s">
        <v>7828</v>
      </c>
      <c r="H2627" s="39" t="str">
        <f>("2017/03/07")</f>
        <v>2017/03/07</v>
      </c>
      <c r="I2627" s="39">
        <v>3</v>
      </c>
      <c r="J2627" s="39" t="s">
        <v>1478</v>
      </c>
      <c r="K2627" s="39" t="s">
        <v>2122</v>
      </c>
      <c r="L2627" s="39" t="s">
        <v>7830</v>
      </c>
      <c r="M2627" s="39" t="s">
        <v>7831</v>
      </c>
      <c r="N2627" s="39" t="str">
        <f>("0129967")</f>
        <v>0129967</v>
      </c>
      <c r="P2627" s="39" t="s">
        <v>14068</v>
      </c>
      <c r="Q2627" s="39" t="s">
        <v>8568</v>
      </c>
      <c r="R2627" s="39" t="s">
        <v>8569</v>
      </c>
      <c r="S2627" s="39" t="s">
        <v>8570</v>
      </c>
      <c r="AK2627" s="39" t="str">
        <f>("2025/06/28")</f>
        <v>2025/06/28</v>
      </c>
      <c r="AL2627" s="39" t="str">
        <f>("2025/06/28")</f>
        <v>2025/06/28</v>
      </c>
    </row>
    <row r="2628" spans="1:38" x14ac:dyDescent="0.25">
      <c r="A2628" s="39" t="str">
        <f>("1703070103")</f>
        <v>1703070103</v>
      </c>
      <c r="C2628" s="39"/>
      <c r="D2628" s="39" t="s">
        <v>10187</v>
      </c>
      <c r="E2628" s="371" t="str">
        <f t="shared" si="197"/>
        <v>わごう　うた</v>
      </c>
      <c r="F2628" s="39" t="s">
        <v>2469</v>
      </c>
      <c r="G2628" s="39" t="s">
        <v>7828</v>
      </c>
      <c r="H2628" s="39" t="str">
        <f>("2017/03/07")</f>
        <v>2017/03/07</v>
      </c>
      <c r="I2628" s="39">
        <v>3</v>
      </c>
      <c r="J2628" s="39" t="s">
        <v>1478</v>
      </c>
      <c r="K2628" s="39" t="s">
        <v>2122</v>
      </c>
      <c r="L2628" s="39" t="s">
        <v>7830</v>
      </c>
      <c r="M2628" s="39" t="s">
        <v>7831</v>
      </c>
      <c r="N2628" s="39" t="str">
        <f>("0129462")</f>
        <v>0129462</v>
      </c>
      <c r="P2628" s="39" t="s">
        <v>14069</v>
      </c>
      <c r="Q2628" s="39" t="s">
        <v>8568</v>
      </c>
      <c r="R2628" s="39" t="s">
        <v>8569</v>
      </c>
      <c r="S2628" s="39" t="s">
        <v>8570</v>
      </c>
      <c r="AK2628" s="39" t="str">
        <f>("2025/09/02")</f>
        <v>2025/09/02</v>
      </c>
      <c r="AL2628" s="39" t="str">
        <f>("2025/09/02")</f>
        <v>2025/09/02</v>
      </c>
    </row>
    <row r="2629" spans="1:38" x14ac:dyDescent="0.25">
      <c r="A2629" s="39" t="str">
        <f>("1703080084")</f>
        <v>1703080084</v>
      </c>
      <c r="B2629" s="39" t="s">
        <v>10188</v>
      </c>
      <c r="C2629" s="39"/>
      <c r="D2629" s="39" t="s">
        <v>10189</v>
      </c>
      <c r="E2629" s="371" t="str">
        <f t="shared" si="197"/>
        <v>いそざき　あやと</v>
      </c>
      <c r="F2629" s="39" t="s">
        <v>8050</v>
      </c>
      <c r="G2629" s="39" t="s">
        <v>7828</v>
      </c>
      <c r="H2629" s="39" t="str">
        <f>("2017/03/08")</f>
        <v>2017/03/08</v>
      </c>
      <c r="I2629" s="39">
        <v>3</v>
      </c>
      <c r="J2629" s="39" t="s">
        <v>1478</v>
      </c>
      <c r="K2629" s="39" t="s">
        <v>2122</v>
      </c>
      <c r="L2629" s="39" t="s">
        <v>7830</v>
      </c>
      <c r="M2629" s="39" t="s">
        <v>7831</v>
      </c>
      <c r="N2629" s="39" t="str">
        <f>("0130015")</f>
        <v>0130015</v>
      </c>
      <c r="P2629" s="39" t="s">
        <v>14070</v>
      </c>
      <c r="Q2629" s="39" t="s">
        <v>8568</v>
      </c>
      <c r="R2629" s="39" t="s">
        <v>8569</v>
      </c>
      <c r="S2629" s="39" t="s">
        <v>8570</v>
      </c>
      <c r="AK2629" s="39" t="str">
        <f>("2025/09/30")</f>
        <v>2025/09/30</v>
      </c>
      <c r="AL2629" s="39" t="str">
        <f>("2025/09/30")</f>
        <v>2025/09/30</v>
      </c>
    </row>
    <row r="2630" spans="1:38" x14ac:dyDescent="0.25">
      <c r="A2630" s="39" t="str">
        <f>("1703090061")</f>
        <v>1703090061</v>
      </c>
      <c r="C2630" s="39"/>
      <c r="D2630" s="39" t="s">
        <v>10190</v>
      </c>
      <c r="E2630" s="371" t="str">
        <f t="shared" si="197"/>
        <v>ひだ　りゅうしん</v>
      </c>
      <c r="F2630" s="39" t="s">
        <v>1190</v>
      </c>
      <c r="G2630" s="39" t="s">
        <v>7828</v>
      </c>
      <c r="H2630" s="39" t="str">
        <f>("2017/03/09")</f>
        <v>2017/03/09</v>
      </c>
      <c r="I2630" s="39">
        <v>3</v>
      </c>
      <c r="J2630" s="39" t="s">
        <v>1478</v>
      </c>
      <c r="K2630" s="39" t="s">
        <v>2122</v>
      </c>
      <c r="L2630" s="39" t="s">
        <v>7830</v>
      </c>
      <c r="M2630" s="39" t="s">
        <v>7831</v>
      </c>
      <c r="N2630" s="39" t="str">
        <f>("0130554")</f>
        <v>0130554</v>
      </c>
      <c r="P2630" s="39" t="s">
        <v>14071</v>
      </c>
      <c r="Q2630" s="39" t="s">
        <v>8568</v>
      </c>
      <c r="R2630" s="39" t="s">
        <v>8569</v>
      </c>
      <c r="S2630" s="39" t="s">
        <v>8570</v>
      </c>
      <c r="AK2630" s="39" t="str">
        <f>("2025/03/17")</f>
        <v>2025/03/17</v>
      </c>
      <c r="AL2630" s="39" t="str">
        <f>("2025/04/01")</f>
        <v>2025/04/01</v>
      </c>
    </row>
    <row r="2631" spans="1:38" x14ac:dyDescent="0.25">
      <c r="A2631" s="39" t="str">
        <f>("1703090103")</f>
        <v>1703090103</v>
      </c>
      <c r="C2631" s="39"/>
      <c r="D2631" s="39" t="s">
        <v>10191</v>
      </c>
      <c r="E2631" s="371" t="str">
        <f t="shared" si="197"/>
        <v>ながた　はる</v>
      </c>
      <c r="F2631" s="39" t="s">
        <v>2918</v>
      </c>
      <c r="G2631" s="39" t="s">
        <v>7828</v>
      </c>
      <c r="H2631" s="39" t="str">
        <f>("2017/03/09")</f>
        <v>2017/03/09</v>
      </c>
      <c r="I2631" s="39">
        <v>3</v>
      </c>
      <c r="J2631" s="39" t="s">
        <v>1478</v>
      </c>
      <c r="K2631" s="39" t="s">
        <v>2122</v>
      </c>
      <c r="L2631" s="39" t="s">
        <v>7830</v>
      </c>
      <c r="M2631" s="39" t="s">
        <v>7831</v>
      </c>
      <c r="N2631" s="39" t="str">
        <f>("0129912")</f>
        <v>0129912</v>
      </c>
      <c r="P2631" s="39" t="s">
        <v>14072</v>
      </c>
      <c r="Q2631" s="39" t="s">
        <v>8568</v>
      </c>
      <c r="R2631" s="39" t="s">
        <v>8569</v>
      </c>
      <c r="S2631" s="39" t="s">
        <v>8570</v>
      </c>
      <c r="AK2631" s="39" t="str">
        <f>("2025/10/10")</f>
        <v>2025/10/10</v>
      </c>
      <c r="AL2631" s="39" t="str">
        <f>("2025/10/10")</f>
        <v>2025/10/10</v>
      </c>
    </row>
    <row r="2632" spans="1:38" x14ac:dyDescent="0.25">
      <c r="A2632" s="39" t="str">
        <f>("1703100097")</f>
        <v>1703100097</v>
      </c>
      <c r="C2632" s="39"/>
      <c r="D2632" s="39" t="s">
        <v>10192</v>
      </c>
      <c r="E2632" s="371" t="str">
        <f t="shared" si="197"/>
        <v>はせべ　あおば</v>
      </c>
      <c r="F2632" s="39" t="s">
        <v>827</v>
      </c>
      <c r="G2632" s="39" t="s">
        <v>7828</v>
      </c>
      <c r="H2632" s="39" t="str">
        <f>("2017/03/10")</f>
        <v>2017/03/10</v>
      </c>
      <c r="I2632" s="39">
        <v>3</v>
      </c>
      <c r="J2632" s="39" t="s">
        <v>1478</v>
      </c>
      <c r="K2632" s="39" t="s">
        <v>2122</v>
      </c>
      <c r="L2632" s="39" t="s">
        <v>7830</v>
      </c>
      <c r="M2632" s="39" t="s">
        <v>7831</v>
      </c>
      <c r="N2632" s="39" t="str">
        <f>("0504908")</f>
        <v>0504908</v>
      </c>
      <c r="P2632" s="39" t="s">
        <v>14073</v>
      </c>
      <c r="Q2632" s="39" t="s">
        <v>8568</v>
      </c>
      <c r="R2632" s="39" t="s">
        <v>8569</v>
      </c>
      <c r="S2632" s="39" t="s">
        <v>8570</v>
      </c>
      <c r="AK2632" s="39" t="str">
        <f>("2025/09/04")</f>
        <v>2025/09/04</v>
      </c>
      <c r="AL2632" s="39" t="str">
        <f>("2025/09/04")</f>
        <v>2025/09/04</v>
      </c>
    </row>
    <row r="2633" spans="1:38" x14ac:dyDescent="0.25">
      <c r="A2633" s="39" t="str">
        <f>("1703120008")</f>
        <v>1703120008</v>
      </c>
      <c r="C2633" s="39"/>
      <c r="D2633" s="39" t="s">
        <v>10193</v>
      </c>
      <c r="E2633" s="371" t="str">
        <f t="shared" si="197"/>
        <v>おおもと　れん</v>
      </c>
      <c r="F2633" s="39" t="s">
        <v>2256</v>
      </c>
      <c r="G2633" s="39" t="s">
        <v>7828</v>
      </c>
      <c r="H2633" s="39" t="str">
        <f>("2017/03/12")</f>
        <v>2017/03/12</v>
      </c>
      <c r="I2633" s="39">
        <v>3</v>
      </c>
      <c r="J2633" s="39" t="s">
        <v>1478</v>
      </c>
      <c r="K2633" s="39" t="s">
        <v>2122</v>
      </c>
      <c r="L2633" s="39" t="s">
        <v>7830</v>
      </c>
      <c r="M2633" s="39" t="s">
        <v>7831</v>
      </c>
      <c r="N2633" s="39" t="str">
        <f>("0449119")</f>
        <v>0449119</v>
      </c>
      <c r="P2633" s="39" t="s">
        <v>14074</v>
      </c>
      <c r="Q2633" s="39" t="s">
        <v>8568</v>
      </c>
      <c r="R2633" s="39" t="s">
        <v>8569</v>
      </c>
      <c r="S2633" s="39" t="s">
        <v>8570</v>
      </c>
      <c r="AK2633" s="39" t="str">
        <f>("2025/03/17")</f>
        <v>2025/03/17</v>
      </c>
      <c r="AL2633" s="39" t="str">
        <f>("2025/04/01")</f>
        <v>2025/04/01</v>
      </c>
    </row>
    <row r="2634" spans="1:38" x14ac:dyDescent="0.25">
      <c r="A2634" s="39" t="str">
        <f>("1703140091")</f>
        <v>1703140091</v>
      </c>
      <c r="B2634" s="39" t="s">
        <v>10194</v>
      </c>
      <c r="C2634" s="39"/>
      <c r="D2634" s="39" t="s">
        <v>10195</v>
      </c>
      <c r="E2634" s="371" t="str">
        <f t="shared" si="197"/>
        <v>さかもと　じょうたろう</v>
      </c>
      <c r="F2634" s="39" t="s">
        <v>1344</v>
      </c>
      <c r="G2634" s="39" t="s">
        <v>7828</v>
      </c>
      <c r="H2634" s="39" t="str">
        <f>("2017/03/14")</f>
        <v>2017/03/14</v>
      </c>
      <c r="I2634" s="39">
        <v>3</v>
      </c>
      <c r="J2634" s="39" t="s">
        <v>1478</v>
      </c>
      <c r="K2634" s="39" t="s">
        <v>2122</v>
      </c>
      <c r="L2634" s="39" t="s">
        <v>7830</v>
      </c>
      <c r="M2634" s="39" t="s">
        <v>7831</v>
      </c>
      <c r="N2634" s="39" t="str">
        <f>("0130587")</f>
        <v>0130587</v>
      </c>
      <c r="P2634" s="39" t="s">
        <v>14075</v>
      </c>
      <c r="Q2634" s="39" t="s">
        <v>8568</v>
      </c>
      <c r="R2634" s="39" t="s">
        <v>8569</v>
      </c>
      <c r="S2634" s="39" t="s">
        <v>8570</v>
      </c>
      <c r="AK2634" s="39" t="str">
        <f>("2025/08/19")</f>
        <v>2025/08/19</v>
      </c>
      <c r="AL2634" s="39" t="str">
        <f>("2025/08/19")</f>
        <v>2025/08/19</v>
      </c>
    </row>
    <row r="2635" spans="1:38" x14ac:dyDescent="0.25">
      <c r="A2635" s="39" t="str">
        <f>("1703170003")</f>
        <v>1703170003</v>
      </c>
      <c r="B2635" s="39" t="s">
        <v>10196</v>
      </c>
      <c r="C2635" s="39"/>
      <c r="D2635" s="39" t="s">
        <v>10197</v>
      </c>
      <c r="E2635" s="371" t="str">
        <f t="shared" si="197"/>
        <v>かわぐち　がく</v>
      </c>
      <c r="F2635" s="39" t="s">
        <v>639</v>
      </c>
      <c r="G2635" s="39" t="s">
        <v>7828</v>
      </c>
      <c r="H2635" s="39" t="str">
        <f>("2017/03/17")</f>
        <v>2017/03/17</v>
      </c>
      <c r="I2635" s="39">
        <v>3</v>
      </c>
      <c r="J2635" s="39" t="s">
        <v>1478</v>
      </c>
      <c r="K2635" s="39" t="s">
        <v>2122</v>
      </c>
      <c r="L2635" s="39" t="s">
        <v>7830</v>
      </c>
      <c r="M2635" s="39" t="s">
        <v>7831</v>
      </c>
      <c r="N2635" s="39" t="str">
        <f>("0130633")</f>
        <v>0130633</v>
      </c>
      <c r="P2635" s="39" t="s">
        <v>14076</v>
      </c>
      <c r="Q2635" s="39" t="s">
        <v>8568</v>
      </c>
      <c r="R2635" s="39" t="s">
        <v>8569</v>
      </c>
      <c r="S2635" s="39" t="s">
        <v>8570</v>
      </c>
      <c r="AK2635" s="39" t="str">
        <f>("2025/03/17")</f>
        <v>2025/03/17</v>
      </c>
      <c r="AL2635" s="39" t="str">
        <f>("2025/04/01")</f>
        <v>2025/04/01</v>
      </c>
    </row>
    <row r="2636" spans="1:38" x14ac:dyDescent="0.25">
      <c r="A2636" s="39" t="str">
        <f>("1703240089")</f>
        <v>1703240089</v>
      </c>
      <c r="C2636" s="39"/>
      <c r="D2636" s="39" t="s">
        <v>10198</v>
      </c>
      <c r="E2636" s="371" t="str">
        <f t="shared" si="197"/>
        <v>かわの　ひいろ</v>
      </c>
      <c r="F2636" s="39" t="s">
        <v>1481</v>
      </c>
      <c r="G2636" s="39" t="s">
        <v>7828</v>
      </c>
      <c r="H2636" s="39" t="str">
        <f>("2017/03/24")</f>
        <v>2017/03/24</v>
      </c>
      <c r="I2636" s="39">
        <v>3</v>
      </c>
      <c r="J2636" s="39" t="s">
        <v>1478</v>
      </c>
      <c r="K2636" s="39" t="s">
        <v>2122</v>
      </c>
      <c r="L2636" s="39" t="s">
        <v>7830</v>
      </c>
      <c r="M2636" s="39" t="s">
        <v>7831</v>
      </c>
      <c r="N2636" s="39" t="str">
        <f>("0129866")</f>
        <v>0129866</v>
      </c>
      <c r="P2636" s="39" t="s">
        <v>14077</v>
      </c>
      <c r="Q2636" s="39" t="s">
        <v>8568</v>
      </c>
      <c r="R2636" s="39" t="s">
        <v>8569</v>
      </c>
      <c r="S2636" s="39" t="s">
        <v>8570</v>
      </c>
      <c r="AK2636" s="39" t="str">
        <f>("2025/10/02")</f>
        <v>2025/10/02</v>
      </c>
      <c r="AL2636" s="39" t="str">
        <f>("2025/10/02")</f>
        <v>2025/10/02</v>
      </c>
    </row>
    <row r="2637" spans="1:38" x14ac:dyDescent="0.25">
      <c r="A2637" s="39" t="str">
        <f>("1703250017")</f>
        <v>1703250017</v>
      </c>
      <c r="C2637" s="39"/>
      <c r="D2637" s="39" t="s">
        <v>10199</v>
      </c>
      <c r="E2637" s="371" t="str">
        <f t="shared" si="197"/>
        <v>まき　まひな</v>
      </c>
      <c r="F2637" s="39" t="s">
        <v>8032</v>
      </c>
      <c r="G2637" s="39" t="s">
        <v>7828</v>
      </c>
      <c r="H2637" s="39" t="str">
        <f>("2017/03/25")</f>
        <v>2017/03/25</v>
      </c>
      <c r="I2637" s="39">
        <v>3</v>
      </c>
      <c r="J2637" s="39" t="s">
        <v>1478</v>
      </c>
      <c r="K2637" s="39" t="s">
        <v>2122</v>
      </c>
      <c r="L2637" s="39" t="s">
        <v>7830</v>
      </c>
      <c r="M2637" s="39" t="s">
        <v>7831</v>
      </c>
      <c r="N2637" s="39" t="str">
        <f>("0452911")</f>
        <v>0452911</v>
      </c>
      <c r="P2637" s="39" t="s">
        <v>14078</v>
      </c>
      <c r="Q2637" s="39" t="s">
        <v>8568</v>
      </c>
      <c r="R2637" s="39" t="s">
        <v>8569</v>
      </c>
      <c r="S2637" s="39" t="s">
        <v>8570</v>
      </c>
      <c r="AK2637" s="39" t="str">
        <f>("2025/04/10")</f>
        <v>2025/04/10</v>
      </c>
      <c r="AL2637" s="39" t="str">
        <f t="shared" ref="AL2637:AL2642" si="198">("2025/04/01")</f>
        <v>2025/04/01</v>
      </c>
    </row>
    <row r="2638" spans="1:38" x14ac:dyDescent="0.25">
      <c r="A2638" s="39" t="str">
        <f>("1703250018")</f>
        <v>1703250018</v>
      </c>
      <c r="C2638" s="39"/>
      <c r="D2638" s="39" t="s">
        <v>10200</v>
      </c>
      <c r="E2638" s="371" t="str">
        <f t="shared" si="197"/>
        <v>やまさき　とうり</v>
      </c>
      <c r="F2638" s="39" t="s">
        <v>188</v>
      </c>
      <c r="G2638" s="39" t="s">
        <v>7828</v>
      </c>
      <c r="H2638" s="39" t="str">
        <f>("2017/03/25")</f>
        <v>2017/03/25</v>
      </c>
      <c r="I2638" s="39">
        <v>3</v>
      </c>
      <c r="J2638" s="39" t="s">
        <v>1478</v>
      </c>
      <c r="K2638" s="39" t="s">
        <v>2122</v>
      </c>
      <c r="L2638" s="39" t="s">
        <v>7830</v>
      </c>
      <c r="M2638" s="39" t="s">
        <v>7831</v>
      </c>
      <c r="N2638" s="39" t="str">
        <f>("0130734")</f>
        <v>0130734</v>
      </c>
      <c r="P2638" s="39" t="s">
        <v>14079</v>
      </c>
      <c r="Q2638" s="39" t="s">
        <v>8568</v>
      </c>
      <c r="R2638" s="39" t="s">
        <v>8569</v>
      </c>
      <c r="S2638" s="39" t="s">
        <v>8570</v>
      </c>
      <c r="AK2638" s="39" t="str">
        <f>("2025/03/17")</f>
        <v>2025/03/17</v>
      </c>
      <c r="AL2638" s="39" t="str">
        <f t="shared" si="198"/>
        <v>2025/04/01</v>
      </c>
    </row>
    <row r="2639" spans="1:38" x14ac:dyDescent="0.25">
      <c r="A2639" s="39" t="str">
        <f>("1703280054")</f>
        <v>1703280054</v>
      </c>
      <c r="C2639" s="39"/>
      <c r="D2639" s="39" t="s">
        <v>10201</v>
      </c>
      <c r="E2639" s="371" t="str">
        <f t="shared" si="197"/>
        <v>なかお　ひとはる</v>
      </c>
      <c r="F2639" s="39" t="s">
        <v>686</v>
      </c>
      <c r="G2639" s="39" t="s">
        <v>7828</v>
      </c>
      <c r="H2639" s="39" t="str">
        <f>("2017/03/28")</f>
        <v>2017/03/28</v>
      </c>
      <c r="I2639" s="39">
        <v>3</v>
      </c>
      <c r="J2639" s="39" t="s">
        <v>1478</v>
      </c>
      <c r="K2639" s="39" t="s">
        <v>2122</v>
      </c>
      <c r="L2639" s="39" t="s">
        <v>7830</v>
      </c>
      <c r="M2639" s="39" t="s">
        <v>7831</v>
      </c>
      <c r="N2639" s="39" t="str">
        <f>("0130745")</f>
        <v>0130745</v>
      </c>
      <c r="P2639" s="39" t="s">
        <v>14080</v>
      </c>
      <c r="Q2639" s="39" t="s">
        <v>8568</v>
      </c>
      <c r="R2639" s="39" t="s">
        <v>8569</v>
      </c>
      <c r="S2639" s="39" t="s">
        <v>8570</v>
      </c>
      <c r="AK2639" s="39" t="str">
        <f>("2025/03/17")</f>
        <v>2025/03/17</v>
      </c>
      <c r="AL2639" s="39" t="str">
        <f t="shared" si="198"/>
        <v>2025/04/01</v>
      </c>
    </row>
    <row r="2640" spans="1:38" x14ac:dyDescent="0.25">
      <c r="A2640" s="39" t="str">
        <f>("1703280064")</f>
        <v>1703280064</v>
      </c>
      <c r="C2640" s="39"/>
      <c r="D2640" s="39" t="s">
        <v>10202</v>
      </c>
      <c r="E2640" s="371" t="str">
        <f t="shared" si="197"/>
        <v>てしま　りく</v>
      </c>
      <c r="F2640" s="39" t="s">
        <v>2530</v>
      </c>
      <c r="G2640" s="39" t="s">
        <v>7828</v>
      </c>
      <c r="H2640" s="39" t="str">
        <f>("2017/03/28")</f>
        <v>2017/03/28</v>
      </c>
      <c r="I2640" s="39">
        <v>3</v>
      </c>
      <c r="J2640" s="39" t="s">
        <v>1478</v>
      </c>
      <c r="K2640" s="39" t="s">
        <v>2122</v>
      </c>
      <c r="L2640" s="39" t="s">
        <v>7830</v>
      </c>
      <c r="M2640" s="39" t="s">
        <v>7831</v>
      </c>
      <c r="N2640" s="39" t="str">
        <f>("0338756")</f>
        <v>0338756</v>
      </c>
      <c r="P2640" s="39" t="s">
        <v>14081</v>
      </c>
      <c r="Q2640" s="39" t="s">
        <v>8568</v>
      </c>
      <c r="R2640" s="39" t="s">
        <v>8569</v>
      </c>
      <c r="S2640" s="39" t="s">
        <v>8570</v>
      </c>
      <c r="AK2640" s="39" t="str">
        <f>("2025/04/01")</f>
        <v>2025/04/01</v>
      </c>
      <c r="AL2640" s="39" t="str">
        <f t="shared" si="198"/>
        <v>2025/04/01</v>
      </c>
    </row>
    <row r="2641" spans="1:39" x14ac:dyDescent="0.25">
      <c r="A2641" s="39" t="str">
        <f>("1703290066")</f>
        <v>1703290066</v>
      </c>
      <c r="C2641" s="39"/>
      <c r="D2641" s="39" t="s">
        <v>10203</v>
      </c>
      <c r="E2641" s="371" t="str">
        <f t="shared" si="197"/>
        <v>ゆき　はると</v>
      </c>
      <c r="F2641" s="39" t="s">
        <v>1330</v>
      </c>
      <c r="G2641" s="39" t="s">
        <v>7828</v>
      </c>
      <c r="H2641" s="39" t="str">
        <f>("2017/03/29")</f>
        <v>2017/03/29</v>
      </c>
      <c r="I2641" s="39">
        <v>3</v>
      </c>
      <c r="J2641" s="39" t="s">
        <v>1478</v>
      </c>
      <c r="K2641" s="39" t="s">
        <v>2122</v>
      </c>
      <c r="L2641" s="39" t="s">
        <v>7830</v>
      </c>
      <c r="M2641" s="39" t="s">
        <v>7831</v>
      </c>
      <c r="N2641" s="39" t="str">
        <f>("0130598")</f>
        <v>0130598</v>
      </c>
      <c r="P2641" s="39" t="s">
        <v>14082</v>
      </c>
      <c r="Q2641" s="39" t="s">
        <v>8568</v>
      </c>
      <c r="R2641" s="39" t="s">
        <v>8569</v>
      </c>
      <c r="S2641" s="39" t="s">
        <v>8570</v>
      </c>
      <c r="AK2641" s="39" t="str">
        <f>("2025/03/17")</f>
        <v>2025/03/17</v>
      </c>
      <c r="AL2641" s="39" t="str">
        <f t="shared" si="198"/>
        <v>2025/04/01</v>
      </c>
    </row>
    <row r="2642" spans="1:39" x14ac:dyDescent="0.25">
      <c r="A2642" s="39" t="str">
        <f>("1703300017")</f>
        <v>1703300017</v>
      </c>
      <c r="C2642" s="39"/>
      <c r="D2642" s="39" t="s">
        <v>10204</v>
      </c>
      <c r="E2642" s="371" t="str">
        <f t="shared" si="197"/>
        <v>おおの　かいせい</v>
      </c>
      <c r="F2642" s="39" t="s">
        <v>2575</v>
      </c>
      <c r="G2642" s="39" t="s">
        <v>7828</v>
      </c>
      <c r="H2642" s="39" t="str">
        <f>("2017/03/30")</f>
        <v>2017/03/30</v>
      </c>
      <c r="I2642" s="39">
        <v>3</v>
      </c>
      <c r="J2642" s="39" t="s">
        <v>1478</v>
      </c>
      <c r="K2642" s="39" t="s">
        <v>2122</v>
      </c>
      <c r="L2642" s="39" t="s">
        <v>7830</v>
      </c>
      <c r="M2642" s="39" t="s">
        <v>7831</v>
      </c>
      <c r="N2642" s="39" t="str">
        <f>("0303040")</f>
        <v>0303040</v>
      </c>
      <c r="P2642" s="39" t="s">
        <v>14083</v>
      </c>
      <c r="Q2642" s="39" t="s">
        <v>8568</v>
      </c>
      <c r="R2642" s="39" t="s">
        <v>8569</v>
      </c>
      <c r="S2642" s="39" t="s">
        <v>8570</v>
      </c>
      <c r="AK2642" s="39" t="str">
        <f>("2025/03/17")</f>
        <v>2025/03/17</v>
      </c>
      <c r="AL2642" s="39" t="str">
        <f t="shared" si="198"/>
        <v>2025/04/01</v>
      </c>
    </row>
    <row r="2643" spans="1:39" x14ac:dyDescent="0.25">
      <c r="A2643" s="39" t="str">
        <f>("1703300090")</f>
        <v>1703300090</v>
      </c>
      <c r="C2643" s="39"/>
      <c r="D2643" s="39" t="s">
        <v>10205</v>
      </c>
      <c r="E2643" s="371" t="str">
        <f t="shared" si="197"/>
        <v>かわべ　ゆうせい</v>
      </c>
      <c r="F2643" s="39" t="s">
        <v>2137</v>
      </c>
      <c r="G2643" s="39" t="s">
        <v>7828</v>
      </c>
      <c r="H2643" s="39" t="str">
        <f>("2017/03/30")</f>
        <v>2017/03/30</v>
      </c>
      <c r="I2643" s="39">
        <v>3</v>
      </c>
      <c r="J2643" s="39" t="s">
        <v>1478</v>
      </c>
      <c r="K2643" s="39" t="s">
        <v>2122</v>
      </c>
      <c r="L2643" s="39" t="s">
        <v>7830</v>
      </c>
      <c r="M2643" s="39" t="s">
        <v>7831</v>
      </c>
      <c r="N2643" s="39" t="str">
        <f>("0130510")</f>
        <v>0130510</v>
      </c>
      <c r="P2643" s="39" t="s">
        <v>14084</v>
      </c>
      <c r="Q2643" s="39" t="s">
        <v>8568</v>
      </c>
      <c r="R2643" s="39" t="s">
        <v>8569</v>
      </c>
      <c r="S2643" s="39" t="s">
        <v>8570</v>
      </c>
      <c r="AK2643" s="39" t="str">
        <f>("2025/06/16")</f>
        <v>2025/06/16</v>
      </c>
      <c r="AL2643" s="39" t="str">
        <f>("2025/06/16")</f>
        <v>2025/06/16</v>
      </c>
    </row>
    <row r="2644" spans="1:39" x14ac:dyDescent="0.25">
      <c r="A2644" s="39" t="str">
        <f>("1703310010")</f>
        <v>1703310010</v>
      </c>
      <c r="B2644" s="39" t="s">
        <v>10206</v>
      </c>
      <c r="C2644" s="39"/>
      <c r="D2644" s="39" t="s">
        <v>10207</v>
      </c>
      <c r="E2644" s="371" t="str">
        <f t="shared" si="197"/>
        <v>きづ　ふみと</v>
      </c>
      <c r="F2644" s="39" t="s">
        <v>1912</v>
      </c>
      <c r="G2644" s="39" t="s">
        <v>7828</v>
      </c>
      <c r="H2644" s="39" t="str">
        <f>("2017/03/31")</f>
        <v>2017/03/31</v>
      </c>
      <c r="I2644" s="39">
        <v>3</v>
      </c>
      <c r="J2644" s="39" t="s">
        <v>1478</v>
      </c>
      <c r="K2644" s="39" t="s">
        <v>2122</v>
      </c>
      <c r="L2644" s="39" t="s">
        <v>7830</v>
      </c>
      <c r="M2644" s="39" t="s">
        <v>7831</v>
      </c>
      <c r="N2644" s="39" t="str">
        <f>("0130363")</f>
        <v>0130363</v>
      </c>
      <c r="P2644" s="39" t="s">
        <v>14085</v>
      </c>
      <c r="Q2644" s="39" t="s">
        <v>8568</v>
      </c>
      <c r="R2644" s="39" t="s">
        <v>8569</v>
      </c>
      <c r="S2644" s="39" t="s">
        <v>8570</v>
      </c>
      <c r="AK2644" s="39" t="str">
        <f>("2025/03/17")</f>
        <v>2025/03/17</v>
      </c>
      <c r="AL2644" s="39" t="str">
        <f>("2025/04/01")</f>
        <v>2025/04/01</v>
      </c>
    </row>
    <row r="2645" spans="1:39" x14ac:dyDescent="0.25">
      <c r="A2645" s="39" t="str">
        <f>("1704010004")</f>
        <v>1704010004</v>
      </c>
      <c r="C2645" s="39"/>
      <c r="D2645" s="39" t="s">
        <v>10208</v>
      </c>
      <c r="E2645" s="371" t="str">
        <f t="shared" si="197"/>
        <v>とよだ　かつき</v>
      </c>
      <c r="F2645" s="39" t="s">
        <v>2299</v>
      </c>
      <c r="G2645" s="39" t="s">
        <v>7828</v>
      </c>
      <c r="H2645" s="39" t="str">
        <f>("2017/04/01")</f>
        <v>2017/04/01</v>
      </c>
      <c r="I2645" s="39">
        <v>3</v>
      </c>
      <c r="J2645" s="39" t="s">
        <v>1478</v>
      </c>
      <c r="K2645" s="39" t="s">
        <v>2122</v>
      </c>
      <c r="L2645" s="39" t="s">
        <v>7830</v>
      </c>
      <c r="M2645" s="39" t="s">
        <v>7831</v>
      </c>
      <c r="N2645" s="39" t="str">
        <f>("1066647")</f>
        <v>1066647</v>
      </c>
      <c r="P2645" s="39" t="s">
        <v>14086</v>
      </c>
      <c r="Q2645" s="39" t="s">
        <v>8568</v>
      </c>
      <c r="R2645" s="39" t="s">
        <v>8569</v>
      </c>
      <c r="S2645" s="39" t="s">
        <v>8570</v>
      </c>
      <c r="AK2645" s="39" t="str">
        <f>("2025/03/21")</f>
        <v>2025/03/21</v>
      </c>
      <c r="AL2645" s="39" t="str">
        <f>("2025/04/01")</f>
        <v>2025/04/01</v>
      </c>
    </row>
    <row r="2646" spans="1:39" x14ac:dyDescent="0.25">
      <c r="A2646" s="39" t="str">
        <f>("1704040069")</f>
        <v>1704040069</v>
      </c>
      <c r="C2646" s="39"/>
      <c r="D2646" s="39" t="s">
        <v>10209</v>
      </c>
      <c r="E2646" s="371" t="str">
        <f t="shared" si="197"/>
        <v>たむら　だん</v>
      </c>
      <c r="F2646" s="39" t="s">
        <v>334</v>
      </c>
      <c r="G2646" s="39" t="s">
        <v>7828</v>
      </c>
      <c r="H2646" s="39" t="str">
        <f>("2017/04/04")</f>
        <v>2017/04/04</v>
      </c>
      <c r="I2646" s="39">
        <v>2</v>
      </c>
      <c r="J2646" s="39" t="s">
        <v>1478</v>
      </c>
      <c r="K2646" s="39" t="s">
        <v>2122</v>
      </c>
      <c r="L2646" s="39" t="s">
        <v>7830</v>
      </c>
      <c r="M2646" s="39" t="s">
        <v>7831</v>
      </c>
      <c r="N2646" s="39" t="str">
        <f>("0129664")</f>
        <v>0129664</v>
      </c>
      <c r="P2646" s="39" t="s">
        <v>14087</v>
      </c>
      <c r="Q2646" s="39" t="s">
        <v>8568</v>
      </c>
      <c r="R2646" s="39" t="s">
        <v>8569</v>
      </c>
      <c r="S2646" s="39" t="s">
        <v>8570</v>
      </c>
      <c r="AK2646" s="39" t="str">
        <f>("2025/09/02")</f>
        <v>2025/09/02</v>
      </c>
      <c r="AL2646" s="39" t="str">
        <f>("2025/09/02")</f>
        <v>2025/09/02</v>
      </c>
    </row>
    <row r="2647" spans="1:39" x14ac:dyDescent="0.25">
      <c r="A2647" s="39" t="str">
        <f>("1704100033")</f>
        <v>1704100033</v>
      </c>
      <c r="C2647" s="39"/>
      <c r="D2647" s="39" t="s">
        <v>10210</v>
      </c>
      <c r="E2647" s="371" t="str">
        <f t="shared" si="197"/>
        <v>いいむら　りゅうと</v>
      </c>
      <c r="F2647" s="39" t="s">
        <v>1158</v>
      </c>
      <c r="G2647" s="39" t="s">
        <v>7828</v>
      </c>
      <c r="H2647" s="39" t="str">
        <f>("2017/04/10")</f>
        <v>2017/04/10</v>
      </c>
      <c r="I2647" s="39">
        <v>2</v>
      </c>
      <c r="J2647" s="39" t="s">
        <v>1478</v>
      </c>
      <c r="K2647" s="39" t="s">
        <v>2122</v>
      </c>
      <c r="L2647" s="39" t="s">
        <v>7830</v>
      </c>
      <c r="M2647" s="39" t="s">
        <v>7831</v>
      </c>
      <c r="N2647" s="39" t="str">
        <f>("0130318")</f>
        <v>0130318</v>
      </c>
      <c r="P2647" s="39" t="s">
        <v>14088</v>
      </c>
      <c r="Q2647" s="39" t="s">
        <v>8568</v>
      </c>
      <c r="R2647" s="39" t="s">
        <v>8569</v>
      </c>
      <c r="S2647" s="39" t="s">
        <v>8570</v>
      </c>
      <c r="AK2647" s="39" t="str">
        <f>("2025/08/25")</f>
        <v>2025/08/25</v>
      </c>
      <c r="AL2647" s="39" t="str">
        <f>("2025/08/25")</f>
        <v>2025/08/25</v>
      </c>
    </row>
    <row r="2648" spans="1:39" x14ac:dyDescent="0.25">
      <c r="A2648" s="39" t="str">
        <f>("1704150020")</f>
        <v>1704150020</v>
      </c>
      <c r="C2648" s="39"/>
      <c r="D2648" s="39" t="s">
        <v>10211</v>
      </c>
      <c r="E2648" s="371" t="str">
        <f t="shared" si="197"/>
        <v>ながの　かなた</v>
      </c>
      <c r="F2648" s="39" t="s">
        <v>838</v>
      </c>
      <c r="G2648" s="39" t="s">
        <v>7828</v>
      </c>
      <c r="H2648" s="39" t="str">
        <f>("2017/04/15")</f>
        <v>2017/04/15</v>
      </c>
      <c r="I2648" s="39">
        <v>2</v>
      </c>
      <c r="J2648" s="39" t="s">
        <v>1478</v>
      </c>
      <c r="K2648" s="39" t="s">
        <v>2122</v>
      </c>
      <c r="L2648" s="39" t="s">
        <v>7830</v>
      </c>
      <c r="M2648" s="39" t="s">
        <v>7831</v>
      </c>
      <c r="N2648" s="39" t="str">
        <f>("0360021")</f>
        <v>0360021</v>
      </c>
      <c r="P2648" s="39" t="s">
        <v>14089</v>
      </c>
      <c r="Q2648" s="39" t="s">
        <v>8568</v>
      </c>
      <c r="R2648" s="39" t="s">
        <v>8569</v>
      </c>
      <c r="S2648" s="39" t="s">
        <v>8570</v>
      </c>
      <c r="AK2648" s="39" t="str">
        <f>("2025/04/10")</f>
        <v>2025/04/10</v>
      </c>
      <c r="AL2648" s="39" t="str">
        <f>("2025/04/10")</f>
        <v>2025/04/10</v>
      </c>
    </row>
    <row r="2649" spans="1:39" x14ac:dyDescent="0.25">
      <c r="A2649" s="39" t="str">
        <f>("1704150033")</f>
        <v>1704150033</v>
      </c>
      <c r="C2649" s="39"/>
      <c r="D2649" s="39" t="s">
        <v>10212</v>
      </c>
      <c r="E2649" s="371" t="str">
        <f t="shared" si="197"/>
        <v>せきや　とうご</v>
      </c>
      <c r="F2649" s="39" t="s">
        <v>2530</v>
      </c>
      <c r="G2649" s="39" t="s">
        <v>7828</v>
      </c>
      <c r="H2649" s="39" t="str">
        <f>("2017/04/15")</f>
        <v>2017/04/15</v>
      </c>
      <c r="I2649" s="39">
        <v>2</v>
      </c>
      <c r="J2649" s="39" t="s">
        <v>1478</v>
      </c>
      <c r="K2649" s="39" t="s">
        <v>2122</v>
      </c>
      <c r="L2649" s="39" t="s">
        <v>7830</v>
      </c>
      <c r="M2649" s="39" t="s">
        <v>7831</v>
      </c>
      <c r="N2649" s="39" t="str">
        <f>("0338756")</f>
        <v>0338756</v>
      </c>
      <c r="P2649" s="39" t="s">
        <v>14090</v>
      </c>
      <c r="Q2649" s="39" t="s">
        <v>8568</v>
      </c>
      <c r="R2649" s="39" t="s">
        <v>8569</v>
      </c>
      <c r="S2649" s="39" t="s">
        <v>8570</v>
      </c>
      <c r="AK2649" s="39" t="str">
        <f>("2025/10/10")</f>
        <v>2025/10/10</v>
      </c>
      <c r="AL2649" s="39" t="str">
        <f>("2025/10/10")</f>
        <v>2025/10/10</v>
      </c>
    </row>
    <row r="2650" spans="1:39" x14ac:dyDescent="0.25">
      <c r="A2650" s="39" t="str">
        <f>("1704170003")</f>
        <v>1704170003</v>
      </c>
      <c r="C2650" s="39"/>
      <c r="D2650" s="39" t="s">
        <v>10213</v>
      </c>
      <c r="E2650" s="371" t="str">
        <f t="shared" si="197"/>
        <v>つるや　しゅんすけ</v>
      </c>
      <c r="F2650" s="39" t="s">
        <v>2544</v>
      </c>
      <c r="G2650" s="39" t="s">
        <v>7828</v>
      </c>
      <c r="H2650" s="39" t="str">
        <f>("2017/04/17")</f>
        <v>2017/04/17</v>
      </c>
      <c r="I2650" s="39">
        <v>2</v>
      </c>
      <c r="J2650" s="39" t="s">
        <v>1478</v>
      </c>
      <c r="K2650" s="39" t="s">
        <v>2122</v>
      </c>
      <c r="L2650" s="39" t="s">
        <v>7830</v>
      </c>
      <c r="M2650" s="39" t="s">
        <v>7831</v>
      </c>
      <c r="N2650" s="39" t="str">
        <f>("0130644")</f>
        <v>0130644</v>
      </c>
      <c r="P2650" s="39" t="s">
        <v>14091</v>
      </c>
      <c r="Q2650" s="39" t="s">
        <v>8568</v>
      </c>
      <c r="R2650" s="39" t="s">
        <v>8569</v>
      </c>
      <c r="S2650" s="39" t="s">
        <v>8570</v>
      </c>
      <c r="AK2650" s="39" t="str">
        <f>("2025/03/17")</f>
        <v>2025/03/17</v>
      </c>
      <c r="AL2650" s="39" t="str">
        <f>("2025/04/01")</f>
        <v>2025/04/01</v>
      </c>
    </row>
    <row r="2651" spans="1:39" x14ac:dyDescent="0.25">
      <c r="A2651" s="39" t="str">
        <f>("1704170035")</f>
        <v>1704170035</v>
      </c>
      <c r="C2651" s="39"/>
      <c r="D2651" s="39" t="s">
        <v>10214</v>
      </c>
      <c r="E2651" s="371" t="str">
        <f t="shared" si="197"/>
        <v>くどう　いおり</v>
      </c>
      <c r="F2651" s="39" t="s">
        <v>5621</v>
      </c>
      <c r="G2651" s="39" t="s">
        <v>7828</v>
      </c>
      <c r="H2651" s="39" t="str">
        <f>("2017/04/17")</f>
        <v>2017/04/17</v>
      </c>
      <c r="I2651" s="39">
        <v>2</v>
      </c>
      <c r="J2651" s="39" t="s">
        <v>1478</v>
      </c>
      <c r="K2651" s="39" t="s">
        <v>2122</v>
      </c>
      <c r="L2651" s="39" t="s">
        <v>7830</v>
      </c>
      <c r="M2651" s="39" t="s">
        <v>7831</v>
      </c>
      <c r="N2651" s="39" t="str">
        <f>("1110654")</f>
        <v>1110654</v>
      </c>
      <c r="P2651" s="39" t="s">
        <v>14092</v>
      </c>
      <c r="Q2651" s="39" t="s">
        <v>8568</v>
      </c>
      <c r="R2651" s="39" t="s">
        <v>8569</v>
      </c>
      <c r="S2651" s="39" t="s">
        <v>8570</v>
      </c>
      <c r="AK2651" s="39" t="str">
        <f>("2025/03/27")</f>
        <v>2025/03/27</v>
      </c>
      <c r="AL2651" s="39" t="str">
        <f>("2025/04/01")</f>
        <v>2025/04/01</v>
      </c>
    </row>
    <row r="2652" spans="1:39" x14ac:dyDescent="0.25">
      <c r="A2652" s="39" t="str">
        <f>("1704240041")</f>
        <v>1704240041</v>
      </c>
      <c r="C2652" s="39"/>
      <c r="D2652" s="39" t="s">
        <v>10215</v>
      </c>
      <c r="E2652" s="371" t="str">
        <f t="shared" si="197"/>
        <v>ささはら　ゆうせい</v>
      </c>
      <c r="F2652" s="39" t="s">
        <v>520</v>
      </c>
      <c r="G2652" s="39" t="s">
        <v>7828</v>
      </c>
      <c r="H2652" s="39" t="str">
        <f>("2017/04/24")</f>
        <v>2017/04/24</v>
      </c>
      <c r="I2652" s="39">
        <v>2</v>
      </c>
      <c r="J2652" s="39" t="s">
        <v>1478</v>
      </c>
      <c r="K2652" s="39" t="s">
        <v>2122</v>
      </c>
      <c r="L2652" s="39" t="s">
        <v>7830</v>
      </c>
      <c r="M2652" s="39" t="s">
        <v>7831</v>
      </c>
      <c r="N2652" s="39" t="str">
        <f>("0129765")</f>
        <v>0129765</v>
      </c>
      <c r="P2652" s="39" t="s">
        <v>14093</v>
      </c>
      <c r="Q2652" s="39" t="s">
        <v>8568</v>
      </c>
      <c r="R2652" s="39" t="s">
        <v>8569</v>
      </c>
      <c r="S2652" s="39" t="s">
        <v>8570</v>
      </c>
      <c r="AK2652" s="39" t="str">
        <f>("2025/09/02")</f>
        <v>2025/09/02</v>
      </c>
      <c r="AL2652" s="39" t="str">
        <f>("2025/09/02")</f>
        <v>2025/09/02</v>
      </c>
    </row>
    <row r="2653" spans="1:39" x14ac:dyDescent="0.25">
      <c r="A2653" s="39" t="str">
        <f>("1705020012")</f>
        <v>1705020012</v>
      </c>
      <c r="C2653" s="39"/>
      <c r="D2653" s="39" t="s">
        <v>10216</v>
      </c>
      <c r="E2653" s="371" t="str">
        <f t="shared" si="197"/>
        <v>あべ　しゅんすけ</v>
      </c>
      <c r="F2653" s="39" t="s">
        <v>2544</v>
      </c>
      <c r="G2653" s="39" t="s">
        <v>7828</v>
      </c>
      <c r="H2653" s="39" t="str">
        <f>("2017/05/02")</f>
        <v>2017/05/02</v>
      </c>
      <c r="I2653" s="39">
        <v>2</v>
      </c>
      <c r="J2653" s="39" t="s">
        <v>1478</v>
      </c>
      <c r="K2653" s="39" t="s">
        <v>2122</v>
      </c>
      <c r="L2653" s="39" t="s">
        <v>7830</v>
      </c>
      <c r="M2653" s="39" t="s">
        <v>7831</v>
      </c>
      <c r="N2653" s="39" t="str">
        <f>("0130644")</f>
        <v>0130644</v>
      </c>
      <c r="P2653" s="39" t="s">
        <v>14094</v>
      </c>
      <c r="Q2653" s="39" t="s">
        <v>8568</v>
      </c>
      <c r="R2653" s="39" t="s">
        <v>8569</v>
      </c>
      <c r="S2653" s="39" t="s">
        <v>8570</v>
      </c>
      <c r="AK2653" s="39" t="str">
        <f>("2025/03/17")</f>
        <v>2025/03/17</v>
      </c>
      <c r="AL2653" s="39" t="str">
        <f>("2025/04/01")</f>
        <v>2025/04/01</v>
      </c>
    </row>
    <row r="2654" spans="1:39" x14ac:dyDescent="0.25">
      <c r="A2654" s="39" t="str">
        <f>("1705020026")</f>
        <v>1705020026</v>
      </c>
      <c r="C2654" s="39"/>
      <c r="D2654" s="39" t="s">
        <v>10217</v>
      </c>
      <c r="E2654" s="371" t="str">
        <f t="shared" si="197"/>
        <v>ながと　あさひ</v>
      </c>
      <c r="F2654" s="39" t="s">
        <v>2023</v>
      </c>
      <c r="G2654" s="39" t="s">
        <v>7828</v>
      </c>
      <c r="H2654" s="39" t="str">
        <f>("2017/05/02")</f>
        <v>2017/05/02</v>
      </c>
      <c r="I2654" s="39">
        <v>2</v>
      </c>
      <c r="J2654" s="39" t="s">
        <v>1478</v>
      </c>
      <c r="K2654" s="39" t="s">
        <v>2122</v>
      </c>
      <c r="L2654" s="39" t="s">
        <v>7830</v>
      </c>
      <c r="M2654" s="39" t="s">
        <v>7831</v>
      </c>
      <c r="N2654" s="39" t="str">
        <f>("0129967")</f>
        <v>0129967</v>
      </c>
      <c r="P2654" s="39" t="s">
        <v>14095</v>
      </c>
      <c r="Q2654" s="39" t="s">
        <v>8568</v>
      </c>
      <c r="R2654" s="39" t="s">
        <v>8569</v>
      </c>
      <c r="S2654" s="39" t="s">
        <v>8570</v>
      </c>
      <c r="AK2654" s="39" t="str">
        <f>("2025/03/17")</f>
        <v>2025/03/17</v>
      </c>
      <c r="AL2654" s="39" t="str">
        <f>("2025/04/01")</f>
        <v>2025/04/01</v>
      </c>
      <c r="AM2654" s="39" t="str">
        <f>("2025/07/18")</f>
        <v>2025/07/18</v>
      </c>
    </row>
    <row r="2655" spans="1:39" x14ac:dyDescent="0.25">
      <c r="A2655" s="39" t="str">
        <f>("1705030032")</f>
        <v>1705030032</v>
      </c>
      <c r="C2655" s="39"/>
      <c r="D2655" s="39" t="s">
        <v>10218</v>
      </c>
      <c r="E2655" s="371" t="str">
        <f t="shared" si="197"/>
        <v>ながの　たすく</v>
      </c>
      <c r="F2655" s="39" t="s">
        <v>520</v>
      </c>
      <c r="G2655" s="39" t="s">
        <v>7828</v>
      </c>
      <c r="H2655" s="39" t="str">
        <f>("2017/05/03")</f>
        <v>2017/05/03</v>
      </c>
      <c r="I2655" s="39">
        <v>2</v>
      </c>
      <c r="J2655" s="39" t="s">
        <v>1478</v>
      </c>
      <c r="K2655" s="39" t="s">
        <v>2122</v>
      </c>
      <c r="L2655" s="39" t="s">
        <v>7830</v>
      </c>
      <c r="M2655" s="39" t="s">
        <v>7831</v>
      </c>
      <c r="N2655" s="39" t="str">
        <f>("0129765")</f>
        <v>0129765</v>
      </c>
      <c r="P2655" s="39" t="s">
        <v>14096</v>
      </c>
      <c r="Q2655" s="39" t="s">
        <v>8568</v>
      </c>
      <c r="R2655" s="39" t="s">
        <v>8569</v>
      </c>
      <c r="S2655" s="39" t="s">
        <v>8570</v>
      </c>
      <c r="AK2655" s="39" t="str">
        <f>("2025/09/02")</f>
        <v>2025/09/02</v>
      </c>
      <c r="AL2655" s="39" t="str">
        <f>("2025/09/02")</f>
        <v>2025/09/02</v>
      </c>
    </row>
    <row r="2656" spans="1:39" x14ac:dyDescent="0.25">
      <c r="A2656" s="39" t="str">
        <f>("1705100068")</f>
        <v>1705100068</v>
      </c>
      <c r="C2656" s="39"/>
      <c r="D2656" s="39" t="s">
        <v>10219</v>
      </c>
      <c r="E2656" s="371" t="str">
        <f t="shared" si="197"/>
        <v>おいじ　こたろう</v>
      </c>
      <c r="F2656" s="39" t="s">
        <v>2530</v>
      </c>
      <c r="G2656" s="39" t="s">
        <v>7828</v>
      </c>
      <c r="H2656" s="39" t="str">
        <f>("2017/05/10")</f>
        <v>2017/05/10</v>
      </c>
      <c r="I2656" s="39">
        <v>2</v>
      </c>
      <c r="J2656" s="39" t="s">
        <v>1478</v>
      </c>
      <c r="K2656" s="39" t="s">
        <v>2122</v>
      </c>
      <c r="L2656" s="39" t="s">
        <v>7830</v>
      </c>
      <c r="M2656" s="39" t="s">
        <v>7831</v>
      </c>
      <c r="N2656" s="39" t="str">
        <f>("0338756")</f>
        <v>0338756</v>
      </c>
      <c r="P2656" s="39" t="s">
        <v>14097</v>
      </c>
      <c r="Q2656" s="39" t="s">
        <v>8568</v>
      </c>
      <c r="R2656" s="39" t="s">
        <v>8569</v>
      </c>
      <c r="S2656" s="39" t="s">
        <v>8570</v>
      </c>
      <c r="AK2656" s="39" t="str">
        <f>("2025/10/10")</f>
        <v>2025/10/10</v>
      </c>
      <c r="AL2656" s="39" t="str">
        <f>("2025/10/10")</f>
        <v>2025/10/10</v>
      </c>
    </row>
    <row r="2657" spans="1:39" x14ac:dyDescent="0.25">
      <c r="A2657" s="39" t="str">
        <f>("1705140030")</f>
        <v>1705140030</v>
      </c>
      <c r="C2657" s="39"/>
      <c r="D2657" s="39" t="s">
        <v>10220</v>
      </c>
      <c r="E2657" s="371" t="str">
        <f t="shared" si="197"/>
        <v>いとう　あん</v>
      </c>
      <c r="F2657" s="39" t="s">
        <v>5616</v>
      </c>
      <c r="G2657" s="39" t="s">
        <v>7828</v>
      </c>
      <c r="H2657" s="39" t="str">
        <f>("2017/05/14")</f>
        <v>2017/05/14</v>
      </c>
      <c r="I2657" s="39">
        <v>2</v>
      </c>
      <c r="J2657" s="39" t="s">
        <v>1480</v>
      </c>
      <c r="K2657" s="39" t="s">
        <v>2122</v>
      </c>
      <c r="L2657" s="39" t="s">
        <v>7830</v>
      </c>
      <c r="M2657" s="39" t="s">
        <v>7831</v>
      </c>
      <c r="N2657" s="39" t="str">
        <f>("0130385")</f>
        <v>0130385</v>
      </c>
      <c r="P2657" s="39" t="s">
        <v>14098</v>
      </c>
      <c r="Q2657" s="39" t="s">
        <v>8568</v>
      </c>
      <c r="R2657" s="39" t="s">
        <v>8569</v>
      </c>
      <c r="S2657" s="39" t="s">
        <v>8570</v>
      </c>
      <c r="AK2657" s="39" t="str">
        <f>("2025/06/06")</f>
        <v>2025/06/06</v>
      </c>
      <c r="AL2657" s="39" t="str">
        <f>("2025/06/06")</f>
        <v>2025/06/06</v>
      </c>
    </row>
    <row r="2658" spans="1:39" x14ac:dyDescent="0.25">
      <c r="A2658" s="39" t="str">
        <f>("1705150051")</f>
        <v>1705150051</v>
      </c>
      <c r="C2658" s="39"/>
      <c r="D2658" s="39" t="s">
        <v>10221</v>
      </c>
      <c r="E2658" s="371" t="str">
        <f t="shared" si="197"/>
        <v>ふゆの　れいや</v>
      </c>
      <c r="F2658" s="39" t="s">
        <v>1968</v>
      </c>
      <c r="G2658" s="39" t="s">
        <v>7828</v>
      </c>
      <c r="H2658" s="39" t="str">
        <f>("2017/05/15")</f>
        <v>2017/05/15</v>
      </c>
      <c r="I2658" s="39">
        <v>2</v>
      </c>
      <c r="J2658" s="39" t="s">
        <v>1478</v>
      </c>
      <c r="K2658" s="39" t="s">
        <v>2122</v>
      </c>
      <c r="L2658" s="39" t="s">
        <v>7830</v>
      </c>
      <c r="M2658" s="39" t="s">
        <v>7831</v>
      </c>
      <c r="N2658" s="39" t="str">
        <f>("0129507")</f>
        <v>0129507</v>
      </c>
      <c r="P2658" s="39" t="s">
        <v>14099</v>
      </c>
      <c r="Q2658" s="39" t="s">
        <v>8568</v>
      </c>
      <c r="R2658" s="39" t="s">
        <v>8569</v>
      </c>
      <c r="S2658" s="39" t="s">
        <v>8570</v>
      </c>
      <c r="AK2658" s="39" t="str">
        <f>("2025/08/22")</f>
        <v>2025/08/22</v>
      </c>
      <c r="AL2658" s="39" t="str">
        <f>("2025/08/22")</f>
        <v>2025/08/22</v>
      </c>
    </row>
    <row r="2659" spans="1:39" x14ac:dyDescent="0.25">
      <c r="A2659" s="39" t="str">
        <f>("1705160037")</f>
        <v>1705160037</v>
      </c>
      <c r="C2659" s="39"/>
      <c r="D2659" s="39" t="s">
        <v>10222</v>
      </c>
      <c r="E2659" s="371" t="str">
        <f t="shared" si="197"/>
        <v>つねつねが　ごうき</v>
      </c>
      <c r="F2659" s="39" t="s">
        <v>1481</v>
      </c>
      <c r="G2659" s="39" t="s">
        <v>7828</v>
      </c>
      <c r="H2659" s="39" t="str">
        <f>("2017/05/16")</f>
        <v>2017/05/16</v>
      </c>
      <c r="I2659" s="39">
        <v>2</v>
      </c>
      <c r="J2659" s="39" t="s">
        <v>1478</v>
      </c>
      <c r="K2659" s="39" t="s">
        <v>2122</v>
      </c>
      <c r="L2659" s="39" t="s">
        <v>7830</v>
      </c>
      <c r="M2659" s="39" t="s">
        <v>7831</v>
      </c>
      <c r="N2659" s="39" t="str">
        <f>("0129866")</f>
        <v>0129866</v>
      </c>
      <c r="P2659" s="39" t="s">
        <v>14100</v>
      </c>
      <c r="Q2659" s="39" t="s">
        <v>8568</v>
      </c>
      <c r="R2659" s="39" t="s">
        <v>8569</v>
      </c>
      <c r="S2659" s="39" t="s">
        <v>8570</v>
      </c>
      <c r="AK2659" s="39" t="str">
        <f>("2025/04/10")</f>
        <v>2025/04/10</v>
      </c>
      <c r="AL2659" s="39" t="str">
        <f>("2025/04/10")</f>
        <v>2025/04/10</v>
      </c>
    </row>
    <row r="2660" spans="1:39" x14ac:dyDescent="0.25">
      <c r="A2660" s="39" t="str">
        <f>("1705170040")</f>
        <v>1705170040</v>
      </c>
      <c r="C2660" s="39"/>
      <c r="D2660" s="39" t="s">
        <v>10223</v>
      </c>
      <c r="E2660" s="371" t="str">
        <f t="shared" si="197"/>
        <v>かわむら　ゆうま</v>
      </c>
      <c r="F2660" s="39" t="s">
        <v>1968</v>
      </c>
      <c r="G2660" s="39" t="s">
        <v>7828</v>
      </c>
      <c r="H2660" s="39" t="str">
        <f>("2017/05/17")</f>
        <v>2017/05/17</v>
      </c>
      <c r="I2660" s="39">
        <v>2</v>
      </c>
      <c r="J2660" s="39" t="s">
        <v>1478</v>
      </c>
      <c r="K2660" s="39" t="s">
        <v>2122</v>
      </c>
      <c r="L2660" s="39" t="s">
        <v>7830</v>
      </c>
      <c r="M2660" s="39" t="s">
        <v>7831</v>
      </c>
      <c r="N2660" s="39" t="str">
        <f>("0129507")</f>
        <v>0129507</v>
      </c>
      <c r="P2660" s="39" t="s">
        <v>14101</v>
      </c>
      <c r="Q2660" s="39" t="s">
        <v>8568</v>
      </c>
      <c r="R2660" s="39" t="s">
        <v>8569</v>
      </c>
      <c r="S2660" s="39" t="s">
        <v>8570</v>
      </c>
      <c r="AK2660" s="39" t="str">
        <f>("2025/08/22")</f>
        <v>2025/08/22</v>
      </c>
      <c r="AL2660" s="39" t="str">
        <f>("2025/08/22")</f>
        <v>2025/08/22</v>
      </c>
    </row>
    <row r="2661" spans="1:39" x14ac:dyDescent="0.25">
      <c r="A2661" s="39" t="str">
        <f>("1705170041")</f>
        <v>1705170041</v>
      </c>
      <c r="C2661" s="39"/>
      <c r="D2661" s="39" t="s">
        <v>10224</v>
      </c>
      <c r="E2661" s="371" t="str">
        <f t="shared" si="197"/>
        <v>ながおか　あやと</v>
      </c>
      <c r="F2661" s="39" t="s">
        <v>2651</v>
      </c>
      <c r="G2661" s="39" t="s">
        <v>7828</v>
      </c>
      <c r="H2661" s="39" t="str">
        <f>("2017/05/17")</f>
        <v>2017/05/17</v>
      </c>
      <c r="I2661" s="39">
        <v>2</v>
      </c>
      <c r="J2661" s="39" t="s">
        <v>1478</v>
      </c>
      <c r="K2661" s="39" t="s">
        <v>2122</v>
      </c>
      <c r="L2661" s="39" t="s">
        <v>7830</v>
      </c>
      <c r="M2661" s="39" t="s">
        <v>7831</v>
      </c>
      <c r="N2661" s="39" t="str">
        <f>("1067415")</f>
        <v>1067415</v>
      </c>
      <c r="P2661" s="39" t="s">
        <v>14102</v>
      </c>
      <c r="Q2661" s="39" t="s">
        <v>8568</v>
      </c>
      <c r="R2661" s="39" t="s">
        <v>8569</v>
      </c>
      <c r="S2661" s="39" t="s">
        <v>8570</v>
      </c>
      <c r="AK2661" s="39" t="str">
        <f>("2025/09/04")</f>
        <v>2025/09/04</v>
      </c>
      <c r="AL2661" s="39" t="str">
        <f>("2025/09/04")</f>
        <v>2025/09/04</v>
      </c>
    </row>
    <row r="2662" spans="1:39" x14ac:dyDescent="0.25">
      <c r="A2662" s="39" t="str">
        <f>("1705200003")</f>
        <v>1705200003</v>
      </c>
      <c r="B2662" s="39" t="s">
        <v>10225</v>
      </c>
      <c r="C2662" s="39"/>
      <c r="D2662" s="39" t="s">
        <v>10226</v>
      </c>
      <c r="E2662" s="371" t="str">
        <f t="shared" si="197"/>
        <v>なかね　あらん</v>
      </c>
      <c r="F2662" s="39" t="s">
        <v>5615</v>
      </c>
      <c r="G2662" s="39" t="s">
        <v>7828</v>
      </c>
      <c r="H2662" s="39" t="str">
        <f>("2017/05/20")</f>
        <v>2017/05/20</v>
      </c>
      <c r="I2662" s="39">
        <v>2</v>
      </c>
      <c r="J2662" s="39" t="s">
        <v>1478</v>
      </c>
      <c r="K2662" s="39" t="s">
        <v>2122</v>
      </c>
      <c r="L2662" s="39" t="s">
        <v>7830</v>
      </c>
      <c r="M2662" s="39" t="s">
        <v>7831</v>
      </c>
      <c r="N2662" s="39" t="str">
        <f>("0129642")</f>
        <v>0129642</v>
      </c>
      <c r="P2662" s="39" t="s">
        <v>14103</v>
      </c>
      <c r="Q2662" s="39" t="s">
        <v>8568</v>
      </c>
      <c r="R2662" s="39" t="s">
        <v>8569</v>
      </c>
      <c r="S2662" s="39" t="s">
        <v>8570</v>
      </c>
      <c r="AK2662" s="39" t="str">
        <f>("2025/03/24")</f>
        <v>2025/03/24</v>
      </c>
      <c r="AL2662" s="39" t="str">
        <f>("2025/04/01")</f>
        <v>2025/04/01</v>
      </c>
    </row>
    <row r="2663" spans="1:39" x14ac:dyDescent="0.25">
      <c r="A2663" s="39" t="str">
        <f>("1705210006")</f>
        <v>1705210006</v>
      </c>
      <c r="B2663" s="39" t="s">
        <v>10227</v>
      </c>
      <c r="C2663" s="39"/>
      <c r="D2663" s="39" t="s">
        <v>10228</v>
      </c>
      <c r="E2663" s="371" t="str">
        <f t="shared" si="197"/>
        <v>あべ　みさき</v>
      </c>
      <c r="F2663" s="39" t="s">
        <v>5615</v>
      </c>
      <c r="G2663" s="39" t="s">
        <v>7828</v>
      </c>
      <c r="H2663" s="39" t="str">
        <f>("2017/05/21")</f>
        <v>2017/05/21</v>
      </c>
      <c r="I2663" s="39">
        <v>2</v>
      </c>
      <c r="J2663" s="39" t="s">
        <v>1480</v>
      </c>
      <c r="K2663" s="39" t="s">
        <v>2122</v>
      </c>
      <c r="L2663" s="39" t="s">
        <v>7830</v>
      </c>
      <c r="M2663" s="39" t="s">
        <v>7831</v>
      </c>
      <c r="N2663" s="39" t="str">
        <f>("0129642")</f>
        <v>0129642</v>
      </c>
      <c r="P2663" s="39" t="s">
        <v>14104</v>
      </c>
      <c r="Q2663" s="39" t="s">
        <v>8568</v>
      </c>
      <c r="R2663" s="39" t="s">
        <v>8569</v>
      </c>
      <c r="S2663" s="39" t="s">
        <v>8570</v>
      </c>
      <c r="AK2663" s="39" t="str">
        <f>("2025/03/24")</f>
        <v>2025/03/24</v>
      </c>
      <c r="AL2663" s="39" t="str">
        <f>("2025/04/01")</f>
        <v>2025/04/01</v>
      </c>
    </row>
    <row r="2664" spans="1:39" x14ac:dyDescent="0.25">
      <c r="A2664" s="39" t="str">
        <f>("1705220014")</f>
        <v>1705220014</v>
      </c>
      <c r="C2664" s="39"/>
      <c r="D2664" s="39" t="s">
        <v>10229</v>
      </c>
      <c r="E2664" s="371" t="str">
        <f t="shared" si="197"/>
        <v>すがわ　そら</v>
      </c>
      <c r="F2664" s="39" t="s">
        <v>2543</v>
      </c>
      <c r="G2664" s="39" t="s">
        <v>7828</v>
      </c>
      <c r="H2664" s="39" t="str">
        <f>("2017/05/22")</f>
        <v>2017/05/22</v>
      </c>
      <c r="I2664" s="39">
        <v>2</v>
      </c>
      <c r="J2664" s="39" t="s">
        <v>1478</v>
      </c>
      <c r="K2664" s="39" t="s">
        <v>2122</v>
      </c>
      <c r="L2664" s="39" t="s">
        <v>7830</v>
      </c>
      <c r="M2664" s="39" t="s">
        <v>7831</v>
      </c>
      <c r="N2664" s="39" t="str">
        <f>("0130600")</f>
        <v>0130600</v>
      </c>
      <c r="P2664" s="39" t="s">
        <v>14105</v>
      </c>
      <c r="Q2664" s="39" t="s">
        <v>8568</v>
      </c>
      <c r="R2664" s="39" t="s">
        <v>8569</v>
      </c>
      <c r="S2664" s="39" t="s">
        <v>8570</v>
      </c>
      <c r="AK2664" s="39" t="str">
        <f>("2025/03/17")</f>
        <v>2025/03/17</v>
      </c>
      <c r="AL2664" s="39" t="str">
        <f>("2025/04/01")</f>
        <v>2025/04/01</v>
      </c>
    </row>
    <row r="2665" spans="1:39" x14ac:dyDescent="0.25">
      <c r="A2665" s="39" t="str">
        <f>("1705240072")</f>
        <v>1705240072</v>
      </c>
      <c r="C2665" s="39"/>
      <c r="D2665" s="39" t="s">
        <v>10230</v>
      </c>
      <c r="E2665" s="371" t="str">
        <f t="shared" si="197"/>
        <v>かがわ　ひなた</v>
      </c>
      <c r="F2665" s="39" t="s">
        <v>2530</v>
      </c>
      <c r="G2665" s="39" t="s">
        <v>7828</v>
      </c>
      <c r="H2665" s="39" t="str">
        <f>("2017/05/24")</f>
        <v>2017/05/24</v>
      </c>
      <c r="I2665" s="39">
        <v>2</v>
      </c>
      <c r="J2665" s="39" t="s">
        <v>1478</v>
      </c>
      <c r="K2665" s="39" t="s">
        <v>2122</v>
      </c>
      <c r="L2665" s="39" t="s">
        <v>7830</v>
      </c>
      <c r="M2665" s="39" t="s">
        <v>7831</v>
      </c>
      <c r="N2665" s="39" t="str">
        <f>("0338756")</f>
        <v>0338756</v>
      </c>
      <c r="P2665" s="39" t="s">
        <v>14106</v>
      </c>
      <c r="Q2665" s="39" t="s">
        <v>8568</v>
      </c>
      <c r="R2665" s="39" t="s">
        <v>8569</v>
      </c>
      <c r="S2665" s="39" t="s">
        <v>8570</v>
      </c>
      <c r="AK2665" s="39" t="str">
        <f>("2025/10/10")</f>
        <v>2025/10/10</v>
      </c>
      <c r="AL2665" s="39" t="str">
        <f>("2025/10/10")</f>
        <v>2025/10/10</v>
      </c>
    </row>
    <row r="2666" spans="1:39" x14ac:dyDescent="0.25">
      <c r="A2666" s="39" t="str">
        <f>("1705250013")</f>
        <v>1705250013</v>
      </c>
      <c r="C2666" s="39"/>
      <c r="D2666" s="39" t="s">
        <v>10231</v>
      </c>
      <c r="E2666" s="371" t="str">
        <f t="shared" si="197"/>
        <v>もりわき　かいせい</v>
      </c>
      <c r="F2666" s="39" t="s">
        <v>2544</v>
      </c>
      <c r="G2666" s="39" t="s">
        <v>7828</v>
      </c>
      <c r="H2666" s="39" t="str">
        <f>("2017/05/25")</f>
        <v>2017/05/25</v>
      </c>
      <c r="I2666" s="39">
        <v>2</v>
      </c>
      <c r="J2666" s="39" t="s">
        <v>1478</v>
      </c>
      <c r="K2666" s="39" t="s">
        <v>2122</v>
      </c>
      <c r="L2666" s="39" t="s">
        <v>7830</v>
      </c>
      <c r="M2666" s="39" t="s">
        <v>7831</v>
      </c>
      <c r="N2666" s="39" t="str">
        <f>("0130644")</f>
        <v>0130644</v>
      </c>
      <c r="P2666" s="39" t="s">
        <v>14107</v>
      </c>
      <c r="Q2666" s="39" t="s">
        <v>8568</v>
      </c>
      <c r="R2666" s="39" t="s">
        <v>8569</v>
      </c>
      <c r="S2666" s="39" t="s">
        <v>8570</v>
      </c>
      <c r="AK2666" s="39" t="str">
        <f>("2025/03/17")</f>
        <v>2025/03/17</v>
      </c>
      <c r="AL2666" s="39" t="str">
        <f>("2025/04/01")</f>
        <v>2025/04/01</v>
      </c>
    </row>
    <row r="2667" spans="1:39" x14ac:dyDescent="0.25">
      <c r="A2667" s="39" t="str">
        <f>("1705250018")</f>
        <v>1705250018</v>
      </c>
      <c r="C2667" s="39"/>
      <c r="D2667" s="39" t="s">
        <v>6266</v>
      </c>
      <c r="E2667" s="371" t="str">
        <f t="shared" si="197"/>
        <v>ふるはた　わたる</v>
      </c>
      <c r="F2667" s="39" t="s">
        <v>5619</v>
      </c>
      <c r="G2667" s="39" t="s">
        <v>7828</v>
      </c>
      <c r="H2667" s="39" t="str">
        <f>("2017/05/25")</f>
        <v>2017/05/25</v>
      </c>
      <c r="I2667" s="39">
        <v>2</v>
      </c>
      <c r="J2667" s="39" t="s">
        <v>1478</v>
      </c>
      <c r="K2667" s="39" t="s">
        <v>2122</v>
      </c>
      <c r="L2667" s="39" t="s">
        <v>7830</v>
      </c>
      <c r="M2667" s="39" t="s">
        <v>7831</v>
      </c>
      <c r="N2667" s="39" t="str">
        <f>("1089004")</f>
        <v>1089004</v>
      </c>
      <c r="P2667" s="39" t="s">
        <v>14108</v>
      </c>
      <c r="Q2667" s="39" t="s">
        <v>8568</v>
      </c>
      <c r="R2667" s="39" t="s">
        <v>8569</v>
      </c>
      <c r="S2667" s="39" t="s">
        <v>8570</v>
      </c>
      <c r="AK2667" s="39" t="str">
        <f>("2025/03/27")</f>
        <v>2025/03/27</v>
      </c>
      <c r="AL2667" s="39" t="str">
        <f>("2025/04/01")</f>
        <v>2025/04/01</v>
      </c>
    </row>
    <row r="2668" spans="1:39" x14ac:dyDescent="0.25">
      <c r="A2668" s="39" t="str">
        <f>("1705260009")</f>
        <v>1705260009</v>
      </c>
      <c r="C2668" s="39"/>
      <c r="D2668" s="39" t="s">
        <v>10232</v>
      </c>
      <c r="E2668" s="371" t="str">
        <f t="shared" si="197"/>
        <v>よしたに　あおと</v>
      </c>
      <c r="F2668" s="39" t="s">
        <v>2878</v>
      </c>
      <c r="G2668" s="39" t="s">
        <v>7828</v>
      </c>
      <c r="H2668" s="39" t="str">
        <f>("2017/05/26")</f>
        <v>2017/05/26</v>
      </c>
      <c r="I2668" s="39">
        <v>2</v>
      </c>
      <c r="J2668" s="39" t="s">
        <v>1478</v>
      </c>
      <c r="K2668" s="39" t="s">
        <v>2122</v>
      </c>
      <c r="L2668" s="39" t="s">
        <v>7830</v>
      </c>
      <c r="M2668" s="39" t="s">
        <v>7831</v>
      </c>
      <c r="N2668" s="39" t="str">
        <f>("0129484")</f>
        <v>0129484</v>
      </c>
      <c r="P2668" s="39" t="s">
        <v>14109</v>
      </c>
      <c r="Q2668" s="39" t="s">
        <v>8568</v>
      </c>
      <c r="R2668" s="39" t="s">
        <v>8569</v>
      </c>
      <c r="S2668" s="39" t="s">
        <v>8570</v>
      </c>
      <c r="AK2668" s="39" t="str">
        <f>("2025/03/17")</f>
        <v>2025/03/17</v>
      </c>
      <c r="AL2668" s="39" t="str">
        <f>("2025/04/01")</f>
        <v>2025/04/01</v>
      </c>
    </row>
    <row r="2669" spans="1:39" x14ac:dyDescent="0.25">
      <c r="A2669" s="39" t="str">
        <f>("1705270011")</f>
        <v>1705270011</v>
      </c>
      <c r="C2669" s="39"/>
      <c r="D2669" s="39" t="s">
        <v>5915</v>
      </c>
      <c r="E2669" s="371" t="str">
        <f t="shared" si="197"/>
        <v>やの　かいと</v>
      </c>
      <c r="F2669" s="39" t="s">
        <v>2549</v>
      </c>
      <c r="G2669" s="39" t="s">
        <v>7828</v>
      </c>
      <c r="H2669" s="39" t="str">
        <f>("2017/05/27")</f>
        <v>2017/05/27</v>
      </c>
      <c r="I2669" s="39">
        <v>2</v>
      </c>
      <c r="J2669" s="39" t="s">
        <v>1478</v>
      </c>
      <c r="K2669" s="39" t="s">
        <v>2122</v>
      </c>
      <c r="L2669" s="39" t="s">
        <v>7830</v>
      </c>
      <c r="M2669" s="39" t="s">
        <v>7831</v>
      </c>
      <c r="N2669" s="39" t="str">
        <f>("0130688")</f>
        <v>0130688</v>
      </c>
      <c r="P2669" s="39" t="s">
        <v>14110</v>
      </c>
      <c r="Q2669" s="39" t="s">
        <v>8568</v>
      </c>
      <c r="R2669" s="39" t="s">
        <v>8569</v>
      </c>
      <c r="S2669" s="39" t="s">
        <v>8570</v>
      </c>
      <c r="AK2669" s="39" t="str">
        <f>("2025/03/17")</f>
        <v>2025/03/17</v>
      </c>
      <c r="AL2669" s="39" t="str">
        <f>("2025/04/01")</f>
        <v>2025/04/01</v>
      </c>
    </row>
    <row r="2670" spans="1:39" x14ac:dyDescent="0.25">
      <c r="A2670" s="39" t="str">
        <f>("1705280003")</f>
        <v>1705280003</v>
      </c>
      <c r="C2670" s="39"/>
      <c r="D2670" s="39" t="s">
        <v>10233</v>
      </c>
      <c r="E2670" s="371" t="str">
        <f t="shared" si="197"/>
        <v>にし　そうすけ</v>
      </c>
      <c r="F2670" s="39" t="s">
        <v>5620</v>
      </c>
      <c r="G2670" s="39" t="s">
        <v>7828</v>
      </c>
      <c r="H2670" s="39" t="str">
        <f>("2017/05/28")</f>
        <v>2017/05/28</v>
      </c>
      <c r="I2670" s="39">
        <v>2</v>
      </c>
      <c r="J2670" s="39" t="s">
        <v>1478</v>
      </c>
      <c r="K2670" s="39" t="s">
        <v>2122</v>
      </c>
      <c r="L2670" s="39" t="s">
        <v>7830</v>
      </c>
      <c r="M2670" s="39" t="s">
        <v>7831</v>
      </c>
      <c r="N2670" s="39" t="str">
        <f>("1101553")</f>
        <v>1101553</v>
      </c>
      <c r="P2670" s="39" t="s">
        <v>13843</v>
      </c>
      <c r="Q2670" s="39" t="s">
        <v>8568</v>
      </c>
      <c r="R2670" s="39" t="s">
        <v>8569</v>
      </c>
      <c r="S2670" s="39" t="s">
        <v>8570</v>
      </c>
      <c r="AK2670" s="39" t="str">
        <f>("2025/03/19")</f>
        <v>2025/03/19</v>
      </c>
      <c r="AL2670" s="39" t="str">
        <f>("2025/04/01")</f>
        <v>2025/04/01</v>
      </c>
    </row>
    <row r="2671" spans="1:39" x14ac:dyDescent="0.25">
      <c r="A2671" s="39" t="str">
        <f>("1705300056")</f>
        <v>1705300056</v>
      </c>
      <c r="C2671" s="39"/>
      <c r="D2671" s="39" t="s">
        <v>10234</v>
      </c>
      <c r="E2671" s="371" t="str">
        <f t="shared" si="197"/>
        <v>ひの　りゅうま</v>
      </c>
      <c r="F2671" s="39" t="s">
        <v>1158</v>
      </c>
      <c r="G2671" s="39" t="s">
        <v>7876</v>
      </c>
      <c r="H2671" s="39" t="str">
        <f>("2017/05/30")</f>
        <v>2017/05/30</v>
      </c>
      <c r="I2671" s="39">
        <v>2</v>
      </c>
      <c r="J2671" s="39" t="s">
        <v>1478</v>
      </c>
      <c r="K2671" s="39" t="s">
        <v>2122</v>
      </c>
      <c r="L2671" s="39" t="s">
        <v>7830</v>
      </c>
      <c r="M2671" s="39" t="s">
        <v>7831</v>
      </c>
      <c r="N2671" s="39" t="str">
        <f>("0130318")</f>
        <v>0130318</v>
      </c>
      <c r="P2671" s="39" t="s">
        <v>14111</v>
      </c>
      <c r="Q2671" s="39" t="s">
        <v>8568</v>
      </c>
      <c r="R2671" s="39" t="s">
        <v>8569</v>
      </c>
      <c r="S2671" s="39" t="s">
        <v>8570</v>
      </c>
      <c r="AK2671" s="39" t="str">
        <f>("2025/08/25")</f>
        <v>2025/08/25</v>
      </c>
      <c r="AL2671" s="39" t="str">
        <f>("2025/08/25")</f>
        <v>2025/08/25</v>
      </c>
      <c r="AM2671" s="39" t="str">
        <f>("2026/01/08")</f>
        <v>2026/01/08</v>
      </c>
    </row>
    <row r="2672" spans="1:39" x14ac:dyDescent="0.25">
      <c r="A2672" s="39" t="str">
        <f>("1705310026")</f>
        <v>1705310026</v>
      </c>
      <c r="C2672" s="39"/>
      <c r="D2672" s="39" t="s">
        <v>10235</v>
      </c>
      <c r="E2672" s="371" t="str">
        <f t="shared" si="197"/>
        <v>せき　みなと</v>
      </c>
      <c r="F2672" s="39" t="s">
        <v>4220</v>
      </c>
      <c r="G2672" s="39" t="s">
        <v>7828</v>
      </c>
      <c r="H2672" s="39" t="str">
        <f>("2017/05/31")</f>
        <v>2017/05/31</v>
      </c>
      <c r="I2672" s="39">
        <v>2</v>
      </c>
      <c r="J2672" s="39" t="s">
        <v>1478</v>
      </c>
      <c r="K2672" s="39" t="s">
        <v>2122</v>
      </c>
      <c r="L2672" s="39" t="s">
        <v>7830</v>
      </c>
      <c r="M2672" s="39" t="s">
        <v>7831</v>
      </c>
      <c r="N2672" s="39" t="str">
        <f>("0130543")</f>
        <v>0130543</v>
      </c>
      <c r="P2672" s="39" t="s">
        <v>14112</v>
      </c>
      <c r="Q2672" s="39" t="s">
        <v>8568</v>
      </c>
      <c r="R2672" s="39" t="s">
        <v>8569</v>
      </c>
      <c r="S2672" s="39" t="s">
        <v>8570</v>
      </c>
      <c r="AK2672" s="39" t="str">
        <f>("2025/03/17")</f>
        <v>2025/03/17</v>
      </c>
      <c r="AL2672" s="39" t="str">
        <f>("2025/04/01")</f>
        <v>2025/04/01</v>
      </c>
    </row>
    <row r="2673" spans="1:39" x14ac:dyDescent="0.25">
      <c r="A2673" s="39" t="str">
        <f>("1706010025")</f>
        <v>1706010025</v>
      </c>
      <c r="C2673" s="39"/>
      <c r="D2673" s="39" t="s">
        <v>10236</v>
      </c>
      <c r="E2673" s="371" t="str">
        <f t="shared" si="197"/>
        <v>さとう　ひさと</v>
      </c>
      <c r="F2673" s="39" t="s">
        <v>856</v>
      </c>
      <c r="G2673" s="39" t="s">
        <v>7828</v>
      </c>
      <c r="H2673" s="39" t="str">
        <f>("2017/06/01")</f>
        <v>2017/06/01</v>
      </c>
      <c r="I2673" s="39">
        <v>2</v>
      </c>
      <c r="J2673" s="39" t="s">
        <v>1478</v>
      </c>
      <c r="K2673" s="39" t="s">
        <v>2122</v>
      </c>
      <c r="L2673" s="39" t="s">
        <v>7830</v>
      </c>
      <c r="M2673" s="39" t="s">
        <v>7831</v>
      </c>
      <c r="N2673" s="39" t="str">
        <f>("0130149")</f>
        <v>0130149</v>
      </c>
      <c r="P2673" s="39" t="s">
        <v>14113</v>
      </c>
      <c r="Q2673" s="39" t="s">
        <v>8568</v>
      </c>
      <c r="R2673" s="39" t="s">
        <v>8569</v>
      </c>
      <c r="S2673" s="39" t="s">
        <v>8570</v>
      </c>
      <c r="AK2673" s="39" t="str">
        <f>("2025/03/25")</f>
        <v>2025/03/25</v>
      </c>
      <c r="AL2673" s="39" t="str">
        <f>("2025/04/01")</f>
        <v>2025/04/01</v>
      </c>
    </row>
    <row r="2674" spans="1:39" x14ac:dyDescent="0.25">
      <c r="A2674" s="39" t="str">
        <f>("1706020033")</f>
        <v>1706020033</v>
      </c>
      <c r="C2674" s="39"/>
      <c r="D2674" s="39" t="s">
        <v>10237</v>
      </c>
      <c r="E2674" s="371" t="str">
        <f t="shared" si="197"/>
        <v>なべしま　りく</v>
      </c>
      <c r="F2674" s="39" t="s">
        <v>1014</v>
      </c>
      <c r="G2674" s="39" t="s">
        <v>7828</v>
      </c>
      <c r="H2674" s="39" t="str">
        <f>("2017/06/02")</f>
        <v>2017/06/02</v>
      </c>
      <c r="I2674" s="39">
        <v>2</v>
      </c>
      <c r="J2674" s="39" t="s">
        <v>1478</v>
      </c>
      <c r="K2674" s="39" t="s">
        <v>2122</v>
      </c>
      <c r="L2674" s="39" t="s">
        <v>7830</v>
      </c>
      <c r="M2674" s="39" t="s">
        <v>7831</v>
      </c>
      <c r="N2674" s="39" t="str">
        <f>("0513313")</f>
        <v>0513313</v>
      </c>
      <c r="P2674" s="39" t="s">
        <v>14114</v>
      </c>
      <c r="Q2674" s="39" t="s">
        <v>8568</v>
      </c>
      <c r="R2674" s="39" t="s">
        <v>8569</v>
      </c>
      <c r="S2674" s="39" t="s">
        <v>8570</v>
      </c>
      <c r="AK2674" s="39" t="str">
        <f>("2025/04/10")</f>
        <v>2025/04/10</v>
      </c>
      <c r="AL2674" s="39" t="str">
        <f>("2025/04/10")</f>
        <v>2025/04/10</v>
      </c>
    </row>
    <row r="2675" spans="1:39" x14ac:dyDescent="0.25">
      <c r="A2675" s="39" t="str">
        <f>("1706050047")</f>
        <v>1706050047</v>
      </c>
      <c r="C2675" s="39"/>
      <c r="D2675" s="39" t="s">
        <v>10238</v>
      </c>
      <c r="E2675" s="371" t="str">
        <f t="shared" si="197"/>
        <v>きもと　わたる</v>
      </c>
      <c r="F2675" s="39" t="s">
        <v>5616</v>
      </c>
      <c r="G2675" s="39" t="s">
        <v>7828</v>
      </c>
      <c r="H2675" s="39" t="str">
        <f>("2017/06/05")</f>
        <v>2017/06/05</v>
      </c>
      <c r="I2675" s="39">
        <v>2</v>
      </c>
      <c r="J2675" s="39" t="s">
        <v>1478</v>
      </c>
      <c r="K2675" s="39" t="s">
        <v>2122</v>
      </c>
      <c r="L2675" s="39" t="s">
        <v>7830</v>
      </c>
      <c r="M2675" s="39" t="s">
        <v>7831</v>
      </c>
      <c r="N2675" s="39" t="str">
        <f>("0130385")</f>
        <v>0130385</v>
      </c>
      <c r="P2675" s="39" t="s">
        <v>14115</v>
      </c>
      <c r="Q2675" s="39" t="s">
        <v>8568</v>
      </c>
      <c r="R2675" s="39" t="s">
        <v>8569</v>
      </c>
      <c r="S2675" s="39" t="s">
        <v>8570</v>
      </c>
      <c r="AK2675" s="39" t="str">
        <f>("2026/01/05")</f>
        <v>2026/01/05</v>
      </c>
      <c r="AL2675" s="39" t="str">
        <f>("2026/01/05")</f>
        <v>2026/01/05</v>
      </c>
    </row>
    <row r="2676" spans="1:39" x14ac:dyDescent="0.25">
      <c r="A2676" s="39" t="str">
        <f>("1706090033")</f>
        <v>1706090033</v>
      </c>
      <c r="C2676" s="39"/>
      <c r="D2676" s="39" t="s">
        <v>10239</v>
      </c>
      <c r="E2676" s="371" t="str">
        <f t="shared" si="197"/>
        <v>かく　けいいち</v>
      </c>
      <c r="F2676" s="39" t="s">
        <v>2023</v>
      </c>
      <c r="G2676" s="39" t="s">
        <v>7828</v>
      </c>
      <c r="H2676" s="39" t="str">
        <f>("2017/06/09")</f>
        <v>2017/06/09</v>
      </c>
      <c r="I2676" s="39">
        <v>2</v>
      </c>
      <c r="J2676" s="39" t="s">
        <v>1478</v>
      </c>
      <c r="K2676" s="39" t="s">
        <v>2122</v>
      </c>
      <c r="L2676" s="39" t="s">
        <v>7830</v>
      </c>
      <c r="M2676" s="39" t="s">
        <v>7831</v>
      </c>
      <c r="N2676" s="39" t="str">
        <f>("0129967")</f>
        <v>0129967</v>
      </c>
      <c r="P2676" s="39" t="s">
        <v>14116</v>
      </c>
      <c r="Q2676" s="39" t="s">
        <v>8568</v>
      </c>
      <c r="R2676" s="39" t="s">
        <v>8569</v>
      </c>
      <c r="S2676" s="39" t="s">
        <v>8570</v>
      </c>
      <c r="AK2676" s="39" t="str">
        <f>("2025/10/02")</f>
        <v>2025/10/02</v>
      </c>
      <c r="AL2676" s="39" t="str">
        <f>("2025/10/02")</f>
        <v>2025/10/02</v>
      </c>
    </row>
    <row r="2677" spans="1:39" x14ac:dyDescent="0.25">
      <c r="A2677" s="39" t="str">
        <f>("1706100032")</f>
        <v>1706100032</v>
      </c>
      <c r="C2677" s="39"/>
      <c r="D2677" s="39" t="s">
        <v>10240</v>
      </c>
      <c r="E2677" s="371" t="str">
        <f t="shared" si="197"/>
        <v>おじろ　ゆう</v>
      </c>
      <c r="F2677" s="39" t="s">
        <v>2821</v>
      </c>
      <c r="G2677" s="39" t="s">
        <v>7828</v>
      </c>
      <c r="H2677" s="39" t="str">
        <f>("2017/06/10")</f>
        <v>2017/06/10</v>
      </c>
      <c r="I2677" s="39">
        <v>2</v>
      </c>
      <c r="J2677" s="39" t="s">
        <v>1478</v>
      </c>
      <c r="K2677" s="39" t="s">
        <v>2122</v>
      </c>
      <c r="L2677" s="39" t="s">
        <v>7830</v>
      </c>
      <c r="M2677" s="39" t="s">
        <v>7831</v>
      </c>
      <c r="N2677" s="39" t="str">
        <f>("0237631")</f>
        <v>0237631</v>
      </c>
      <c r="P2677" s="39" t="s">
        <v>14117</v>
      </c>
      <c r="Q2677" s="39" t="s">
        <v>8568</v>
      </c>
      <c r="R2677" s="39" t="s">
        <v>8569</v>
      </c>
      <c r="S2677" s="39" t="s">
        <v>8570</v>
      </c>
      <c r="AK2677" s="39" t="str">
        <f>("2025/07/24")</f>
        <v>2025/07/24</v>
      </c>
      <c r="AL2677" s="39" t="str">
        <f>("2025/07/24")</f>
        <v>2025/07/24</v>
      </c>
    </row>
    <row r="2678" spans="1:39" x14ac:dyDescent="0.25">
      <c r="A2678" s="39" t="str">
        <f>("1706100035")</f>
        <v>1706100035</v>
      </c>
      <c r="C2678" s="39"/>
      <c r="D2678" s="39" t="s">
        <v>10241</v>
      </c>
      <c r="E2678" s="371" t="str">
        <f t="shared" si="197"/>
        <v>たかお　ちあき</v>
      </c>
      <c r="F2678" s="39" t="s">
        <v>1968</v>
      </c>
      <c r="G2678" s="39" t="s">
        <v>7828</v>
      </c>
      <c r="H2678" s="39" t="str">
        <f>("2017/06/10")</f>
        <v>2017/06/10</v>
      </c>
      <c r="I2678" s="39">
        <v>2</v>
      </c>
      <c r="J2678" s="39" t="s">
        <v>1478</v>
      </c>
      <c r="K2678" s="39" t="s">
        <v>2122</v>
      </c>
      <c r="L2678" s="39" t="s">
        <v>7830</v>
      </c>
      <c r="M2678" s="39" t="s">
        <v>7831</v>
      </c>
      <c r="N2678" s="39" t="str">
        <f>("0129507")</f>
        <v>0129507</v>
      </c>
      <c r="P2678" s="39" t="s">
        <v>14118</v>
      </c>
      <c r="Q2678" s="39" t="s">
        <v>8568</v>
      </c>
      <c r="R2678" s="39" t="s">
        <v>8569</v>
      </c>
      <c r="S2678" s="39" t="s">
        <v>8570</v>
      </c>
      <c r="AK2678" s="39" t="str">
        <f>("2025/08/22")</f>
        <v>2025/08/22</v>
      </c>
      <c r="AL2678" s="39" t="str">
        <f>("2025/08/22")</f>
        <v>2025/08/22</v>
      </c>
    </row>
    <row r="2679" spans="1:39" x14ac:dyDescent="0.25">
      <c r="A2679" s="39" t="str">
        <f>("1706120028")</f>
        <v>1706120028</v>
      </c>
      <c r="C2679" s="39"/>
      <c r="D2679" s="39" t="s">
        <v>10242</v>
      </c>
      <c r="E2679" s="371" t="str">
        <f t="shared" si="197"/>
        <v>みやもと　あお</v>
      </c>
      <c r="F2679" s="39" t="s">
        <v>4220</v>
      </c>
      <c r="G2679" s="39" t="s">
        <v>7828</v>
      </c>
      <c r="H2679" s="39" t="str">
        <f>("2017/06/12")</f>
        <v>2017/06/12</v>
      </c>
      <c r="I2679" s="39">
        <v>2</v>
      </c>
      <c r="J2679" s="39" t="s">
        <v>1478</v>
      </c>
      <c r="K2679" s="39" t="s">
        <v>2122</v>
      </c>
      <c r="L2679" s="39" t="s">
        <v>7830</v>
      </c>
      <c r="M2679" s="39" t="s">
        <v>7831</v>
      </c>
      <c r="N2679" s="39" t="str">
        <f>("0130543")</f>
        <v>0130543</v>
      </c>
      <c r="P2679" s="39" t="s">
        <v>14119</v>
      </c>
      <c r="Q2679" s="39" t="s">
        <v>8568</v>
      </c>
      <c r="R2679" s="39" t="s">
        <v>8569</v>
      </c>
      <c r="S2679" s="39" t="s">
        <v>8570</v>
      </c>
      <c r="AK2679" s="39" t="str">
        <f>("2025/04/10")</f>
        <v>2025/04/10</v>
      </c>
      <c r="AL2679" s="39" t="str">
        <f>("2025/04/10")</f>
        <v>2025/04/10</v>
      </c>
    </row>
    <row r="2680" spans="1:39" x14ac:dyDescent="0.25">
      <c r="A2680" s="39" t="str">
        <f>("1706120037")</f>
        <v>1706120037</v>
      </c>
      <c r="C2680" s="39"/>
      <c r="D2680" s="39" t="s">
        <v>10243</v>
      </c>
      <c r="E2680" s="371" t="str">
        <f t="shared" si="197"/>
        <v>てしま　しょうのすけ</v>
      </c>
      <c r="F2680" s="39" t="s">
        <v>2821</v>
      </c>
      <c r="G2680" s="39" t="s">
        <v>7828</v>
      </c>
      <c r="H2680" s="39" t="str">
        <f>("2017/06/12")</f>
        <v>2017/06/12</v>
      </c>
      <c r="I2680" s="39">
        <v>2</v>
      </c>
      <c r="J2680" s="39" t="s">
        <v>1478</v>
      </c>
      <c r="K2680" s="39" t="s">
        <v>2122</v>
      </c>
      <c r="L2680" s="39" t="s">
        <v>7830</v>
      </c>
      <c r="M2680" s="39" t="s">
        <v>7831</v>
      </c>
      <c r="N2680" s="39" t="str">
        <f>("0237631")</f>
        <v>0237631</v>
      </c>
      <c r="P2680" s="39" t="s">
        <v>14120</v>
      </c>
      <c r="Q2680" s="39" t="s">
        <v>8568</v>
      </c>
      <c r="R2680" s="39" t="s">
        <v>8569</v>
      </c>
      <c r="S2680" s="39" t="s">
        <v>8570</v>
      </c>
      <c r="AK2680" s="39" t="str">
        <f>("2025/07/24")</f>
        <v>2025/07/24</v>
      </c>
      <c r="AL2680" s="39" t="str">
        <f>("2025/07/24")</f>
        <v>2025/07/24</v>
      </c>
    </row>
    <row r="2681" spans="1:39" x14ac:dyDescent="0.25">
      <c r="A2681" s="39" t="str">
        <f>("1706140018")</f>
        <v>1706140018</v>
      </c>
      <c r="B2681" s="39" t="s">
        <v>10244</v>
      </c>
      <c r="C2681" s="39"/>
      <c r="D2681" s="39" t="s">
        <v>10245</v>
      </c>
      <c r="E2681" s="371" t="str">
        <f t="shared" si="197"/>
        <v>こだま　そうわ</v>
      </c>
      <c r="F2681" s="39" t="s">
        <v>2516</v>
      </c>
      <c r="G2681" s="39" t="s">
        <v>7828</v>
      </c>
      <c r="H2681" s="39" t="str">
        <f>("2017/06/14")</f>
        <v>2017/06/14</v>
      </c>
      <c r="I2681" s="39">
        <v>2</v>
      </c>
      <c r="J2681" s="39" t="s">
        <v>1478</v>
      </c>
      <c r="K2681" s="39" t="s">
        <v>2122</v>
      </c>
      <c r="L2681" s="39" t="s">
        <v>7830</v>
      </c>
      <c r="M2681" s="39" t="s">
        <v>7831</v>
      </c>
      <c r="N2681" s="39" t="str">
        <f>("0130116")</f>
        <v>0130116</v>
      </c>
      <c r="P2681" s="39" t="s">
        <v>14121</v>
      </c>
      <c r="Q2681" s="39" t="s">
        <v>8568</v>
      </c>
      <c r="R2681" s="39" t="s">
        <v>8569</v>
      </c>
      <c r="S2681" s="39" t="s">
        <v>8570</v>
      </c>
      <c r="AK2681" s="39" t="str">
        <f>("2025/03/25")</f>
        <v>2025/03/25</v>
      </c>
      <c r="AL2681" s="39" t="str">
        <f>("2025/04/01")</f>
        <v>2025/04/01</v>
      </c>
    </row>
    <row r="2682" spans="1:39" x14ac:dyDescent="0.25">
      <c r="A2682" s="39" t="str">
        <f>("1706140049")</f>
        <v>1706140049</v>
      </c>
      <c r="C2682" s="39"/>
      <c r="D2682" s="39" t="s">
        <v>10246</v>
      </c>
      <c r="E2682" s="371" t="str">
        <f t="shared" si="197"/>
        <v>くろだ　ちひろ</v>
      </c>
      <c r="F2682" s="39" t="s">
        <v>1977</v>
      </c>
      <c r="G2682" s="39" t="s">
        <v>7828</v>
      </c>
      <c r="H2682" s="39" t="str">
        <f>("2017/06/14")</f>
        <v>2017/06/14</v>
      </c>
      <c r="I2682" s="39">
        <v>2</v>
      </c>
      <c r="J2682" s="39" t="s">
        <v>1478</v>
      </c>
      <c r="K2682" s="39" t="s">
        <v>2122</v>
      </c>
      <c r="L2682" s="39" t="s">
        <v>7830</v>
      </c>
      <c r="M2682" s="39" t="s">
        <v>7831</v>
      </c>
      <c r="N2682" s="39" t="str">
        <f>("0395254")</f>
        <v>0395254</v>
      </c>
      <c r="P2682" s="39" t="s">
        <v>14122</v>
      </c>
      <c r="Q2682" s="39" t="s">
        <v>8568</v>
      </c>
      <c r="R2682" s="39" t="s">
        <v>8569</v>
      </c>
      <c r="S2682" s="39" t="s">
        <v>8570</v>
      </c>
      <c r="AK2682" s="39" t="str">
        <f>("2025/08/12")</f>
        <v>2025/08/12</v>
      </c>
      <c r="AL2682" s="39" t="str">
        <f>("2025/08/12")</f>
        <v>2025/08/12</v>
      </c>
    </row>
    <row r="2683" spans="1:39" x14ac:dyDescent="0.25">
      <c r="A2683" s="39" t="str">
        <f>("1706160023")</f>
        <v>1706160023</v>
      </c>
      <c r="C2683" s="39"/>
      <c r="D2683" s="39" t="s">
        <v>10247</v>
      </c>
      <c r="E2683" s="371" t="str">
        <f t="shared" si="197"/>
        <v>やの　あらた</v>
      </c>
      <c r="F2683" s="39" t="s">
        <v>4220</v>
      </c>
      <c r="G2683" s="39" t="s">
        <v>7828</v>
      </c>
      <c r="H2683" s="39" t="str">
        <f>("2017/06/16")</f>
        <v>2017/06/16</v>
      </c>
      <c r="I2683" s="39">
        <v>2</v>
      </c>
      <c r="J2683" s="39" t="s">
        <v>1478</v>
      </c>
      <c r="K2683" s="39" t="s">
        <v>2122</v>
      </c>
      <c r="L2683" s="39" t="s">
        <v>7830</v>
      </c>
      <c r="M2683" s="39" t="s">
        <v>7831</v>
      </c>
      <c r="N2683" s="39" t="str">
        <f>("0130543")</f>
        <v>0130543</v>
      </c>
      <c r="P2683" s="39" t="s">
        <v>14123</v>
      </c>
      <c r="Q2683" s="39" t="s">
        <v>8568</v>
      </c>
      <c r="R2683" s="39" t="s">
        <v>8569</v>
      </c>
      <c r="S2683" s="39" t="s">
        <v>8570</v>
      </c>
      <c r="AK2683" s="39" t="str">
        <f>("2025/03/17")</f>
        <v>2025/03/17</v>
      </c>
      <c r="AL2683" s="39" t="str">
        <f>("2025/04/01")</f>
        <v>2025/04/01</v>
      </c>
    </row>
    <row r="2684" spans="1:39" x14ac:dyDescent="0.25">
      <c r="A2684" s="39" t="str">
        <f>("1706170027")</f>
        <v>1706170027</v>
      </c>
      <c r="C2684" s="39"/>
      <c r="D2684" s="39" t="s">
        <v>10248</v>
      </c>
      <c r="E2684" s="371" t="str">
        <f t="shared" si="197"/>
        <v>かめい　こうま</v>
      </c>
      <c r="F2684" s="39" t="s">
        <v>1082</v>
      </c>
      <c r="G2684" s="39" t="s">
        <v>7828</v>
      </c>
      <c r="H2684" s="39" t="str">
        <f>("2017/06/17")</f>
        <v>2017/06/17</v>
      </c>
      <c r="I2684" s="39">
        <v>2</v>
      </c>
      <c r="J2684" s="39" t="s">
        <v>1478</v>
      </c>
      <c r="K2684" s="39" t="s">
        <v>2122</v>
      </c>
      <c r="L2684" s="39" t="s">
        <v>7830</v>
      </c>
      <c r="M2684" s="39" t="s">
        <v>7831</v>
      </c>
      <c r="N2684" s="39" t="str">
        <f>("0450009")</f>
        <v>0450009</v>
      </c>
      <c r="P2684" s="39" t="s">
        <v>14124</v>
      </c>
      <c r="Q2684" s="39" t="s">
        <v>8568</v>
      </c>
      <c r="R2684" s="39" t="s">
        <v>8569</v>
      </c>
      <c r="S2684" s="39" t="s">
        <v>8570</v>
      </c>
      <c r="AK2684" s="39" t="str">
        <f>("2025/07/09")</f>
        <v>2025/07/09</v>
      </c>
      <c r="AL2684" s="39" t="str">
        <f>("2025/07/09")</f>
        <v>2025/07/09</v>
      </c>
    </row>
    <row r="2685" spans="1:39" x14ac:dyDescent="0.25">
      <c r="A2685" s="39" t="str">
        <f>("1706190035")</f>
        <v>1706190035</v>
      </c>
      <c r="C2685" s="39"/>
      <c r="D2685" s="39" t="s">
        <v>10249</v>
      </c>
      <c r="E2685" s="371" t="str">
        <f t="shared" si="197"/>
        <v>たなか　しゅうと</v>
      </c>
      <c r="F2685" s="39" t="s">
        <v>3867</v>
      </c>
      <c r="G2685" s="39" t="s">
        <v>7828</v>
      </c>
      <c r="H2685" s="39" t="str">
        <f>("2016/06/19")</f>
        <v>2016/06/19</v>
      </c>
      <c r="I2685" s="39">
        <v>3</v>
      </c>
      <c r="J2685" s="39" t="s">
        <v>1478</v>
      </c>
      <c r="K2685" s="39" t="s">
        <v>2122</v>
      </c>
      <c r="L2685" s="39" t="s">
        <v>7830</v>
      </c>
      <c r="M2685" s="39" t="s">
        <v>7831</v>
      </c>
      <c r="N2685" s="39" t="str">
        <f>("0129990")</f>
        <v>0129990</v>
      </c>
      <c r="P2685" s="39" t="s">
        <v>14125</v>
      </c>
      <c r="Q2685" s="39" t="s">
        <v>8568</v>
      </c>
      <c r="R2685" s="39" t="s">
        <v>8569</v>
      </c>
      <c r="S2685" s="39" t="s">
        <v>8570</v>
      </c>
      <c r="AK2685" s="39" t="str">
        <f>("2025/04/01")</f>
        <v>2025/04/01</v>
      </c>
      <c r="AL2685" s="39" t="str">
        <f>("2025/04/01")</f>
        <v>2025/04/01</v>
      </c>
      <c r="AM2685" s="39" t="str">
        <f>("2025/04/08")</f>
        <v>2025/04/08</v>
      </c>
    </row>
    <row r="2686" spans="1:39" x14ac:dyDescent="0.25">
      <c r="A2686" s="39" t="str">
        <f>("1706210004")</f>
        <v>1706210004</v>
      </c>
      <c r="C2686" s="39"/>
      <c r="D2686" s="39" t="s">
        <v>10250</v>
      </c>
      <c r="E2686" s="371" t="str">
        <f t="shared" si="197"/>
        <v>くろだ　りゅうのすけ</v>
      </c>
      <c r="F2686" s="39" t="s">
        <v>156</v>
      </c>
      <c r="G2686" s="39" t="s">
        <v>7828</v>
      </c>
      <c r="H2686" s="39" t="str">
        <f>("2017/06/21")</f>
        <v>2017/06/21</v>
      </c>
      <c r="I2686" s="39">
        <v>2</v>
      </c>
      <c r="J2686" s="39" t="s">
        <v>1478</v>
      </c>
      <c r="K2686" s="39" t="s">
        <v>2122</v>
      </c>
      <c r="L2686" s="39" t="s">
        <v>7830</v>
      </c>
      <c r="M2686" s="39" t="s">
        <v>7831</v>
      </c>
      <c r="N2686" s="39" t="str">
        <f>("0130037")</f>
        <v>0130037</v>
      </c>
      <c r="P2686" s="39" t="s">
        <v>14126</v>
      </c>
      <c r="Q2686" s="39" t="s">
        <v>8568</v>
      </c>
      <c r="R2686" s="39" t="s">
        <v>8569</v>
      </c>
      <c r="S2686" s="39" t="s">
        <v>8570</v>
      </c>
      <c r="AK2686" s="39" t="str">
        <f>("2025/03/17")</f>
        <v>2025/03/17</v>
      </c>
      <c r="AL2686" s="39" t="str">
        <f>("2025/04/01")</f>
        <v>2025/04/01</v>
      </c>
    </row>
    <row r="2687" spans="1:39" x14ac:dyDescent="0.25">
      <c r="A2687" s="39" t="str">
        <f>("1706210019")</f>
        <v>1706210019</v>
      </c>
      <c r="C2687" s="39"/>
      <c r="D2687" s="39" t="s">
        <v>10251</v>
      </c>
      <c r="E2687" s="371" t="str">
        <f t="shared" si="197"/>
        <v>かじわら　なぎさ</v>
      </c>
      <c r="F2687" s="39" t="s">
        <v>2544</v>
      </c>
      <c r="G2687" s="39" t="s">
        <v>7828</v>
      </c>
      <c r="H2687" s="39" t="str">
        <f>("2017/06/21")</f>
        <v>2017/06/21</v>
      </c>
      <c r="I2687" s="39">
        <v>2</v>
      </c>
      <c r="J2687" s="39" t="s">
        <v>1478</v>
      </c>
      <c r="K2687" s="39" t="s">
        <v>2122</v>
      </c>
      <c r="L2687" s="39" t="s">
        <v>7830</v>
      </c>
      <c r="M2687" s="39" t="s">
        <v>7831</v>
      </c>
      <c r="N2687" s="39" t="str">
        <f>("0130644")</f>
        <v>0130644</v>
      </c>
      <c r="P2687" s="39" t="s">
        <v>14127</v>
      </c>
      <c r="Q2687" s="39" t="s">
        <v>8568</v>
      </c>
      <c r="R2687" s="39" t="s">
        <v>8569</v>
      </c>
      <c r="S2687" s="39" t="s">
        <v>8570</v>
      </c>
      <c r="AK2687" s="39" t="str">
        <f>("2025/03/17")</f>
        <v>2025/03/17</v>
      </c>
      <c r="AL2687" s="39" t="str">
        <f>("2025/04/01")</f>
        <v>2025/04/01</v>
      </c>
    </row>
    <row r="2688" spans="1:39" x14ac:dyDescent="0.25">
      <c r="A2688" s="39" t="str">
        <f>("1706250024")</f>
        <v>1706250024</v>
      </c>
      <c r="C2688" s="39"/>
      <c r="D2688" s="39" t="s">
        <v>10252</v>
      </c>
      <c r="E2688" s="371" t="str">
        <f t="shared" si="197"/>
        <v>まえだ　すばる</v>
      </c>
      <c r="F2688" s="39" t="s">
        <v>2324</v>
      </c>
      <c r="G2688" s="39" t="s">
        <v>7828</v>
      </c>
      <c r="H2688" s="39" t="str">
        <f>("2017/06/25")</f>
        <v>2017/06/25</v>
      </c>
      <c r="I2688" s="39">
        <v>2</v>
      </c>
      <c r="J2688" s="39" t="s">
        <v>1478</v>
      </c>
      <c r="K2688" s="39" t="s">
        <v>2122</v>
      </c>
      <c r="L2688" s="39" t="s">
        <v>7830</v>
      </c>
      <c r="M2688" s="39" t="s">
        <v>7831</v>
      </c>
      <c r="N2688" s="39" t="str">
        <f>("0130486")</f>
        <v>0130486</v>
      </c>
      <c r="P2688" s="39" t="s">
        <v>14128</v>
      </c>
      <c r="Q2688" s="39" t="s">
        <v>8568</v>
      </c>
      <c r="R2688" s="39" t="s">
        <v>8569</v>
      </c>
      <c r="S2688" s="39" t="s">
        <v>8570</v>
      </c>
      <c r="AK2688" s="39" t="str">
        <f>("2025/03/24")</f>
        <v>2025/03/24</v>
      </c>
      <c r="AL2688" s="39" t="str">
        <f>("2025/04/01")</f>
        <v>2025/04/01</v>
      </c>
    </row>
    <row r="2689" spans="1:38" x14ac:dyDescent="0.25">
      <c r="A2689" s="39" t="str">
        <f>("1706280046")</f>
        <v>1706280046</v>
      </c>
      <c r="C2689" s="39"/>
      <c r="D2689" s="39" t="s">
        <v>10253</v>
      </c>
      <c r="E2689" s="371" t="str">
        <f t="shared" si="197"/>
        <v>わだ　えいた</v>
      </c>
      <c r="F2689" s="39" t="s">
        <v>2530</v>
      </c>
      <c r="G2689" s="39" t="s">
        <v>7828</v>
      </c>
      <c r="H2689" s="39" t="str">
        <f>("2017/06/28")</f>
        <v>2017/06/28</v>
      </c>
      <c r="I2689" s="39">
        <v>2</v>
      </c>
      <c r="J2689" s="39" t="s">
        <v>1478</v>
      </c>
      <c r="K2689" s="39" t="s">
        <v>2122</v>
      </c>
      <c r="L2689" s="39" t="s">
        <v>7830</v>
      </c>
      <c r="M2689" s="39" t="s">
        <v>7831</v>
      </c>
      <c r="N2689" s="39" t="str">
        <f>("0338756")</f>
        <v>0338756</v>
      </c>
      <c r="P2689" s="39" t="s">
        <v>13881</v>
      </c>
      <c r="Q2689" s="39" t="s">
        <v>8568</v>
      </c>
      <c r="R2689" s="39" t="s">
        <v>8569</v>
      </c>
      <c r="S2689" s="39" t="s">
        <v>8570</v>
      </c>
      <c r="AK2689" s="39" t="str">
        <f>("2025/10/10")</f>
        <v>2025/10/10</v>
      </c>
      <c r="AL2689" s="39" t="str">
        <f>("2025/10/10")</f>
        <v>2025/10/10</v>
      </c>
    </row>
    <row r="2690" spans="1:38" x14ac:dyDescent="0.25">
      <c r="A2690" s="39" t="str">
        <f>("1706290001")</f>
        <v>1706290001</v>
      </c>
      <c r="C2690" s="39"/>
      <c r="D2690" s="39" t="s">
        <v>10254</v>
      </c>
      <c r="E2690" s="371" t="str">
        <f t="shared" si="197"/>
        <v>あかぼし　そうき</v>
      </c>
      <c r="F2690" s="39" t="s">
        <v>2324</v>
      </c>
      <c r="G2690" s="39" t="s">
        <v>7828</v>
      </c>
      <c r="H2690" s="39" t="str">
        <f>("2017/06/29")</f>
        <v>2017/06/29</v>
      </c>
      <c r="I2690" s="39">
        <v>2</v>
      </c>
      <c r="J2690" s="39" t="s">
        <v>1478</v>
      </c>
      <c r="K2690" s="39" t="s">
        <v>2122</v>
      </c>
      <c r="L2690" s="39" t="s">
        <v>7830</v>
      </c>
      <c r="M2690" s="39" t="s">
        <v>7831</v>
      </c>
      <c r="N2690" s="39" t="str">
        <f>("0130486")</f>
        <v>0130486</v>
      </c>
      <c r="P2690" s="39" t="s">
        <v>14129</v>
      </c>
      <c r="Q2690" s="39" t="s">
        <v>8568</v>
      </c>
      <c r="R2690" s="39" t="s">
        <v>8569</v>
      </c>
      <c r="S2690" s="39" t="s">
        <v>8570</v>
      </c>
      <c r="AA2690" s="39" t="s">
        <v>2122</v>
      </c>
      <c r="AB2690" s="39" t="s">
        <v>7830</v>
      </c>
      <c r="AC2690" s="39" t="s">
        <v>7831</v>
      </c>
      <c r="AD2690" s="39" t="str">
        <f>("0452911")</f>
        <v>0452911</v>
      </c>
      <c r="AE2690" s="39" t="s">
        <v>8032</v>
      </c>
      <c r="AK2690" s="39" t="str">
        <f>("2025/04/18")</f>
        <v>2025/04/18</v>
      </c>
      <c r="AL2690" s="39" t="str">
        <f>("2025/04/18")</f>
        <v>2025/04/18</v>
      </c>
    </row>
    <row r="2691" spans="1:38" x14ac:dyDescent="0.25">
      <c r="A2691" s="39" t="str">
        <f>("1706300011")</f>
        <v>1706300011</v>
      </c>
      <c r="C2691" s="39"/>
      <c r="D2691" s="39" t="s">
        <v>10255</v>
      </c>
      <c r="E2691" s="371" t="str">
        <f t="shared" ref="E2691:E2754" si="199">PHONETIC(P2691)</f>
        <v>ふるた　いおり</v>
      </c>
      <c r="F2691" s="39" t="s">
        <v>2544</v>
      </c>
      <c r="G2691" s="39" t="s">
        <v>7828</v>
      </c>
      <c r="H2691" s="39" t="str">
        <f>("2017/06/30")</f>
        <v>2017/06/30</v>
      </c>
      <c r="I2691" s="39">
        <v>2</v>
      </c>
      <c r="J2691" s="39" t="s">
        <v>1478</v>
      </c>
      <c r="K2691" s="39" t="s">
        <v>2122</v>
      </c>
      <c r="L2691" s="39" t="s">
        <v>7830</v>
      </c>
      <c r="M2691" s="39" t="s">
        <v>7831</v>
      </c>
      <c r="N2691" s="39" t="str">
        <f>("0130644")</f>
        <v>0130644</v>
      </c>
      <c r="P2691" s="39" t="s">
        <v>14130</v>
      </c>
      <c r="Q2691" s="39" t="s">
        <v>8568</v>
      </c>
      <c r="R2691" s="39" t="s">
        <v>8569</v>
      </c>
      <c r="S2691" s="39" t="s">
        <v>8570</v>
      </c>
      <c r="AK2691" s="39" t="str">
        <f>("2025/03/17")</f>
        <v>2025/03/17</v>
      </c>
      <c r="AL2691" s="39" t="str">
        <f>("2025/04/01")</f>
        <v>2025/04/01</v>
      </c>
    </row>
    <row r="2692" spans="1:38" x14ac:dyDescent="0.25">
      <c r="A2692" s="39" t="str">
        <f>("1707060040")</f>
        <v>1707060040</v>
      </c>
      <c r="C2692" s="39"/>
      <c r="D2692" s="39" t="s">
        <v>10256</v>
      </c>
      <c r="E2692" s="371" t="str">
        <f t="shared" si="199"/>
        <v>おかみ　よしと</v>
      </c>
      <c r="F2692" s="39" t="s">
        <v>3104</v>
      </c>
      <c r="G2692" s="39" t="s">
        <v>7828</v>
      </c>
      <c r="H2692" s="39" t="str">
        <f>("2017/07/06")</f>
        <v>2017/07/06</v>
      </c>
      <c r="I2692" s="39">
        <v>2</v>
      </c>
      <c r="J2692" s="39" t="s">
        <v>1478</v>
      </c>
      <c r="K2692" s="39" t="s">
        <v>2122</v>
      </c>
      <c r="L2692" s="39" t="s">
        <v>7830</v>
      </c>
      <c r="M2692" s="39" t="s">
        <v>7831</v>
      </c>
      <c r="N2692" s="39" t="str">
        <f>("1076189")</f>
        <v>1076189</v>
      </c>
      <c r="P2692" s="39" t="s">
        <v>14131</v>
      </c>
      <c r="Q2692" s="39" t="s">
        <v>8568</v>
      </c>
      <c r="R2692" s="39" t="s">
        <v>8569</v>
      </c>
      <c r="S2692" s="39" t="s">
        <v>8570</v>
      </c>
      <c r="AK2692" s="39" t="str">
        <f>("2025/03/24")</f>
        <v>2025/03/24</v>
      </c>
      <c r="AL2692" s="39" t="str">
        <f>("2025/04/01")</f>
        <v>2025/04/01</v>
      </c>
    </row>
    <row r="2693" spans="1:38" x14ac:dyDescent="0.25">
      <c r="A2693" s="39" t="str">
        <f>("1707060053")</f>
        <v>1707060053</v>
      </c>
      <c r="C2693" s="39"/>
      <c r="D2693" s="39" t="s">
        <v>10257</v>
      </c>
      <c r="E2693" s="371" t="str">
        <f t="shared" si="199"/>
        <v>さがら　けんしん</v>
      </c>
      <c r="F2693" s="39" t="s">
        <v>2918</v>
      </c>
      <c r="G2693" s="39" t="s">
        <v>7828</v>
      </c>
      <c r="H2693" s="39" t="str">
        <f>("2017/07/06")</f>
        <v>2017/07/06</v>
      </c>
      <c r="I2693" s="39">
        <v>2</v>
      </c>
      <c r="J2693" s="39" t="s">
        <v>1478</v>
      </c>
      <c r="K2693" s="39" t="s">
        <v>2122</v>
      </c>
      <c r="L2693" s="39" t="s">
        <v>7830</v>
      </c>
      <c r="M2693" s="39" t="s">
        <v>7831</v>
      </c>
      <c r="N2693" s="39" t="str">
        <f>("0129912")</f>
        <v>0129912</v>
      </c>
      <c r="P2693" s="39" t="s">
        <v>14132</v>
      </c>
      <c r="Q2693" s="39" t="s">
        <v>8568</v>
      </c>
      <c r="R2693" s="39" t="s">
        <v>8569</v>
      </c>
      <c r="S2693" s="39" t="s">
        <v>8570</v>
      </c>
      <c r="AK2693" s="39" t="str">
        <f>("2025/07/17")</f>
        <v>2025/07/17</v>
      </c>
      <c r="AL2693" s="39" t="str">
        <f>("2025/07/17")</f>
        <v>2025/07/17</v>
      </c>
    </row>
    <row r="2694" spans="1:38" x14ac:dyDescent="0.25">
      <c r="A2694" s="39" t="str">
        <f>("1707070039")</f>
        <v>1707070039</v>
      </c>
      <c r="C2694" s="39"/>
      <c r="D2694" s="39" t="s">
        <v>10258</v>
      </c>
      <c r="E2694" s="371" t="str">
        <f t="shared" si="199"/>
        <v>なかの　ななと</v>
      </c>
      <c r="F2694" s="39" t="s">
        <v>2651</v>
      </c>
      <c r="G2694" s="39" t="s">
        <v>7828</v>
      </c>
      <c r="H2694" s="39" t="str">
        <f>("2017/07/07")</f>
        <v>2017/07/07</v>
      </c>
      <c r="I2694" s="39">
        <v>2</v>
      </c>
      <c r="J2694" s="39" t="s">
        <v>1478</v>
      </c>
      <c r="K2694" s="39" t="s">
        <v>2122</v>
      </c>
      <c r="L2694" s="39" t="s">
        <v>7830</v>
      </c>
      <c r="M2694" s="39" t="s">
        <v>7831</v>
      </c>
      <c r="N2694" s="39" t="str">
        <f>("1067415")</f>
        <v>1067415</v>
      </c>
      <c r="P2694" s="39" t="s">
        <v>14133</v>
      </c>
      <c r="Q2694" s="39" t="s">
        <v>8568</v>
      </c>
      <c r="R2694" s="39" t="s">
        <v>8569</v>
      </c>
      <c r="S2694" s="39" t="s">
        <v>8570</v>
      </c>
      <c r="AK2694" s="39" t="str">
        <f>("2025/09/04")</f>
        <v>2025/09/04</v>
      </c>
      <c r="AL2694" s="39" t="str">
        <f>("2025/09/04")</f>
        <v>2025/09/04</v>
      </c>
    </row>
    <row r="2695" spans="1:38" x14ac:dyDescent="0.25">
      <c r="A2695" s="39" t="str">
        <f>("1707080023")</f>
        <v>1707080023</v>
      </c>
      <c r="C2695" s="39"/>
      <c r="D2695" s="39" t="s">
        <v>10259</v>
      </c>
      <c r="E2695" s="371" t="str">
        <f t="shared" si="199"/>
        <v>ほんじょう　きょうま</v>
      </c>
      <c r="F2695" s="39" t="s">
        <v>2549</v>
      </c>
      <c r="G2695" s="39" t="s">
        <v>7828</v>
      </c>
      <c r="H2695" s="39" t="str">
        <f>("2017/07/08")</f>
        <v>2017/07/08</v>
      </c>
      <c r="I2695" s="39">
        <v>2</v>
      </c>
      <c r="J2695" s="39" t="s">
        <v>1478</v>
      </c>
      <c r="K2695" s="39" t="s">
        <v>2122</v>
      </c>
      <c r="L2695" s="39" t="s">
        <v>7830</v>
      </c>
      <c r="M2695" s="39" t="s">
        <v>7831</v>
      </c>
      <c r="N2695" s="39" t="str">
        <f>("0130688")</f>
        <v>0130688</v>
      </c>
      <c r="P2695" s="39" t="s">
        <v>14134</v>
      </c>
      <c r="Q2695" s="39" t="s">
        <v>8568</v>
      </c>
      <c r="R2695" s="39" t="s">
        <v>8569</v>
      </c>
      <c r="S2695" s="39" t="s">
        <v>8570</v>
      </c>
      <c r="AK2695" s="39" t="str">
        <f>("2025/03/24")</f>
        <v>2025/03/24</v>
      </c>
      <c r="AL2695" s="39" t="str">
        <f>("2025/04/01")</f>
        <v>2025/04/01</v>
      </c>
    </row>
    <row r="2696" spans="1:38" x14ac:dyDescent="0.25">
      <c r="A2696" s="39" t="str">
        <f>("1707130003")</f>
        <v>1707130003</v>
      </c>
      <c r="C2696" s="39"/>
      <c r="D2696" s="39" t="s">
        <v>10260</v>
      </c>
      <c r="E2696" s="371" t="str">
        <f t="shared" si="199"/>
        <v>おおえ　みなと</v>
      </c>
      <c r="F2696" s="39" t="s">
        <v>2299</v>
      </c>
      <c r="G2696" s="39" t="s">
        <v>7828</v>
      </c>
      <c r="H2696" s="39" t="str">
        <f>("2017/07/13")</f>
        <v>2017/07/13</v>
      </c>
      <c r="I2696" s="39">
        <v>2</v>
      </c>
      <c r="J2696" s="39" t="s">
        <v>1478</v>
      </c>
      <c r="K2696" s="39" t="s">
        <v>2122</v>
      </c>
      <c r="L2696" s="39" t="s">
        <v>7830</v>
      </c>
      <c r="M2696" s="39" t="s">
        <v>7831</v>
      </c>
      <c r="N2696" s="39" t="str">
        <f>("1066647")</f>
        <v>1066647</v>
      </c>
      <c r="P2696" s="39" t="s">
        <v>14135</v>
      </c>
      <c r="Q2696" s="39" t="s">
        <v>8568</v>
      </c>
      <c r="R2696" s="39" t="s">
        <v>8569</v>
      </c>
      <c r="S2696" s="39" t="s">
        <v>8570</v>
      </c>
      <c r="AK2696" s="39" t="str">
        <f>("2025/03/21")</f>
        <v>2025/03/21</v>
      </c>
      <c r="AL2696" s="39" t="str">
        <f>("2025/04/01")</f>
        <v>2025/04/01</v>
      </c>
    </row>
    <row r="2697" spans="1:38" x14ac:dyDescent="0.25">
      <c r="A2697" s="39" t="str">
        <f>("1707160024")</f>
        <v>1707160024</v>
      </c>
      <c r="C2697" s="39"/>
      <c r="D2697" s="39" t="s">
        <v>10261</v>
      </c>
      <c r="E2697" s="371" t="str">
        <f t="shared" si="199"/>
        <v>ふじわら　わか</v>
      </c>
      <c r="F2697" s="39" t="s">
        <v>2584</v>
      </c>
      <c r="G2697" s="39" t="s">
        <v>7828</v>
      </c>
      <c r="H2697" s="39" t="str">
        <f>("2017/07/16")</f>
        <v>2017/07/16</v>
      </c>
      <c r="I2697" s="39">
        <v>2</v>
      </c>
      <c r="J2697" s="39" t="s">
        <v>1480</v>
      </c>
      <c r="K2697" s="39" t="s">
        <v>2122</v>
      </c>
      <c r="L2697" s="39" t="s">
        <v>7830</v>
      </c>
      <c r="M2697" s="39" t="s">
        <v>7831</v>
      </c>
      <c r="N2697" s="39" t="str">
        <f>("0374071")</f>
        <v>0374071</v>
      </c>
      <c r="P2697" s="39" t="s">
        <v>14136</v>
      </c>
      <c r="Q2697" s="39" t="s">
        <v>8568</v>
      </c>
      <c r="R2697" s="39" t="s">
        <v>8569</v>
      </c>
      <c r="S2697" s="39" t="s">
        <v>8570</v>
      </c>
      <c r="AK2697" s="39" t="str">
        <f>("2025/03/17")</f>
        <v>2025/03/17</v>
      </c>
      <c r="AL2697" s="39" t="str">
        <f>("2025/04/01")</f>
        <v>2025/04/01</v>
      </c>
    </row>
    <row r="2698" spans="1:38" x14ac:dyDescent="0.25">
      <c r="A2698" s="39" t="str">
        <f>("1707160044")</f>
        <v>1707160044</v>
      </c>
      <c r="C2698" s="39"/>
      <c r="D2698" s="39" t="s">
        <v>10262</v>
      </c>
      <c r="E2698" s="371" t="str">
        <f t="shared" si="199"/>
        <v>きたがわ　きいち</v>
      </c>
      <c r="F2698" s="39" t="s">
        <v>2299</v>
      </c>
      <c r="G2698" s="39" t="s">
        <v>7828</v>
      </c>
      <c r="H2698" s="39" t="str">
        <f>("2017/07/16")</f>
        <v>2017/07/16</v>
      </c>
      <c r="I2698" s="39">
        <v>2</v>
      </c>
      <c r="J2698" s="39" t="s">
        <v>1478</v>
      </c>
      <c r="K2698" s="39" t="s">
        <v>2122</v>
      </c>
      <c r="L2698" s="39" t="s">
        <v>7830</v>
      </c>
      <c r="M2698" s="39" t="s">
        <v>7831</v>
      </c>
      <c r="N2698" s="39" t="str">
        <f>("1066647")</f>
        <v>1066647</v>
      </c>
      <c r="P2698" s="39" t="s">
        <v>14137</v>
      </c>
      <c r="Q2698" s="39" t="s">
        <v>8568</v>
      </c>
      <c r="R2698" s="39" t="s">
        <v>8569</v>
      </c>
      <c r="S2698" s="39" t="s">
        <v>8570</v>
      </c>
      <c r="AK2698" s="39" t="str">
        <f>("2025/12/05")</f>
        <v>2025/12/05</v>
      </c>
      <c r="AL2698" s="39" t="str">
        <f>("2025/12/05")</f>
        <v>2025/12/05</v>
      </c>
    </row>
    <row r="2699" spans="1:38" x14ac:dyDescent="0.25">
      <c r="A2699" s="39" t="str">
        <f>("1707180032")</f>
        <v>1707180032</v>
      </c>
      <c r="C2699" s="39"/>
      <c r="D2699" s="39" t="s">
        <v>10263</v>
      </c>
      <c r="E2699" s="371" t="str">
        <f t="shared" si="199"/>
        <v>はしもと　かい</v>
      </c>
      <c r="F2699" s="39" t="s">
        <v>2139</v>
      </c>
      <c r="G2699" s="39" t="s">
        <v>7828</v>
      </c>
      <c r="H2699" s="39" t="str">
        <f>("2017/07/18")</f>
        <v>2017/07/18</v>
      </c>
      <c r="I2699" s="39">
        <v>2</v>
      </c>
      <c r="J2699" s="39" t="s">
        <v>1478</v>
      </c>
      <c r="K2699" s="39" t="s">
        <v>2122</v>
      </c>
      <c r="L2699" s="39" t="s">
        <v>7830</v>
      </c>
      <c r="M2699" s="39" t="s">
        <v>7831</v>
      </c>
      <c r="N2699" s="39" t="str">
        <f>("0129798")</f>
        <v>0129798</v>
      </c>
      <c r="P2699" s="39" t="s">
        <v>14138</v>
      </c>
      <c r="Q2699" s="39" t="s">
        <v>8568</v>
      </c>
      <c r="R2699" s="39" t="s">
        <v>8569</v>
      </c>
      <c r="S2699" s="39" t="s">
        <v>8570</v>
      </c>
      <c r="AK2699" s="39" t="str">
        <f>("2025/03/27")</f>
        <v>2025/03/27</v>
      </c>
      <c r="AL2699" s="39" t="str">
        <f>("2025/04/01")</f>
        <v>2025/04/01</v>
      </c>
    </row>
    <row r="2700" spans="1:38" x14ac:dyDescent="0.25">
      <c r="A2700" s="39" t="str">
        <f>("1707200008")</f>
        <v>1707200008</v>
      </c>
      <c r="B2700" s="39" t="s">
        <v>10264</v>
      </c>
      <c r="C2700" s="39"/>
      <c r="D2700" s="39" t="s">
        <v>10265</v>
      </c>
      <c r="E2700" s="371" t="str">
        <f t="shared" si="199"/>
        <v>あおの　まさひろ</v>
      </c>
      <c r="F2700" s="39" t="s">
        <v>1912</v>
      </c>
      <c r="G2700" s="39" t="s">
        <v>7828</v>
      </c>
      <c r="H2700" s="39" t="str">
        <f>("2017/07/20")</f>
        <v>2017/07/20</v>
      </c>
      <c r="I2700" s="39">
        <v>2</v>
      </c>
      <c r="J2700" s="39" t="s">
        <v>1478</v>
      </c>
      <c r="K2700" s="39" t="s">
        <v>2122</v>
      </c>
      <c r="L2700" s="39" t="s">
        <v>7830</v>
      </c>
      <c r="M2700" s="39" t="s">
        <v>7831</v>
      </c>
      <c r="N2700" s="39" t="str">
        <f>("0130363")</f>
        <v>0130363</v>
      </c>
      <c r="P2700" s="39" t="s">
        <v>14139</v>
      </c>
      <c r="Q2700" s="39" t="s">
        <v>8568</v>
      </c>
      <c r="R2700" s="39" t="s">
        <v>8569</v>
      </c>
      <c r="S2700" s="39" t="s">
        <v>8570</v>
      </c>
      <c r="AK2700" s="39" t="str">
        <f>("2025/03/17")</f>
        <v>2025/03/17</v>
      </c>
      <c r="AL2700" s="39" t="str">
        <f>("2025/04/01")</f>
        <v>2025/04/01</v>
      </c>
    </row>
    <row r="2701" spans="1:38" x14ac:dyDescent="0.25">
      <c r="A2701" s="39" t="str">
        <f>("1707200010")</f>
        <v>1707200010</v>
      </c>
      <c r="B2701" s="39" t="s">
        <v>10266</v>
      </c>
      <c r="C2701" s="39"/>
      <c r="D2701" s="39" t="s">
        <v>10267</v>
      </c>
      <c r="E2701" s="371" t="str">
        <f t="shared" si="199"/>
        <v>かつらぎ　なぎさ</v>
      </c>
      <c r="F2701" s="39" t="s">
        <v>1912</v>
      </c>
      <c r="G2701" s="39" t="s">
        <v>7828</v>
      </c>
      <c r="H2701" s="39" t="str">
        <f>("2017/07/20")</f>
        <v>2017/07/20</v>
      </c>
      <c r="I2701" s="39">
        <v>2</v>
      </c>
      <c r="J2701" s="39" t="s">
        <v>1478</v>
      </c>
      <c r="K2701" s="39" t="s">
        <v>2122</v>
      </c>
      <c r="L2701" s="39" t="s">
        <v>7830</v>
      </c>
      <c r="M2701" s="39" t="s">
        <v>7831</v>
      </c>
      <c r="N2701" s="39" t="str">
        <f>("0130363")</f>
        <v>0130363</v>
      </c>
      <c r="P2701" s="39" t="s">
        <v>14140</v>
      </c>
      <c r="Q2701" s="39" t="s">
        <v>8568</v>
      </c>
      <c r="R2701" s="39" t="s">
        <v>8569</v>
      </c>
      <c r="S2701" s="39" t="s">
        <v>8570</v>
      </c>
      <c r="AK2701" s="39" t="str">
        <f>("2025/03/17")</f>
        <v>2025/03/17</v>
      </c>
      <c r="AL2701" s="39" t="str">
        <f>("2025/04/01")</f>
        <v>2025/04/01</v>
      </c>
    </row>
    <row r="2702" spans="1:38" x14ac:dyDescent="0.25">
      <c r="A2702" s="39" t="str">
        <f>("1707220038")</f>
        <v>1707220038</v>
      </c>
      <c r="C2702" s="39"/>
      <c r="D2702" s="39" t="s">
        <v>10268</v>
      </c>
      <c r="E2702" s="371" t="str">
        <f t="shared" si="199"/>
        <v>ひろせ　こたろう</v>
      </c>
      <c r="F2702" s="39" t="s">
        <v>1977</v>
      </c>
      <c r="G2702" s="39" t="s">
        <v>7828</v>
      </c>
      <c r="H2702" s="39" t="str">
        <f>("2017/07/22")</f>
        <v>2017/07/22</v>
      </c>
      <c r="I2702" s="39">
        <v>2</v>
      </c>
      <c r="J2702" s="39" t="s">
        <v>1478</v>
      </c>
      <c r="K2702" s="39" t="s">
        <v>2122</v>
      </c>
      <c r="L2702" s="39" t="s">
        <v>7830</v>
      </c>
      <c r="M2702" s="39" t="s">
        <v>7831</v>
      </c>
      <c r="N2702" s="39" t="str">
        <f>("0395254")</f>
        <v>0395254</v>
      </c>
      <c r="P2702" s="39" t="s">
        <v>14141</v>
      </c>
      <c r="Q2702" s="39" t="s">
        <v>8568</v>
      </c>
      <c r="R2702" s="39" t="s">
        <v>8569</v>
      </c>
      <c r="S2702" s="39" t="s">
        <v>8570</v>
      </c>
      <c r="AK2702" s="39" t="str">
        <f>("2025/08/12")</f>
        <v>2025/08/12</v>
      </c>
      <c r="AL2702" s="39" t="str">
        <f>("2025/08/12")</f>
        <v>2025/08/12</v>
      </c>
    </row>
    <row r="2703" spans="1:38" x14ac:dyDescent="0.25">
      <c r="A2703" s="39" t="str">
        <f>("1707240046")</f>
        <v>1707240046</v>
      </c>
      <c r="C2703" s="39"/>
      <c r="D2703" s="39" t="s">
        <v>10269</v>
      </c>
      <c r="E2703" s="371" t="str">
        <f t="shared" si="199"/>
        <v>くりばやし　じゅいち</v>
      </c>
      <c r="F2703" s="39" t="s">
        <v>2651</v>
      </c>
      <c r="G2703" s="39" t="s">
        <v>7828</v>
      </c>
      <c r="H2703" s="39" t="str">
        <f>("2017/07/24")</f>
        <v>2017/07/24</v>
      </c>
      <c r="I2703" s="39">
        <v>2</v>
      </c>
      <c r="J2703" s="39" t="s">
        <v>1478</v>
      </c>
      <c r="K2703" s="39" t="s">
        <v>2122</v>
      </c>
      <c r="L2703" s="39" t="s">
        <v>7830</v>
      </c>
      <c r="M2703" s="39" t="s">
        <v>7831</v>
      </c>
      <c r="N2703" s="39" t="str">
        <f>("1067415")</f>
        <v>1067415</v>
      </c>
      <c r="P2703" s="39" t="s">
        <v>14142</v>
      </c>
      <c r="Q2703" s="39" t="s">
        <v>8568</v>
      </c>
      <c r="R2703" s="39" t="s">
        <v>8569</v>
      </c>
      <c r="S2703" s="39" t="s">
        <v>8570</v>
      </c>
      <c r="AK2703" s="39" t="str">
        <f>("2025/09/04")</f>
        <v>2025/09/04</v>
      </c>
      <c r="AL2703" s="39" t="str">
        <f>("2025/09/04")</f>
        <v>2025/09/04</v>
      </c>
    </row>
    <row r="2704" spans="1:38" x14ac:dyDescent="0.25">
      <c r="A2704" s="39" t="str">
        <f>("1707250013")</f>
        <v>1707250013</v>
      </c>
      <c r="C2704" s="39"/>
      <c r="D2704" s="39" t="s">
        <v>10270</v>
      </c>
      <c r="E2704" s="371" t="str">
        <f t="shared" si="199"/>
        <v>おく　さきと</v>
      </c>
      <c r="F2704" s="39" t="s">
        <v>1239</v>
      </c>
      <c r="G2704" s="39" t="s">
        <v>7828</v>
      </c>
      <c r="H2704" s="39" t="str">
        <f>("2017/07/25")</f>
        <v>2017/07/25</v>
      </c>
      <c r="I2704" s="39">
        <v>2</v>
      </c>
      <c r="J2704" s="39" t="s">
        <v>1478</v>
      </c>
      <c r="K2704" s="39" t="s">
        <v>2122</v>
      </c>
      <c r="L2704" s="39" t="s">
        <v>7830</v>
      </c>
      <c r="M2704" s="39" t="s">
        <v>7831</v>
      </c>
      <c r="N2704" s="39" t="str">
        <f>("0129585")</f>
        <v>0129585</v>
      </c>
      <c r="P2704" s="39" t="s">
        <v>14143</v>
      </c>
      <c r="Q2704" s="39" t="s">
        <v>8568</v>
      </c>
      <c r="R2704" s="39" t="s">
        <v>8569</v>
      </c>
      <c r="S2704" s="39" t="s">
        <v>8570</v>
      </c>
      <c r="AA2704" s="39" t="s">
        <v>2122</v>
      </c>
      <c r="AB2704" s="39" t="s">
        <v>7830</v>
      </c>
      <c r="AC2704" s="39" t="s">
        <v>7831</v>
      </c>
      <c r="AD2704" s="39" t="str">
        <f>("1032147")</f>
        <v>1032147</v>
      </c>
      <c r="AE2704" s="39" t="s">
        <v>8714</v>
      </c>
      <c r="AK2704" s="39" t="str">
        <f>("2025/10/02")</f>
        <v>2025/10/02</v>
      </c>
      <c r="AL2704" s="39" t="str">
        <f>("2025/10/02")</f>
        <v>2025/10/02</v>
      </c>
    </row>
    <row r="2705" spans="1:39" x14ac:dyDescent="0.25">
      <c r="A2705" s="39" t="str">
        <f>("1707250055")</f>
        <v>1707250055</v>
      </c>
      <c r="C2705" s="39"/>
      <c r="D2705" s="39" t="s">
        <v>10271</v>
      </c>
      <c r="E2705" s="371" t="str">
        <f t="shared" si="199"/>
        <v>ほりた　いっしん</v>
      </c>
      <c r="F2705" s="39" t="s">
        <v>2544</v>
      </c>
      <c r="G2705" s="39" t="s">
        <v>7828</v>
      </c>
      <c r="H2705" s="39" t="str">
        <f>("2017/07/25")</f>
        <v>2017/07/25</v>
      </c>
      <c r="I2705" s="39">
        <v>2</v>
      </c>
      <c r="J2705" s="39" t="s">
        <v>1478</v>
      </c>
      <c r="K2705" s="39" t="s">
        <v>2122</v>
      </c>
      <c r="L2705" s="39" t="s">
        <v>7830</v>
      </c>
      <c r="M2705" s="39" t="s">
        <v>7831</v>
      </c>
      <c r="N2705" s="39" t="str">
        <f>("0130644")</f>
        <v>0130644</v>
      </c>
      <c r="P2705" s="39" t="s">
        <v>14144</v>
      </c>
      <c r="Q2705" s="39" t="s">
        <v>8568</v>
      </c>
      <c r="R2705" s="39" t="s">
        <v>8569</v>
      </c>
      <c r="S2705" s="39" t="s">
        <v>8570</v>
      </c>
      <c r="AK2705" s="39" t="str">
        <f>("2025/09/12")</f>
        <v>2025/09/12</v>
      </c>
      <c r="AL2705" s="39" t="str">
        <f>("2025/09/12")</f>
        <v>2025/09/12</v>
      </c>
    </row>
    <row r="2706" spans="1:39" x14ac:dyDescent="0.25">
      <c r="A2706" s="39" t="str">
        <f>("1707260048")</f>
        <v>1707260048</v>
      </c>
      <c r="C2706" s="39"/>
      <c r="D2706" s="39" t="s">
        <v>10272</v>
      </c>
      <c r="E2706" s="371" t="str">
        <f t="shared" si="199"/>
        <v>とよしま　はやと</v>
      </c>
      <c r="F2706" s="39" t="s">
        <v>2274</v>
      </c>
      <c r="G2706" s="39" t="s">
        <v>7828</v>
      </c>
      <c r="H2706" s="39" t="str">
        <f>("2017/07/26")</f>
        <v>2017/07/26</v>
      </c>
      <c r="I2706" s="39">
        <v>2</v>
      </c>
      <c r="J2706" s="39" t="s">
        <v>1478</v>
      </c>
      <c r="K2706" s="39" t="s">
        <v>2122</v>
      </c>
      <c r="L2706" s="39" t="s">
        <v>7830</v>
      </c>
      <c r="M2706" s="39" t="s">
        <v>7831</v>
      </c>
      <c r="N2706" s="39" t="str">
        <f>("0129563")</f>
        <v>0129563</v>
      </c>
      <c r="P2706" s="39" t="s">
        <v>14145</v>
      </c>
      <c r="Q2706" s="39" t="s">
        <v>8568</v>
      </c>
      <c r="R2706" s="39" t="s">
        <v>8569</v>
      </c>
      <c r="S2706" s="39" t="s">
        <v>8570</v>
      </c>
      <c r="AK2706" s="39" t="str">
        <f>("2025/09/09")</f>
        <v>2025/09/09</v>
      </c>
      <c r="AL2706" s="39" t="str">
        <f>("2025/09/09")</f>
        <v>2025/09/09</v>
      </c>
    </row>
    <row r="2707" spans="1:39" x14ac:dyDescent="0.25">
      <c r="A2707" s="39" t="str">
        <f>("1707270014")</f>
        <v>1707270014</v>
      </c>
      <c r="C2707" s="39"/>
      <c r="D2707" s="39" t="s">
        <v>10273</v>
      </c>
      <c r="E2707" s="371" t="str">
        <f t="shared" si="199"/>
        <v>おかもと　ひなた</v>
      </c>
      <c r="F2707" s="39" t="s">
        <v>639</v>
      </c>
      <c r="G2707" s="39" t="s">
        <v>7828</v>
      </c>
      <c r="H2707" s="39" t="str">
        <f>("2017/07/27")</f>
        <v>2017/07/27</v>
      </c>
      <c r="I2707" s="39">
        <v>2</v>
      </c>
      <c r="J2707" s="39" t="s">
        <v>1478</v>
      </c>
      <c r="K2707" s="39" t="s">
        <v>2122</v>
      </c>
      <c r="L2707" s="39" t="s">
        <v>7830</v>
      </c>
      <c r="M2707" s="39" t="s">
        <v>7831</v>
      </c>
      <c r="N2707" s="39" t="str">
        <f>("0130633")</f>
        <v>0130633</v>
      </c>
      <c r="P2707" s="39" t="s">
        <v>14146</v>
      </c>
      <c r="Q2707" s="39" t="s">
        <v>8568</v>
      </c>
      <c r="R2707" s="39" t="s">
        <v>8569</v>
      </c>
      <c r="S2707" s="39" t="s">
        <v>8570</v>
      </c>
      <c r="AK2707" s="39" t="str">
        <f>("2025/03/17")</f>
        <v>2025/03/17</v>
      </c>
      <c r="AL2707" s="39" t="str">
        <f>("2025/04/01")</f>
        <v>2025/04/01</v>
      </c>
    </row>
    <row r="2708" spans="1:39" x14ac:dyDescent="0.25">
      <c r="A2708" s="39" t="str">
        <f>("1707270028")</f>
        <v>1707270028</v>
      </c>
      <c r="C2708" s="39"/>
      <c r="D2708" s="39" t="s">
        <v>10274</v>
      </c>
      <c r="E2708" s="371" t="str">
        <f t="shared" si="199"/>
        <v>しらいし　はると</v>
      </c>
      <c r="F2708" s="39" t="s">
        <v>3104</v>
      </c>
      <c r="G2708" s="39" t="s">
        <v>7828</v>
      </c>
      <c r="H2708" s="39" t="str">
        <f>("2017/07/27")</f>
        <v>2017/07/27</v>
      </c>
      <c r="I2708" s="39">
        <v>2</v>
      </c>
      <c r="J2708" s="39" t="s">
        <v>1478</v>
      </c>
      <c r="K2708" s="39" t="s">
        <v>2122</v>
      </c>
      <c r="L2708" s="39" t="s">
        <v>7830</v>
      </c>
      <c r="M2708" s="39" t="s">
        <v>7831</v>
      </c>
      <c r="N2708" s="39" t="str">
        <f>("1076189")</f>
        <v>1076189</v>
      </c>
      <c r="P2708" s="39" t="s">
        <v>14147</v>
      </c>
      <c r="Q2708" s="39" t="s">
        <v>8568</v>
      </c>
      <c r="R2708" s="39" t="s">
        <v>8569</v>
      </c>
      <c r="S2708" s="39" t="s">
        <v>8570</v>
      </c>
      <c r="AK2708" s="39" t="str">
        <f>("2025/03/24")</f>
        <v>2025/03/24</v>
      </c>
      <c r="AL2708" s="39" t="str">
        <f>("2025/04/01")</f>
        <v>2025/04/01</v>
      </c>
    </row>
    <row r="2709" spans="1:39" x14ac:dyDescent="0.25">
      <c r="A2709" s="39" t="str">
        <f>("1707280039")</f>
        <v>1707280039</v>
      </c>
      <c r="C2709" s="39"/>
      <c r="D2709" s="39" t="s">
        <v>10275</v>
      </c>
      <c r="E2709" s="371" t="str">
        <f t="shared" si="199"/>
        <v>つのだ　ようた</v>
      </c>
      <c r="F2709" s="39" t="s">
        <v>334</v>
      </c>
      <c r="G2709" s="39" t="s">
        <v>7828</v>
      </c>
      <c r="H2709" s="39" t="str">
        <f>("2017/07/28")</f>
        <v>2017/07/28</v>
      </c>
      <c r="I2709" s="39">
        <v>2</v>
      </c>
      <c r="J2709" s="39" t="s">
        <v>1478</v>
      </c>
      <c r="K2709" s="39" t="s">
        <v>2122</v>
      </c>
      <c r="L2709" s="39" t="s">
        <v>7830</v>
      </c>
      <c r="M2709" s="39" t="s">
        <v>7831</v>
      </c>
      <c r="N2709" s="39" t="str">
        <f>("0129664")</f>
        <v>0129664</v>
      </c>
      <c r="P2709" s="39" t="s">
        <v>14148</v>
      </c>
      <c r="Q2709" s="39" t="s">
        <v>8568</v>
      </c>
      <c r="R2709" s="39" t="s">
        <v>8569</v>
      </c>
      <c r="S2709" s="39" t="s">
        <v>8570</v>
      </c>
      <c r="AK2709" s="39" t="str">
        <f>("2025/09/02")</f>
        <v>2025/09/02</v>
      </c>
      <c r="AL2709" s="39" t="str">
        <f>("2025/09/02")</f>
        <v>2025/09/02</v>
      </c>
    </row>
    <row r="2710" spans="1:39" x14ac:dyDescent="0.25">
      <c r="A2710" s="39" t="str">
        <f>("1707300043")</f>
        <v>1707300043</v>
      </c>
      <c r="C2710" s="39"/>
      <c r="D2710" s="39" t="s">
        <v>10276</v>
      </c>
      <c r="E2710" s="371" t="str">
        <f t="shared" si="199"/>
        <v>ひろおか　ゆずき</v>
      </c>
      <c r="F2710" s="39" t="s">
        <v>2024</v>
      </c>
      <c r="G2710" s="39" t="s">
        <v>7828</v>
      </c>
      <c r="H2710" s="39" t="str">
        <f>("2017/07/30")</f>
        <v>2017/07/30</v>
      </c>
      <c r="I2710" s="39">
        <v>2</v>
      </c>
      <c r="J2710" s="39" t="s">
        <v>1480</v>
      </c>
      <c r="K2710" s="39" t="s">
        <v>2122</v>
      </c>
      <c r="L2710" s="39" t="s">
        <v>7830</v>
      </c>
      <c r="M2710" s="39" t="s">
        <v>7831</v>
      </c>
      <c r="N2710" s="39" t="str">
        <f>("0130475")</f>
        <v>0130475</v>
      </c>
      <c r="P2710" s="39" t="s">
        <v>14149</v>
      </c>
      <c r="Q2710" s="39" t="s">
        <v>8568</v>
      </c>
      <c r="R2710" s="39" t="s">
        <v>8569</v>
      </c>
      <c r="S2710" s="39" t="s">
        <v>8570</v>
      </c>
      <c r="AK2710" s="39" t="str">
        <f>("2025/09/26")</f>
        <v>2025/09/26</v>
      </c>
      <c r="AL2710" s="39" t="str">
        <f>("2025/09/26")</f>
        <v>2025/09/26</v>
      </c>
    </row>
    <row r="2711" spans="1:39" x14ac:dyDescent="0.25">
      <c r="A2711" s="39" t="str">
        <f>("1708020036")</f>
        <v>1708020036</v>
      </c>
      <c r="C2711" s="39"/>
      <c r="D2711" s="39" t="s">
        <v>10277</v>
      </c>
      <c r="E2711" s="371" t="str">
        <f t="shared" si="199"/>
        <v>よしだ　かれん</v>
      </c>
      <c r="F2711" s="39" t="s">
        <v>5618</v>
      </c>
      <c r="G2711" s="39" t="s">
        <v>7828</v>
      </c>
      <c r="H2711" s="39" t="str">
        <f>("2017/08/02")</f>
        <v>2017/08/02</v>
      </c>
      <c r="I2711" s="39">
        <v>2</v>
      </c>
      <c r="J2711" s="39" t="s">
        <v>1480</v>
      </c>
      <c r="K2711" s="39" t="s">
        <v>2122</v>
      </c>
      <c r="L2711" s="39" t="s">
        <v>7830</v>
      </c>
      <c r="M2711" s="39" t="s">
        <v>7831</v>
      </c>
      <c r="N2711" s="39" t="str">
        <f>("0433235")</f>
        <v>0433235</v>
      </c>
      <c r="P2711" s="39" t="s">
        <v>14150</v>
      </c>
      <c r="Q2711" s="39" t="s">
        <v>8568</v>
      </c>
      <c r="R2711" s="39" t="s">
        <v>8569</v>
      </c>
      <c r="S2711" s="39" t="s">
        <v>8570</v>
      </c>
      <c r="AK2711" s="39" t="str">
        <f>("2025/03/17")</f>
        <v>2025/03/17</v>
      </c>
      <c r="AL2711" s="39" t="str">
        <f>("2025/04/01")</f>
        <v>2025/04/01</v>
      </c>
    </row>
    <row r="2712" spans="1:39" x14ac:dyDescent="0.25">
      <c r="A2712" s="39" t="str">
        <f>("1708020037")</f>
        <v>1708020037</v>
      </c>
      <c r="C2712" s="39"/>
      <c r="D2712" s="39" t="s">
        <v>10278</v>
      </c>
      <c r="E2712" s="371" t="str">
        <f t="shared" si="199"/>
        <v>よしだ　しゅうか</v>
      </c>
      <c r="F2712" s="39" t="s">
        <v>5618</v>
      </c>
      <c r="G2712" s="39" t="s">
        <v>7828</v>
      </c>
      <c r="H2712" s="39" t="str">
        <f>("2017/08/02")</f>
        <v>2017/08/02</v>
      </c>
      <c r="I2712" s="39">
        <v>2</v>
      </c>
      <c r="J2712" s="39" t="s">
        <v>1480</v>
      </c>
      <c r="K2712" s="39" t="s">
        <v>2122</v>
      </c>
      <c r="L2712" s="39" t="s">
        <v>7830</v>
      </c>
      <c r="M2712" s="39" t="s">
        <v>7831</v>
      </c>
      <c r="N2712" s="39" t="str">
        <f>("0433235")</f>
        <v>0433235</v>
      </c>
      <c r="P2712" s="39" t="s">
        <v>14151</v>
      </c>
      <c r="Q2712" s="39" t="s">
        <v>8568</v>
      </c>
      <c r="R2712" s="39" t="s">
        <v>8569</v>
      </c>
      <c r="S2712" s="39" t="s">
        <v>8570</v>
      </c>
      <c r="AK2712" s="39" t="str">
        <f>("2025/03/17")</f>
        <v>2025/03/17</v>
      </c>
      <c r="AL2712" s="39" t="str">
        <f>("2025/04/01")</f>
        <v>2025/04/01</v>
      </c>
    </row>
    <row r="2713" spans="1:39" x14ac:dyDescent="0.25">
      <c r="A2713" s="39" t="str">
        <f>("1708020052")</f>
        <v>1708020052</v>
      </c>
      <c r="C2713" s="39"/>
      <c r="D2713" s="39" t="s">
        <v>10279</v>
      </c>
      <c r="E2713" s="371" t="str">
        <f t="shared" si="199"/>
        <v>おぎの　ゆいと</v>
      </c>
      <c r="F2713" s="39" t="s">
        <v>1082</v>
      </c>
      <c r="G2713" s="39" t="s">
        <v>7828</v>
      </c>
      <c r="H2713" s="39" t="str">
        <f>("2017/08/02")</f>
        <v>2017/08/02</v>
      </c>
      <c r="I2713" s="39">
        <v>2</v>
      </c>
      <c r="J2713" s="39" t="s">
        <v>1478</v>
      </c>
      <c r="K2713" s="39" t="s">
        <v>2122</v>
      </c>
      <c r="L2713" s="39" t="s">
        <v>7830</v>
      </c>
      <c r="M2713" s="39" t="s">
        <v>7831</v>
      </c>
      <c r="N2713" s="39" t="str">
        <f>("0450009")</f>
        <v>0450009</v>
      </c>
      <c r="P2713" s="39" t="s">
        <v>14152</v>
      </c>
      <c r="Q2713" s="39" t="s">
        <v>8568</v>
      </c>
      <c r="R2713" s="39" t="s">
        <v>8569</v>
      </c>
      <c r="S2713" s="39" t="s">
        <v>8570</v>
      </c>
      <c r="AK2713" s="39" t="str">
        <f>("2025/07/09")</f>
        <v>2025/07/09</v>
      </c>
      <c r="AL2713" s="39" t="str">
        <f>("2025/07/09")</f>
        <v>2025/07/09</v>
      </c>
    </row>
    <row r="2714" spans="1:39" x14ac:dyDescent="0.25">
      <c r="A2714" s="39" t="str">
        <f>("1708020054")</f>
        <v>1708020054</v>
      </c>
      <c r="C2714" s="39"/>
      <c r="D2714" s="39" t="s">
        <v>10280</v>
      </c>
      <c r="E2714" s="371" t="str">
        <f t="shared" si="199"/>
        <v>あさり　よしとも</v>
      </c>
      <c r="F2714" s="39" t="s">
        <v>856</v>
      </c>
      <c r="G2714" s="39" t="s">
        <v>7828</v>
      </c>
      <c r="H2714" s="39" t="str">
        <f>("2017/08/02")</f>
        <v>2017/08/02</v>
      </c>
      <c r="I2714" s="39">
        <v>2</v>
      </c>
      <c r="J2714" s="39" t="s">
        <v>1478</v>
      </c>
      <c r="K2714" s="39" t="s">
        <v>2122</v>
      </c>
      <c r="L2714" s="39" t="s">
        <v>7830</v>
      </c>
      <c r="M2714" s="39" t="s">
        <v>7831</v>
      </c>
      <c r="N2714" s="39" t="str">
        <f>("0130149")</f>
        <v>0130149</v>
      </c>
      <c r="P2714" s="39" t="s">
        <v>14153</v>
      </c>
      <c r="Q2714" s="39" t="s">
        <v>8568</v>
      </c>
      <c r="R2714" s="39" t="s">
        <v>8569</v>
      </c>
      <c r="S2714" s="39" t="s">
        <v>8570</v>
      </c>
      <c r="AK2714" s="39" t="str">
        <f>("2025/08/06")</f>
        <v>2025/08/06</v>
      </c>
      <c r="AL2714" s="39" t="str">
        <f>("2025/08/06")</f>
        <v>2025/08/06</v>
      </c>
    </row>
    <row r="2715" spans="1:39" x14ac:dyDescent="0.25">
      <c r="A2715" s="39" t="str">
        <f>("1708040019")</f>
        <v>1708040019</v>
      </c>
      <c r="B2715" s="39" t="s">
        <v>10281</v>
      </c>
      <c r="C2715" s="39"/>
      <c r="D2715" s="39" t="s">
        <v>10282</v>
      </c>
      <c r="E2715" s="371" t="str">
        <f t="shared" si="199"/>
        <v>ささき　あおし</v>
      </c>
      <c r="F2715" s="39" t="s">
        <v>1912</v>
      </c>
      <c r="G2715" s="39" t="s">
        <v>7876</v>
      </c>
      <c r="H2715" s="39" t="str">
        <f>("2017/08/04")</f>
        <v>2017/08/04</v>
      </c>
      <c r="I2715" s="39">
        <v>2</v>
      </c>
      <c r="J2715" s="39" t="s">
        <v>1478</v>
      </c>
      <c r="K2715" s="39" t="s">
        <v>2122</v>
      </c>
      <c r="L2715" s="39" t="s">
        <v>7830</v>
      </c>
      <c r="M2715" s="39" t="s">
        <v>7831</v>
      </c>
      <c r="N2715" s="39" t="str">
        <f>("0130363")</f>
        <v>0130363</v>
      </c>
      <c r="P2715" s="39" t="s">
        <v>14154</v>
      </c>
      <c r="Q2715" s="39" t="s">
        <v>8568</v>
      </c>
      <c r="R2715" s="39" t="s">
        <v>8569</v>
      </c>
      <c r="S2715" s="39" t="s">
        <v>8570</v>
      </c>
      <c r="AK2715" s="39" t="str">
        <f>("2025/03/17")</f>
        <v>2025/03/17</v>
      </c>
      <c r="AL2715" s="39" t="str">
        <f>("2025/04/01")</f>
        <v>2025/04/01</v>
      </c>
      <c r="AM2715" s="39" t="str">
        <f>("2025/08/12")</f>
        <v>2025/08/12</v>
      </c>
    </row>
    <row r="2716" spans="1:39" x14ac:dyDescent="0.25">
      <c r="A2716" s="39" t="str">
        <f>("1708070041")</f>
        <v>1708070041</v>
      </c>
      <c r="C2716" s="39"/>
      <c r="D2716" s="39" t="s">
        <v>10283</v>
      </c>
      <c r="E2716" s="371" t="str">
        <f t="shared" si="199"/>
        <v>のま　おうたろう</v>
      </c>
      <c r="F2716" s="39" t="s">
        <v>1082</v>
      </c>
      <c r="G2716" s="39" t="s">
        <v>7828</v>
      </c>
      <c r="H2716" s="39" t="str">
        <f>("2017/08/07")</f>
        <v>2017/08/07</v>
      </c>
      <c r="I2716" s="39">
        <v>2</v>
      </c>
      <c r="J2716" s="39" t="s">
        <v>1478</v>
      </c>
      <c r="K2716" s="39" t="s">
        <v>2122</v>
      </c>
      <c r="L2716" s="39" t="s">
        <v>7830</v>
      </c>
      <c r="M2716" s="39" t="s">
        <v>7831</v>
      </c>
      <c r="N2716" s="39" t="str">
        <f>("0450009")</f>
        <v>0450009</v>
      </c>
      <c r="P2716" s="39" t="s">
        <v>14155</v>
      </c>
      <c r="Q2716" s="39" t="s">
        <v>8568</v>
      </c>
      <c r="R2716" s="39" t="s">
        <v>8569</v>
      </c>
      <c r="S2716" s="39" t="s">
        <v>8570</v>
      </c>
      <c r="AK2716" s="39" t="str">
        <f>("2025/07/09")</f>
        <v>2025/07/09</v>
      </c>
      <c r="AL2716" s="39" t="str">
        <f>("2025/07/09")</f>
        <v>2025/07/09</v>
      </c>
    </row>
    <row r="2717" spans="1:39" x14ac:dyDescent="0.25">
      <c r="A2717" s="39" t="str">
        <f>("1708090017")</f>
        <v>1708090017</v>
      </c>
      <c r="B2717" s="39" t="s">
        <v>10284</v>
      </c>
      <c r="C2717" s="39"/>
      <c r="D2717" s="39" t="s">
        <v>10285</v>
      </c>
      <c r="E2717" s="371" t="str">
        <f t="shared" si="199"/>
        <v>なかがわじ　はやて</v>
      </c>
      <c r="F2717" s="39" t="s">
        <v>8135</v>
      </c>
      <c r="G2717" s="39" t="s">
        <v>7828</v>
      </c>
      <c r="H2717" s="39" t="str">
        <f>("2017/08/09")</f>
        <v>2017/08/09</v>
      </c>
      <c r="I2717" s="39">
        <v>2</v>
      </c>
      <c r="J2717" s="39" t="s">
        <v>1478</v>
      </c>
      <c r="K2717" s="39" t="s">
        <v>2122</v>
      </c>
      <c r="L2717" s="39" t="s">
        <v>7830</v>
      </c>
      <c r="M2717" s="39" t="s">
        <v>7831</v>
      </c>
      <c r="N2717" s="39" t="str">
        <f>("0475567")</f>
        <v>0475567</v>
      </c>
      <c r="P2717" s="39" t="s">
        <v>14156</v>
      </c>
      <c r="Q2717" s="39" t="s">
        <v>8568</v>
      </c>
      <c r="R2717" s="39" t="s">
        <v>8569</v>
      </c>
      <c r="S2717" s="39" t="s">
        <v>8570</v>
      </c>
      <c r="AK2717" s="39" t="str">
        <f>("2025/03/24")</f>
        <v>2025/03/24</v>
      </c>
      <c r="AL2717" s="39" t="str">
        <f>("2025/04/01")</f>
        <v>2025/04/01</v>
      </c>
    </row>
    <row r="2718" spans="1:39" x14ac:dyDescent="0.25">
      <c r="A2718" s="39" t="str">
        <f>("1708090032")</f>
        <v>1708090032</v>
      </c>
      <c r="C2718" s="39"/>
      <c r="D2718" s="39" t="s">
        <v>10286</v>
      </c>
      <c r="E2718" s="371" t="str">
        <f t="shared" si="199"/>
        <v>やもち　れお</v>
      </c>
      <c r="F2718" s="39" t="s">
        <v>7910</v>
      </c>
      <c r="G2718" s="39" t="s">
        <v>7828</v>
      </c>
      <c r="H2718" s="39" t="str">
        <f>("2017/08/09")</f>
        <v>2017/08/09</v>
      </c>
      <c r="I2718" s="39">
        <v>2</v>
      </c>
      <c r="J2718" s="39" t="s">
        <v>1478</v>
      </c>
      <c r="K2718" s="39" t="s">
        <v>2122</v>
      </c>
      <c r="L2718" s="39" t="s">
        <v>7830</v>
      </c>
      <c r="M2718" s="39" t="s">
        <v>7831</v>
      </c>
      <c r="N2718" s="39" t="str">
        <f>("1111064")</f>
        <v>1111064</v>
      </c>
      <c r="P2718" s="39" t="s">
        <v>14157</v>
      </c>
      <c r="Q2718" s="39" t="s">
        <v>8568</v>
      </c>
      <c r="R2718" s="39" t="s">
        <v>8569</v>
      </c>
      <c r="S2718" s="39" t="s">
        <v>8570</v>
      </c>
      <c r="AK2718" s="39" t="str">
        <f>("2025/03/17")</f>
        <v>2025/03/17</v>
      </c>
      <c r="AL2718" s="39" t="str">
        <f>("2025/04/01")</f>
        <v>2025/04/01</v>
      </c>
    </row>
    <row r="2719" spans="1:39" x14ac:dyDescent="0.25">
      <c r="A2719" s="39" t="str">
        <f>("1708090034")</f>
        <v>1708090034</v>
      </c>
      <c r="C2719" s="39"/>
      <c r="D2719" s="39" t="s">
        <v>10287</v>
      </c>
      <c r="E2719" s="371" t="str">
        <f t="shared" si="199"/>
        <v>うめお　かなた</v>
      </c>
      <c r="F2719" s="39" t="s">
        <v>5619</v>
      </c>
      <c r="G2719" s="39" t="s">
        <v>7828</v>
      </c>
      <c r="H2719" s="39" t="str">
        <f>("2017/08/09")</f>
        <v>2017/08/09</v>
      </c>
      <c r="I2719" s="39">
        <v>2</v>
      </c>
      <c r="J2719" s="39" t="s">
        <v>1478</v>
      </c>
      <c r="K2719" s="39" t="s">
        <v>2122</v>
      </c>
      <c r="L2719" s="39" t="s">
        <v>7830</v>
      </c>
      <c r="M2719" s="39" t="s">
        <v>7831</v>
      </c>
      <c r="N2719" s="39" t="str">
        <f>("1089004")</f>
        <v>1089004</v>
      </c>
      <c r="P2719" s="39" t="s">
        <v>14158</v>
      </c>
      <c r="Q2719" s="39" t="s">
        <v>8568</v>
      </c>
      <c r="R2719" s="39" t="s">
        <v>8569</v>
      </c>
      <c r="S2719" s="39" t="s">
        <v>8570</v>
      </c>
      <c r="AK2719" s="39" t="str">
        <f>("2025/03/27")</f>
        <v>2025/03/27</v>
      </c>
      <c r="AL2719" s="39" t="str">
        <f>("2025/04/01")</f>
        <v>2025/04/01</v>
      </c>
    </row>
    <row r="2720" spans="1:39" x14ac:dyDescent="0.25">
      <c r="A2720" s="39" t="str">
        <f>("1708100034")</f>
        <v>1708100034</v>
      </c>
      <c r="C2720" s="39"/>
      <c r="D2720" s="39" t="s">
        <v>10288</v>
      </c>
      <c r="E2720" s="371" t="str">
        <f t="shared" si="199"/>
        <v>あらまき　あおね</v>
      </c>
      <c r="F2720" s="39" t="s">
        <v>5615</v>
      </c>
      <c r="G2720" s="39" t="s">
        <v>7828</v>
      </c>
      <c r="H2720" s="39" t="str">
        <f>("2017/08/10")</f>
        <v>2017/08/10</v>
      </c>
      <c r="I2720" s="39">
        <v>2</v>
      </c>
      <c r="J2720" s="39" t="s">
        <v>1478</v>
      </c>
      <c r="K2720" s="39" t="s">
        <v>2122</v>
      </c>
      <c r="L2720" s="39" t="s">
        <v>7830</v>
      </c>
      <c r="M2720" s="39" t="s">
        <v>7831</v>
      </c>
      <c r="N2720" s="39" t="str">
        <f>("0129642")</f>
        <v>0129642</v>
      </c>
      <c r="P2720" s="39" t="s">
        <v>14159</v>
      </c>
      <c r="Q2720" s="39" t="s">
        <v>8568</v>
      </c>
      <c r="R2720" s="39" t="s">
        <v>8569</v>
      </c>
      <c r="S2720" s="39" t="s">
        <v>8570</v>
      </c>
      <c r="AK2720" s="39" t="str">
        <f>("2025/03/24")</f>
        <v>2025/03/24</v>
      </c>
      <c r="AL2720" s="39" t="str">
        <f>("2025/04/01")</f>
        <v>2025/04/01</v>
      </c>
    </row>
    <row r="2721" spans="1:39" x14ac:dyDescent="0.25">
      <c r="A2721" s="39" t="str">
        <f>("1708100053")</f>
        <v>1708100053</v>
      </c>
      <c r="C2721" s="39"/>
      <c r="D2721" s="39" t="s">
        <v>10289</v>
      </c>
      <c r="E2721" s="371" t="str">
        <f t="shared" si="199"/>
        <v>すみだ　なつき</v>
      </c>
      <c r="F2721" s="39" t="s">
        <v>2544</v>
      </c>
      <c r="G2721" s="39" t="s">
        <v>7828</v>
      </c>
      <c r="H2721" s="39" t="str">
        <f>("2017/08/10")</f>
        <v>2017/08/10</v>
      </c>
      <c r="I2721" s="39">
        <v>2</v>
      </c>
      <c r="J2721" s="39" t="s">
        <v>1480</v>
      </c>
      <c r="K2721" s="39" t="s">
        <v>2122</v>
      </c>
      <c r="L2721" s="39" t="s">
        <v>7830</v>
      </c>
      <c r="M2721" s="39" t="s">
        <v>7831</v>
      </c>
      <c r="N2721" s="39" t="str">
        <f>("0130644")</f>
        <v>0130644</v>
      </c>
      <c r="P2721" s="39" t="s">
        <v>14160</v>
      </c>
      <c r="Q2721" s="39" t="s">
        <v>8568</v>
      </c>
      <c r="R2721" s="39" t="s">
        <v>8569</v>
      </c>
      <c r="S2721" s="39" t="s">
        <v>8570</v>
      </c>
      <c r="AK2721" s="39" t="str">
        <f>("2025/06/24")</f>
        <v>2025/06/24</v>
      </c>
      <c r="AL2721" s="39" t="str">
        <f>("2025/06/24")</f>
        <v>2025/06/24</v>
      </c>
    </row>
    <row r="2722" spans="1:39" x14ac:dyDescent="0.25">
      <c r="A2722" s="39" t="str">
        <f>("1708140005")</f>
        <v>1708140005</v>
      </c>
      <c r="C2722" s="39"/>
      <c r="D2722" s="39" t="s">
        <v>10290</v>
      </c>
      <c r="E2722" s="371" t="str">
        <f t="shared" si="199"/>
        <v>ふじもと　けいのすけ</v>
      </c>
      <c r="F2722" s="39" t="s">
        <v>5615</v>
      </c>
      <c r="G2722" s="39" t="s">
        <v>7828</v>
      </c>
      <c r="H2722" s="39" t="str">
        <f>("2017/08/14")</f>
        <v>2017/08/14</v>
      </c>
      <c r="I2722" s="39">
        <v>2</v>
      </c>
      <c r="J2722" s="39" t="s">
        <v>1478</v>
      </c>
      <c r="K2722" s="39" t="s">
        <v>2122</v>
      </c>
      <c r="L2722" s="39" t="s">
        <v>7830</v>
      </c>
      <c r="M2722" s="39" t="s">
        <v>7831</v>
      </c>
      <c r="N2722" s="39" t="str">
        <f>("0129642")</f>
        <v>0129642</v>
      </c>
      <c r="P2722" s="39" t="s">
        <v>14161</v>
      </c>
      <c r="Q2722" s="39" t="s">
        <v>8568</v>
      </c>
      <c r="R2722" s="39" t="s">
        <v>8569</v>
      </c>
      <c r="S2722" s="39" t="s">
        <v>8570</v>
      </c>
      <c r="AK2722" s="39" t="str">
        <f>("2025/03/24")</f>
        <v>2025/03/24</v>
      </c>
      <c r="AL2722" s="39" t="str">
        <f>("2025/04/01")</f>
        <v>2025/04/01</v>
      </c>
    </row>
    <row r="2723" spans="1:39" x14ac:dyDescent="0.25">
      <c r="A2723" s="39" t="str">
        <f>("1708170002")</f>
        <v>1708170002</v>
      </c>
      <c r="C2723" s="39"/>
      <c r="D2723" s="39" t="s">
        <v>10291</v>
      </c>
      <c r="E2723" s="371" t="str">
        <f t="shared" si="199"/>
        <v>いわお　そあ</v>
      </c>
      <c r="F2723" s="39" t="s">
        <v>2156</v>
      </c>
      <c r="G2723" s="39" t="s">
        <v>7828</v>
      </c>
      <c r="H2723" s="39" t="str">
        <f>("2017/08/17")</f>
        <v>2017/08/17</v>
      </c>
      <c r="I2723" s="39">
        <v>2</v>
      </c>
      <c r="J2723" s="39" t="s">
        <v>1478</v>
      </c>
      <c r="K2723" s="39" t="s">
        <v>2122</v>
      </c>
      <c r="L2723" s="39" t="s">
        <v>7830</v>
      </c>
      <c r="M2723" s="39" t="s">
        <v>7831</v>
      </c>
      <c r="N2723" s="39" t="str">
        <f>("0493040")</f>
        <v>0493040</v>
      </c>
      <c r="P2723" s="39" t="s">
        <v>14162</v>
      </c>
      <c r="Q2723" s="39" t="s">
        <v>8568</v>
      </c>
      <c r="R2723" s="39" t="s">
        <v>8569</v>
      </c>
      <c r="S2723" s="39" t="s">
        <v>8570</v>
      </c>
      <c r="AK2723" s="39" t="str">
        <f>("2025/03/17")</f>
        <v>2025/03/17</v>
      </c>
      <c r="AL2723" s="39" t="str">
        <f>("2025/04/01")</f>
        <v>2025/04/01</v>
      </c>
    </row>
    <row r="2724" spans="1:39" x14ac:dyDescent="0.25">
      <c r="A2724" s="39" t="str">
        <f>("1708170026")</f>
        <v>1708170026</v>
      </c>
      <c r="C2724" s="39"/>
      <c r="D2724" s="39" t="s">
        <v>10292</v>
      </c>
      <c r="E2724" s="371" t="str">
        <f t="shared" si="199"/>
        <v>まき　ありひさ</v>
      </c>
      <c r="F2724" s="39" t="s">
        <v>2544</v>
      </c>
      <c r="G2724" s="39" t="s">
        <v>7828</v>
      </c>
      <c r="H2724" s="39" t="str">
        <f>("2017/08/17")</f>
        <v>2017/08/17</v>
      </c>
      <c r="I2724" s="39">
        <v>2</v>
      </c>
      <c r="J2724" s="39" t="s">
        <v>1478</v>
      </c>
      <c r="K2724" s="39" t="s">
        <v>2122</v>
      </c>
      <c r="L2724" s="39" t="s">
        <v>7830</v>
      </c>
      <c r="M2724" s="39" t="s">
        <v>7831</v>
      </c>
      <c r="N2724" s="39" t="str">
        <f>("0130644")</f>
        <v>0130644</v>
      </c>
      <c r="P2724" s="39" t="s">
        <v>14163</v>
      </c>
      <c r="Q2724" s="39" t="s">
        <v>8568</v>
      </c>
      <c r="R2724" s="39" t="s">
        <v>8569</v>
      </c>
      <c r="S2724" s="39" t="s">
        <v>8570</v>
      </c>
      <c r="AK2724" s="39" t="str">
        <f>("2025/03/17")</f>
        <v>2025/03/17</v>
      </c>
      <c r="AL2724" s="39" t="str">
        <f>("2025/04/01")</f>
        <v>2025/04/01</v>
      </c>
    </row>
    <row r="2725" spans="1:39" x14ac:dyDescent="0.25">
      <c r="A2725" s="39" t="str">
        <f>("1708170041")</f>
        <v>1708170041</v>
      </c>
      <c r="C2725" s="39"/>
      <c r="D2725" s="39" t="s">
        <v>10293</v>
      </c>
      <c r="E2725" s="371" t="str">
        <f t="shared" si="199"/>
        <v>しおみつ　こたろう</v>
      </c>
      <c r="F2725" s="39" t="s">
        <v>2878</v>
      </c>
      <c r="G2725" s="39" t="s">
        <v>7828</v>
      </c>
      <c r="H2725" s="39" t="str">
        <f>("2017/08/17")</f>
        <v>2017/08/17</v>
      </c>
      <c r="I2725" s="39">
        <v>2</v>
      </c>
      <c r="J2725" s="39" t="s">
        <v>1478</v>
      </c>
      <c r="K2725" s="39" t="s">
        <v>2122</v>
      </c>
      <c r="L2725" s="39" t="s">
        <v>7830</v>
      </c>
      <c r="M2725" s="39" t="s">
        <v>7831</v>
      </c>
      <c r="N2725" s="39" t="str">
        <f>("0129484")</f>
        <v>0129484</v>
      </c>
      <c r="P2725" s="39" t="s">
        <v>14164</v>
      </c>
      <c r="Q2725" s="39" t="s">
        <v>8568</v>
      </c>
      <c r="R2725" s="39" t="s">
        <v>8569</v>
      </c>
      <c r="S2725" s="39" t="s">
        <v>8570</v>
      </c>
      <c r="AK2725" s="39" t="str">
        <f>("2025/04/24")</f>
        <v>2025/04/24</v>
      </c>
      <c r="AL2725" s="39" t="str">
        <f>("2025/04/24")</f>
        <v>2025/04/24</v>
      </c>
    </row>
    <row r="2726" spans="1:39" x14ac:dyDescent="0.25">
      <c r="A2726" s="39" t="str">
        <f>("1708170050")</f>
        <v>1708170050</v>
      </c>
      <c r="C2726" s="39"/>
      <c r="D2726" s="39" t="s">
        <v>10294</v>
      </c>
      <c r="E2726" s="371" t="str">
        <f t="shared" si="199"/>
        <v>まつした　なおと</v>
      </c>
      <c r="F2726" s="39" t="s">
        <v>1158</v>
      </c>
      <c r="G2726" s="39" t="s">
        <v>7876</v>
      </c>
      <c r="H2726" s="39" t="str">
        <f>("2017/08/17")</f>
        <v>2017/08/17</v>
      </c>
      <c r="I2726" s="39">
        <v>2</v>
      </c>
      <c r="J2726" s="39" t="s">
        <v>1478</v>
      </c>
      <c r="K2726" s="39" t="s">
        <v>2122</v>
      </c>
      <c r="L2726" s="39" t="s">
        <v>7830</v>
      </c>
      <c r="M2726" s="39" t="s">
        <v>7831</v>
      </c>
      <c r="N2726" s="39" t="str">
        <f>("0130318")</f>
        <v>0130318</v>
      </c>
      <c r="P2726" s="39" t="s">
        <v>14165</v>
      </c>
      <c r="Q2726" s="39" t="s">
        <v>8568</v>
      </c>
      <c r="R2726" s="39" t="s">
        <v>8569</v>
      </c>
      <c r="S2726" s="39" t="s">
        <v>8570</v>
      </c>
      <c r="AK2726" s="39" t="str">
        <f>("2025/08/25")</f>
        <v>2025/08/25</v>
      </c>
      <c r="AL2726" s="39" t="str">
        <f>("2025/08/25")</f>
        <v>2025/08/25</v>
      </c>
      <c r="AM2726" s="39" t="str">
        <f>("2025/10/02")</f>
        <v>2025/10/02</v>
      </c>
    </row>
    <row r="2727" spans="1:39" x14ac:dyDescent="0.25">
      <c r="A2727" s="39" t="str">
        <f>("1708180036")</f>
        <v>1708180036</v>
      </c>
      <c r="C2727" s="39"/>
      <c r="D2727" s="39" t="s">
        <v>10295</v>
      </c>
      <c r="E2727" s="371" t="str">
        <f t="shared" si="199"/>
        <v>やまだ　れんた</v>
      </c>
      <c r="F2727" s="39" t="s">
        <v>2324</v>
      </c>
      <c r="G2727" s="39" t="s">
        <v>7828</v>
      </c>
      <c r="H2727" s="39" t="str">
        <f>("2017/08/18")</f>
        <v>2017/08/18</v>
      </c>
      <c r="I2727" s="39">
        <v>2</v>
      </c>
      <c r="J2727" s="39" t="s">
        <v>1478</v>
      </c>
      <c r="K2727" s="39" t="s">
        <v>2122</v>
      </c>
      <c r="L2727" s="39" t="s">
        <v>7830</v>
      </c>
      <c r="M2727" s="39" t="s">
        <v>7831</v>
      </c>
      <c r="N2727" s="39" t="str">
        <f>("0130486")</f>
        <v>0130486</v>
      </c>
      <c r="P2727" s="39" t="s">
        <v>14166</v>
      </c>
      <c r="Q2727" s="39" t="s">
        <v>8568</v>
      </c>
      <c r="R2727" s="39" t="s">
        <v>8569</v>
      </c>
      <c r="S2727" s="39" t="s">
        <v>8570</v>
      </c>
      <c r="AK2727" s="39" t="str">
        <f>("2025/03/24")</f>
        <v>2025/03/24</v>
      </c>
      <c r="AL2727" s="39" t="str">
        <f>("2025/04/01")</f>
        <v>2025/04/01</v>
      </c>
    </row>
    <row r="2728" spans="1:39" x14ac:dyDescent="0.25">
      <c r="A2728" s="39" t="str">
        <f>("1708180044")</f>
        <v>1708180044</v>
      </c>
      <c r="C2728" s="39"/>
      <c r="D2728" s="39" t="s">
        <v>10296</v>
      </c>
      <c r="E2728" s="371" t="str">
        <f t="shared" si="199"/>
        <v>うえだ　そうた</v>
      </c>
      <c r="F2728" s="39" t="s">
        <v>2256</v>
      </c>
      <c r="G2728" s="39" t="s">
        <v>7828</v>
      </c>
      <c r="H2728" s="39" t="str">
        <f>("2017/08/18")</f>
        <v>2017/08/18</v>
      </c>
      <c r="I2728" s="39">
        <v>2</v>
      </c>
      <c r="J2728" s="39" t="s">
        <v>1478</v>
      </c>
      <c r="K2728" s="39" t="s">
        <v>2122</v>
      </c>
      <c r="L2728" s="39" t="s">
        <v>7830</v>
      </c>
      <c r="M2728" s="39" t="s">
        <v>7831</v>
      </c>
      <c r="N2728" s="39" t="str">
        <f>("0449119")</f>
        <v>0449119</v>
      </c>
      <c r="P2728" s="39" t="s">
        <v>14167</v>
      </c>
      <c r="Q2728" s="39" t="s">
        <v>8568</v>
      </c>
      <c r="R2728" s="39" t="s">
        <v>8569</v>
      </c>
      <c r="S2728" s="39" t="s">
        <v>8570</v>
      </c>
      <c r="AK2728" s="39" t="str">
        <f>("2025/05/07")</f>
        <v>2025/05/07</v>
      </c>
      <c r="AL2728" s="39" t="str">
        <f>("2025/05/07")</f>
        <v>2025/05/07</v>
      </c>
    </row>
    <row r="2729" spans="1:39" x14ac:dyDescent="0.25">
      <c r="A2729" s="39" t="str">
        <f>("1708180050")</f>
        <v>1708180050</v>
      </c>
      <c r="C2729" s="39"/>
      <c r="D2729" s="39" t="s">
        <v>10297</v>
      </c>
      <c r="E2729" s="371" t="str">
        <f t="shared" si="199"/>
        <v>やの　とうや</v>
      </c>
      <c r="F2729" s="39" t="s">
        <v>1968</v>
      </c>
      <c r="G2729" s="39" t="s">
        <v>7828</v>
      </c>
      <c r="H2729" s="39" t="str">
        <f>("2017/08/18")</f>
        <v>2017/08/18</v>
      </c>
      <c r="I2729" s="39">
        <v>2</v>
      </c>
      <c r="J2729" s="39" t="s">
        <v>1478</v>
      </c>
      <c r="K2729" s="39" t="s">
        <v>2122</v>
      </c>
      <c r="L2729" s="39" t="s">
        <v>7830</v>
      </c>
      <c r="M2729" s="39" t="s">
        <v>7831</v>
      </c>
      <c r="N2729" s="39" t="str">
        <f>("0129507")</f>
        <v>0129507</v>
      </c>
      <c r="P2729" s="39" t="s">
        <v>14168</v>
      </c>
      <c r="Q2729" s="39" t="s">
        <v>8568</v>
      </c>
      <c r="R2729" s="39" t="s">
        <v>8569</v>
      </c>
      <c r="S2729" s="39" t="s">
        <v>8570</v>
      </c>
      <c r="AK2729" s="39" t="str">
        <f>("2025/08/22")</f>
        <v>2025/08/22</v>
      </c>
      <c r="AL2729" s="39" t="str">
        <f>("2025/08/22")</f>
        <v>2025/08/22</v>
      </c>
    </row>
    <row r="2730" spans="1:39" x14ac:dyDescent="0.25">
      <c r="A2730" s="39" t="str">
        <f>("1708190031")</f>
        <v>1708190031</v>
      </c>
      <c r="C2730" s="39"/>
      <c r="D2730" s="39" t="s">
        <v>10298</v>
      </c>
      <c r="E2730" s="371" t="str">
        <f t="shared" si="199"/>
        <v>あかし　るい</v>
      </c>
      <c r="F2730" s="39" t="s">
        <v>2530</v>
      </c>
      <c r="G2730" s="39" t="s">
        <v>7828</v>
      </c>
      <c r="H2730" s="39" t="str">
        <f>("2017/08/19")</f>
        <v>2017/08/19</v>
      </c>
      <c r="I2730" s="39">
        <v>2</v>
      </c>
      <c r="J2730" s="39" t="s">
        <v>1478</v>
      </c>
      <c r="K2730" s="39" t="s">
        <v>2122</v>
      </c>
      <c r="L2730" s="39" t="s">
        <v>7830</v>
      </c>
      <c r="M2730" s="39" t="s">
        <v>7831</v>
      </c>
      <c r="N2730" s="39" t="str">
        <f>("0338756")</f>
        <v>0338756</v>
      </c>
      <c r="P2730" s="39" t="s">
        <v>14169</v>
      </c>
      <c r="Q2730" s="39" t="s">
        <v>8568</v>
      </c>
      <c r="R2730" s="39" t="s">
        <v>8569</v>
      </c>
      <c r="S2730" s="39" t="s">
        <v>8570</v>
      </c>
      <c r="AK2730" s="39" t="str">
        <f>("2025/10/10")</f>
        <v>2025/10/10</v>
      </c>
      <c r="AL2730" s="39" t="str">
        <f>("2025/10/10")</f>
        <v>2025/10/10</v>
      </c>
    </row>
    <row r="2731" spans="1:39" x14ac:dyDescent="0.25">
      <c r="A2731" s="39" t="str">
        <f>("1708230067")</f>
        <v>1708230067</v>
      </c>
      <c r="C2731" s="39"/>
      <c r="D2731" s="39" t="s">
        <v>10299</v>
      </c>
      <c r="E2731" s="371" t="str">
        <f t="shared" si="199"/>
        <v>みしろ　がく</v>
      </c>
      <c r="F2731" s="39" t="s">
        <v>1014</v>
      </c>
      <c r="G2731" s="39" t="s">
        <v>7828</v>
      </c>
      <c r="H2731" s="39" t="str">
        <f>("2017/08/23")</f>
        <v>2017/08/23</v>
      </c>
      <c r="I2731" s="39">
        <v>2</v>
      </c>
      <c r="J2731" s="39" t="s">
        <v>1478</v>
      </c>
      <c r="K2731" s="39" t="s">
        <v>2122</v>
      </c>
      <c r="L2731" s="39" t="s">
        <v>7830</v>
      </c>
      <c r="M2731" s="39" t="s">
        <v>7831</v>
      </c>
      <c r="N2731" s="39" t="str">
        <f>("0513313")</f>
        <v>0513313</v>
      </c>
      <c r="P2731" s="39" t="s">
        <v>14170</v>
      </c>
      <c r="Q2731" s="39" t="s">
        <v>8568</v>
      </c>
      <c r="R2731" s="39" t="s">
        <v>8569</v>
      </c>
      <c r="S2731" s="39" t="s">
        <v>8570</v>
      </c>
      <c r="AK2731" s="39" t="str">
        <f>("2025/12/08")</f>
        <v>2025/12/08</v>
      </c>
      <c r="AL2731" s="39" t="str">
        <f>("2025/12/08")</f>
        <v>2025/12/08</v>
      </c>
    </row>
    <row r="2732" spans="1:39" x14ac:dyDescent="0.25">
      <c r="A2732" s="39" t="str">
        <f>("1708240013")</f>
        <v>1708240013</v>
      </c>
      <c r="C2732" s="39"/>
      <c r="D2732" s="39" t="s">
        <v>10300</v>
      </c>
      <c r="E2732" s="371" t="str">
        <f t="shared" si="199"/>
        <v>かじわら　たいせい</v>
      </c>
      <c r="F2732" s="39" t="s">
        <v>2878</v>
      </c>
      <c r="G2732" s="39" t="s">
        <v>7828</v>
      </c>
      <c r="H2732" s="39" t="str">
        <f>("2015/08/24")</f>
        <v>2015/08/24</v>
      </c>
      <c r="I2732" s="39">
        <v>4</v>
      </c>
      <c r="J2732" s="39" t="s">
        <v>1478</v>
      </c>
      <c r="K2732" s="39" t="s">
        <v>2122</v>
      </c>
      <c r="L2732" s="39" t="s">
        <v>7830</v>
      </c>
      <c r="M2732" s="39" t="s">
        <v>7831</v>
      </c>
      <c r="N2732" s="39" t="str">
        <f>("0129484")</f>
        <v>0129484</v>
      </c>
      <c r="P2732" s="39" t="s">
        <v>14171</v>
      </c>
      <c r="Q2732" s="39" t="s">
        <v>8568</v>
      </c>
      <c r="R2732" s="39" t="s">
        <v>8569</v>
      </c>
      <c r="S2732" s="39" t="s">
        <v>8570</v>
      </c>
      <c r="AK2732" s="39" t="str">
        <f>("2025/03/17")</f>
        <v>2025/03/17</v>
      </c>
      <c r="AL2732" s="39" t="str">
        <f>("2025/04/01")</f>
        <v>2025/04/01</v>
      </c>
    </row>
    <row r="2733" spans="1:39" x14ac:dyDescent="0.25">
      <c r="A2733" s="39" t="str">
        <f>("1708280010")</f>
        <v>1708280010</v>
      </c>
      <c r="C2733" s="39"/>
      <c r="D2733" s="39" t="s">
        <v>10301</v>
      </c>
      <c r="E2733" s="371" t="str">
        <f t="shared" si="199"/>
        <v>しばさき　れいしん</v>
      </c>
      <c r="F2733" s="39" t="s">
        <v>2139</v>
      </c>
      <c r="G2733" s="39" t="s">
        <v>7828</v>
      </c>
      <c r="H2733" s="39" t="str">
        <f>("2017/08/28")</f>
        <v>2017/08/28</v>
      </c>
      <c r="I2733" s="39">
        <v>3</v>
      </c>
      <c r="J2733" s="39" t="s">
        <v>1478</v>
      </c>
      <c r="K2733" s="39" t="s">
        <v>2122</v>
      </c>
      <c r="L2733" s="39" t="s">
        <v>7830</v>
      </c>
      <c r="M2733" s="39" t="s">
        <v>7831</v>
      </c>
      <c r="N2733" s="39" t="str">
        <f>("0129798")</f>
        <v>0129798</v>
      </c>
      <c r="P2733" s="39" t="s">
        <v>14172</v>
      </c>
      <c r="Q2733" s="39" t="s">
        <v>8568</v>
      </c>
      <c r="R2733" s="39" t="s">
        <v>8569</v>
      </c>
      <c r="S2733" s="39" t="s">
        <v>8570</v>
      </c>
      <c r="AK2733" s="39" t="str">
        <f>("2025/03/27")</f>
        <v>2025/03/27</v>
      </c>
      <c r="AL2733" s="39" t="str">
        <f>("2025/04/01")</f>
        <v>2025/04/01</v>
      </c>
    </row>
    <row r="2734" spans="1:39" x14ac:dyDescent="0.25">
      <c r="A2734" s="39" t="str">
        <f>("1708300002")</f>
        <v>1708300002</v>
      </c>
      <c r="B2734" s="39" t="s">
        <v>10302</v>
      </c>
      <c r="C2734" s="39"/>
      <c r="D2734" s="39" t="s">
        <v>10303</v>
      </c>
      <c r="E2734" s="371" t="str">
        <f t="shared" si="199"/>
        <v>しみず　せな</v>
      </c>
      <c r="F2734" s="39" t="s">
        <v>5615</v>
      </c>
      <c r="G2734" s="39" t="s">
        <v>7828</v>
      </c>
      <c r="H2734" s="39" t="str">
        <f>("2017/08/30")</f>
        <v>2017/08/30</v>
      </c>
      <c r="I2734" s="39">
        <v>2</v>
      </c>
      <c r="J2734" s="39" t="s">
        <v>1478</v>
      </c>
      <c r="K2734" s="39" t="s">
        <v>2122</v>
      </c>
      <c r="L2734" s="39" t="s">
        <v>7830</v>
      </c>
      <c r="M2734" s="39" t="s">
        <v>7831</v>
      </c>
      <c r="N2734" s="39" t="str">
        <f>("0129642")</f>
        <v>0129642</v>
      </c>
      <c r="P2734" s="39" t="s">
        <v>14173</v>
      </c>
      <c r="Q2734" s="39" t="s">
        <v>8568</v>
      </c>
      <c r="R2734" s="39" t="s">
        <v>8569</v>
      </c>
      <c r="S2734" s="39" t="s">
        <v>8570</v>
      </c>
      <c r="AK2734" s="39" t="str">
        <f>("2025/03/24")</f>
        <v>2025/03/24</v>
      </c>
      <c r="AL2734" s="39" t="str">
        <f>("2025/04/01")</f>
        <v>2025/04/01</v>
      </c>
    </row>
    <row r="2735" spans="1:39" x14ac:dyDescent="0.25">
      <c r="A2735" s="39" t="str">
        <f>("1709010009")</f>
        <v>1709010009</v>
      </c>
      <c r="C2735" s="39"/>
      <c r="D2735" s="39" t="s">
        <v>10304</v>
      </c>
      <c r="E2735" s="371" t="str">
        <f t="shared" si="199"/>
        <v>うさぎだ　りと</v>
      </c>
      <c r="F2735" s="39" t="s">
        <v>2299</v>
      </c>
      <c r="G2735" s="39" t="s">
        <v>7828</v>
      </c>
      <c r="H2735" s="39" t="str">
        <f>("2017/09/01")</f>
        <v>2017/09/01</v>
      </c>
      <c r="I2735" s="39">
        <v>2</v>
      </c>
      <c r="J2735" s="39" t="s">
        <v>1478</v>
      </c>
      <c r="K2735" s="39" t="s">
        <v>2122</v>
      </c>
      <c r="L2735" s="39" t="s">
        <v>7830</v>
      </c>
      <c r="M2735" s="39" t="s">
        <v>7831</v>
      </c>
      <c r="N2735" s="39" t="str">
        <f>("1066647")</f>
        <v>1066647</v>
      </c>
      <c r="P2735" s="39" t="s">
        <v>14174</v>
      </c>
      <c r="Q2735" s="39" t="s">
        <v>8568</v>
      </c>
      <c r="R2735" s="39" t="s">
        <v>8569</v>
      </c>
      <c r="S2735" s="39" t="s">
        <v>8570</v>
      </c>
      <c r="AK2735" s="39" t="str">
        <f>("2025/03/21")</f>
        <v>2025/03/21</v>
      </c>
      <c r="AL2735" s="39" t="str">
        <f>("2025/04/01")</f>
        <v>2025/04/01</v>
      </c>
    </row>
    <row r="2736" spans="1:39" x14ac:dyDescent="0.25">
      <c r="A2736" s="39" t="str">
        <f>("1709030038")</f>
        <v>1709030038</v>
      </c>
      <c r="C2736" s="39"/>
      <c r="D2736" s="39" t="s">
        <v>10305</v>
      </c>
      <c r="E2736" s="371" t="str">
        <f t="shared" si="199"/>
        <v>かくどう　そら</v>
      </c>
      <c r="F2736" s="39" t="s">
        <v>3870</v>
      </c>
      <c r="G2736" s="39" t="s">
        <v>7828</v>
      </c>
      <c r="H2736" s="39" t="str">
        <f>("2017/09/03")</f>
        <v>2017/09/03</v>
      </c>
      <c r="I2736" s="39">
        <v>1</v>
      </c>
      <c r="J2736" s="39" t="s">
        <v>1478</v>
      </c>
      <c r="K2736" s="39" t="s">
        <v>2122</v>
      </c>
      <c r="L2736" s="39" t="s">
        <v>7830</v>
      </c>
      <c r="M2736" s="39" t="s">
        <v>7831</v>
      </c>
      <c r="N2736" s="39" t="str">
        <f>("1094183")</f>
        <v>1094183</v>
      </c>
      <c r="P2736" s="39" t="s">
        <v>14175</v>
      </c>
      <c r="Q2736" s="39" t="s">
        <v>8568</v>
      </c>
      <c r="R2736" s="39" t="s">
        <v>8569</v>
      </c>
      <c r="S2736" s="39" t="s">
        <v>8570</v>
      </c>
      <c r="AK2736" s="39" t="str">
        <f>("2025/09/12")</f>
        <v>2025/09/12</v>
      </c>
      <c r="AL2736" s="39" t="str">
        <f>("2025/09/12")</f>
        <v>2025/09/12</v>
      </c>
    </row>
    <row r="2737" spans="1:38" x14ac:dyDescent="0.25">
      <c r="A2737" s="39" t="str">
        <f>("1709040046")</f>
        <v>1709040046</v>
      </c>
      <c r="C2737" s="39"/>
      <c r="D2737" s="39" t="s">
        <v>10306</v>
      </c>
      <c r="E2737" s="371" t="str">
        <f t="shared" si="199"/>
        <v>ふじい　そあ</v>
      </c>
      <c r="F2737" s="39" t="s">
        <v>1158</v>
      </c>
      <c r="G2737" s="39" t="s">
        <v>7828</v>
      </c>
      <c r="H2737" s="39" t="str">
        <f>("2017/09/04")</f>
        <v>2017/09/04</v>
      </c>
      <c r="I2737" s="39">
        <v>2</v>
      </c>
      <c r="J2737" s="39" t="s">
        <v>1480</v>
      </c>
      <c r="K2737" s="39" t="s">
        <v>2122</v>
      </c>
      <c r="L2737" s="39" t="s">
        <v>7830</v>
      </c>
      <c r="M2737" s="39" t="s">
        <v>7831</v>
      </c>
      <c r="N2737" s="39" t="str">
        <f>("0130318")</f>
        <v>0130318</v>
      </c>
      <c r="P2737" s="39" t="s">
        <v>14176</v>
      </c>
      <c r="Q2737" s="39" t="s">
        <v>8568</v>
      </c>
      <c r="R2737" s="39" t="s">
        <v>8569</v>
      </c>
      <c r="S2737" s="39" t="s">
        <v>8570</v>
      </c>
      <c r="AK2737" s="39" t="str">
        <f>("2025/08/25")</f>
        <v>2025/08/25</v>
      </c>
      <c r="AL2737" s="39" t="str">
        <f>("2025/08/25")</f>
        <v>2025/08/25</v>
      </c>
    </row>
    <row r="2738" spans="1:38" x14ac:dyDescent="0.25">
      <c r="A2738" s="39" t="str">
        <f>("1709080001")</f>
        <v>1709080001</v>
      </c>
      <c r="C2738" s="39"/>
      <c r="D2738" s="39" t="s">
        <v>10307</v>
      </c>
      <c r="E2738" s="371" t="str">
        <f t="shared" si="199"/>
        <v>おの　しゅうや</v>
      </c>
      <c r="F2738" s="39" t="s">
        <v>838</v>
      </c>
      <c r="G2738" s="39" t="s">
        <v>7828</v>
      </c>
      <c r="H2738" s="39" t="str">
        <f>("2015/09/08")</f>
        <v>2015/09/08</v>
      </c>
      <c r="I2738" s="39">
        <v>4</v>
      </c>
      <c r="J2738" s="39" t="s">
        <v>1478</v>
      </c>
      <c r="K2738" s="39" t="s">
        <v>2122</v>
      </c>
      <c r="L2738" s="39" t="s">
        <v>7830</v>
      </c>
      <c r="M2738" s="39" t="s">
        <v>7831</v>
      </c>
      <c r="N2738" s="39" t="str">
        <f>("0360021")</f>
        <v>0360021</v>
      </c>
      <c r="P2738" s="39" t="s">
        <v>14177</v>
      </c>
      <c r="Q2738" s="39" t="s">
        <v>8568</v>
      </c>
      <c r="R2738" s="39" t="s">
        <v>8569</v>
      </c>
      <c r="S2738" s="39" t="s">
        <v>8570</v>
      </c>
      <c r="AA2738" s="39" t="s">
        <v>2122</v>
      </c>
      <c r="AB2738" s="39" t="s">
        <v>7830</v>
      </c>
      <c r="AC2738" s="39" t="s">
        <v>7831</v>
      </c>
      <c r="AD2738" s="39" t="str">
        <f>("0493040")</f>
        <v>0493040</v>
      </c>
      <c r="AE2738" s="39" t="s">
        <v>2156</v>
      </c>
      <c r="AK2738" s="39" t="str">
        <f>("2025/03/17")</f>
        <v>2025/03/17</v>
      </c>
      <c r="AL2738" s="39" t="str">
        <f>("2025/04/01")</f>
        <v>2025/04/01</v>
      </c>
    </row>
    <row r="2739" spans="1:38" x14ac:dyDescent="0.25">
      <c r="A2739" s="39" t="str">
        <f>("1709080014")</f>
        <v>1709080014</v>
      </c>
      <c r="C2739" s="39"/>
      <c r="D2739" s="39" t="s">
        <v>10308</v>
      </c>
      <c r="E2739" s="371" t="str">
        <f t="shared" si="199"/>
        <v>うめむら　しゅん</v>
      </c>
      <c r="F2739" s="39" t="s">
        <v>7910</v>
      </c>
      <c r="G2739" s="39" t="s">
        <v>7828</v>
      </c>
      <c r="H2739" s="39" t="str">
        <f>("2017/09/08")</f>
        <v>2017/09/08</v>
      </c>
      <c r="I2739" s="39">
        <v>2</v>
      </c>
      <c r="J2739" s="39" t="s">
        <v>1478</v>
      </c>
      <c r="K2739" s="39" t="s">
        <v>2122</v>
      </c>
      <c r="L2739" s="39" t="s">
        <v>7830</v>
      </c>
      <c r="M2739" s="39" t="s">
        <v>7831</v>
      </c>
      <c r="N2739" s="39" t="str">
        <f>("1111064")</f>
        <v>1111064</v>
      </c>
      <c r="P2739" s="39" t="s">
        <v>14178</v>
      </c>
      <c r="Q2739" s="39" t="s">
        <v>8568</v>
      </c>
      <c r="R2739" s="39" t="s">
        <v>8569</v>
      </c>
      <c r="S2739" s="39" t="s">
        <v>8570</v>
      </c>
      <c r="AK2739" s="39" t="str">
        <f>("2025/03/17")</f>
        <v>2025/03/17</v>
      </c>
      <c r="AL2739" s="39" t="str">
        <f>("2025/04/01")</f>
        <v>2025/04/01</v>
      </c>
    </row>
    <row r="2740" spans="1:38" x14ac:dyDescent="0.25">
      <c r="A2740" s="39" t="str">
        <f>("1709100007")</f>
        <v>1709100007</v>
      </c>
      <c r="C2740" s="39"/>
      <c r="D2740" s="39" t="s">
        <v>5923</v>
      </c>
      <c r="E2740" s="371" t="str">
        <f t="shared" si="199"/>
        <v>なかむら　はやと</v>
      </c>
      <c r="F2740" s="39" t="s">
        <v>2422</v>
      </c>
      <c r="G2740" s="39" t="s">
        <v>7828</v>
      </c>
      <c r="H2740" s="39" t="str">
        <f>("2017/09/10")</f>
        <v>2017/09/10</v>
      </c>
      <c r="I2740" s="39">
        <v>2</v>
      </c>
      <c r="J2740" s="39" t="s">
        <v>1478</v>
      </c>
      <c r="K2740" s="39" t="s">
        <v>2122</v>
      </c>
      <c r="L2740" s="39" t="s">
        <v>7830</v>
      </c>
      <c r="M2740" s="39" t="s">
        <v>7831</v>
      </c>
      <c r="N2740" s="39" t="str">
        <f>("0130699")</f>
        <v>0130699</v>
      </c>
      <c r="P2740" s="39" t="s">
        <v>14179</v>
      </c>
      <c r="Q2740" s="39" t="s">
        <v>8568</v>
      </c>
      <c r="R2740" s="39" t="s">
        <v>8569</v>
      </c>
      <c r="S2740" s="39" t="s">
        <v>8570</v>
      </c>
      <c r="AK2740" s="39" t="str">
        <f>("2025/03/17")</f>
        <v>2025/03/17</v>
      </c>
      <c r="AL2740" s="39" t="str">
        <f>("2025/04/01")</f>
        <v>2025/04/01</v>
      </c>
    </row>
    <row r="2741" spans="1:38" x14ac:dyDescent="0.25">
      <c r="A2741" s="39" t="str">
        <f>("1709120027")</f>
        <v>1709120027</v>
      </c>
      <c r="C2741" s="39"/>
      <c r="D2741" s="39" t="s">
        <v>10309</v>
      </c>
      <c r="E2741" s="371" t="str">
        <f t="shared" si="199"/>
        <v>はやし　かなた</v>
      </c>
      <c r="F2741" s="39" t="s">
        <v>2584</v>
      </c>
      <c r="G2741" s="39" t="s">
        <v>7828</v>
      </c>
      <c r="H2741" s="39" t="str">
        <f>("2017/09/12")</f>
        <v>2017/09/12</v>
      </c>
      <c r="I2741" s="39">
        <v>2</v>
      </c>
      <c r="J2741" s="39" t="s">
        <v>1478</v>
      </c>
      <c r="K2741" s="39" t="s">
        <v>2122</v>
      </c>
      <c r="L2741" s="39" t="s">
        <v>7830</v>
      </c>
      <c r="M2741" s="39" t="s">
        <v>7831</v>
      </c>
      <c r="N2741" s="39" t="str">
        <f>("0374071")</f>
        <v>0374071</v>
      </c>
      <c r="P2741" s="39" t="s">
        <v>14180</v>
      </c>
      <c r="Q2741" s="39" t="s">
        <v>8568</v>
      </c>
      <c r="R2741" s="39" t="s">
        <v>8569</v>
      </c>
      <c r="S2741" s="39" t="s">
        <v>8570</v>
      </c>
      <c r="AK2741" s="39" t="str">
        <f>("2025/03/17")</f>
        <v>2025/03/17</v>
      </c>
      <c r="AL2741" s="39" t="str">
        <f>("2025/04/01")</f>
        <v>2025/04/01</v>
      </c>
    </row>
    <row r="2742" spans="1:38" x14ac:dyDescent="0.25">
      <c r="A2742" s="39" t="str">
        <f>("1709120053")</f>
        <v>1709120053</v>
      </c>
      <c r="C2742" s="39"/>
      <c r="D2742" s="39" t="s">
        <v>10310</v>
      </c>
      <c r="E2742" s="371" t="str">
        <f t="shared" si="199"/>
        <v>ざいぜん　なぎさ</v>
      </c>
      <c r="F2742" s="39" t="s">
        <v>334</v>
      </c>
      <c r="G2742" s="39" t="s">
        <v>7828</v>
      </c>
      <c r="H2742" s="39" t="str">
        <f>("2017/09/12")</f>
        <v>2017/09/12</v>
      </c>
      <c r="I2742" s="39">
        <v>2</v>
      </c>
      <c r="J2742" s="39" t="s">
        <v>1478</v>
      </c>
      <c r="K2742" s="39" t="s">
        <v>2122</v>
      </c>
      <c r="L2742" s="39" t="s">
        <v>7830</v>
      </c>
      <c r="M2742" s="39" t="s">
        <v>7831</v>
      </c>
      <c r="N2742" s="39" t="str">
        <f>("0129664")</f>
        <v>0129664</v>
      </c>
      <c r="P2742" s="39" t="s">
        <v>14181</v>
      </c>
      <c r="Q2742" s="39" t="s">
        <v>8568</v>
      </c>
      <c r="R2742" s="39" t="s">
        <v>8569</v>
      </c>
      <c r="S2742" s="39" t="s">
        <v>8570</v>
      </c>
      <c r="AK2742" s="39" t="str">
        <f>("2025/09/02")</f>
        <v>2025/09/02</v>
      </c>
      <c r="AL2742" s="39" t="str">
        <f>("2025/09/02")</f>
        <v>2025/09/02</v>
      </c>
    </row>
    <row r="2743" spans="1:38" x14ac:dyDescent="0.25">
      <c r="A2743" s="39" t="str">
        <f>("1709180016")</f>
        <v>1709180016</v>
      </c>
      <c r="C2743" s="39"/>
      <c r="D2743" s="39" t="s">
        <v>10311</v>
      </c>
      <c r="E2743" s="371" t="str">
        <f t="shared" si="199"/>
        <v>えぐち　あきと</v>
      </c>
      <c r="F2743" s="39" t="s">
        <v>8485</v>
      </c>
      <c r="G2743" s="39" t="s">
        <v>7828</v>
      </c>
      <c r="H2743" s="39" t="str">
        <f>("2017/09/18")</f>
        <v>2017/09/18</v>
      </c>
      <c r="I2743" s="39">
        <v>2</v>
      </c>
      <c r="J2743" s="39" t="s">
        <v>1478</v>
      </c>
      <c r="K2743" s="39" t="s">
        <v>2122</v>
      </c>
      <c r="L2743" s="39" t="s">
        <v>7830</v>
      </c>
      <c r="M2743" s="39" t="s">
        <v>7831</v>
      </c>
      <c r="N2743" s="39" t="str">
        <f>("0130666")</f>
        <v>0130666</v>
      </c>
      <c r="P2743" s="39" t="s">
        <v>14182</v>
      </c>
      <c r="Q2743" s="39" t="s">
        <v>8568</v>
      </c>
      <c r="R2743" s="39" t="s">
        <v>8569</v>
      </c>
      <c r="S2743" s="39" t="s">
        <v>8570</v>
      </c>
      <c r="AK2743" s="39" t="str">
        <f>("2025/03/24")</f>
        <v>2025/03/24</v>
      </c>
      <c r="AL2743" s="39" t="str">
        <f>("2025/04/01")</f>
        <v>2025/04/01</v>
      </c>
    </row>
    <row r="2744" spans="1:38" x14ac:dyDescent="0.25">
      <c r="A2744" s="39" t="str">
        <f>("1709200060")</f>
        <v>1709200060</v>
      </c>
      <c r="C2744" s="39"/>
      <c r="D2744" s="39" t="s">
        <v>10312</v>
      </c>
      <c r="E2744" s="371" t="str">
        <f t="shared" si="199"/>
        <v>なかやま　らいと</v>
      </c>
      <c r="F2744" s="39" t="s">
        <v>1968</v>
      </c>
      <c r="G2744" s="39" t="s">
        <v>7828</v>
      </c>
      <c r="H2744" s="39" t="str">
        <f>("2017/09/20")</f>
        <v>2017/09/20</v>
      </c>
      <c r="I2744" s="39">
        <v>2</v>
      </c>
      <c r="J2744" s="39" t="s">
        <v>1478</v>
      </c>
      <c r="K2744" s="39" t="s">
        <v>2122</v>
      </c>
      <c r="L2744" s="39" t="s">
        <v>7830</v>
      </c>
      <c r="M2744" s="39" t="s">
        <v>7831</v>
      </c>
      <c r="N2744" s="39" t="str">
        <f>("0129507")</f>
        <v>0129507</v>
      </c>
      <c r="P2744" s="39" t="s">
        <v>14183</v>
      </c>
      <c r="Q2744" s="39" t="s">
        <v>8568</v>
      </c>
      <c r="R2744" s="39" t="s">
        <v>8569</v>
      </c>
      <c r="S2744" s="39" t="s">
        <v>8570</v>
      </c>
      <c r="AK2744" s="39" t="str">
        <f>("2025/08/22")</f>
        <v>2025/08/22</v>
      </c>
      <c r="AL2744" s="39" t="str">
        <f>("2025/08/22")</f>
        <v>2025/08/22</v>
      </c>
    </row>
    <row r="2745" spans="1:38" x14ac:dyDescent="0.25">
      <c r="A2745" s="39" t="str">
        <f>("1709210024")</f>
        <v>1709210024</v>
      </c>
      <c r="C2745" s="39"/>
      <c r="D2745" s="39" t="s">
        <v>10313</v>
      </c>
      <c r="E2745" s="371" t="str">
        <f t="shared" si="199"/>
        <v>たかはし　けいじ</v>
      </c>
      <c r="F2745" s="39" t="s">
        <v>5615</v>
      </c>
      <c r="G2745" s="39" t="s">
        <v>7828</v>
      </c>
      <c r="H2745" s="39" t="str">
        <f>("2017/09/21")</f>
        <v>2017/09/21</v>
      </c>
      <c r="I2745" s="39">
        <v>2</v>
      </c>
      <c r="J2745" s="39" t="s">
        <v>1478</v>
      </c>
      <c r="K2745" s="39" t="s">
        <v>2122</v>
      </c>
      <c r="L2745" s="39" t="s">
        <v>7830</v>
      </c>
      <c r="M2745" s="39" t="s">
        <v>7831</v>
      </c>
      <c r="N2745" s="39" t="str">
        <f>("0129642")</f>
        <v>0129642</v>
      </c>
      <c r="P2745" s="39" t="s">
        <v>13620</v>
      </c>
      <c r="Q2745" s="39" t="s">
        <v>8568</v>
      </c>
      <c r="R2745" s="39" t="s">
        <v>8569</v>
      </c>
      <c r="S2745" s="39" t="s">
        <v>8570</v>
      </c>
      <c r="AK2745" s="39" t="str">
        <f>("2025/03/24")</f>
        <v>2025/03/24</v>
      </c>
      <c r="AL2745" s="39" t="str">
        <f>("2025/04/01")</f>
        <v>2025/04/01</v>
      </c>
    </row>
    <row r="2746" spans="1:38" x14ac:dyDescent="0.25">
      <c r="A2746" s="39" t="str">
        <f>("1709230041")</f>
        <v>1709230041</v>
      </c>
      <c r="C2746" s="39"/>
      <c r="D2746" s="39" t="s">
        <v>10314</v>
      </c>
      <c r="E2746" s="371" t="str">
        <f t="shared" si="199"/>
        <v>ふじつか　れのん</v>
      </c>
      <c r="F2746" s="39" t="s">
        <v>3104</v>
      </c>
      <c r="G2746" s="39" t="s">
        <v>7828</v>
      </c>
      <c r="H2746" s="39" t="str">
        <f>("2017/09/23")</f>
        <v>2017/09/23</v>
      </c>
      <c r="I2746" s="39">
        <v>2</v>
      </c>
      <c r="J2746" s="39" t="s">
        <v>1478</v>
      </c>
      <c r="K2746" s="39" t="s">
        <v>2122</v>
      </c>
      <c r="L2746" s="39" t="s">
        <v>7830</v>
      </c>
      <c r="M2746" s="39" t="s">
        <v>7831</v>
      </c>
      <c r="N2746" s="39" t="str">
        <f>("1076189")</f>
        <v>1076189</v>
      </c>
      <c r="P2746" s="39" t="s">
        <v>14184</v>
      </c>
      <c r="Q2746" s="39" t="s">
        <v>8568</v>
      </c>
      <c r="R2746" s="39" t="s">
        <v>8569</v>
      </c>
      <c r="S2746" s="39" t="s">
        <v>8570</v>
      </c>
      <c r="AK2746" s="39" t="str">
        <f>("2025/10/07")</f>
        <v>2025/10/07</v>
      </c>
      <c r="AL2746" s="39" t="str">
        <f>("2025/10/07")</f>
        <v>2025/10/07</v>
      </c>
    </row>
    <row r="2747" spans="1:38" x14ac:dyDescent="0.25">
      <c r="A2747" s="39" t="str">
        <f>("1709240013")</f>
        <v>1709240013</v>
      </c>
      <c r="C2747" s="39"/>
      <c r="D2747" s="39" t="s">
        <v>10315</v>
      </c>
      <c r="E2747" s="371" t="str">
        <f t="shared" si="199"/>
        <v>ひゃくたけ　かずま</v>
      </c>
      <c r="F2747" s="39" t="s">
        <v>2630</v>
      </c>
      <c r="G2747" s="39" t="s">
        <v>7828</v>
      </c>
      <c r="H2747" s="39" t="str">
        <f>("2017/09/24")</f>
        <v>2017/09/24</v>
      </c>
      <c r="I2747" s="39">
        <v>2</v>
      </c>
      <c r="J2747" s="39" t="s">
        <v>1478</v>
      </c>
      <c r="K2747" s="39" t="s">
        <v>2122</v>
      </c>
      <c r="L2747" s="39" t="s">
        <v>7830</v>
      </c>
      <c r="M2747" s="39" t="s">
        <v>7831</v>
      </c>
      <c r="N2747" s="39" t="str">
        <f>("0506269")</f>
        <v>0506269</v>
      </c>
      <c r="P2747" s="39" t="s">
        <v>14185</v>
      </c>
      <c r="Q2747" s="39" t="s">
        <v>8568</v>
      </c>
      <c r="R2747" s="39" t="s">
        <v>8569</v>
      </c>
      <c r="S2747" s="39" t="s">
        <v>8570</v>
      </c>
      <c r="AK2747" s="39" t="str">
        <f>("2025/03/17")</f>
        <v>2025/03/17</v>
      </c>
      <c r="AL2747" s="39" t="str">
        <f>("2025/04/01")</f>
        <v>2025/04/01</v>
      </c>
    </row>
    <row r="2748" spans="1:38" x14ac:dyDescent="0.25">
      <c r="A2748" s="39" t="str">
        <f>("1709250004")</f>
        <v>1709250004</v>
      </c>
      <c r="C2748" s="39"/>
      <c r="D2748" s="39" t="s">
        <v>10316</v>
      </c>
      <c r="E2748" s="371" t="str">
        <f t="shared" si="199"/>
        <v>やの　ひびと</v>
      </c>
      <c r="F2748" s="39" t="s">
        <v>2349</v>
      </c>
      <c r="G2748" s="39" t="s">
        <v>7828</v>
      </c>
      <c r="H2748" s="39" t="str">
        <f>("2015/09/25")</f>
        <v>2015/09/25</v>
      </c>
      <c r="I2748" s="39">
        <v>4</v>
      </c>
      <c r="J2748" s="39" t="s">
        <v>1478</v>
      </c>
      <c r="K2748" s="39" t="s">
        <v>2122</v>
      </c>
      <c r="L2748" s="39" t="s">
        <v>7830</v>
      </c>
      <c r="M2748" s="39" t="s">
        <v>7831</v>
      </c>
      <c r="N2748" s="39" t="str">
        <f>("0292081")</f>
        <v>0292081</v>
      </c>
      <c r="P2748" s="39" t="s">
        <v>14186</v>
      </c>
      <c r="Q2748" s="39" t="s">
        <v>8568</v>
      </c>
      <c r="R2748" s="39" t="s">
        <v>8569</v>
      </c>
      <c r="S2748" s="39" t="s">
        <v>8570</v>
      </c>
      <c r="AK2748" s="39" t="str">
        <f>("2025/03/24")</f>
        <v>2025/03/24</v>
      </c>
      <c r="AL2748" s="39" t="str">
        <f>("2025/04/01")</f>
        <v>2025/04/01</v>
      </c>
    </row>
    <row r="2749" spans="1:38" x14ac:dyDescent="0.25">
      <c r="A2749" s="39" t="str">
        <f>("1709260014")</f>
        <v>1709260014</v>
      </c>
      <c r="C2749" s="39"/>
      <c r="D2749" s="39" t="s">
        <v>10317</v>
      </c>
      <c r="E2749" s="371" t="str">
        <f t="shared" si="199"/>
        <v>うえだ　ゆうき</v>
      </c>
      <c r="F2749" s="39" t="s">
        <v>8485</v>
      </c>
      <c r="G2749" s="39" t="s">
        <v>7828</v>
      </c>
      <c r="H2749" s="39" t="str">
        <f>("2017/09/26")</f>
        <v>2017/09/26</v>
      </c>
      <c r="I2749" s="39">
        <v>2</v>
      </c>
      <c r="J2749" s="39" t="s">
        <v>1478</v>
      </c>
      <c r="K2749" s="39" t="s">
        <v>2122</v>
      </c>
      <c r="L2749" s="39" t="s">
        <v>7830</v>
      </c>
      <c r="M2749" s="39" t="s">
        <v>7831</v>
      </c>
      <c r="N2749" s="39" t="str">
        <f>("0130666")</f>
        <v>0130666</v>
      </c>
      <c r="P2749" s="39" t="s">
        <v>14187</v>
      </c>
      <c r="Q2749" s="39" t="s">
        <v>8568</v>
      </c>
      <c r="R2749" s="39" t="s">
        <v>8569</v>
      </c>
      <c r="S2749" s="39" t="s">
        <v>8570</v>
      </c>
      <c r="AK2749" s="39" t="str">
        <f>("2025/03/24")</f>
        <v>2025/03/24</v>
      </c>
      <c r="AL2749" s="39" t="str">
        <f>("2025/04/01")</f>
        <v>2025/04/01</v>
      </c>
    </row>
    <row r="2750" spans="1:38" x14ac:dyDescent="0.25">
      <c r="A2750" s="39" t="str">
        <f>("1709260046")</f>
        <v>1709260046</v>
      </c>
      <c r="C2750" s="39"/>
      <c r="D2750" s="39" t="s">
        <v>10318</v>
      </c>
      <c r="E2750" s="371" t="str">
        <f t="shared" si="199"/>
        <v>よしおか　せいら</v>
      </c>
      <c r="F2750" s="39" t="s">
        <v>2505</v>
      </c>
      <c r="G2750" s="39" t="s">
        <v>7828</v>
      </c>
      <c r="H2750" s="39" t="str">
        <f>("2017/09/26")</f>
        <v>2017/09/26</v>
      </c>
      <c r="I2750" s="39">
        <v>2</v>
      </c>
      <c r="J2750" s="39" t="s">
        <v>9182</v>
      </c>
      <c r="K2750" s="39" t="s">
        <v>2122</v>
      </c>
      <c r="L2750" s="39" t="s">
        <v>7830</v>
      </c>
      <c r="M2750" s="39" t="s">
        <v>7831</v>
      </c>
      <c r="N2750" s="39" t="str">
        <f>("0129923")</f>
        <v>0129923</v>
      </c>
      <c r="P2750" s="39" t="s">
        <v>14188</v>
      </c>
      <c r="Q2750" s="39" t="s">
        <v>8568</v>
      </c>
      <c r="R2750" s="39" t="s">
        <v>8569</v>
      </c>
      <c r="S2750" s="39" t="s">
        <v>8570</v>
      </c>
      <c r="AK2750" s="39" t="str">
        <f>("2025/08/08")</f>
        <v>2025/08/08</v>
      </c>
      <c r="AL2750" s="39" t="str">
        <f>("2025/08/08")</f>
        <v>2025/08/08</v>
      </c>
    </row>
    <row r="2751" spans="1:38" x14ac:dyDescent="0.25">
      <c r="A2751" s="39" t="str">
        <f>("1709280045")</f>
        <v>1709280045</v>
      </c>
      <c r="C2751" s="39"/>
      <c r="D2751" s="39" t="s">
        <v>10319</v>
      </c>
      <c r="E2751" s="371" t="str">
        <f t="shared" si="199"/>
        <v>あだち　いおり</v>
      </c>
      <c r="F2751" s="39" t="s">
        <v>5618</v>
      </c>
      <c r="G2751" s="39" t="s">
        <v>7828</v>
      </c>
      <c r="H2751" s="39" t="str">
        <f>("2017/09/28")</f>
        <v>2017/09/28</v>
      </c>
      <c r="I2751" s="39">
        <v>2</v>
      </c>
      <c r="J2751" s="39" t="s">
        <v>1478</v>
      </c>
      <c r="K2751" s="39" t="s">
        <v>2122</v>
      </c>
      <c r="L2751" s="39" t="s">
        <v>7830</v>
      </c>
      <c r="M2751" s="39" t="s">
        <v>7831</v>
      </c>
      <c r="N2751" s="39" t="str">
        <f>("0433235")</f>
        <v>0433235</v>
      </c>
      <c r="P2751" s="39" t="s">
        <v>14189</v>
      </c>
      <c r="Q2751" s="39" t="s">
        <v>8568</v>
      </c>
      <c r="R2751" s="39" t="s">
        <v>8569</v>
      </c>
      <c r="S2751" s="39" t="s">
        <v>8570</v>
      </c>
      <c r="AK2751" s="39" t="str">
        <f>("2025/03/17")</f>
        <v>2025/03/17</v>
      </c>
      <c r="AL2751" s="39" t="str">
        <f>("2025/04/01")</f>
        <v>2025/04/01</v>
      </c>
    </row>
    <row r="2752" spans="1:38" x14ac:dyDescent="0.25">
      <c r="A2752" s="39" t="str">
        <f>("1710020041")</f>
        <v>1710020041</v>
      </c>
      <c r="C2752" s="39"/>
      <c r="D2752" s="39" t="s">
        <v>10320</v>
      </c>
      <c r="E2752" s="371" t="str">
        <f t="shared" si="199"/>
        <v>おくなが　こうせい</v>
      </c>
      <c r="F2752" s="39" t="s">
        <v>1481</v>
      </c>
      <c r="G2752" s="39" t="s">
        <v>7828</v>
      </c>
      <c r="H2752" s="39" t="str">
        <f>("2017/10/02")</f>
        <v>2017/10/02</v>
      </c>
      <c r="I2752" s="39">
        <v>2</v>
      </c>
      <c r="J2752" s="39" t="s">
        <v>1478</v>
      </c>
      <c r="K2752" s="39" t="s">
        <v>2122</v>
      </c>
      <c r="L2752" s="39" t="s">
        <v>7830</v>
      </c>
      <c r="M2752" s="39" t="s">
        <v>7831</v>
      </c>
      <c r="N2752" s="39" t="str">
        <f>("0129866")</f>
        <v>0129866</v>
      </c>
      <c r="P2752" s="39" t="s">
        <v>14190</v>
      </c>
      <c r="Q2752" s="39" t="s">
        <v>8568</v>
      </c>
      <c r="R2752" s="39" t="s">
        <v>8569</v>
      </c>
      <c r="S2752" s="39" t="s">
        <v>8570</v>
      </c>
      <c r="AK2752" s="39" t="str">
        <f>("2025/04/10")</f>
        <v>2025/04/10</v>
      </c>
      <c r="AL2752" s="39" t="str">
        <f>("2025/04/10")</f>
        <v>2025/04/10</v>
      </c>
    </row>
    <row r="2753" spans="1:38" x14ac:dyDescent="0.25">
      <c r="A2753" s="39" t="str">
        <f>("1710040009")</f>
        <v>1710040009</v>
      </c>
      <c r="C2753" s="39"/>
      <c r="D2753" s="39" t="s">
        <v>10321</v>
      </c>
      <c r="E2753" s="371" t="str">
        <f t="shared" si="199"/>
        <v>おの　あおと</v>
      </c>
      <c r="F2753" s="39" t="s">
        <v>2544</v>
      </c>
      <c r="G2753" s="39" t="s">
        <v>7828</v>
      </c>
      <c r="H2753" s="39" t="str">
        <f>("2017/10/04")</f>
        <v>2017/10/04</v>
      </c>
      <c r="I2753" s="39">
        <v>2</v>
      </c>
      <c r="J2753" s="39" t="s">
        <v>1478</v>
      </c>
      <c r="K2753" s="39" t="s">
        <v>2122</v>
      </c>
      <c r="L2753" s="39" t="s">
        <v>7830</v>
      </c>
      <c r="M2753" s="39" t="s">
        <v>7831</v>
      </c>
      <c r="N2753" s="39" t="str">
        <f>("0130644")</f>
        <v>0130644</v>
      </c>
      <c r="P2753" s="39" t="s">
        <v>12482</v>
      </c>
      <c r="Q2753" s="39" t="s">
        <v>8568</v>
      </c>
      <c r="R2753" s="39" t="s">
        <v>8569</v>
      </c>
      <c r="S2753" s="39" t="s">
        <v>8570</v>
      </c>
      <c r="AK2753" s="39" t="str">
        <f>("2025/03/17")</f>
        <v>2025/03/17</v>
      </c>
      <c r="AL2753" s="39" t="str">
        <f>("2025/04/01")</f>
        <v>2025/04/01</v>
      </c>
    </row>
    <row r="2754" spans="1:38" x14ac:dyDescent="0.25">
      <c r="A2754" s="39" t="str">
        <f>("1710040045")</f>
        <v>1710040045</v>
      </c>
      <c r="C2754" s="39"/>
      <c r="D2754" s="39" t="s">
        <v>10322</v>
      </c>
      <c r="E2754" s="371" t="str">
        <f t="shared" si="199"/>
        <v>はさば　あらた</v>
      </c>
      <c r="F2754" s="39" t="s">
        <v>1968</v>
      </c>
      <c r="G2754" s="39" t="s">
        <v>7828</v>
      </c>
      <c r="H2754" s="39" t="str">
        <f>("2017/10/04")</f>
        <v>2017/10/04</v>
      </c>
      <c r="I2754" s="39">
        <v>2</v>
      </c>
      <c r="J2754" s="39" t="s">
        <v>1478</v>
      </c>
      <c r="K2754" s="39" t="s">
        <v>2122</v>
      </c>
      <c r="L2754" s="39" t="s">
        <v>7830</v>
      </c>
      <c r="M2754" s="39" t="s">
        <v>7831</v>
      </c>
      <c r="N2754" s="39" t="str">
        <f>("0129507")</f>
        <v>0129507</v>
      </c>
      <c r="P2754" s="39" t="s">
        <v>14191</v>
      </c>
      <c r="Q2754" s="39" t="s">
        <v>8568</v>
      </c>
      <c r="R2754" s="39" t="s">
        <v>8569</v>
      </c>
      <c r="S2754" s="39" t="s">
        <v>8570</v>
      </c>
      <c r="AK2754" s="39" t="str">
        <f>("2025/08/22")</f>
        <v>2025/08/22</v>
      </c>
      <c r="AL2754" s="39" t="str">
        <f>("2025/08/22")</f>
        <v>2025/08/22</v>
      </c>
    </row>
    <row r="2755" spans="1:38" x14ac:dyDescent="0.25">
      <c r="A2755" s="39" t="str">
        <f>("1710050010")</f>
        <v>1710050010</v>
      </c>
      <c r="B2755" s="39" t="s">
        <v>10323</v>
      </c>
      <c r="C2755" s="39"/>
      <c r="D2755" s="39" t="s">
        <v>10324</v>
      </c>
      <c r="E2755" s="371" t="str">
        <f t="shared" ref="E2755:E2818" si="200">PHONETIC(P2755)</f>
        <v>かく　けいた</v>
      </c>
      <c r="F2755" s="39" t="s">
        <v>8135</v>
      </c>
      <c r="G2755" s="39" t="s">
        <v>7828</v>
      </c>
      <c r="H2755" s="39" t="str">
        <f>("2017/10/05")</f>
        <v>2017/10/05</v>
      </c>
      <c r="I2755" s="39">
        <v>2</v>
      </c>
      <c r="J2755" s="39" t="s">
        <v>1478</v>
      </c>
      <c r="K2755" s="39" t="s">
        <v>2122</v>
      </c>
      <c r="L2755" s="39" t="s">
        <v>7830</v>
      </c>
      <c r="M2755" s="39" t="s">
        <v>7831</v>
      </c>
      <c r="N2755" s="39" t="str">
        <f>("0475567")</f>
        <v>0475567</v>
      </c>
      <c r="P2755" s="39" t="s">
        <v>14192</v>
      </c>
      <c r="Q2755" s="39" t="s">
        <v>8568</v>
      </c>
      <c r="R2755" s="39" t="s">
        <v>8569</v>
      </c>
      <c r="S2755" s="39" t="s">
        <v>8570</v>
      </c>
      <c r="AK2755" s="39" t="str">
        <f>("2025/03/24")</f>
        <v>2025/03/24</v>
      </c>
      <c r="AL2755" s="39" t="str">
        <f>("2025/04/01")</f>
        <v>2025/04/01</v>
      </c>
    </row>
    <row r="2756" spans="1:38" x14ac:dyDescent="0.25">
      <c r="A2756" s="39" t="str">
        <f>("1710090017")</f>
        <v>1710090017</v>
      </c>
      <c r="C2756" s="39"/>
      <c r="D2756" s="39" t="s">
        <v>6189</v>
      </c>
      <c r="E2756" s="371" t="str">
        <f t="shared" si="200"/>
        <v>なかむら　みつき</v>
      </c>
      <c r="F2756" s="39" t="s">
        <v>3104</v>
      </c>
      <c r="G2756" s="39" t="s">
        <v>7828</v>
      </c>
      <c r="H2756" s="39" t="str">
        <f>("2017/10/09")</f>
        <v>2017/10/09</v>
      </c>
      <c r="I2756" s="39">
        <v>2</v>
      </c>
      <c r="J2756" s="39" t="s">
        <v>1478</v>
      </c>
      <c r="K2756" s="39" t="s">
        <v>2122</v>
      </c>
      <c r="L2756" s="39" t="s">
        <v>7830</v>
      </c>
      <c r="M2756" s="39" t="s">
        <v>7831</v>
      </c>
      <c r="N2756" s="39" t="str">
        <f>("1076189")</f>
        <v>1076189</v>
      </c>
      <c r="P2756" s="39" t="s">
        <v>14193</v>
      </c>
      <c r="Q2756" s="39" t="s">
        <v>8568</v>
      </c>
      <c r="R2756" s="39" t="s">
        <v>8569</v>
      </c>
      <c r="S2756" s="39" t="s">
        <v>8570</v>
      </c>
      <c r="AK2756" s="39" t="str">
        <f>("2025/03/24")</f>
        <v>2025/03/24</v>
      </c>
      <c r="AL2756" s="39" t="str">
        <f>("2025/04/01")</f>
        <v>2025/04/01</v>
      </c>
    </row>
    <row r="2757" spans="1:38" x14ac:dyDescent="0.25">
      <c r="A2757" s="39" t="str">
        <f>("1710150037")</f>
        <v>1710150037</v>
      </c>
      <c r="C2757" s="39"/>
      <c r="D2757" s="39" t="s">
        <v>10325</v>
      </c>
      <c r="E2757" s="371" t="str">
        <f t="shared" si="200"/>
        <v>おの　かいり</v>
      </c>
      <c r="F2757" s="39" t="s">
        <v>520</v>
      </c>
      <c r="G2757" s="39" t="s">
        <v>7828</v>
      </c>
      <c r="H2757" s="39" t="str">
        <f>("2017/10/15")</f>
        <v>2017/10/15</v>
      </c>
      <c r="I2757" s="39">
        <v>2</v>
      </c>
      <c r="J2757" s="39" t="s">
        <v>1478</v>
      </c>
      <c r="K2757" s="39" t="s">
        <v>2122</v>
      </c>
      <c r="L2757" s="39" t="s">
        <v>7830</v>
      </c>
      <c r="M2757" s="39" t="s">
        <v>7831</v>
      </c>
      <c r="N2757" s="39" t="str">
        <f>("0129765")</f>
        <v>0129765</v>
      </c>
      <c r="P2757" s="39" t="s">
        <v>14194</v>
      </c>
      <c r="Q2757" s="39" t="s">
        <v>8568</v>
      </c>
      <c r="R2757" s="39" t="s">
        <v>8569</v>
      </c>
      <c r="S2757" s="39" t="s">
        <v>8570</v>
      </c>
      <c r="AK2757" s="39" t="str">
        <f>("2025/09/02")</f>
        <v>2025/09/02</v>
      </c>
      <c r="AL2757" s="39" t="str">
        <f>("2025/09/02")</f>
        <v>2025/09/02</v>
      </c>
    </row>
    <row r="2758" spans="1:38" x14ac:dyDescent="0.25">
      <c r="A2758" s="39" t="str">
        <f>("1710160040")</f>
        <v>1710160040</v>
      </c>
      <c r="C2758" s="39"/>
      <c r="D2758" s="39" t="s">
        <v>10326</v>
      </c>
      <c r="E2758" s="371" t="str">
        <f t="shared" si="200"/>
        <v>たかはし　おうしろう</v>
      </c>
      <c r="F2758" s="39" t="s">
        <v>7910</v>
      </c>
      <c r="G2758" s="39" t="s">
        <v>7828</v>
      </c>
      <c r="H2758" s="39" t="str">
        <f>("2017/10/16")</f>
        <v>2017/10/16</v>
      </c>
      <c r="I2758" s="39">
        <v>2</v>
      </c>
      <c r="J2758" s="39" t="s">
        <v>1478</v>
      </c>
      <c r="K2758" s="39" t="s">
        <v>2122</v>
      </c>
      <c r="L2758" s="39" t="s">
        <v>7830</v>
      </c>
      <c r="M2758" s="39" t="s">
        <v>7831</v>
      </c>
      <c r="N2758" s="39" t="str">
        <f>("1111064")</f>
        <v>1111064</v>
      </c>
      <c r="P2758" s="39" t="s">
        <v>14195</v>
      </c>
      <c r="Q2758" s="39" t="s">
        <v>8568</v>
      </c>
      <c r="R2758" s="39" t="s">
        <v>8569</v>
      </c>
      <c r="S2758" s="39" t="s">
        <v>8570</v>
      </c>
      <c r="AK2758" s="39" t="str">
        <f>("2025/09/09")</f>
        <v>2025/09/09</v>
      </c>
      <c r="AL2758" s="39" t="str">
        <f>("2025/09/09")</f>
        <v>2025/09/09</v>
      </c>
    </row>
    <row r="2759" spans="1:38" x14ac:dyDescent="0.25">
      <c r="A2759" s="39" t="str">
        <f>("1710170034")</f>
        <v>1710170034</v>
      </c>
      <c r="C2759" s="39"/>
      <c r="D2759" s="39" t="s">
        <v>10327</v>
      </c>
      <c r="E2759" s="371" t="str">
        <f t="shared" si="200"/>
        <v>いしばし　かずき</v>
      </c>
      <c r="F2759" s="39" t="s">
        <v>5616</v>
      </c>
      <c r="G2759" s="39" t="s">
        <v>7828</v>
      </c>
      <c r="H2759" s="39" t="str">
        <f>("2017/10/17")</f>
        <v>2017/10/17</v>
      </c>
      <c r="I2759" s="39">
        <v>2</v>
      </c>
      <c r="J2759" s="39" t="s">
        <v>1478</v>
      </c>
      <c r="K2759" s="39" t="s">
        <v>2122</v>
      </c>
      <c r="L2759" s="39" t="s">
        <v>7830</v>
      </c>
      <c r="M2759" s="39" t="s">
        <v>7831</v>
      </c>
      <c r="N2759" s="39" t="str">
        <f>("0130385")</f>
        <v>0130385</v>
      </c>
      <c r="P2759" s="39" t="s">
        <v>14196</v>
      </c>
      <c r="Q2759" s="39" t="s">
        <v>8568</v>
      </c>
      <c r="R2759" s="39" t="s">
        <v>8569</v>
      </c>
      <c r="S2759" s="39" t="s">
        <v>8570</v>
      </c>
      <c r="AK2759" s="39" t="str">
        <f>("2025/05/16")</f>
        <v>2025/05/16</v>
      </c>
      <c r="AL2759" s="39" t="str">
        <f>("2025/05/16")</f>
        <v>2025/05/16</v>
      </c>
    </row>
    <row r="2760" spans="1:38" x14ac:dyDescent="0.25">
      <c r="A2760" s="39" t="str">
        <f>("1710240023")</f>
        <v>1710240023</v>
      </c>
      <c r="C2760" s="39"/>
      <c r="D2760" s="39" t="s">
        <v>10328</v>
      </c>
      <c r="E2760" s="371" t="str">
        <f t="shared" si="200"/>
        <v>みかじり　ゆな</v>
      </c>
      <c r="F2760" s="39" t="s">
        <v>5620</v>
      </c>
      <c r="G2760" s="39" t="s">
        <v>7828</v>
      </c>
      <c r="H2760" s="39" t="str">
        <f>("2017/10/24")</f>
        <v>2017/10/24</v>
      </c>
      <c r="I2760" s="39">
        <v>1</v>
      </c>
      <c r="J2760" s="39" t="s">
        <v>1480</v>
      </c>
      <c r="K2760" s="39" t="s">
        <v>2122</v>
      </c>
      <c r="L2760" s="39" t="s">
        <v>7830</v>
      </c>
      <c r="M2760" s="39" t="s">
        <v>7831</v>
      </c>
      <c r="N2760" s="39" t="str">
        <f>("1101553")</f>
        <v>1101553</v>
      </c>
      <c r="P2760" s="39" t="s">
        <v>14197</v>
      </c>
      <c r="Q2760" s="39" t="s">
        <v>8568</v>
      </c>
      <c r="R2760" s="39" t="s">
        <v>8569</v>
      </c>
      <c r="S2760" s="39" t="s">
        <v>8570</v>
      </c>
      <c r="AK2760" s="39" t="str">
        <f>("2025/03/19")</f>
        <v>2025/03/19</v>
      </c>
      <c r="AL2760" s="39" t="str">
        <f>("2025/04/01")</f>
        <v>2025/04/01</v>
      </c>
    </row>
    <row r="2761" spans="1:38" x14ac:dyDescent="0.25">
      <c r="A2761" s="39" t="str">
        <f>("1710250001")</f>
        <v>1710250001</v>
      </c>
      <c r="C2761" s="39"/>
      <c r="D2761" s="39" t="s">
        <v>10329</v>
      </c>
      <c r="E2761" s="371" t="str">
        <f t="shared" si="200"/>
        <v>ごとう　かなた</v>
      </c>
      <c r="F2761" s="39" t="s">
        <v>1239</v>
      </c>
      <c r="G2761" s="39" t="s">
        <v>7828</v>
      </c>
      <c r="H2761" s="39" t="str">
        <f>("2017/10/25")</f>
        <v>2017/10/25</v>
      </c>
      <c r="I2761" s="39">
        <v>2</v>
      </c>
      <c r="J2761" s="39" t="s">
        <v>1478</v>
      </c>
      <c r="K2761" s="39" t="s">
        <v>2122</v>
      </c>
      <c r="L2761" s="39" t="s">
        <v>7830</v>
      </c>
      <c r="M2761" s="39" t="s">
        <v>7831</v>
      </c>
      <c r="N2761" s="39" t="str">
        <f>("0129585")</f>
        <v>0129585</v>
      </c>
      <c r="P2761" s="39" t="s">
        <v>14198</v>
      </c>
      <c r="Q2761" s="39" t="s">
        <v>8568</v>
      </c>
      <c r="R2761" s="39" t="s">
        <v>8569</v>
      </c>
      <c r="S2761" s="39" t="s">
        <v>8570</v>
      </c>
      <c r="AA2761" s="39" t="s">
        <v>2122</v>
      </c>
      <c r="AB2761" s="39" t="s">
        <v>7830</v>
      </c>
      <c r="AC2761" s="39" t="s">
        <v>7831</v>
      </c>
      <c r="AD2761" s="39" t="str">
        <f>("1032147")</f>
        <v>1032147</v>
      </c>
      <c r="AE2761" s="39" t="s">
        <v>8714</v>
      </c>
      <c r="AK2761" s="39" t="str">
        <f>("2025/10/02")</f>
        <v>2025/10/02</v>
      </c>
      <c r="AL2761" s="39" t="str">
        <f>("2025/10/02")</f>
        <v>2025/10/02</v>
      </c>
    </row>
    <row r="2762" spans="1:38" x14ac:dyDescent="0.25">
      <c r="A2762" s="39" t="str">
        <f>("1710270046")</f>
        <v>1710270046</v>
      </c>
      <c r="C2762" s="39"/>
      <c r="D2762" s="39" t="s">
        <v>10330</v>
      </c>
      <c r="E2762" s="371" t="str">
        <f t="shared" si="200"/>
        <v>たなか　こう</v>
      </c>
      <c r="F2762" s="39" t="s">
        <v>2274</v>
      </c>
      <c r="G2762" s="39" t="s">
        <v>7828</v>
      </c>
      <c r="H2762" s="39" t="str">
        <f>("2017/10/27")</f>
        <v>2017/10/27</v>
      </c>
      <c r="I2762" s="39">
        <v>2</v>
      </c>
      <c r="J2762" s="39" t="s">
        <v>1478</v>
      </c>
      <c r="K2762" s="39" t="s">
        <v>2122</v>
      </c>
      <c r="L2762" s="39" t="s">
        <v>7830</v>
      </c>
      <c r="M2762" s="39" t="s">
        <v>7831</v>
      </c>
      <c r="N2762" s="39" t="str">
        <f>("0129563")</f>
        <v>0129563</v>
      </c>
      <c r="P2762" s="39" t="s">
        <v>14199</v>
      </c>
      <c r="Q2762" s="39" t="s">
        <v>8568</v>
      </c>
      <c r="R2762" s="39" t="s">
        <v>8569</v>
      </c>
      <c r="S2762" s="39" t="s">
        <v>8570</v>
      </c>
      <c r="AK2762" s="39" t="str">
        <f>("2025/09/09")</f>
        <v>2025/09/09</v>
      </c>
      <c r="AL2762" s="39" t="str">
        <f>("2025/09/09")</f>
        <v>2025/09/09</v>
      </c>
    </row>
    <row r="2763" spans="1:38" x14ac:dyDescent="0.25">
      <c r="A2763" s="39" t="str">
        <f>("1710310039")</f>
        <v>1710310039</v>
      </c>
      <c r="C2763" s="39"/>
      <c r="D2763" s="39" t="s">
        <v>10331</v>
      </c>
      <c r="E2763" s="371" t="str">
        <f t="shared" si="200"/>
        <v>いわ　じゅんたろう</v>
      </c>
      <c r="F2763" s="39" t="s">
        <v>5616</v>
      </c>
      <c r="G2763" s="39" t="s">
        <v>7828</v>
      </c>
      <c r="H2763" s="39" t="str">
        <f>("2017/10/31")</f>
        <v>2017/10/31</v>
      </c>
      <c r="I2763" s="39">
        <v>2</v>
      </c>
      <c r="J2763" s="39" t="s">
        <v>1478</v>
      </c>
      <c r="K2763" s="39" t="s">
        <v>2122</v>
      </c>
      <c r="L2763" s="39" t="s">
        <v>7830</v>
      </c>
      <c r="M2763" s="39" t="s">
        <v>7831</v>
      </c>
      <c r="N2763" s="39" t="str">
        <f>("0130385")</f>
        <v>0130385</v>
      </c>
      <c r="P2763" s="39" t="s">
        <v>14200</v>
      </c>
      <c r="Q2763" s="39" t="s">
        <v>8568</v>
      </c>
      <c r="R2763" s="39" t="s">
        <v>8569</v>
      </c>
      <c r="S2763" s="39" t="s">
        <v>8570</v>
      </c>
      <c r="AK2763" s="39" t="str">
        <f>("2025/04/11")</f>
        <v>2025/04/11</v>
      </c>
      <c r="AL2763" s="39" t="str">
        <f>("2025/04/11")</f>
        <v>2025/04/11</v>
      </c>
    </row>
    <row r="2764" spans="1:38" x14ac:dyDescent="0.25">
      <c r="A2764" s="39" t="str">
        <f>("1711100016")</f>
        <v>1711100016</v>
      </c>
      <c r="C2764" s="39"/>
      <c r="D2764" s="39" t="s">
        <v>10332</v>
      </c>
      <c r="E2764" s="371" t="str">
        <f t="shared" si="200"/>
        <v>しげいし　かほ</v>
      </c>
      <c r="F2764" s="39" t="s">
        <v>2575</v>
      </c>
      <c r="G2764" s="39" t="s">
        <v>7828</v>
      </c>
      <c r="H2764" s="39" t="str">
        <f>("2017/11/10")</f>
        <v>2017/11/10</v>
      </c>
      <c r="I2764" s="39">
        <v>2</v>
      </c>
      <c r="J2764" s="39" t="s">
        <v>1480</v>
      </c>
      <c r="K2764" s="39" t="s">
        <v>2122</v>
      </c>
      <c r="L2764" s="39" t="s">
        <v>7830</v>
      </c>
      <c r="M2764" s="39" t="s">
        <v>7831</v>
      </c>
      <c r="N2764" s="39" t="str">
        <f>("0303040")</f>
        <v>0303040</v>
      </c>
      <c r="P2764" s="39" t="s">
        <v>14201</v>
      </c>
      <c r="Q2764" s="39" t="s">
        <v>8568</v>
      </c>
      <c r="R2764" s="39" t="s">
        <v>8569</v>
      </c>
      <c r="S2764" s="39" t="s">
        <v>8570</v>
      </c>
      <c r="AK2764" s="39" t="str">
        <f>("2025/03/17")</f>
        <v>2025/03/17</v>
      </c>
      <c r="AL2764" s="39" t="str">
        <f>("2025/04/01")</f>
        <v>2025/04/01</v>
      </c>
    </row>
    <row r="2765" spans="1:38" x14ac:dyDescent="0.25">
      <c r="A2765" s="39" t="str">
        <f>("1711160029")</f>
        <v>1711160029</v>
      </c>
      <c r="C2765" s="39"/>
      <c r="D2765" s="39" t="s">
        <v>10333</v>
      </c>
      <c r="E2765" s="371" t="str">
        <f t="shared" si="200"/>
        <v>おの　さんしろう</v>
      </c>
      <c r="F2765" s="39" t="s">
        <v>2324</v>
      </c>
      <c r="G2765" s="39" t="s">
        <v>7828</v>
      </c>
      <c r="H2765" s="39" t="str">
        <f>("2017/11/16")</f>
        <v>2017/11/16</v>
      </c>
      <c r="I2765" s="39">
        <v>2</v>
      </c>
      <c r="J2765" s="39" t="s">
        <v>1478</v>
      </c>
      <c r="K2765" s="39" t="s">
        <v>2122</v>
      </c>
      <c r="L2765" s="39" t="s">
        <v>7830</v>
      </c>
      <c r="M2765" s="39" t="s">
        <v>7831</v>
      </c>
      <c r="N2765" s="39" t="str">
        <f>("0130486")</f>
        <v>0130486</v>
      </c>
      <c r="P2765" s="39" t="s">
        <v>14202</v>
      </c>
      <c r="Q2765" s="39" t="s">
        <v>8568</v>
      </c>
      <c r="R2765" s="39" t="s">
        <v>8569</v>
      </c>
      <c r="S2765" s="39" t="s">
        <v>8570</v>
      </c>
      <c r="AK2765" s="39" t="str">
        <f>("2025/03/24")</f>
        <v>2025/03/24</v>
      </c>
      <c r="AL2765" s="39" t="str">
        <f>("2025/04/01")</f>
        <v>2025/04/01</v>
      </c>
    </row>
    <row r="2766" spans="1:38" x14ac:dyDescent="0.25">
      <c r="A2766" s="39" t="str">
        <f>("1711170043")</f>
        <v>1711170043</v>
      </c>
      <c r="C2766" s="39"/>
      <c r="D2766" s="39" t="s">
        <v>10334</v>
      </c>
      <c r="E2766" s="371" t="str">
        <f t="shared" si="200"/>
        <v>いわお　ゆう</v>
      </c>
      <c r="F2766" s="39" t="s">
        <v>2821</v>
      </c>
      <c r="G2766" s="39" t="s">
        <v>7828</v>
      </c>
      <c r="H2766" s="39" t="str">
        <f>("2017/11/17")</f>
        <v>2017/11/17</v>
      </c>
      <c r="I2766" s="39">
        <v>2</v>
      </c>
      <c r="J2766" s="39" t="s">
        <v>1478</v>
      </c>
      <c r="K2766" s="39" t="s">
        <v>2122</v>
      </c>
      <c r="L2766" s="39" t="s">
        <v>7830</v>
      </c>
      <c r="M2766" s="39" t="s">
        <v>7831</v>
      </c>
      <c r="N2766" s="39" t="str">
        <f>("0237631")</f>
        <v>0237631</v>
      </c>
      <c r="P2766" s="39" t="s">
        <v>14203</v>
      </c>
      <c r="Q2766" s="39" t="s">
        <v>8568</v>
      </c>
      <c r="R2766" s="39" t="s">
        <v>8569</v>
      </c>
      <c r="S2766" s="39" t="s">
        <v>8570</v>
      </c>
      <c r="AK2766" s="39" t="str">
        <f>("2025/07/24")</f>
        <v>2025/07/24</v>
      </c>
      <c r="AL2766" s="39" t="str">
        <f>("2025/07/24")</f>
        <v>2025/07/24</v>
      </c>
    </row>
    <row r="2767" spans="1:38" x14ac:dyDescent="0.25">
      <c r="A2767" s="39" t="str">
        <f>("1711180028")</f>
        <v>1711180028</v>
      </c>
      <c r="C2767" s="39"/>
      <c r="D2767" s="39" t="s">
        <v>10335</v>
      </c>
      <c r="E2767" s="371" t="str">
        <f t="shared" si="200"/>
        <v>ごとう　ゆいと</v>
      </c>
      <c r="F2767" s="39" t="s">
        <v>1158</v>
      </c>
      <c r="G2767" s="39" t="s">
        <v>7828</v>
      </c>
      <c r="H2767" s="39" t="str">
        <f>("2017/11/18")</f>
        <v>2017/11/18</v>
      </c>
      <c r="I2767" s="39">
        <v>2</v>
      </c>
      <c r="J2767" s="39" t="s">
        <v>1478</v>
      </c>
      <c r="K2767" s="39" t="s">
        <v>2122</v>
      </c>
      <c r="L2767" s="39" t="s">
        <v>7830</v>
      </c>
      <c r="M2767" s="39" t="s">
        <v>7831</v>
      </c>
      <c r="N2767" s="39" t="str">
        <f>("0130318")</f>
        <v>0130318</v>
      </c>
      <c r="P2767" s="39" t="s">
        <v>14204</v>
      </c>
      <c r="Q2767" s="39" t="s">
        <v>8568</v>
      </c>
      <c r="R2767" s="39" t="s">
        <v>8569</v>
      </c>
      <c r="S2767" s="39" t="s">
        <v>8570</v>
      </c>
      <c r="AK2767" s="39" t="str">
        <f>("2025/08/25")</f>
        <v>2025/08/25</v>
      </c>
      <c r="AL2767" s="39" t="str">
        <f>("2025/08/25")</f>
        <v>2025/08/25</v>
      </c>
    </row>
    <row r="2768" spans="1:38" x14ac:dyDescent="0.25">
      <c r="A2768" s="39" t="str">
        <f>("1711200017")</f>
        <v>1711200017</v>
      </c>
      <c r="C2768" s="39"/>
      <c r="D2768" s="39" t="s">
        <v>10336</v>
      </c>
      <c r="E2768" s="371" t="str">
        <f t="shared" si="200"/>
        <v>さとう　りょうた</v>
      </c>
      <c r="F2768" s="39" t="s">
        <v>2516</v>
      </c>
      <c r="G2768" s="39" t="s">
        <v>7828</v>
      </c>
      <c r="H2768" s="39" t="str">
        <f>("2017/11/20")</f>
        <v>2017/11/20</v>
      </c>
      <c r="I2768" s="39">
        <v>3</v>
      </c>
      <c r="J2768" s="39" t="s">
        <v>1478</v>
      </c>
      <c r="K2768" s="39" t="s">
        <v>2122</v>
      </c>
      <c r="L2768" s="39" t="s">
        <v>7830</v>
      </c>
      <c r="M2768" s="39" t="s">
        <v>7831</v>
      </c>
      <c r="N2768" s="39" t="str">
        <f>("0130116")</f>
        <v>0130116</v>
      </c>
      <c r="P2768" s="39" t="s">
        <v>14205</v>
      </c>
      <c r="Q2768" s="39" t="s">
        <v>8568</v>
      </c>
      <c r="R2768" s="39" t="s">
        <v>8569</v>
      </c>
      <c r="S2768" s="39" t="s">
        <v>8570</v>
      </c>
      <c r="AK2768" s="39" t="str">
        <f>("2025/03/25")</f>
        <v>2025/03/25</v>
      </c>
      <c r="AL2768" s="39" t="str">
        <f>("2025/04/01")</f>
        <v>2025/04/01</v>
      </c>
    </row>
    <row r="2769" spans="1:39" x14ac:dyDescent="0.25">
      <c r="A2769" s="39" t="str">
        <f>("1711200029")</f>
        <v>1711200029</v>
      </c>
      <c r="C2769" s="39"/>
      <c r="D2769" s="39" t="s">
        <v>10337</v>
      </c>
      <c r="E2769" s="371" t="str">
        <f t="shared" si="200"/>
        <v>とね　みなみ</v>
      </c>
      <c r="F2769" s="39" t="s">
        <v>2544</v>
      </c>
      <c r="G2769" s="39" t="s">
        <v>7828</v>
      </c>
      <c r="H2769" s="39" t="str">
        <f>("2017/11/20")</f>
        <v>2017/11/20</v>
      </c>
      <c r="I2769" s="39">
        <v>2</v>
      </c>
      <c r="J2769" s="39" t="s">
        <v>1478</v>
      </c>
      <c r="K2769" s="39" t="s">
        <v>2122</v>
      </c>
      <c r="L2769" s="39" t="s">
        <v>7830</v>
      </c>
      <c r="M2769" s="39" t="s">
        <v>7831</v>
      </c>
      <c r="N2769" s="39" t="str">
        <f>("0130644")</f>
        <v>0130644</v>
      </c>
      <c r="P2769" s="39" t="s">
        <v>14206</v>
      </c>
      <c r="Q2769" s="39" t="s">
        <v>8568</v>
      </c>
      <c r="R2769" s="39" t="s">
        <v>8569</v>
      </c>
      <c r="S2769" s="39" t="s">
        <v>8570</v>
      </c>
      <c r="AK2769" s="39" t="str">
        <f>("2025/03/17")</f>
        <v>2025/03/17</v>
      </c>
      <c r="AL2769" s="39" t="str">
        <f>("2025/04/01")</f>
        <v>2025/04/01</v>
      </c>
    </row>
    <row r="2770" spans="1:39" x14ac:dyDescent="0.25">
      <c r="A2770" s="39" t="str">
        <f>("1711240011")</f>
        <v>1711240011</v>
      </c>
      <c r="B2770" s="39" t="s">
        <v>10338</v>
      </c>
      <c r="C2770" s="39"/>
      <c r="D2770" s="39" t="s">
        <v>10339</v>
      </c>
      <c r="E2770" s="371" t="str">
        <f t="shared" si="200"/>
        <v>さめじま　つぐみ</v>
      </c>
      <c r="F2770" s="39" t="s">
        <v>8135</v>
      </c>
      <c r="G2770" s="39" t="s">
        <v>7828</v>
      </c>
      <c r="H2770" s="39" t="str">
        <f>("2017/11/24")</f>
        <v>2017/11/24</v>
      </c>
      <c r="I2770" s="39">
        <v>2</v>
      </c>
      <c r="J2770" s="39" t="s">
        <v>1480</v>
      </c>
      <c r="K2770" s="39" t="s">
        <v>2122</v>
      </c>
      <c r="L2770" s="39" t="s">
        <v>7830</v>
      </c>
      <c r="M2770" s="39" t="s">
        <v>7831</v>
      </c>
      <c r="N2770" s="39" t="str">
        <f>("0475567")</f>
        <v>0475567</v>
      </c>
      <c r="P2770" s="39" t="s">
        <v>14207</v>
      </c>
      <c r="Q2770" s="39" t="s">
        <v>8568</v>
      </c>
      <c r="R2770" s="39" t="s">
        <v>8569</v>
      </c>
      <c r="S2770" s="39" t="s">
        <v>8570</v>
      </c>
      <c r="AK2770" s="39" t="str">
        <f>("2025/03/24")</f>
        <v>2025/03/24</v>
      </c>
      <c r="AL2770" s="39" t="str">
        <f>("2025/04/01")</f>
        <v>2025/04/01</v>
      </c>
    </row>
    <row r="2771" spans="1:39" x14ac:dyDescent="0.25">
      <c r="A2771" s="39" t="str">
        <f>("1711240025")</f>
        <v>1711240025</v>
      </c>
      <c r="C2771" s="39"/>
      <c r="D2771" s="39" t="s">
        <v>10340</v>
      </c>
      <c r="E2771" s="371" t="str">
        <f t="shared" si="200"/>
        <v>おおくら　かなた</v>
      </c>
      <c r="F2771" s="39" t="s">
        <v>2324</v>
      </c>
      <c r="G2771" s="39" t="s">
        <v>7828</v>
      </c>
      <c r="H2771" s="39" t="str">
        <f>("2017/11/24")</f>
        <v>2017/11/24</v>
      </c>
      <c r="I2771" s="39">
        <v>2</v>
      </c>
      <c r="J2771" s="39" t="s">
        <v>1478</v>
      </c>
      <c r="K2771" s="39" t="s">
        <v>2122</v>
      </c>
      <c r="L2771" s="39" t="s">
        <v>7830</v>
      </c>
      <c r="M2771" s="39" t="s">
        <v>7831</v>
      </c>
      <c r="N2771" s="39" t="str">
        <f>("0130486")</f>
        <v>0130486</v>
      </c>
      <c r="P2771" s="39" t="s">
        <v>14208</v>
      </c>
      <c r="Q2771" s="39" t="s">
        <v>8568</v>
      </c>
      <c r="R2771" s="39" t="s">
        <v>8569</v>
      </c>
      <c r="S2771" s="39" t="s">
        <v>8570</v>
      </c>
      <c r="AK2771" s="39" t="str">
        <f>("2025/03/24")</f>
        <v>2025/03/24</v>
      </c>
      <c r="AL2771" s="39" t="str">
        <f>("2025/04/01")</f>
        <v>2025/04/01</v>
      </c>
    </row>
    <row r="2772" spans="1:39" x14ac:dyDescent="0.25">
      <c r="A2772" s="39" t="str">
        <f>("1711260008")</f>
        <v>1711260008</v>
      </c>
      <c r="C2772" s="39"/>
      <c r="D2772" s="39" t="s">
        <v>10341</v>
      </c>
      <c r="E2772" s="371" t="str">
        <f t="shared" si="200"/>
        <v>なかしま　りね</v>
      </c>
      <c r="F2772" s="39" t="s">
        <v>2918</v>
      </c>
      <c r="G2772" s="39" t="s">
        <v>7876</v>
      </c>
      <c r="H2772" s="39" t="str">
        <f>("2017/11/26")</f>
        <v>2017/11/26</v>
      </c>
      <c r="I2772" s="39">
        <v>2</v>
      </c>
      <c r="J2772" s="39" t="s">
        <v>1480</v>
      </c>
      <c r="K2772" s="39" t="s">
        <v>2122</v>
      </c>
      <c r="L2772" s="39" t="s">
        <v>7830</v>
      </c>
      <c r="M2772" s="39" t="s">
        <v>7831</v>
      </c>
      <c r="N2772" s="39" t="str">
        <f>("0129912")</f>
        <v>0129912</v>
      </c>
      <c r="P2772" s="39" t="s">
        <v>14209</v>
      </c>
      <c r="Q2772" s="39" t="s">
        <v>8568</v>
      </c>
      <c r="R2772" s="39" t="s">
        <v>8569</v>
      </c>
      <c r="S2772" s="39" t="s">
        <v>8570</v>
      </c>
      <c r="AK2772" s="39" t="str">
        <f>("2025/03/17")</f>
        <v>2025/03/17</v>
      </c>
      <c r="AL2772" s="39" t="str">
        <f>("2025/04/01")</f>
        <v>2025/04/01</v>
      </c>
      <c r="AM2772" s="39" t="str">
        <f>("2025/10/10")</f>
        <v>2025/10/10</v>
      </c>
    </row>
    <row r="2773" spans="1:39" x14ac:dyDescent="0.25">
      <c r="A2773" s="39" t="str">
        <f>("1711300029")</f>
        <v>1711300029</v>
      </c>
      <c r="C2773" s="39"/>
      <c r="D2773" s="39" t="s">
        <v>10342</v>
      </c>
      <c r="E2773" s="371" t="str">
        <f t="shared" si="200"/>
        <v>たかしま　そう</v>
      </c>
      <c r="F2773" s="39" t="s">
        <v>639</v>
      </c>
      <c r="G2773" s="39" t="s">
        <v>7828</v>
      </c>
      <c r="H2773" s="39" t="str">
        <f>("2017/11/30")</f>
        <v>2017/11/30</v>
      </c>
      <c r="I2773" s="39">
        <v>2</v>
      </c>
      <c r="J2773" s="39" t="s">
        <v>1478</v>
      </c>
      <c r="K2773" s="39" t="s">
        <v>2122</v>
      </c>
      <c r="L2773" s="39" t="s">
        <v>7830</v>
      </c>
      <c r="M2773" s="39" t="s">
        <v>7831</v>
      </c>
      <c r="N2773" s="39" t="str">
        <f>("0130633")</f>
        <v>0130633</v>
      </c>
      <c r="P2773" s="39" t="s">
        <v>14210</v>
      </c>
      <c r="Q2773" s="39" t="s">
        <v>8568</v>
      </c>
      <c r="R2773" s="39" t="s">
        <v>8569</v>
      </c>
      <c r="S2773" s="39" t="s">
        <v>8570</v>
      </c>
      <c r="AK2773" s="39" t="str">
        <f>("2025/08/07")</f>
        <v>2025/08/07</v>
      </c>
      <c r="AL2773" s="39" t="str">
        <f>("2025/08/07")</f>
        <v>2025/08/07</v>
      </c>
    </row>
    <row r="2774" spans="1:39" x14ac:dyDescent="0.25">
      <c r="A2774" s="39" t="str">
        <f>("1712010020")</f>
        <v>1712010020</v>
      </c>
      <c r="C2774" s="39"/>
      <c r="D2774" s="39" t="s">
        <v>10343</v>
      </c>
      <c r="E2774" s="371" t="str">
        <f t="shared" si="200"/>
        <v>しばた　しゅい</v>
      </c>
      <c r="F2774" s="39" t="s">
        <v>5619</v>
      </c>
      <c r="G2774" s="39" t="s">
        <v>7828</v>
      </c>
      <c r="H2774" s="39" t="str">
        <f>("2017/12/01")</f>
        <v>2017/12/01</v>
      </c>
      <c r="I2774" s="39">
        <v>2</v>
      </c>
      <c r="J2774" s="39" t="s">
        <v>1478</v>
      </c>
      <c r="K2774" s="39" t="s">
        <v>2122</v>
      </c>
      <c r="L2774" s="39" t="s">
        <v>7830</v>
      </c>
      <c r="M2774" s="39" t="s">
        <v>7831</v>
      </c>
      <c r="N2774" s="39" t="str">
        <f>("1089004")</f>
        <v>1089004</v>
      </c>
      <c r="P2774" s="39" t="s">
        <v>14211</v>
      </c>
      <c r="Q2774" s="39" t="s">
        <v>8568</v>
      </c>
      <c r="R2774" s="39" t="s">
        <v>8569</v>
      </c>
      <c r="S2774" s="39" t="s">
        <v>8570</v>
      </c>
      <c r="AK2774" s="39" t="str">
        <f>("2025/03/27")</f>
        <v>2025/03/27</v>
      </c>
      <c r="AL2774" s="39" t="str">
        <f>("2025/04/01")</f>
        <v>2025/04/01</v>
      </c>
    </row>
    <row r="2775" spans="1:39" x14ac:dyDescent="0.25">
      <c r="A2775" s="39" t="str">
        <f>("1712010036")</f>
        <v>1712010036</v>
      </c>
      <c r="C2775" s="39"/>
      <c r="D2775" s="39" t="s">
        <v>10344</v>
      </c>
      <c r="E2775" s="371" t="str">
        <f t="shared" si="200"/>
        <v>くまい　ゆうと</v>
      </c>
      <c r="F2775" s="39" t="s">
        <v>1082</v>
      </c>
      <c r="G2775" s="39" t="s">
        <v>7828</v>
      </c>
      <c r="H2775" s="39" t="str">
        <f>("2017/12/01")</f>
        <v>2017/12/01</v>
      </c>
      <c r="I2775" s="39">
        <v>2</v>
      </c>
      <c r="J2775" s="39" t="s">
        <v>1478</v>
      </c>
      <c r="K2775" s="39" t="s">
        <v>2122</v>
      </c>
      <c r="L2775" s="39" t="s">
        <v>7830</v>
      </c>
      <c r="M2775" s="39" t="s">
        <v>7831</v>
      </c>
      <c r="N2775" s="39" t="str">
        <f>("0450009")</f>
        <v>0450009</v>
      </c>
      <c r="P2775" s="39" t="s">
        <v>14212</v>
      </c>
      <c r="Q2775" s="39" t="s">
        <v>8568</v>
      </c>
      <c r="R2775" s="39" t="s">
        <v>8569</v>
      </c>
      <c r="S2775" s="39" t="s">
        <v>8570</v>
      </c>
      <c r="AK2775" s="39" t="str">
        <f>("2025/07/09")</f>
        <v>2025/07/09</v>
      </c>
      <c r="AL2775" s="39" t="str">
        <f>("2025/07/09")</f>
        <v>2025/07/09</v>
      </c>
    </row>
    <row r="2776" spans="1:39" x14ac:dyDescent="0.25">
      <c r="A2776" s="39" t="str">
        <f>("1712020001")</f>
        <v>1712020001</v>
      </c>
      <c r="C2776" s="39"/>
      <c r="D2776" s="39" t="s">
        <v>10345</v>
      </c>
      <c r="E2776" s="371" t="str">
        <f t="shared" si="200"/>
        <v>おがえり　はやと</v>
      </c>
      <c r="F2776" s="39" t="s">
        <v>2878</v>
      </c>
      <c r="G2776" s="39" t="s">
        <v>7828</v>
      </c>
      <c r="H2776" s="39" t="str">
        <f>("2015/12/02")</f>
        <v>2015/12/02</v>
      </c>
      <c r="I2776" s="39">
        <v>4</v>
      </c>
      <c r="J2776" s="39" t="s">
        <v>1478</v>
      </c>
      <c r="K2776" s="39" t="s">
        <v>2122</v>
      </c>
      <c r="L2776" s="39" t="s">
        <v>7830</v>
      </c>
      <c r="M2776" s="39" t="s">
        <v>7831</v>
      </c>
      <c r="N2776" s="39" t="str">
        <f>("0129484")</f>
        <v>0129484</v>
      </c>
      <c r="P2776" s="39" t="s">
        <v>14213</v>
      </c>
      <c r="Q2776" s="39" t="s">
        <v>8568</v>
      </c>
      <c r="R2776" s="39" t="s">
        <v>8569</v>
      </c>
      <c r="S2776" s="39" t="s">
        <v>8570</v>
      </c>
      <c r="AK2776" s="39" t="str">
        <f>("2025/03/17")</f>
        <v>2025/03/17</v>
      </c>
      <c r="AL2776" s="39" t="str">
        <f>("2025/04/01")</f>
        <v>2025/04/01</v>
      </c>
    </row>
    <row r="2777" spans="1:39" x14ac:dyDescent="0.25">
      <c r="A2777" s="39" t="str">
        <f>("1712020016")</f>
        <v>1712020016</v>
      </c>
      <c r="C2777" s="39"/>
      <c r="D2777" s="39" t="s">
        <v>10346</v>
      </c>
      <c r="E2777" s="371" t="str">
        <f t="shared" si="200"/>
        <v>みぞべ　とおば</v>
      </c>
      <c r="F2777" s="39" t="s">
        <v>5619</v>
      </c>
      <c r="G2777" s="39" t="s">
        <v>7828</v>
      </c>
      <c r="H2777" s="39" t="str">
        <f>("2017/12/02")</f>
        <v>2017/12/02</v>
      </c>
      <c r="I2777" s="39">
        <v>2</v>
      </c>
      <c r="J2777" s="39" t="s">
        <v>1478</v>
      </c>
      <c r="K2777" s="39" t="s">
        <v>2122</v>
      </c>
      <c r="L2777" s="39" t="s">
        <v>7830</v>
      </c>
      <c r="M2777" s="39" t="s">
        <v>7831</v>
      </c>
      <c r="N2777" s="39" t="str">
        <f>("1089004")</f>
        <v>1089004</v>
      </c>
      <c r="P2777" s="39" t="s">
        <v>14214</v>
      </c>
      <c r="Q2777" s="39" t="s">
        <v>8568</v>
      </c>
      <c r="R2777" s="39" t="s">
        <v>8569</v>
      </c>
      <c r="S2777" s="39" t="s">
        <v>8570</v>
      </c>
      <c r="AK2777" s="39" t="str">
        <f>("2025/04/22")</f>
        <v>2025/04/22</v>
      </c>
      <c r="AL2777" s="39" t="str">
        <f>("2025/04/22")</f>
        <v>2025/04/22</v>
      </c>
    </row>
    <row r="2778" spans="1:39" x14ac:dyDescent="0.25">
      <c r="A2778" s="39" t="str">
        <f>("1712080045")</f>
        <v>1712080045</v>
      </c>
      <c r="C2778" s="39"/>
      <c r="D2778" s="39" t="s">
        <v>10347</v>
      </c>
      <c r="E2778" s="371" t="str">
        <f t="shared" si="200"/>
        <v>あきよし　はると</v>
      </c>
      <c r="F2778" s="39" t="s">
        <v>2651</v>
      </c>
      <c r="G2778" s="39" t="s">
        <v>7828</v>
      </c>
      <c r="H2778" s="39" t="str">
        <f>("2017/12/08")</f>
        <v>2017/12/08</v>
      </c>
      <c r="I2778" s="39">
        <v>2</v>
      </c>
      <c r="J2778" s="39" t="s">
        <v>1478</v>
      </c>
      <c r="K2778" s="39" t="s">
        <v>2122</v>
      </c>
      <c r="L2778" s="39" t="s">
        <v>7830</v>
      </c>
      <c r="M2778" s="39" t="s">
        <v>7831</v>
      </c>
      <c r="N2778" s="39" t="str">
        <f>("1067415")</f>
        <v>1067415</v>
      </c>
      <c r="P2778" s="39" t="s">
        <v>14215</v>
      </c>
      <c r="Q2778" s="39" t="s">
        <v>8568</v>
      </c>
      <c r="R2778" s="39" t="s">
        <v>8569</v>
      </c>
      <c r="S2778" s="39" t="s">
        <v>8570</v>
      </c>
      <c r="AK2778" s="39" t="str">
        <f>("2025/09/04")</f>
        <v>2025/09/04</v>
      </c>
      <c r="AL2778" s="39" t="str">
        <f>("2025/09/04")</f>
        <v>2025/09/04</v>
      </c>
    </row>
    <row r="2779" spans="1:39" x14ac:dyDescent="0.25">
      <c r="A2779" s="39" t="str">
        <f>("1712120040")</f>
        <v>1712120040</v>
      </c>
      <c r="C2779" s="39"/>
      <c r="D2779" s="39" t="s">
        <v>10348</v>
      </c>
      <c r="E2779" s="371" t="str">
        <f t="shared" si="200"/>
        <v>こてがわ　たお</v>
      </c>
      <c r="F2779" s="39" t="s">
        <v>156</v>
      </c>
      <c r="G2779" s="39" t="s">
        <v>7828</v>
      </c>
      <c r="H2779" s="39" t="str">
        <f>("2017/12/12")</f>
        <v>2017/12/12</v>
      </c>
      <c r="I2779" s="39">
        <v>2</v>
      </c>
      <c r="J2779" s="39" t="s">
        <v>1478</v>
      </c>
      <c r="K2779" s="39" t="s">
        <v>2122</v>
      </c>
      <c r="L2779" s="39" t="s">
        <v>7830</v>
      </c>
      <c r="M2779" s="39" t="s">
        <v>7831</v>
      </c>
      <c r="N2779" s="39" t="str">
        <f>("0130037")</f>
        <v>0130037</v>
      </c>
      <c r="P2779" s="39" t="s">
        <v>14216</v>
      </c>
      <c r="Q2779" s="39" t="s">
        <v>8568</v>
      </c>
      <c r="R2779" s="39" t="s">
        <v>8569</v>
      </c>
      <c r="S2779" s="39" t="s">
        <v>8570</v>
      </c>
      <c r="AK2779" s="39" t="str">
        <f>("2025/05/09")</f>
        <v>2025/05/09</v>
      </c>
      <c r="AL2779" s="39" t="str">
        <f>("2025/05/09")</f>
        <v>2025/05/09</v>
      </c>
    </row>
    <row r="2780" spans="1:39" x14ac:dyDescent="0.25">
      <c r="A2780" s="39" t="str">
        <f>("1712190012")</f>
        <v>1712190012</v>
      </c>
      <c r="C2780" s="39"/>
      <c r="D2780" s="39" t="s">
        <v>10349</v>
      </c>
      <c r="E2780" s="371" t="str">
        <f t="shared" si="200"/>
        <v>ふくみつ　ひろと</v>
      </c>
      <c r="F2780" s="39" t="s">
        <v>639</v>
      </c>
      <c r="G2780" s="39" t="s">
        <v>7828</v>
      </c>
      <c r="H2780" s="39" t="str">
        <f>("2017/12/19")</f>
        <v>2017/12/19</v>
      </c>
      <c r="I2780" s="39">
        <v>2</v>
      </c>
      <c r="J2780" s="39" t="s">
        <v>1478</v>
      </c>
      <c r="K2780" s="39" t="s">
        <v>2122</v>
      </c>
      <c r="L2780" s="39" t="s">
        <v>7830</v>
      </c>
      <c r="M2780" s="39" t="s">
        <v>7831</v>
      </c>
      <c r="N2780" s="39" t="str">
        <f>("0130633")</f>
        <v>0130633</v>
      </c>
      <c r="P2780" s="39" t="s">
        <v>14217</v>
      </c>
      <c r="Q2780" s="39" t="s">
        <v>8568</v>
      </c>
      <c r="R2780" s="39" t="s">
        <v>8569</v>
      </c>
      <c r="S2780" s="39" t="s">
        <v>8570</v>
      </c>
      <c r="AK2780" s="39" t="str">
        <f>("2025/03/17")</f>
        <v>2025/03/17</v>
      </c>
      <c r="AL2780" s="39" t="str">
        <f>("2025/04/01")</f>
        <v>2025/04/01</v>
      </c>
    </row>
    <row r="2781" spans="1:39" x14ac:dyDescent="0.25">
      <c r="A2781" s="39" t="str">
        <f>("1712290025")</f>
        <v>1712290025</v>
      </c>
      <c r="C2781" s="39"/>
      <c r="D2781" s="39" t="s">
        <v>10350</v>
      </c>
      <c r="E2781" s="371" t="str">
        <f t="shared" si="200"/>
        <v>みずえ　たいすけ</v>
      </c>
      <c r="F2781" s="39" t="s">
        <v>1977</v>
      </c>
      <c r="G2781" s="39" t="s">
        <v>7828</v>
      </c>
      <c r="H2781" s="39" t="str">
        <f>("2017/12/29")</f>
        <v>2017/12/29</v>
      </c>
      <c r="I2781" s="39">
        <v>2</v>
      </c>
      <c r="J2781" s="39" t="s">
        <v>1478</v>
      </c>
      <c r="K2781" s="39" t="s">
        <v>2122</v>
      </c>
      <c r="L2781" s="39" t="s">
        <v>7830</v>
      </c>
      <c r="M2781" s="39" t="s">
        <v>7831</v>
      </c>
      <c r="N2781" s="39" t="str">
        <f>("0395254")</f>
        <v>0395254</v>
      </c>
      <c r="P2781" s="39" t="s">
        <v>14218</v>
      </c>
      <c r="Q2781" s="39" t="s">
        <v>8568</v>
      </c>
      <c r="R2781" s="39" t="s">
        <v>8569</v>
      </c>
      <c r="S2781" s="39" t="s">
        <v>8570</v>
      </c>
      <c r="AK2781" s="39" t="str">
        <f>("2025/08/12")</f>
        <v>2025/08/12</v>
      </c>
      <c r="AL2781" s="39" t="str">
        <f>("2025/08/12")</f>
        <v>2025/08/12</v>
      </c>
    </row>
    <row r="2782" spans="1:39" x14ac:dyDescent="0.25">
      <c r="A2782" s="39" t="str">
        <f>("1801010027")</f>
        <v>1801010027</v>
      </c>
      <c r="C2782" s="39"/>
      <c r="D2782" s="39" t="s">
        <v>10351</v>
      </c>
      <c r="E2782" s="371" t="str">
        <f t="shared" si="200"/>
        <v>むかい　りく</v>
      </c>
      <c r="F2782" s="39" t="s">
        <v>2024</v>
      </c>
      <c r="G2782" s="39" t="s">
        <v>7876</v>
      </c>
      <c r="H2782" s="39" t="str">
        <f>("2018/01/01")</f>
        <v>2018/01/01</v>
      </c>
      <c r="I2782" s="39">
        <v>2</v>
      </c>
      <c r="J2782" s="39" t="s">
        <v>1478</v>
      </c>
      <c r="K2782" s="39" t="s">
        <v>2122</v>
      </c>
      <c r="L2782" s="39" t="s">
        <v>7830</v>
      </c>
      <c r="M2782" s="39" t="s">
        <v>7831</v>
      </c>
      <c r="N2782" s="39" t="str">
        <f>("0130475")</f>
        <v>0130475</v>
      </c>
      <c r="P2782" s="39" t="s">
        <v>14219</v>
      </c>
      <c r="Q2782" s="39" t="s">
        <v>8568</v>
      </c>
      <c r="R2782" s="39" t="s">
        <v>8569</v>
      </c>
      <c r="S2782" s="39" t="s">
        <v>8570</v>
      </c>
      <c r="AK2782" s="39" t="str">
        <f>("2025/06/10")</f>
        <v>2025/06/10</v>
      </c>
      <c r="AL2782" s="39" t="str">
        <f>("2025/06/10")</f>
        <v>2025/06/10</v>
      </c>
      <c r="AM2782" s="39" t="str">
        <f>("2025/12/23")</f>
        <v>2025/12/23</v>
      </c>
    </row>
    <row r="2783" spans="1:39" x14ac:dyDescent="0.25">
      <c r="A2783" s="39" t="str">
        <f>("1801020007")</f>
        <v>1801020007</v>
      </c>
      <c r="C2783" s="39"/>
      <c r="D2783" s="39" t="s">
        <v>5925</v>
      </c>
      <c r="E2783" s="371" t="str">
        <f t="shared" si="200"/>
        <v>くわはら　はんた</v>
      </c>
      <c r="F2783" s="39" t="s">
        <v>2422</v>
      </c>
      <c r="G2783" s="39" t="s">
        <v>7828</v>
      </c>
      <c r="H2783" s="39" t="str">
        <f>("2018/01/02")</f>
        <v>2018/01/02</v>
      </c>
      <c r="I2783" s="39">
        <v>2</v>
      </c>
      <c r="J2783" s="39" t="s">
        <v>1478</v>
      </c>
      <c r="K2783" s="39" t="s">
        <v>2122</v>
      </c>
      <c r="L2783" s="39" t="s">
        <v>7830</v>
      </c>
      <c r="M2783" s="39" t="s">
        <v>7831</v>
      </c>
      <c r="N2783" s="39" t="str">
        <f>("0130699")</f>
        <v>0130699</v>
      </c>
      <c r="P2783" s="39" t="s">
        <v>14220</v>
      </c>
      <c r="Q2783" s="39" t="s">
        <v>8568</v>
      </c>
      <c r="R2783" s="39" t="s">
        <v>8569</v>
      </c>
      <c r="S2783" s="39" t="s">
        <v>8570</v>
      </c>
      <c r="AK2783" s="39" t="str">
        <f>("2025/03/17")</f>
        <v>2025/03/17</v>
      </c>
      <c r="AL2783" s="39" t="str">
        <f>("2025/04/01")</f>
        <v>2025/04/01</v>
      </c>
    </row>
    <row r="2784" spans="1:39" x14ac:dyDescent="0.25">
      <c r="A2784" s="39" t="str">
        <f>("1801030005")</f>
        <v>1801030005</v>
      </c>
      <c r="C2784" s="39"/>
      <c r="D2784" s="39" t="s">
        <v>10352</v>
      </c>
      <c r="E2784" s="371" t="str">
        <f t="shared" si="200"/>
        <v>たけはら　ことね</v>
      </c>
      <c r="F2784" s="39" t="s">
        <v>8135</v>
      </c>
      <c r="G2784" s="39" t="s">
        <v>7828</v>
      </c>
      <c r="H2784" s="39" t="str">
        <f>("2018/01/03")</f>
        <v>2018/01/03</v>
      </c>
      <c r="I2784" s="39">
        <v>2</v>
      </c>
      <c r="J2784" s="39" t="s">
        <v>1480</v>
      </c>
      <c r="K2784" s="39" t="s">
        <v>2122</v>
      </c>
      <c r="L2784" s="39" t="s">
        <v>7830</v>
      </c>
      <c r="M2784" s="39" t="s">
        <v>7831</v>
      </c>
      <c r="N2784" s="39" t="str">
        <f>("0475567")</f>
        <v>0475567</v>
      </c>
      <c r="P2784" s="39" t="s">
        <v>14221</v>
      </c>
      <c r="Q2784" s="39" t="s">
        <v>8568</v>
      </c>
      <c r="R2784" s="39" t="s">
        <v>8569</v>
      </c>
      <c r="S2784" s="39" t="s">
        <v>8570</v>
      </c>
      <c r="AK2784" s="39" t="str">
        <f>("2025/03/24")</f>
        <v>2025/03/24</v>
      </c>
      <c r="AL2784" s="39" t="str">
        <f>("2025/04/01")</f>
        <v>2025/04/01</v>
      </c>
    </row>
    <row r="2785" spans="1:39" x14ac:dyDescent="0.25">
      <c r="A2785" s="39" t="str">
        <f>("1801080023")</f>
        <v>1801080023</v>
      </c>
      <c r="C2785" s="39"/>
      <c r="D2785" s="39" t="s">
        <v>10353</v>
      </c>
      <c r="E2785" s="371" t="str">
        <f t="shared" si="200"/>
        <v>うるま　そうし</v>
      </c>
      <c r="F2785" s="39" t="s">
        <v>1014</v>
      </c>
      <c r="G2785" s="39" t="s">
        <v>7828</v>
      </c>
      <c r="H2785" s="39" t="str">
        <f>("2018/01/08")</f>
        <v>2018/01/08</v>
      </c>
      <c r="I2785" s="39">
        <v>2</v>
      </c>
      <c r="J2785" s="39" t="s">
        <v>1478</v>
      </c>
      <c r="K2785" s="39" t="s">
        <v>2122</v>
      </c>
      <c r="L2785" s="39" t="s">
        <v>7830</v>
      </c>
      <c r="M2785" s="39" t="s">
        <v>7831</v>
      </c>
      <c r="N2785" s="39" t="str">
        <f>("0513313")</f>
        <v>0513313</v>
      </c>
      <c r="P2785" s="39" t="s">
        <v>14222</v>
      </c>
      <c r="Q2785" s="39" t="s">
        <v>8568</v>
      </c>
      <c r="R2785" s="39" t="s">
        <v>8569</v>
      </c>
      <c r="S2785" s="39" t="s">
        <v>8570</v>
      </c>
      <c r="AK2785" s="39" t="str">
        <f>("2025/04/10")</f>
        <v>2025/04/10</v>
      </c>
      <c r="AL2785" s="39" t="str">
        <f>("2025/04/10")</f>
        <v>2025/04/10</v>
      </c>
    </row>
    <row r="2786" spans="1:39" x14ac:dyDescent="0.25">
      <c r="A2786" s="39" t="str">
        <f>("1801080030")</f>
        <v>1801080030</v>
      </c>
      <c r="C2786" s="39"/>
      <c r="D2786" s="39" t="s">
        <v>10354</v>
      </c>
      <c r="E2786" s="371" t="str">
        <f t="shared" si="200"/>
        <v>たかだ　かいと</v>
      </c>
      <c r="F2786" s="39" t="s">
        <v>1968</v>
      </c>
      <c r="G2786" s="39" t="s">
        <v>7828</v>
      </c>
      <c r="H2786" s="39" t="str">
        <f>("2018/01/08")</f>
        <v>2018/01/08</v>
      </c>
      <c r="I2786" s="39">
        <v>2</v>
      </c>
      <c r="J2786" s="39" t="s">
        <v>1478</v>
      </c>
      <c r="K2786" s="39" t="s">
        <v>2122</v>
      </c>
      <c r="L2786" s="39" t="s">
        <v>7830</v>
      </c>
      <c r="M2786" s="39" t="s">
        <v>7831</v>
      </c>
      <c r="N2786" s="39" t="str">
        <f>("0129507")</f>
        <v>0129507</v>
      </c>
      <c r="P2786" s="39" t="s">
        <v>14223</v>
      </c>
      <c r="Q2786" s="39" t="s">
        <v>8568</v>
      </c>
      <c r="R2786" s="39" t="s">
        <v>8569</v>
      </c>
      <c r="S2786" s="39" t="s">
        <v>8570</v>
      </c>
      <c r="AK2786" s="39" t="str">
        <f>("2025/08/22")</f>
        <v>2025/08/22</v>
      </c>
      <c r="AL2786" s="39" t="str">
        <f>("2025/08/22")</f>
        <v>2025/08/22</v>
      </c>
    </row>
    <row r="2787" spans="1:39" x14ac:dyDescent="0.25">
      <c r="A2787" s="39" t="str">
        <f>("1801090012")</f>
        <v>1801090012</v>
      </c>
      <c r="C2787" s="39"/>
      <c r="D2787" s="39" t="s">
        <v>10355</v>
      </c>
      <c r="E2787" s="371" t="str">
        <f t="shared" si="200"/>
        <v>おおつか　あらた</v>
      </c>
      <c r="F2787" s="39" t="s">
        <v>2544</v>
      </c>
      <c r="G2787" s="39" t="s">
        <v>7828</v>
      </c>
      <c r="H2787" s="39" t="str">
        <f>("2018/01/09")</f>
        <v>2018/01/09</v>
      </c>
      <c r="I2787" s="39">
        <v>2</v>
      </c>
      <c r="J2787" s="39" t="s">
        <v>1478</v>
      </c>
      <c r="K2787" s="39" t="s">
        <v>2122</v>
      </c>
      <c r="L2787" s="39" t="s">
        <v>7830</v>
      </c>
      <c r="M2787" s="39" t="s">
        <v>7831</v>
      </c>
      <c r="N2787" s="39" t="str">
        <f>("0130644")</f>
        <v>0130644</v>
      </c>
      <c r="P2787" s="39" t="s">
        <v>14224</v>
      </c>
      <c r="Q2787" s="39" t="s">
        <v>8568</v>
      </c>
      <c r="R2787" s="39" t="s">
        <v>8569</v>
      </c>
      <c r="S2787" s="39" t="s">
        <v>8570</v>
      </c>
      <c r="AK2787" s="39" t="str">
        <f>("2025/03/17")</f>
        <v>2025/03/17</v>
      </c>
      <c r="AL2787" s="39" t="str">
        <f t="shared" ref="AL2787:AL2793" si="201">("2025/04/01")</f>
        <v>2025/04/01</v>
      </c>
    </row>
    <row r="2788" spans="1:39" x14ac:dyDescent="0.25">
      <c r="A2788" s="39" t="str">
        <f>("1801090017")</f>
        <v>1801090017</v>
      </c>
      <c r="C2788" s="39"/>
      <c r="D2788" s="39" t="s">
        <v>6260</v>
      </c>
      <c r="E2788" s="371" t="str">
        <f t="shared" si="200"/>
        <v>まつき　そうへい</v>
      </c>
      <c r="F2788" s="39" t="s">
        <v>5619</v>
      </c>
      <c r="G2788" s="39" t="s">
        <v>7828</v>
      </c>
      <c r="H2788" s="39" t="str">
        <f>("2018/01/09")</f>
        <v>2018/01/09</v>
      </c>
      <c r="I2788" s="39">
        <v>2</v>
      </c>
      <c r="J2788" s="39" t="s">
        <v>1478</v>
      </c>
      <c r="K2788" s="39" t="s">
        <v>2122</v>
      </c>
      <c r="L2788" s="39" t="s">
        <v>7830</v>
      </c>
      <c r="M2788" s="39" t="s">
        <v>7831</v>
      </c>
      <c r="N2788" s="39" t="str">
        <f>("1089004")</f>
        <v>1089004</v>
      </c>
      <c r="P2788" s="39" t="s">
        <v>14225</v>
      </c>
      <c r="Q2788" s="39" t="s">
        <v>8568</v>
      </c>
      <c r="R2788" s="39" t="s">
        <v>8569</v>
      </c>
      <c r="S2788" s="39" t="s">
        <v>8570</v>
      </c>
      <c r="AK2788" s="39" t="str">
        <f>("2025/03/27")</f>
        <v>2025/03/27</v>
      </c>
      <c r="AL2788" s="39" t="str">
        <f t="shared" si="201"/>
        <v>2025/04/01</v>
      </c>
    </row>
    <row r="2789" spans="1:39" x14ac:dyDescent="0.25">
      <c r="A2789" s="39" t="str">
        <f>("1801120007")</f>
        <v>1801120007</v>
      </c>
      <c r="B2789" s="39" t="s">
        <v>10356</v>
      </c>
      <c r="C2789" s="39"/>
      <c r="D2789" s="39" t="s">
        <v>10357</v>
      </c>
      <c r="E2789" s="371" t="str">
        <f t="shared" si="200"/>
        <v>あかぎ　かなた</v>
      </c>
      <c r="F2789" s="39" t="s">
        <v>1912</v>
      </c>
      <c r="G2789" s="39" t="s">
        <v>7828</v>
      </c>
      <c r="H2789" s="39" t="str">
        <f>("2018/01/12")</f>
        <v>2018/01/12</v>
      </c>
      <c r="I2789" s="39">
        <v>2</v>
      </c>
      <c r="J2789" s="39" t="s">
        <v>1478</v>
      </c>
      <c r="K2789" s="39" t="s">
        <v>2122</v>
      </c>
      <c r="L2789" s="39" t="s">
        <v>7830</v>
      </c>
      <c r="M2789" s="39" t="s">
        <v>7831</v>
      </c>
      <c r="N2789" s="39" t="str">
        <f>("0130363")</f>
        <v>0130363</v>
      </c>
      <c r="P2789" s="39" t="s">
        <v>14226</v>
      </c>
      <c r="Q2789" s="39" t="s">
        <v>8568</v>
      </c>
      <c r="R2789" s="39" t="s">
        <v>8569</v>
      </c>
      <c r="S2789" s="39" t="s">
        <v>8570</v>
      </c>
      <c r="AK2789" s="39" t="str">
        <f>("2025/03/17")</f>
        <v>2025/03/17</v>
      </c>
      <c r="AL2789" s="39" t="str">
        <f t="shared" si="201"/>
        <v>2025/04/01</v>
      </c>
    </row>
    <row r="2790" spans="1:39" x14ac:dyDescent="0.25">
      <c r="A2790" s="39" t="str">
        <f>("1801170010")</f>
        <v>1801170010</v>
      </c>
      <c r="C2790" s="39"/>
      <c r="D2790" s="39" t="s">
        <v>10358</v>
      </c>
      <c r="E2790" s="371" t="str">
        <f t="shared" si="200"/>
        <v>さしはら　けいすけ</v>
      </c>
      <c r="F2790" s="39" t="s">
        <v>2544</v>
      </c>
      <c r="G2790" s="39" t="s">
        <v>7828</v>
      </c>
      <c r="H2790" s="39" t="str">
        <f>("2018/01/17")</f>
        <v>2018/01/17</v>
      </c>
      <c r="I2790" s="39">
        <v>2</v>
      </c>
      <c r="J2790" s="39" t="s">
        <v>1478</v>
      </c>
      <c r="K2790" s="39" t="s">
        <v>2122</v>
      </c>
      <c r="L2790" s="39" t="s">
        <v>7830</v>
      </c>
      <c r="M2790" s="39" t="s">
        <v>7831</v>
      </c>
      <c r="N2790" s="39" t="str">
        <f>("0130644")</f>
        <v>0130644</v>
      </c>
      <c r="P2790" s="39" t="s">
        <v>14227</v>
      </c>
      <c r="Q2790" s="39" t="s">
        <v>8568</v>
      </c>
      <c r="R2790" s="39" t="s">
        <v>8569</v>
      </c>
      <c r="S2790" s="39" t="s">
        <v>8570</v>
      </c>
      <c r="AK2790" s="39" t="str">
        <f>("2025/03/17")</f>
        <v>2025/03/17</v>
      </c>
      <c r="AL2790" s="39" t="str">
        <f t="shared" si="201"/>
        <v>2025/04/01</v>
      </c>
    </row>
    <row r="2791" spans="1:39" x14ac:dyDescent="0.25">
      <c r="A2791" s="39" t="str">
        <f>("1801210017")</f>
        <v>1801210017</v>
      </c>
      <c r="C2791" s="39"/>
      <c r="D2791" s="39" t="s">
        <v>10359</v>
      </c>
      <c r="E2791" s="371" t="str">
        <f t="shared" si="200"/>
        <v>くわはら　まさき</v>
      </c>
      <c r="F2791" s="39" t="s">
        <v>856</v>
      </c>
      <c r="G2791" s="39" t="s">
        <v>7828</v>
      </c>
      <c r="H2791" s="39" t="str">
        <f>("2018/01/21")</f>
        <v>2018/01/21</v>
      </c>
      <c r="I2791" s="39">
        <v>2</v>
      </c>
      <c r="J2791" s="39" t="s">
        <v>1478</v>
      </c>
      <c r="K2791" s="39" t="s">
        <v>2122</v>
      </c>
      <c r="L2791" s="39" t="s">
        <v>7830</v>
      </c>
      <c r="M2791" s="39" t="s">
        <v>7831</v>
      </c>
      <c r="N2791" s="39" t="str">
        <f>("0130149")</f>
        <v>0130149</v>
      </c>
      <c r="P2791" s="39" t="s">
        <v>14228</v>
      </c>
      <c r="Q2791" s="39" t="s">
        <v>8568</v>
      </c>
      <c r="R2791" s="39" t="s">
        <v>8569</v>
      </c>
      <c r="S2791" s="39" t="s">
        <v>8570</v>
      </c>
      <c r="AK2791" s="39" t="str">
        <f>("2025/04/01")</f>
        <v>2025/04/01</v>
      </c>
      <c r="AL2791" s="39" t="str">
        <f t="shared" si="201"/>
        <v>2025/04/01</v>
      </c>
    </row>
    <row r="2792" spans="1:39" x14ac:dyDescent="0.25">
      <c r="A2792" s="39" t="str">
        <f>("1801220017")</f>
        <v>1801220017</v>
      </c>
      <c r="C2792" s="39"/>
      <c r="D2792" s="39" t="s">
        <v>10360</v>
      </c>
      <c r="E2792" s="371" t="str">
        <f t="shared" si="200"/>
        <v>かわの　きいち</v>
      </c>
      <c r="F2792" s="39" t="s">
        <v>2138</v>
      </c>
      <c r="G2792" s="39" t="s">
        <v>7828</v>
      </c>
      <c r="H2792" s="39" t="str">
        <f>("2018/01/22")</f>
        <v>2018/01/22</v>
      </c>
      <c r="I2792" s="39">
        <v>2</v>
      </c>
      <c r="J2792" s="39" t="s">
        <v>1478</v>
      </c>
      <c r="K2792" s="39" t="s">
        <v>2122</v>
      </c>
      <c r="L2792" s="39" t="s">
        <v>7830</v>
      </c>
      <c r="M2792" s="39" t="s">
        <v>7831</v>
      </c>
      <c r="N2792" s="39" t="str">
        <f>("0130082")</f>
        <v>0130082</v>
      </c>
      <c r="P2792" s="39" t="s">
        <v>14229</v>
      </c>
      <c r="Q2792" s="39" t="s">
        <v>8568</v>
      </c>
      <c r="R2792" s="39" t="s">
        <v>8569</v>
      </c>
      <c r="S2792" s="39" t="s">
        <v>8570</v>
      </c>
      <c r="AK2792" s="39" t="str">
        <f>("2025/03/17")</f>
        <v>2025/03/17</v>
      </c>
      <c r="AL2792" s="39" t="str">
        <f t="shared" si="201"/>
        <v>2025/04/01</v>
      </c>
      <c r="AM2792" s="39" t="str">
        <f>("2025/04/11")</f>
        <v>2025/04/11</v>
      </c>
    </row>
    <row r="2793" spans="1:39" x14ac:dyDescent="0.25">
      <c r="A2793" s="39" t="str">
        <f>("1801220018")</f>
        <v>1801220018</v>
      </c>
      <c r="C2793" s="39"/>
      <c r="D2793" s="39" t="s">
        <v>10361</v>
      </c>
      <c r="E2793" s="371" t="str">
        <f t="shared" si="200"/>
        <v>ごとう　ひろみ</v>
      </c>
      <c r="F2793" s="39" t="s">
        <v>2324</v>
      </c>
      <c r="G2793" s="39" t="s">
        <v>7828</v>
      </c>
      <c r="H2793" s="39" t="str">
        <f>("2018/01/22")</f>
        <v>2018/01/22</v>
      </c>
      <c r="I2793" s="39">
        <v>2</v>
      </c>
      <c r="J2793" s="39" t="s">
        <v>1478</v>
      </c>
      <c r="K2793" s="39" t="s">
        <v>2122</v>
      </c>
      <c r="L2793" s="39" t="s">
        <v>7830</v>
      </c>
      <c r="M2793" s="39" t="s">
        <v>7831</v>
      </c>
      <c r="N2793" s="39" t="str">
        <f>("0130486")</f>
        <v>0130486</v>
      </c>
      <c r="P2793" s="39" t="s">
        <v>14230</v>
      </c>
      <c r="Q2793" s="39" t="s">
        <v>8568</v>
      </c>
      <c r="R2793" s="39" t="s">
        <v>8569</v>
      </c>
      <c r="S2793" s="39" t="s">
        <v>8570</v>
      </c>
      <c r="AK2793" s="39" t="str">
        <f>("2025/03/24")</f>
        <v>2025/03/24</v>
      </c>
      <c r="AL2793" s="39" t="str">
        <f t="shared" si="201"/>
        <v>2025/04/01</v>
      </c>
    </row>
    <row r="2794" spans="1:39" x14ac:dyDescent="0.25">
      <c r="A2794" s="39" t="str">
        <f>("1801250038")</f>
        <v>1801250038</v>
      </c>
      <c r="C2794" s="39"/>
      <c r="D2794" s="39" t="s">
        <v>10362</v>
      </c>
      <c r="E2794" s="371" t="str">
        <f t="shared" si="200"/>
        <v>いけうち　なる</v>
      </c>
      <c r="F2794" s="39" t="s">
        <v>2274</v>
      </c>
      <c r="G2794" s="39" t="s">
        <v>7828</v>
      </c>
      <c r="H2794" s="39" t="str">
        <f>("2018/01/25")</f>
        <v>2018/01/25</v>
      </c>
      <c r="I2794" s="39">
        <v>2</v>
      </c>
      <c r="J2794" s="39" t="s">
        <v>1478</v>
      </c>
      <c r="K2794" s="39" t="s">
        <v>2122</v>
      </c>
      <c r="L2794" s="39" t="s">
        <v>7830</v>
      </c>
      <c r="M2794" s="39" t="s">
        <v>7831</v>
      </c>
      <c r="N2794" s="39" t="str">
        <f>("0129563")</f>
        <v>0129563</v>
      </c>
      <c r="P2794" s="39" t="s">
        <v>14231</v>
      </c>
      <c r="Q2794" s="39" t="s">
        <v>8568</v>
      </c>
      <c r="R2794" s="39" t="s">
        <v>8569</v>
      </c>
      <c r="S2794" s="39" t="s">
        <v>8570</v>
      </c>
      <c r="AK2794" s="39" t="str">
        <f>("2025/09/09")</f>
        <v>2025/09/09</v>
      </c>
      <c r="AL2794" s="39" t="str">
        <f>("2025/09/09")</f>
        <v>2025/09/09</v>
      </c>
    </row>
    <row r="2795" spans="1:39" x14ac:dyDescent="0.25">
      <c r="A2795" s="39" t="str">
        <f>("1801280014")</f>
        <v>1801280014</v>
      </c>
      <c r="C2795" s="39"/>
      <c r="D2795" s="39" t="s">
        <v>10363</v>
      </c>
      <c r="E2795" s="371" t="str">
        <f t="shared" si="200"/>
        <v>やまぐち　さくや</v>
      </c>
      <c r="F2795" s="39" t="s">
        <v>1158</v>
      </c>
      <c r="G2795" s="39" t="s">
        <v>7876</v>
      </c>
      <c r="H2795" s="39" t="str">
        <f>("2018/01/28")</f>
        <v>2018/01/28</v>
      </c>
      <c r="I2795" s="39">
        <v>2</v>
      </c>
      <c r="J2795" s="39" t="s">
        <v>1478</v>
      </c>
      <c r="K2795" s="39" t="s">
        <v>2122</v>
      </c>
      <c r="L2795" s="39" t="s">
        <v>7830</v>
      </c>
      <c r="M2795" s="39" t="s">
        <v>7831</v>
      </c>
      <c r="N2795" s="39" t="str">
        <f>("0130318")</f>
        <v>0130318</v>
      </c>
      <c r="P2795" s="39" t="s">
        <v>14232</v>
      </c>
      <c r="Q2795" s="39" t="s">
        <v>8568</v>
      </c>
      <c r="R2795" s="39" t="s">
        <v>8569</v>
      </c>
      <c r="S2795" s="39" t="s">
        <v>8570</v>
      </c>
      <c r="AK2795" s="39" t="str">
        <f>("2025/08/25")</f>
        <v>2025/08/25</v>
      </c>
      <c r="AL2795" s="39" t="str">
        <f>("2025/08/25")</f>
        <v>2025/08/25</v>
      </c>
      <c r="AM2795" s="39" t="str">
        <f>("2026/01/08")</f>
        <v>2026/01/08</v>
      </c>
    </row>
    <row r="2796" spans="1:39" x14ac:dyDescent="0.25">
      <c r="A2796" s="39" t="str">
        <f>("1801290004")</f>
        <v>1801290004</v>
      </c>
      <c r="C2796" s="39"/>
      <c r="D2796" s="39" t="s">
        <v>10364</v>
      </c>
      <c r="E2796" s="371" t="str">
        <f t="shared" si="200"/>
        <v>いとなが　れいか</v>
      </c>
      <c r="F2796" s="39" t="s">
        <v>2156</v>
      </c>
      <c r="G2796" s="39" t="s">
        <v>7828</v>
      </c>
      <c r="H2796" s="39" t="str">
        <f>("2018/01/29")</f>
        <v>2018/01/29</v>
      </c>
      <c r="I2796" s="39">
        <v>2</v>
      </c>
      <c r="J2796" s="39" t="s">
        <v>1480</v>
      </c>
      <c r="K2796" s="39" t="s">
        <v>2122</v>
      </c>
      <c r="L2796" s="39" t="s">
        <v>7830</v>
      </c>
      <c r="M2796" s="39" t="s">
        <v>7831</v>
      </c>
      <c r="N2796" s="39" t="str">
        <f>("0493040")</f>
        <v>0493040</v>
      </c>
      <c r="P2796" s="39" t="s">
        <v>14233</v>
      </c>
      <c r="Q2796" s="39" t="s">
        <v>8568</v>
      </c>
      <c r="R2796" s="39" t="s">
        <v>8569</v>
      </c>
      <c r="S2796" s="39" t="s">
        <v>8570</v>
      </c>
      <c r="AK2796" s="39" t="str">
        <f>("2025/03/17")</f>
        <v>2025/03/17</v>
      </c>
      <c r="AL2796" s="39" t="str">
        <f>("2025/04/01")</f>
        <v>2025/04/01</v>
      </c>
    </row>
    <row r="2797" spans="1:39" x14ac:dyDescent="0.25">
      <c r="A2797" s="39" t="str">
        <f>("1801300045")</f>
        <v>1801300045</v>
      </c>
      <c r="C2797" s="39"/>
      <c r="D2797" s="39" t="s">
        <v>10365</v>
      </c>
      <c r="E2797" s="371" t="str">
        <f t="shared" si="200"/>
        <v>さかぐち　ゆうだい</v>
      </c>
      <c r="F2797" s="39" t="s">
        <v>5621</v>
      </c>
      <c r="G2797" s="39" t="s">
        <v>7828</v>
      </c>
      <c r="H2797" s="39" t="str">
        <f>("2018/01/30")</f>
        <v>2018/01/30</v>
      </c>
      <c r="I2797" s="39">
        <v>2</v>
      </c>
      <c r="J2797" s="39" t="s">
        <v>1478</v>
      </c>
      <c r="K2797" s="39" t="s">
        <v>2122</v>
      </c>
      <c r="L2797" s="39" t="s">
        <v>7830</v>
      </c>
      <c r="M2797" s="39" t="s">
        <v>7831</v>
      </c>
      <c r="N2797" s="39" t="str">
        <f>("1110654")</f>
        <v>1110654</v>
      </c>
      <c r="P2797" s="39" t="s">
        <v>14234</v>
      </c>
      <c r="Q2797" s="39" t="s">
        <v>8568</v>
      </c>
      <c r="R2797" s="39" t="s">
        <v>8569</v>
      </c>
      <c r="S2797" s="39" t="s">
        <v>8570</v>
      </c>
      <c r="AK2797" s="39" t="str">
        <f>("2025/07/28")</f>
        <v>2025/07/28</v>
      </c>
      <c r="AL2797" s="39" t="str">
        <f>("2025/07/28")</f>
        <v>2025/07/28</v>
      </c>
    </row>
    <row r="2798" spans="1:39" x14ac:dyDescent="0.25">
      <c r="A2798" s="39" t="str">
        <f>("1802010001")</f>
        <v>1802010001</v>
      </c>
      <c r="C2798" s="39"/>
      <c r="D2798" s="39" t="s">
        <v>10366</v>
      </c>
      <c r="E2798" s="371" t="str">
        <f t="shared" si="200"/>
        <v>うつのみや　ひなた</v>
      </c>
      <c r="F2798" s="39" t="s">
        <v>5615</v>
      </c>
      <c r="G2798" s="39" t="s">
        <v>7828</v>
      </c>
      <c r="H2798" s="39" t="str">
        <f>("2018/02/01")</f>
        <v>2018/02/01</v>
      </c>
      <c r="I2798" s="39">
        <v>2</v>
      </c>
      <c r="J2798" s="39" t="s">
        <v>1478</v>
      </c>
      <c r="K2798" s="39" t="s">
        <v>2122</v>
      </c>
      <c r="L2798" s="39" t="s">
        <v>7830</v>
      </c>
      <c r="M2798" s="39" t="s">
        <v>7831</v>
      </c>
      <c r="N2798" s="39" t="str">
        <f>("0129642")</f>
        <v>0129642</v>
      </c>
      <c r="P2798" s="39" t="s">
        <v>14235</v>
      </c>
      <c r="Q2798" s="39" t="s">
        <v>8568</v>
      </c>
      <c r="R2798" s="39" t="s">
        <v>8569</v>
      </c>
      <c r="S2798" s="39" t="s">
        <v>8570</v>
      </c>
      <c r="AK2798" s="39" t="str">
        <f>("2025/03/24")</f>
        <v>2025/03/24</v>
      </c>
      <c r="AL2798" s="39" t="str">
        <f>("2025/04/01")</f>
        <v>2025/04/01</v>
      </c>
    </row>
    <row r="2799" spans="1:39" x14ac:dyDescent="0.25">
      <c r="A2799" s="39" t="str">
        <f>("1802060026")</f>
        <v>1802060026</v>
      </c>
      <c r="C2799" s="39"/>
      <c r="D2799" s="39" t="s">
        <v>10367</v>
      </c>
      <c r="E2799" s="371" t="str">
        <f t="shared" si="200"/>
        <v>たなか　たつおみ</v>
      </c>
      <c r="F2799" s="39" t="s">
        <v>1968</v>
      </c>
      <c r="G2799" s="39" t="s">
        <v>7828</v>
      </c>
      <c r="H2799" s="39" t="str">
        <f>("2018/02/06")</f>
        <v>2018/02/06</v>
      </c>
      <c r="I2799" s="39">
        <v>2</v>
      </c>
      <c r="J2799" s="39" t="s">
        <v>1478</v>
      </c>
      <c r="K2799" s="39" t="s">
        <v>2122</v>
      </c>
      <c r="L2799" s="39" t="s">
        <v>7830</v>
      </c>
      <c r="M2799" s="39" t="s">
        <v>7831</v>
      </c>
      <c r="N2799" s="39" t="str">
        <f>("0129507")</f>
        <v>0129507</v>
      </c>
      <c r="P2799" s="39" t="s">
        <v>14236</v>
      </c>
      <c r="Q2799" s="39" t="s">
        <v>8568</v>
      </c>
      <c r="R2799" s="39" t="s">
        <v>8569</v>
      </c>
      <c r="S2799" s="39" t="s">
        <v>8570</v>
      </c>
      <c r="AK2799" s="39" t="str">
        <f>("2025/08/22")</f>
        <v>2025/08/22</v>
      </c>
      <c r="AL2799" s="39" t="str">
        <f>("2025/08/22")</f>
        <v>2025/08/22</v>
      </c>
    </row>
    <row r="2800" spans="1:39" x14ac:dyDescent="0.25">
      <c r="A2800" s="39" t="str">
        <f>("1802080036")</f>
        <v>1802080036</v>
      </c>
      <c r="C2800" s="39"/>
      <c r="D2800" s="39" t="s">
        <v>10368</v>
      </c>
      <c r="E2800" s="371" t="str">
        <f t="shared" si="200"/>
        <v>おおかわ　えみか</v>
      </c>
      <c r="F2800" s="39" t="s">
        <v>2514</v>
      </c>
      <c r="G2800" s="39" t="s">
        <v>7828</v>
      </c>
      <c r="H2800" s="39" t="str">
        <f>("2018/02/08")</f>
        <v>2018/02/08</v>
      </c>
      <c r="I2800" s="39">
        <v>2</v>
      </c>
      <c r="J2800" s="39" t="s">
        <v>1480</v>
      </c>
      <c r="K2800" s="39" t="s">
        <v>2122</v>
      </c>
      <c r="L2800" s="39" t="s">
        <v>7830</v>
      </c>
      <c r="M2800" s="39" t="s">
        <v>7831</v>
      </c>
      <c r="N2800" s="39" t="str">
        <f>("0130093")</f>
        <v>0130093</v>
      </c>
      <c r="P2800" s="39" t="s">
        <v>14237</v>
      </c>
      <c r="Q2800" s="39" t="s">
        <v>8568</v>
      </c>
      <c r="R2800" s="39" t="s">
        <v>8569</v>
      </c>
      <c r="S2800" s="39" t="s">
        <v>8570</v>
      </c>
      <c r="AK2800" s="39" t="str">
        <f>("2025/09/16")</f>
        <v>2025/09/16</v>
      </c>
      <c r="AL2800" s="39" t="str">
        <f>("2025/09/16")</f>
        <v>2025/09/16</v>
      </c>
    </row>
    <row r="2801" spans="1:39" x14ac:dyDescent="0.25">
      <c r="A2801" s="39" t="str">
        <f>("1802090004")</f>
        <v>1802090004</v>
      </c>
      <c r="C2801" s="39"/>
      <c r="D2801" s="39" t="s">
        <v>5920</v>
      </c>
      <c r="E2801" s="371" t="str">
        <f t="shared" si="200"/>
        <v>どうじょう　りんか</v>
      </c>
      <c r="F2801" s="39" t="s">
        <v>2422</v>
      </c>
      <c r="G2801" s="39" t="s">
        <v>7828</v>
      </c>
      <c r="H2801" s="39" t="str">
        <f>("2018/02/09")</f>
        <v>2018/02/09</v>
      </c>
      <c r="I2801" s="39">
        <v>2</v>
      </c>
      <c r="J2801" s="39" t="s">
        <v>1480</v>
      </c>
      <c r="K2801" s="39" t="s">
        <v>2122</v>
      </c>
      <c r="L2801" s="39" t="s">
        <v>7830</v>
      </c>
      <c r="M2801" s="39" t="s">
        <v>7831</v>
      </c>
      <c r="N2801" s="39" t="str">
        <f>("0130699")</f>
        <v>0130699</v>
      </c>
      <c r="P2801" s="39" t="s">
        <v>14238</v>
      </c>
      <c r="Q2801" s="39" t="s">
        <v>8568</v>
      </c>
      <c r="R2801" s="39" t="s">
        <v>8569</v>
      </c>
      <c r="S2801" s="39" t="s">
        <v>8570</v>
      </c>
      <c r="AK2801" s="39" t="str">
        <f>("2025/03/17")</f>
        <v>2025/03/17</v>
      </c>
      <c r="AL2801" s="39" t="str">
        <f>("2025/04/01")</f>
        <v>2025/04/01</v>
      </c>
    </row>
    <row r="2802" spans="1:39" x14ac:dyDescent="0.25">
      <c r="A2802" s="39" t="str">
        <f>("1802090005")</f>
        <v>1802090005</v>
      </c>
      <c r="C2802" s="39"/>
      <c r="D2802" s="39" t="s">
        <v>10369</v>
      </c>
      <c r="E2802" s="371" t="str">
        <f t="shared" si="200"/>
        <v>むらかみ　そうた</v>
      </c>
      <c r="F2802" s="39" t="s">
        <v>2543</v>
      </c>
      <c r="G2802" s="39" t="s">
        <v>7828</v>
      </c>
      <c r="H2802" s="39" t="str">
        <f>("2018/02/09")</f>
        <v>2018/02/09</v>
      </c>
      <c r="I2802" s="39">
        <v>2</v>
      </c>
      <c r="J2802" s="39" t="s">
        <v>1478</v>
      </c>
      <c r="K2802" s="39" t="s">
        <v>2122</v>
      </c>
      <c r="L2802" s="39" t="s">
        <v>7830</v>
      </c>
      <c r="M2802" s="39" t="s">
        <v>7831</v>
      </c>
      <c r="N2802" s="39" t="str">
        <f>("0130600")</f>
        <v>0130600</v>
      </c>
      <c r="P2802" s="39" t="s">
        <v>14239</v>
      </c>
      <c r="Q2802" s="39" t="s">
        <v>8568</v>
      </c>
      <c r="R2802" s="39" t="s">
        <v>8569</v>
      </c>
      <c r="S2802" s="39" t="s">
        <v>8570</v>
      </c>
      <c r="AK2802" s="39" t="str">
        <f>("2025/03/17")</f>
        <v>2025/03/17</v>
      </c>
      <c r="AL2802" s="39" t="str">
        <f>("2025/04/01")</f>
        <v>2025/04/01</v>
      </c>
    </row>
    <row r="2803" spans="1:39" x14ac:dyDescent="0.25">
      <c r="A2803" s="39" t="str">
        <f>("1802090027")</f>
        <v>1802090027</v>
      </c>
      <c r="C2803" s="39"/>
      <c r="D2803" s="39" t="s">
        <v>10370</v>
      </c>
      <c r="E2803" s="371" t="str">
        <f t="shared" si="200"/>
        <v>あべ　あつと</v>
      </c>
      <c r="F2803" s="39" t="s">
        <v>1158</v>
      </c>
      <c r="G2803" s="39" t="s">
        <v>7876</v>
      </c>
      <c r="H2803" s="39" t="str">
        <f>("2018/02/09")</f>
        <v>2018/02/09</v>
      </c>
      <c r="I2803" s="39">
        <v>2</v>
      </c>
      <c r="J2803" s="39" t="s">
        <v>1478</v>
      </c>
      <c r="K2803" s="39" t="s">
        <v>2122</v>
      </c>
      <c r="L2803" s="39" t="s">
        <v>7830</v>
      </c>
      <c r="M2803" s="39" t="s">
        <v>7831</v>
      </c>
      <c r="N2803" s="39" t="str">
        <f>("0130318")</f>
        <v>0130318</v>
      </c>
      <c r="P2803" s="39" t="s">
        <v>14240</v>
      </c>
      <c r="Q2803" s="39" t="s">
        <v>8568</v>
      </c>
      <c r="R2803" s="39" t="s">
        <v>8569</v>
      </c>
      <c r="S2803" s="39" t="s">
        <v>8570</v>
      </c>
      <c r="AK2803" s="39" t="str">
        <f>("2025/08/25")</f>
        <v>2025/08/25</v>
      </c>
      <c r="AL2803" s="39" t="str">
        <f>("2025/08/25")</f>
        <v>2025/08/25</v>
      </c>
      <c r="AM2803" s="39" t="str">
        <f>("2026/01/08")</f>
        <v>2026/01/08</v>
      </c>
    </row>
    <row r="2804" spans="1:39" x14ac:dyDescent="0.25">
      <c r="A2804" s="39" t="str">
        <f>("1802100006")</f>
        <v>1802100006</v>
      </c>
      <c r="C2804" s="39"/>
      <c r="D2804" s="39" t="s">
        <v>10371</v>
      </c>
      <c r="E2804" s="371" t="str">
        <f t="shared" si="200"/>
        <v>かわそこ　ゆう</v>
      </c>
      <c r="F2804" s="39" t="s">
        <v>2299</v>
      </c>
      <c r="G2804" s="39" t="s">
        <v>7828</v>
      </c>
      <c r="H2804" s="39" t="str">
        <f>("2018/02/10")</f>
        <v>2018/02/10</v>
      </c>
      <c r="I2804" s="39">
        <v>2</v>
      </c>
      <c r="J2804" s="39" t="s">
        <v>1478</v>
      </c>
      <c r="K2804" s="39" t="s">
        <v>2122</v>
      </c>
      <c r="L2804" s="39" t="s">
        <v>7830</v>
      </c>
      <c r="M2804" s="39" t="s">
        <v>7831</v>
      </c>
      <c r="N2804" s="39" t="str">
        <f>("1066647")</f>
        <v>1066647</v>
      </c>
      <c r="P2804" s="39" t="s">
        <v>14241</v>
      </c>
      <c r="Q2804" s="39" t="s">
        <v>8568</v>
      </c>
      <c r="R2804" s="39" t="s">
        <v>8569</v>
      </c>
      <c r="S2804" s="39" t="s">
        <v>8570</v>
      </c>
      <c r="AK2804" s="39" t="str">
        <f>("2025/03/21")</f>
        <v>2025/03/21</v>
      </c>
      <c r="AL2804" s="39" t="str">
        <f t="shared" ref="AL2804:AL2809" si="202">("2025/04/01")</f>
        <v>2025/04/01</v>
      </c>
    </row>
    <row r="2805" spans="1:39" x14ac:dyDescent="0.25">
      <c r="A2805" s="39" t="str">
        <f>("1802130007")</f>
        <v>1802130007</v>
      </c>
      <c r="C2805" s="39"/>
      <c r="D2805" s="39" t="s">
        <v>10372</v>
      </c>
      <c r="E2805" s="371" t="str">
        <f t="shared" si="200"/>
        <v>かわの　そうま</v>
      </c>
      <c r="F2805" s="39" t="s">
        <v>2574</v>
      </c>
      <c r="G2805" s="39" t="s">
        <v>7828</v>
      </c>
      <c r="H2805" s="39" t="str">
        <f>("2018/02/13")</f>
        <v>2018/02/13</v>
      </c>
      <c r="I2805" s="39">
        <v>2</v>
      </c>
      <c r="J2805" s="39" t="s">
        <v>1478</v>
      </c>
      <c r="K2805" s="39" t="s">
        <v>2122</v>
      </c>
      <c r="L2805" s="39" t="s">
        <v>7830</v>
      </c>
      <c r="M2805" s="39" t="s">
        <v>7831</v>
      </c>
      <c r="N2805" s="39" t="str">
        <f>("0237620")</f>
        <v>0237620</v>
      </c>
      <c r="P2805" s="39" t="s">
        <v>14242</v>
      </c>
      <c r="Q2805" s="39" t="s">
        <v>8568</v>
      </c>
      <c r="R2805" s="39" t="s">
        <v>8569</v>
      </c>
      <c r="S2805" s="39" t="s">
        <v>8570</v>
      </c>
      <c r="AK2805" s="39" t="str">
        <f>("2025/03/17")</f>
        <v>2025/03/17</v>
      </c>
      <c r="AL2805" s="39" t="str">
        <f t="shared" si="202"/>
        <v>2025/04/01</v>
      </c>
    </row>
    <row r="2806" spans="1:39" x14ac:dyDescent="0.25">
      <c r="A2806" s="39" t="str">
        <f>("1802150013")</f>
        <v>1802150013</v>
      </c>
      <c r="C2806" s="39"/>
      <c r="D2806" s="39" t="s">
        <v>10373</v>
      </c>
      <c r="E2806" s="371" t="str">
        <f t="shared" si="200"/>
        <v>いしみ　こと</v>
      </c>
      <c r="F2806" s="39" t="s">
        <v>2156</v>
      </c>
      <c r="G2806" s="39" t="s">
        <v>7828</v>
      </c>
      <c r="H2806" s="39" t="str">
        <f>("2018/02/15")</f>
        <v>2018/02/15</v>
      </c>
      <c r="I2806" s="39">
        <v>2</v>
      </c>
      <c r="J2806" s="39" t="s">
        <v>1480</v>
      </c>
      <c r="K2806" s="39" t="s">
        <v>2122</v>
      </c>
      <c r="L2806" s="39" t="s">
        <v>7830</v>
      </c>
      <c r="M2806" s="39" t="s">
        <v>7831</v>
      </c>
      <c r="N2806" s="39" t="str">
        <f>("0493040")</f>
        <v>0493040</v>
      </c>
      <c r="P2806" s="39" t="s">
        <v>14243</v>
      </c>
      <c r="Q2806" s="39" t="s">
        <v>8568</v>
      </c>
      <c r="R2806" s="39" t="s">
        <v>8569</v>
      </c>
      <c r="S2806" s="39" t="s">
        <v>8570</v>
      </c>
      <c r="AK2806" s="39" t="str">
        <f>("2025/03/17")</f>
        <v>2025/03/17</v>
      </c>
      <c r="AL2806" s="39" t="str">
        <f t="shared" si="202"/>
        <v>2025/04/01</v>
      </c>
    </row>
    <row r="2807" spans="1:39" x14ac:dyDescent="0.25">
      <c r="A2807" s="39" t="str">
        <f>("1802160029")</f>
        <v>1802160029</v>
      </c>
      <c r="C2807" s="39"/>
      <c r="D2807" s="39" t="s">
        <v>10374</v>
      </c>
      <c r="E2807" s="371" t="str">
        <f t="shared" si="200"/>
        <v>さかもと　とおや</v>
      </c>
      <c r="F2807" s="39" t="s">
        <v>5618</v>
      </c>
      <c r="G2807" s="39" t="s">
        <v>7828</v>
      </c>
      <c r="H2807" s="39" t="str">
        <f>("2018/02/16")</f>
        <v>2018/02/16</v>
      </c>
      <c r="I2807" s="39">
        <v>2</v>
      </c>
      <c r="J2807" s="39" t="s">
        <v>1478</v>
      </c>
      <c r="K2807" s="39" t="s">
        <v>2122</v>
      </c>
      <c r="L2807" s="39" t="s">
        <v>7830</v>
      </c>
      <c r="M2807" s="39" t="s">
        <v>7831</v>
      </c>
      <c r="N2807" s="39" t="str">
        <f>("0433235")</f>
        <v>0433235</v>
      </c>
      <c r="P2807" s="39" t="s">
        <v>14244</v>
      </c>
      <c r="Q2807" s="39" t="s">
        <v>8568</v>
      </c>
      <c r="R2807" s="39" t="s">
        <v>8569</v>
      </c>
      <c r="S2807" s="39" t="s">
        <v>8570</v>
      </c>
      <c r="AK2807" s="39" t="str">
        <f>("2025/03/17")</f>
        <v>2025/03/17</v>
      </c>
      <c r="AL2807" s="39" t="str">
        <f t="shared" si="202"/>
        <v>2025/04/01</v>
      </c>
    </row>
    <row r="2808" spans="1:39" x14ac:dyDescent="0.25">
      <c r="A2808" s="39" t="str">
        <f>("1802270017")</f>
        <v>1802270017</v>
      </c>
      <c r="C2808" s="39"/>
      <c r="D2808" s="39" t="s">
        <v>10375</v>
      </c>
      <c r="E2808" s="371" t="str">
        <f t="shared" si="200"/>
        <v>なかはら　ゆめ</v>
      </c>
      <c r="F2808" s="39" t="s">
        <v>3104</v>
      </c>
      <c r="G2808" s="39" t="s">
        <v>7828</v>
      </c>
      <c r="H2808" s="39" t="str">
        <f>("2018/02/27")</f>
        <v>2018/02/27</v>
      </c>
      <c r="I2808" s="39">
        <v>2</v>
      </c>
      <c r="J2808" s="39" t="s">
        <v>1480</v>
      </c>
      <c r="K2808" s="39" t="s">
        <v>2122</v>
      </c>
      <c r="L2808" s="39" t="s">
        <v>7830</v>
      </c>
      <c r="M2808" s="39" t="s">
        <v>7831</v>
      </c>
      <c r="N2808" s="39" t="str">
        <f>("1076189")</f>
        <v>1076189</v>
      </c>
      <c r="P2808" s="39" t="s">
        <v>14245</v>
      </c>
      <c r="Q2808" s="39" t="s">
        <v>8568</v>
      </c>
      <c r="R2808" s="39" t="s">
        <v>8569</v>
      </c>
      <c r="S2808" s="39" t="s">
        <v>8570</v>
      </c>
      <c r="AK2808" s="39" t="str">
        <f>("2025/03/24")</f>
        <v>2025/03/24</v>
      </c>
      <c r="AL2808" s="39" t="str">
        <f t="shared" si="202"/>
        <v>2025/04/01</v>
      </c>
    </row>
    <row r="2809" spans="1:39" x14ac:dyDescent="0.25">
      <c r="A2809" s="39" t="str">
        <f>("1802280005")</f>
        <v>1802280005</v>
      </c>
      <c r="C2809" s="39"/>
      <c r="D2809" s="39" t="s">
        <v>10376</v>
      </c>
      <c r="E2809" s="371" t="str">
        <f t="shared" si="200"/>
        <v>やまうち　あやき</v>
      </c>
      <c r="F2809" s="39" t="s">
        <v>2544</v>
      </c>
      <c r="G2809" s="39" t="s">
        <v>7828</v>
      </c>
      <c r="H2809" s="39" t="str">
        <f>("2018/02/28")</f>
        <v>2018/02/28</v>
      </c>
      <c r="I2809" s="39">
        <v>2</v>
      </c>
      <c r="J2809" s="39" t="s">
        <v>1478</v>
      </c>
      <c r="K2809" s="39" t="s">
        <v>2122</v>
      </c>
      <c r="L2809" s="39" t="s">
        <v>7830</v>
      </c>
      <c r="M2809" s="39" t="s">
        <v>7831</v>
      </c>
      <c r="N2809" s="39" t="str">
        <f>("0130644")</f>
        <v>0130644</v>
      </c>
      <c r="P2809" s="39" t="s">
        <v>14246</v>
      </c>
      <c r="Q2809" s="39" t="s">
        <v>8568</v>
      </c>
      <c r="R2809" s="39" t="s">
        <v>8569</v>
      </c>
      <c r="S2809" s="39" t="s">
        <v>8570</v>
      </c>
      <c r="AK2809" s="39" t="str">
        <f>("2025/03/17")</f>
        <v>2025/03/17</v>
      </c>
      <c r="AL2809" s="39" t="str">
        <f t="shared" si="202"/>
        <v>2025/04/01</v>
      </c>
    </row>
    <row r="2810" spans="1:39" x14ac:dyDescent="0.25">
      <c r="A2810" s="39" t="str">
        <f>("1803030022")</f>
        <v>1803030022</v>
      </c>
      <c r="C2810" s="39"/>
      <c r="D2810" s="39" t="s">
        <v>10377</v>
      </c>
      <c r="E2810" s="371" t="str">
        <f t="shared" si="200"/>
        <v>みうら　しょうた</v>
      </c>
      <c r="F2810" s="39" t="s">
        <v>1014</v>
      </c>
      <c r="G2810" s="39" t="s">
        <v>7828</v>
      </c>
      <c r="H2810" s="39" t="str">
        <f>("2018/03/03")</f>
        <v>2018/03/03</v>
      </c>
      <c r="I2810" s="39">
        <v>2</v>
      </c>
      <c r="J2810" s="39" t="s">
        <v>1478</v>
      </c>
      <c r="K2810" s="39" t="s">
        <v>2122</v>
      </c>
      <c r="L2810" s="39" t="s">
        <v>7830</v>
      </c>
      <c r="M2810" s="39" t="s">
        <v>7831</v>
      </c>
      <c r="N2810" s="39" t="str">
        <f>("0513313")</f>
        <v>0513313</v>
      </c>
      <c r="P2810" s="39" t="s">
        <v>14247</v>
      </c>
      <c r="Q2810" s="39" t="s">
        <v>8568</v>
      </c>
      <c r="R2810" s="39" t="s">
        <v>8569</v>
      </c>
      <c r="S2810" s="39" t="s">
        <v>8570</v>
      </c>
      <c r="AK2810" s="39" t="str">
        <f>("2025/04/10")</f>
        <v>2025/04/10</v>
      </c>
      <c r="AL2810" s="39" t="str">
        <f>("2025/04/10")</f>
        <v>2025/04/10</v>
      </c>
    </row>
    <row r="2811" spans="1:39" x14ac:dyDescent="0.25">
      <c r="A2811" s="39" t="str">
        <f>("1803060015")</f>
        <v>1803060015</v>
      </c>
      <c r="C2811" s="39"/>
      <c r="D2811" s="39" t="s">
        <v>10378</v>
      </c>
      <c r="E2811" s="371" t="str">
        <f t="shared" si="200"/>
        <v>かわの　けいた</v>
      </c>
      <c r="F2811" s="39" t="s">
        <v>8135</v>
      </c>
      <c r="G2811" s="39" t="s">
        <v>7828</v>
      </c>
      <c r="H2811" s="39" t="str">
        <f>("2018/03/06")</f>
        <v>2018/03/06</v>
      </c>
      <c r="I2811" s="39">
        <v>2</v>
      </c>
      <c r="J2811" s="39" t="s">
        <v>1478</v>
      </c>
      <c r="K2811" s="39" t="s">
        <v>2122</v>
      </c>
      <c r="L2811" s="39" t="s">
        <v>7830</v>
      </c>
      <c r="M2811" s="39" t="s">
        <v>7831</v>
      </c>
      <c r="N2811" s="39" t="str">
        <f>("0475567")</f>
        <v>0475567</v>
      </c>
      <c r="P2811" s="39" t="s">
        <v>14248</v>
      </c>
      <c r="Q2811" s="39" t="s">
        <v>8568</v>
      </c>
      <c r="R2811" s="39" t="s">
        <v>8569</v>
      </c>
      <c r="S2811" s="39" t="s">
        <v>8570</v>
      </c>
      <c r="AK2811" s="39" t="str">
        <f>("2025/03/24")</f>
        <v>2025/03/24</v>
      </c>
      <c r="AL2811" s="39" t="str">
        <f>("2025/04/01")</f>
        <v>2025/04/01</v>
      </c>
    </row>
    <row r="2812" spans="1:39" x14ac:dyDescent="0.25">
      <c r="A2812" s="39" t="str">
        <f>("1803150032")</f>
        <v>1803150032</v>
      </c>
      <c r="C2812" s="39"/>
      <c r="D2812" s="39" t="s">
        <v>10379</v>
      </c>
      <c r="E2812" s="371" t="str">
        <f t="shared" si="200"/>
        <v>やまぎわ　りょうま</v>
      </c>
      <c r="F2812" s="39" t="s">
        <v>2544</v>
      </c>
      <c r="G2812" s="39" t="s">
        <v>7828</v>
      </c>
      <c r="H2812" s="39" t="str">
        <f>("2018/03/15")</f>
        <v>2018/03/15</v>
      </c>
      <c r="I2812" s="39">
        <v>2</v>
      </c>
      <c r="J2812" s="39" t="s">
        <v>1478</v>
      </c>
      <c r="K2812" s="39" t="s">
        <v>2122</v>
      </c>
      <c r="L2812" s="39" t="s">
        <v>7830</v>
      </c>
      <c r="M2812" s="39" t="s">
        <v>7831</v>
      </c>
      <c r="N2812" s="39" t="str">
        <f>("0130644")</f>
        <v>0130644</v>
      </c>
      <c r="P2812" s="39" t="s">
        <v>14249</v>
      </c>
      <c r="Q2812" s="39" t="s">
        <v>8568</v>
      </c>
      <c r="R2812" s="39" t="s">
        <v>8569</v>
      </c>
      <c r="S2812" s="39" t="s">
        <v>8570</v>
      </c>
      <c r="AK2812" s="39" t="str">
        <f>("2025/04/26")</f>
        <v>2025/04/26</v>
      </c>
      <c r="AL2812" s="39" t="str">
        <f>("2025/04/26")</f>
        <v>2025/04/26</v>
      </c>
    </row>
    <row r="2813" spans="1:39" x14ac:dyDescent="0.25">
      <c r="A2813" s="39" t="str">
        <f>("1803190042")</f>
        <v>1803190042</v>
      </c>
      <c r="C2813" s="39"/>
      <c r="D2813" s="39" t="s">
        <v>10380</v>
      </c>
      <c r="E2813" s="371" t="str">
        <f t="shared" si="200"/>
        <v>さとう　わかば</v>
      </c>
      <c r="F2813" s="39" t="s">
        <v>2573</v>
      </c>
      <c r="G2813" s="39" t="s">
        <v>7828</v>
      </c>
      <c r="H2813" s="39" t="str">
        <f>("2018/03/19")</f>
        <v>2018/03/19</v>
      </c>
      <c r="I2813" s="39">
        <v>2</v>
      </c>
      <c r="J2813" s="39" t="s">
        <v>1478</v>
      </c>
      <c r="K2813" s="39" t="s">
        <v>2122</v>
      </c>
      <c r="L2813" s="39" t="s">
        <v>7830</v>
      </c>
      <c r="M2813" s="39" t="s">
        <v>7831</v>
      </c>
      <c r="N2813" s="39" t="str">
        <f>("0230982")</f>
        <v>0230982</v>
      </c>
      <c r="P2813" s="39" t="s">
        <v>14250</v>
      </c>
      <c r="Q2813" s="39" t="s">
        <v>8568</v>
      </c>
      <c r="R2813" s="39" t="s">
        <v>8569</v>
      </c>
      <c r="S2813" s="39" t="s">
        <v>8570</v>
      </c>
      <c r="AK2813" s="39" t="str">
        <f>("2025/09/09")</f>
        <v>2025/09/09</v>
      </c>
      <c r="AL2813" s="39" t="str">
        <f>("2025/09/09")</f>
        <v>2025/09/09</v>
      </c>
    </row>
    <row r="2814" spans="1:39" x14ac:dyDescent="0.25">
      <c r="A2814" s="39" t="str">
        <f>("1803200029")</f>
        <v>1803200029</v>
      </c>
      <c r="C2814" s="39"/>
      <c r="D2814" s="39" t="s">
        <v>10381</v>
      </c>
      <c r="E2814" s="371" t="str">
        <f t="shared" si="200"/>
        <v>たにやま　はやと</v>
      </c>
      <c r="F2814" s="39" t="s">
        <v>1481</v>
      </c>
      <c r="G2814" s="39" t="s">
        <v>7828</v>
      </c>
      <c r="H2814" s="39" t="str">
        <f>("2018/03/20")</f>
        <v>2018/03/20</v>
      </c>
      <c r="I2814" s="39">
        <v>2</v>
      </c>
      <c r="J2814" s="39" t="s">
        <v>1478</v>
      </c>
      <c r="K2814" s="39" t="s">
        <v>2122</v>
      </c>
      <c r="L2814" s="39" t="s">
        <v>7830</v>
      </c>
      <c r="M2814" s="39" t="s">
        <v>7831</v>
      </c>
      <c r="N2814" s="39" t="str">
        <f>("0129866")</f>
        <v>0129866</v>
      </c>
      <c r="P2814" s="39" t="s">
        <v>14251</v>
      </c>
      <c r="Q2814" s="39" t="s">
        <v>8568</v>
      </c>
      <c r="R2814" s="39" t="s">
        <v>8569</v>
      </c>
      <c r="S2814" s="39" t="s">
        <v>8570</v>
      </c>
      <c r="AK2814" s="39" t="str">
        <f>("2025/04/10")</f>
        <v>2025/04/10</v>
      </c>
      <c r="AL2814" s="39" t="str">
        <f>("2025/04/10")</f>
        <v>2025/04/10</v>
      </c>
    </row>
    <row r="2815" spans="1:39" x14ac:dyDescent="0.25">
      <c r="A2815" s="39" t="str">
        <f>("1803220010")</f>
        <v>1803220010</v>
      </c>
      <c r="C2815" s="39"/>
      <c r="D2815" s="39" t="s">
        <v>10382</v>
      </c>
      <c r="E2815" s="371" t="str">
        <f t="shared" si="200"/>
        <v>いのうえ　たくと</v>
      </c>
      <c r="F2815" s="39" t="s">
        <v>2630</v>
      </c>
      <c r="G2815" s="39" t="s">
        <v>7828</v>
      </c>
      <c r="H2815" s="39" t="str">
        <f>("2018/03/22")</f>
        <v>2018/03/22</v>
      </c>
      <c r="I2815" s="39">
        <v>2</v>
      </c>
      <c r="J2815" s="39" t="s">
        <v>1478</v>
      </c>
      <c r="K2815" s="39" t="s">
        <v>2122</v>
      </c>
      <c r="L2815" s="39" t="s">
        <v>7830</v>
      </c>
      <c r="M2815" s="39" t="s">
        <v>7831</v>
      </c>
      <c r="N2815" s="39" t="str">
        <f>("0506269")</f>
        <v>0506269</v>
      </c>
      <c r="P2815" s="39" t="s">
        <v>14252</v>
      </c>
      <c r="Q2815" s="39" t="s">
        <v>8568</v>
      </c>
      <c r="R2815" s="39" t="s">
        <v>8569</v>
      </c>
      <c r="S2815" s="39" t="s">
        <v>8570</v>
      </c>
      <c r="AK2815" s="39" t="str">
        <f>("2025/03/17")</f>
        <v>2025/03/17</v>
      </c>
      <c r="AL2815" s="39" t="str">
        <f>("2025/04/01")</f>
        <v>2025/04/01</v>
      </c>
    </row>
    <row r="2816" spans="1:39" x14ac:dyDescent="0.25">
      <c r="A2816" s="39" t="str">
        <f>("1803220022")</f>
        <v>1803220022</v>
      </c>
      <c r="C2816" s="39"/>
      <c r="D2816" s="39" t="s">
        <v>10383</v>
      </c>
      <c r="E2816" s="371" t="str">
        <f t="shared" si="200"/>
        <v>うど　すずな</v>
      </c>
      <c r="F2816" s="39" t="s">
        <v>1481</v>
      </c>
      <c r="G2816" s="39" t="s">
        <v>7828</v>
      </c>
      <c r="H2816" s="39" t="str">
        <f>("2018/03/22")</f>
        <v>2018/03/22</v>
      </c>
      <c r="I2816" s="39">
        <v>2</v>
      </c>
      <c r="J2816" s="39" t="s">
        <v>1480</v>
      </c>
      <c r="K2816" s="39" t="s">
        <v>2122</v>
      </c>
      <c r="L2816" s="39" t="s">
        <v>7830</v>
      </c>
      <c r="M2816" s="39" t="s">
        <v>7831</v>
      </c>
      <c r="N2816" s="39" t="str">
        <f>("0129866")</f>
        <v>0129866</v>
      </c>
      <c r="P2816" s="39" t="s">
        <v>14253</v>
      </c>
      <c r="Q2816" s="39" t="s">
        <v>8568</v>
      </c>
      <c r="R2816" s="39" t="s">
        <v>8569</v>
      </c>
      <c r="S2816" s="39" t="s">
        <v>8570</v>
      </c>
      <c r="AK2816" s="39" t="str">
        <f>("2025/04/10")</f>
        <v>2025/04/10</v>
      </c>
      <c r="AL2816" s="39" t="str">
        <f>("2025/04/10")</f>
        <v>2025/04/10</v>
      </c>
    </row>
    <row r="2817" spans="1:38" x14ac:dyDescent="0.25">
      <c r="A2817" s="39" t="str">
        <f>("1803220028")</f>
        <v>1803220028</v>
      </c>
      <c r="C2817" s="39"/>
      <c r="D2817" s="39" t="s">
        <v>10384</v>
      </c>
      <c r="E2817" s="371" t="str">
        <f t="shared" si="200"/>
        <v>あさい　そういちろう</v>
      </c>
      <c r="F2817" s="39" t="s">
        <v>2324</v>
      </c>
      <c r="G2817" s="39" t="s">
        <v>7828</v>
      </c>
      <c r="H2817" s="39" t="str">
        <f>("2018/03/22")</f>
        <v>2018/03/22</v>
      </c>
      <c r="I2817" s="39">
        <v>2</v>
      </c>
      <c r="J2817" s="39" t="s">
        <v>1478</v>
      </c>
      <c r="K2817" s="39" t="s">
        <v>2122</v>
      </c>
      <c r="L2817" s="39" t="s">
        <v>7830</v>
      </c>
      <c r="M2817" s="39" t="s">
        <v>7831</v>
      </c>
      <c r="N2817" s="39" t="str">
        <f>("0130486")</f>
        <v>0130486</v>
      </c>
      <c r="P2817" s="39" t="s">
        <v>14254</v>
      </c>
      <c r="Q2817" s="39" t="s">
        <v>8568</v>
      </c>
      <c r="R2817" s="39" t="s">
        <v>8569</v>
      </c>
      <c r="S2817" s="39" t="s">
        <v>8570</v>
      </c>
      <c r="AK2817" s="39" t="str">
        <f>("2025/08/07")</f>
        <v>2025/08/07</v>
      </c>
      <c r="AL2817" s="39" t="str">
        <f>("2025/08/07")</f>
        <v>2025/08/07</v>
      </c>
    </row>
    <row r="2818" spans="1:38" x14ac:dyDescent="0.25">
      <c r="A2818" s="39" t="str">
        <f>("1803260010")</f>
        <v>1803260010</v>
      </c>
      <c r="C2818" s="39"/>
      <c r="D2818" s="39" t="s">
        <v>10385</v>
      </c>
      <c r="E2818" s="371" t="str">
        <f t="shared" si="200"/>
        <v>こばやし　はるき</v>
      </c>
      <c r="F2818" s="39" t="s">
        <v>8714</v>
      </c>
      <c r="G2818" s="39" t="s">
        <v>7828</v>
      </c>
      <c r="H2818" s="39" t="str">
        <f>("2018/03/26")</f>
        <v>2018/03/26</v>
      </c>
      <c r="I2818" s="39">
        <v>2</v>
      </c>
      <c r="J2818" s="39" t="s">
        <v>1478</v>
      </c>
      <c r="K2818" s="39" t="s">
        <v>2122</v>
      </c>
      <c r="L2818" s="39" t="s">
        <v>7830</v>
      </c>
      <c r="M2818" s="39" t="s">
        <v>7831</v>
      </c>
      <c r="N2818" s="39" t="str">
        <f>("1032147")</f>
        <v>1032147</v>
      </c>
      <c r="P2818" s="39" t="s">
        <v>14255</v>
      </c>
      <c r="Q2818" s="39" t="s">
        <v>8568</v>
      </c>
      <c r="R2818" s="39" t="s">
        <v>8569</v>
      </c>
      <c r="S2818" s="39" t="s">
        <v>8570</v>
      </c>
      <c r="AK2818" s="39" t="str">
        <f>("2025/03/17")</f>
        <v>2025/03/17</v>
      </c>
      <c r="AL2818" s="39" t="str">
        <f>("2025/04/01")</f>
        <v>2025/04/01</v>
      </c>
    </row>
    <row r="2819" spans="1:38" x14ac:dyDescent="0.25">
      <c r="A2819" s="39" t="str">
        <f>("1803290022")</f>
        <v>1803290022</v>
      </c>
      <c r="C2819" s="39"/>
      <c r="D2819" s="39" t="s">
        <v>10386</v>
      </c>
      <c r="E2819" s="371" t="str">
        <f t="shared" ref="E2819:E2882" si="203">PHONETIC(P2819)</f>
        <v>さとう　りんのすけ</v>
      </c>
      <c r="F2819" s="39" t="s">
        <v>5621</v>
      </c>
      <c r="G2819" s="39" t="s">
        <v>7828</v>
      </c>
      <c r="H2819" s="39" t="str">
        <f>("2018/03/29")</f>
        <v>2018/03/29</v>
      </c>
      <c r="I2819" s="39">
        <v>2</v>
      </c>
      <c r="J2819" s="39" t="s">
        <v>1478</v>
      </c>
      <c r="K2819" s="39" t="s">
        <v>2122</v>
      </c>
      <c r="L2819" s="39" t="s">
        <v>7830</v>
      </c>
      <c r="M2819" s="39" t="s">
        <v>7831</v>
      </c>
      <c r="N2819" s="39" t="str">
        <f>("1110654")</f>
        <v>1110654</v>
      </c>
      <c r="P2819" s="39" t="s">
        <v>14256</v>
      </c>
      <c r="Q2819" s="39" t="s">
        <v>8568</v>
      </c>
      <c r="R2819" s="39" t="s">
        <v>8569</v>
      </c>
      <c r="S2819" s="39" t="s">
        <v>8570</v>
      </c>
      <c r="AK2819" s="39" t="str">
        <f>("2025/07/28")</f>
        <v>2025/07/28</v>
      </c>
      <c r="AL2819" s="39" t="str">
        <f>("2025/07/28")</f>
        <v>2025/07/28</v>
      </c>
    </row>
    <row r="2820" spans="1:38" x14ac:dyDescent="0.25">
      <c r="A2820" s="39" t="str">
        <f>("1803300022")</f>
        <v>1803300022</v>
      </c>
      <c r="C2820" s="39"/>
      <c r="D2820" s="39" t="s">
        <v>10387</v>
      </c>
      <c r="E2820" s="371" t="str">
        <f t="shared" si="203"/>
        <v>そのだ　かいしん</v>
      </c>
      <c r="F2820" s="39" t="s">
        <v>1751</v>
      </c>
      <c r="G2820" s="39" t="s">
        <v>7828</v>
      </c>
      <c r="H2820" s="39" t="str">
        <f>("2018/03/30")</f>
        <v>2018/03/30</v>
      </c>
      <c r="I2820" s="39">
        <v>2</v>
      </c>
      <c r="J2820" s="39" t="s">
        <v>1478</v>
      </c>
      <c r="K2820" s="39" t="s">
        <v>2122</v>
      </c>
      <c r="L2820" s="39" t="s">
        <v>7830</v>
      </c>
      <c r="M2820" s="39" t="s">
        <v>7831</v>
      </c>
      <c r="N2820" s="39" t="str">
        <f>("0130453")</f>
        <v>0130453</v>
      </c>
      <c r="P2820" s="39" t="s">
        <v>14257</v>
      </c>
      <c r="Q2820" s="39" t="s">
        <v>8568</v>
      </c>
      <c r="R2820" s="39" t="s">
        <v>8569</v>
      </c>
      <c r="S2820" s="39" t="s">
        <v>8570</v>
      </c>
      <c r="AK2820" s="39" t="str">
        <f>("2025/07/28")</f>
        <v>2025/07/28</v>
      </c>
      <c r="AL2820" s="39" t="str">
        <f>("2025/07/28")</f>
        <v>2025/07/28</v>
      </c>
    </row>
    <row r="2821" spans="1:38" x14ac:dyDescent="0.25">
      <c r="A2821" s="39" t="str">
        <f>("1804070008")</f>
        <v>1804070008</v>
      </c>
      <c r="C2821" s="39"/>
      <c r="D2821" s="39" t="s">
        <v>10388</v>
      </c>
      <c r="E2821" s="371" t="str">
        <f t="shared" si="203"/>
        <v>のむら　ゆうと</v>
      </c>
      <c r="F2821" s="39" t="s">
        <v>2530</v>
      </c>
      <c r="G2821" s="39" t="s">
        <v>7828</v>
      </c>
      <c r="H2821" s="39" t="str">
        <f>("2018/04/07")</f>
        <v>2018/04/07</v>
      </c>
      <c r="I2821" s="39">
        <v>1</v>
      </c>
      <c r="J2821" s="39" t="s">
        <v>1478</v>
      </c>
      <c r="K2821" s="39" t="s">
        <v>2122</v>
      </c>
      <c r="L2821" s="39" t="s">
        <v>7830</v>
      </c>
      <c r="M2821" s="39" t="s">
        <v>7831</v>
      </c>
      <c r="N2821" s="39" t="str">
        <f>("0338756")</f>
        <v>0338756</v>
      </c>
      <c r="P2821" s="39" t="s">
        <v>14258</v>
      </c>
      <c r="Q2821" s="39" t="s">
        <v>8568</v>
      </c>
      <c r="R2821" s="39" t="s">
        <v>8569</v>
      </c>
      <c r="S2821" s="39" t="s">
        <v>8570</v>
      </c>
      <c r="AK2821" s="39" t="str">
        <f>("2025/10/10")</f>
        <v>2025/10/10</v>
      </c>
      <c r="AL2821" s="39" t="str">
        <f>("2025/10/10")</f>
        <v>2025/10/10</v>
      </c>
    </row>
    <row r="2822" spans="1:38" x14ac:dyDescent="0.25">
      <c r="A2822" s="39" t="str">
        <f>("1804070013")</f>
        <v>1804070013</v>
      </c>
      <c r="C2822" s="39"/>
      <c r="D2822" s="39" t="s">
        <v>10389</v>
      </c>
      <c r="E2822" s="371" t="str">
        <f t="shared" si="203"/>
        <v>さとう　りき</v>
      </c>
      <c r="F2822" s="39" t="s">
        <v>5616</v>
      </c>
      <c r="G2822" s="39" t="s">
        <v>7828</v>
      </c>
      <c r="H2822" s="39" t="str">
        <f>("2018/04/07")</f>
        <v>2018/04/07</v>
      </c>
      <c r="I2822" s="39">
        <v>1</v>
      </c>
      <c r="J2822" s="39" t="s">
        <v>1478</v>
      </c>
      <c r="K2822" s="39" t="s">
        <v>2122</v>
      </c>
      <c r="L2822" s="39" t="s">
        <v>7830</v>
      </c>
      <c r="M2822" s="39" t="s">
        <v>7831</v>
      </c>
      <c r="N2822" s="39" t="str">
        <f>("0130385")</f>
        <v>0130385</v>
      </c>
      <c r="P2822" s="39" t="s">
        <v>14259</v>
      </c>
      <c r="Q2822" s="39" t="s">
        <v>8568</v>
      </c>
      <c r="R2822" s="39" t="s">
        <v>8569</v>
      </c>
      <c r="S2822" s="39" t="s">
        <v>8570</v>
      </c>
      <c r="AK2822" s="39" t="str">
        <f>("2026/01/05")</f>
        <v>2026/01/05</v>
      </c>
      <c r="AL2822" s="39" t="str">
        <f>("2026/01/05")</f>
        <v>2026/01/05</v>
      </c>
    </row>
    <row r="2823" spans="1:38" x14ac:dyDescent="0.25">
      <c r="A2823" s="39" t="str">
        <f>("1804150003")</f>
        <v>1804150003</v>
      </c>
      <c r="C2823" s="39"/>
      <c r="D2823" s="39" t="s">
        <v>10390</v>
      </c>
      <c r="E2823" s="371" t="str">
        <f t="shared" si="203"/>
        <v>ありよし　はやた</v>
      </c>
      <c r="F2823" s="39" t="s">
        <v>2156</v>
      </c>
      <c r="G2823" s="39" t="s">
        <v>7828</v>
      </c>
      <c r="H2823" s="39" t="str">
        <f>("2018/04/15")</f>
        <v>2018/04/15</v>
      </c>
      <c r="I2823" s="39">
        <v>1</v>
      </c>
      <c r="J2823" s="39" t="s">
        <v>1478</v>
      </c>
      <c r="K2823" s="39" t="s">
        <v>2122</v>
      </c>
      <c r="L2823" s="39" t="s">
        <v>7830</v>
      </c>
      <c r="M2823" s="39" t="s">
        <v>7831</v>
      </c>
      <c r="N2823" s="39" t="str">
        <f>("0493040")</f>
        <v>0493040</v>
      </c>
      <c r="P2823" s="39" t="s">
        <v>14260</v>
      </c>
      <c r="Q2823" s="39" t="s">
        <v>8568</v>
      </c>
      <c r="R2823" s="39" t="s">
        <v>8569</v>
      </c>
      <c r="S2823" s="39" t="s">
        <v>8570</v>
      </c>
      <c r="AK2823" s="39" t="str">
        <f>("2025/03/27")</f>
        <v>2025/03/27</v>
      </c>
      <c r="AL2823" s="39" t="str">
        <f>("2025/04/01")</f>
        <v>2025/04/01</v>
      </c>
    </row>
    <row r="2824" spans="1:38" x14ac:dyDescent="0.25">
      <c r="A2824" s="39" t="str">
        <f>("1804210006")</f>
        <v>1804210006</v>
      </c>
      <c r="C2824" s="39"/>
      <c r="D2824" s="39" t="s">
        <v>10391</v>
      </c>
      <c r="E2824" s="371" t="str">
        <f t="shared" si="203"/>
        <v>ひめしま　いあと</v>
      </c>
      <c r="F2824" s="39" t="s">
        <v>2024</v>
      </c>
      <c r="G2824" s="39" t="s">
        <v>7828</v>
      </c>
      <c r="H2824" s="39" t="str">
        <f>("2018/04/21")</f>
        <v>2018/04/21</v>
      </c>
      <c r="I2824" s="39">
        <v>1</v>
      </c>
      <c r="J2824" s="39" t="s">
        <v>1478</v>
      </c>
      <c r="K2824" s="39" t="s">
        <v>2122</v>
      </c>
      <c r="L2824" s="39" t="s">
        <v>7830</v>
      </c>
      <c r="M2824" s="39" t="s">
        <v>7831</v>
      </c>
      <c r="N2824" s="39" t="str">
        <f>("0130475")</f>
        <v>0130475</v>
      </c>
      <c r="P2824" s="39" t="s">
        <v>14261</v>
      </c>
      <c r="Q2824" s="39" t="s">
        <v>8568</v>
      </c>
      <c r="R2824" s="39" t="s">
        <v>8569</v>
      </c>
      <c r="S2824" s="39" t="s">
        <v>8570</v>
      </c>
      <c r="AK2824" s="39" t="str">
        <f>("2025/06/10")</f>
        <v>2025/06/10</v>
      </c>
      <c r="AL2824" s="39" t="str">
        <f>("2025/06/10")</f>
        <v>2025/06/10</v>
      </c>
    </row>
    <row r="2825" spans="1:38" x14ac:dyDescent="0.25">
      <c r="A2825" s="39" t="str">
        <f>("1804260018")</f>
        <v>1804260018</v>
      </c>
      <c r="C2825" s="39"/>
      <c r="D2825" s="39" t="s">
        <v>10392</v>
      </c>
      <c r="E2825" s="371" t="str">
        <f t="shared" si="203"/>
        <v>ひぐち　おおせい</v>
      </c>
      <c r="F2825" s="39" t="s">
        <v>1968</v>
      </c>
      <c r="G2825" s="39" t="s">
        <v>7828</v>
      </c>
      <c r="H2825" s="39" t="str">
        <f>("2018/04/26")</f>
        <v>2018/04/26</v>
      </c>
      <c r="I2825" s="39">
        <v>1</v>
      </c>
      <c r="J2825" s="39" t="s">
        <v>1478</v>
      </c>
      <c r="K2825" s="39" t="s">
        <v>2122</v>
      </c>
      <c r="L2825" s="39" t="s">
        <v>7830</v>
      </c>
      <c r="M2825" s="39" t="s">
        <v>7831</v>
      </c>
      <c r="N2825" s="39" t="str">
        <f>("0129507")</f>
        <v>0129507</v>
      </c>
      <c r="P2825" s="39" t="s">
        <v>14262</v>
      </c>
      <c r="Q2825" s="39" t="s">
        <v>8568</v>
      </c>
      <c r="R2825" s="39" t="s">
        <v>8569</v>
      </c>
      <c r="S2825" s="39" t="s">
        <v>8570</v>
      </c>
      <c r="AK2825" s="39" t="str">
        <f>("2025/08/22")</f>
        <v>2025/08/22</v>
      </c>
      <c r="AL2825" s="39" t="str">
        <f>("2025/08/22")</f>
        <v>2025/08/22</v>
      </c>
    </row>
    <row r="2826" spans="1:38" x14ac:dyDescent="0.25">
      <c r="A2826" s="39" t="str">
        <f>("1805060002")</f>
        <v>1805060002</v>
      </c>
      <c r="C2826" s="39"/>
      <c r="D2826" s="39" t="s">
        <v>10393</v>
      </c>
      <c r="E2826" s="371" t="str">
        <f t="shared" si="203"/>
        <v>たばた　えいた</v>
      </c>
      <c r="F2826" s="39" t="s">
        <v>2918</v>
      </c>
      <c r="G2826" s="39" t="s">
        <v>7828</v>
      </c>
      <c r="H2826" s="39" t="str">
        <f>("2018/05/06")</f>
        <v>2018/05/06</v>
      </c>
      <c r="I2826" s="39">
        <v>1</v>
      </c>
      <c r="J2826" s="39" t="s">
        <v>1478</v>
      </c>
      <c r="K2826" s="39" t="s">
        <v>2122</v>
      </c>
      <c r="L2826" s="39" t="s">
        <v>7830</v>
      </c>
      <c r="M2826" s="39" t="s">
        <v>7831</v>
      </c>
      <c r="N2826" s="39" t="str">
        <f>("0129912")</f>
        <v>0129912</v>
      </c>
      <c r="P2826" s="39" t="s">
        <v>14263</v>
      </c>
      <c r="Q2826" s="39" t="s">
        <v>8568</v>
      </c>
      <c r="R2826" s="39" t="s">
        <v>8569</v>
      </c>
      <c r="S2826" s="39" t="s">
        <v>8570</v>
      </c>
      <c r="AK2826" s="39" t="str">
        <f>("2025/03/17")</f>
        <v>2025/03/17</v>
      </c>
      <c r="AL2826" s="39" t="str">
        <f>("2025/04/01")</f>
        <v>2025/04/01</v>
      </c>
    </row>
    <row r="2827" spans="1:38" x14ac:dyDescent="0.25">
      <c r="A2827" s="39" t="str">
        <f>("1805060003")</f>
        <v>1805060003</v>
      </c>
      <c r="C2827" s="39"/>
      <c r="D2827" s="39" t="s">
        <v>10394</v>
      </c>
      <c r="E2827" s="371" t="str">
        <f t="shared" si="203"/>
        <v>たかふじ　いさ</v>
      </c>
      <c r="F2827" s="39" t="s">
        <v>2156</v>
      </c>
      <c r="G2827" s="39" t="s">
        <v>7828</v>
      </c>
      <c r="H2827" s="39" t="str">
        <f>("2018/05/06")</f>
        <v>2018/05/06</v>
      </c>
      <c r="I2827" s="39">
        <v>1</v>
      </c>
      <c r="J2827" s="39" t="s">
        <v>1478</v>
      </c>
      <c r="K2827" s="39" t="s">
        <v>2122</v>
      </c>
      <c r="L2827" s="39" t="s">
        <v>7830</v>
      </c>
      <c r="M2827" s="39" t="s">
        <v>7831</v>
      </c>
      <c r="N2827" s="39" t="str">
        <f>("0493040")</f>
        <v>0493040</v>
      </c>
      <c r="P2827" s="39" t="s">
        <v>14264</v>
      </c>
      <c r="Q2827" s="39" t="s">
        <v>8568</v>
      </c>
      <c r="R2827" s="39" t="s">
        <v>8569</v>
      </c>
      <c r="S2827" s="39" t="s">
        <v>8570</v>
      </c>
      <c r="AK2827" s="39" t="str">
        <f>("2025/03/27")</f>
        <v>2025/03/27</v>
      </c>
      <c r="AL2827" s="39" t="str">
        <f>("2025/04/01")</f>
        <v>2025/04/01</v>
      </c>
    </row>
    <row r="2828" spans="1:38" x14ac:dyDescent="0.25">
      <c r="A2828" s="39" t="str">
        <f>("1805170018")</f>
        <v>1805170018</v>
      </c>
      <c r="C2828" s="39"/>
      <c r="D2828" s="39" t="s">
        <v>10395</v>
      </c>
      <c r="E2828" s="371" t="str">
        <f t="shared" si="203"/>
        <v>くろぎ　りんと</v>
      </c>
      <c r="F2828" s="39" t="s">
        <v>639</v>
      </c>
      <c r="G2828" s="39" t="s">
        <v>7828</v>
      </c>
      <c r="H2828" s="39" t="str">
        <f>("2018/05/17")</f>
        <v>2018/05/17</v>
      </c>
      <c r="I2828" s="39">
        <v>1</v>
      </c>
      <c r="J2828" s="39" t="s">
        <v>1478</v>
      </c>
      <c r="K2828" s="39" t="s">
        <v>2122</v>
      </c>
      <c r="L2828" s="39" t="s">
        <v>7830</v>
      </c>
      <c r="M2828" s="39" t="s">
        <v>7831</v>
      </c>
      <c r="N2828" s="39" t="str">
        <f>("0130633")</f>
        <v>0130633</v>
      </c>
      <c r="P2828" s="39" t="s">
        <v>14265</v>
      </c>
      <c r="Q2828" s="39" t="s">
        <v>8568</v>
      </c>
      <c r="R2828" s="39" t="s">
        <v>8569</v>
      </c>
      <c r="S2828" s="39" t="s">
        <v>8570</v>
      </c>
      <c r="AK2828" s="39" t="str">
        <f>("2025/08/07")</f>
        <v>2025/08/07</v>
      </c>
      <c r="AL2828" s="39" t="str">
        <f>("2025/08/07")</f>
        <v>2025/08/07</v>
      </c>
    </row>
    <row r="2829" spans="1:38" x14ac:dyDescent="0.25">
      <c r="A2829" s="39" t="str">
        <f>("1805190004")</f>
        <v>1805190004</v>
      </c>
      <c r="C2829" s="39"/>
      <c r="D2829" s="39" t="s">
        <v>10396</v>
      </c>
      <c r="E2829" s="371" t="str">
        <f t="shared" si="203"/>
        <v>おざき　しょう</v>
      </c>
      <c r="F2829" s="39" t="s">
        <v>856</v>
      </c>
      <c r="G2829" s="39" t="s">
        <v>7828</v>
      </c>
      <c r="H2829" s="39" t="str">
        <f>("2018/05/19")</f>
        <v>2018/05/19</v>
      </c>
      <c r="I2829" s="39">
        <v>1</v>
      </c>
      <c r="J2829" s="39" t="s">
        <v>1478</v>
      </c>
      <c r="K2829" s="39" t="s">
        <v>2122</v>
      </c>
      <c r="L2829" s="39" t="s">
        <v>7830</v>
      </c>
      <c r="M2829" s="39" t="s">
        <v>7831</v>
      </c>
      <c r="N2829" s="39" t="str">
        <f>("0130149")</f>
        <v>0130149</v>
      </c>
      <c r="P2829" s="39" t="s">
        <v>14266</v>
      </c>
      <c r="Q2829" s="39" t="s">
        <v>8568</v>
      </c>
      <c r="R2829" s="39" t="s">
        <v>8569</v>
      </c>
      <c r="S2829" s="39" t="s">
        <v>8570</v>
      </c>
      <c r="AK2829" s="39" t="str">
        <f>("2025/03/25")</f>
        <v>2025/03/25</v>
      </c>
      <c r="AL2829" s="39" t="str">
        <f>("2025/04/01")</f>
        <v>2025/04/01</v>
      </c>
    </row>
    <row r="2830" spans="1:38" x14ac:dyDescent="0.25">
      <c r="A2830" s="39" t="str">
        <f>("1805220008")</f>
        <v>1805220008</v>
      </c>
      <c r="C2830" s="39"/>
      <c r="D2830" s="39" t="s">
        <v>10397</v>
      </c>
      <c r="E2830" s="371" t="str">
        <f t="shared" si="203"/>
        <v>いわた　けんせい</v>
      </c>
      <c r="F2830" s="39" t="s">
        <v>2544</v>
      </c>
      <c r="G2830" s="39" t="s">
        <v>7828</v>
      </c>
      <c r="H2830" s="39" t="str">
        <f>("2018/05/22")</f>
        <v>2018/05/22</v>
      </c>
      <c r="I2830" s="39">
        <v>1</v>
      </c>
      <c r="J2830" s="39" t="s">
        <v>1478</v>
      </c>
      <c r="K2830" s="39" t="s">
        <v>2122</v>
      </c>
      <c r="L2830" s="39" t="s">
        <v>7830</v>
      </c>
      <c r="M2830" s="39" t="s">
        <v>7831</v>
      </c>
      <c r="N2830" s="39" t="str">
        <f>("0130644")</f>
        <v>0130644</v>
      </c>
      <c r="P2830" s="39" t="s">
        <v>14267</v>
      </c>
      <c r="Q2830" s="39" t="s">
        <v>8568</v>
      </c>
      <c r="R2830" s="39" t="s">
        <v>8569</v>
      </c>
      <c r="S2830" s="39" t="s">
        <v>8570</v>
      </c>
      <c r="AK2830" s="39" t="str">
        <f>("2025/04/10")</f>
        <v>2025/04/10</v>
      </c>
      <c r="AL2830" s="39" t="str">
        <f>("2025/04/10")</f>
        <v>2025/04/10</v>
      </c>
    </row>
    <row r="2831" spans="1:38" x14ac:dyDescent="0.25">
      <c r="A2831" s="39" t="str">
        <f>("1805220020")</f>
        <v>1805220020</v>
      </c>
      <c r="C2831" s="39"/>
      <c r="D2831" s="39" t="s">
        <v>10398</v>
      </c>
      <c r="E2831" s="371" t="str">
        <f t="shared" si="203"/>
        <v>とおやま　そうま</v>
      </c>
      <c r="F2831" s="39" t="s">
        <v>2137</v>
      </c>
      <c r="G2831" s="39" t="s">
        <v>7828</v>
      </c>
      <c r="H2831" s="39" t="str">
        <f>("2018/05/22")</f>
        <v>2018/05/22</v>
      </c>
      <c r="I2831" s="39">
        <v>1</v>
      </c>
      <c r="J2831" s="39" t="s">
        <v>1478</v>
      </c>
      <c r="K2831" s="39" t="s">
        <v>2122</v>
      </c>
      <c r="L2831" s="39" t="s">
        <v>7830</v>
      </c>
      <c r="M2831" s="39" t="s">
        <v>7831</v>
      </c>
      <c r="N2831" s="39" t="str">
        <f>("0130510")</f>
        <v>0130510</v>
      </c>
      <c r="P2831" s="39" t="s">
        <v>14268</v>
      </c>
      <c r="Q2831" s="39" t="s">
        <v>8568</v>
      </c>
      <c r="R2831" s="39" t="s">
        <v>8569</v>
      </c>
      <c r="S2831" s="39" t="s">
        <v>8570</v>
      </c>
      <c r="AK2831" s="39" t="str">
        <f>("2025/07/10")</f>
        <v>2025/07/10</v>
      </c>
      <c r="AL2831" s="39" t="str">
        <f>("2025/07/10")</f>
        <v>2025/07/10</v>
      </c>
    </row>
    <row r="2832" spans="1:38" x14ac:dyDescent="0.25">
      <c r="A2832" s="39" t="str">
        <f>("1805230006")</f>
        <v>1805230006</v>
      </c>
      <c r="C2832" s="39"/>
      <c r="D2832" s="39" t="s">
        <v>10399</v>
      </c>
      <c r="E2832" s="371" t="str">
        <f t="shared" si="203"/>
        <v>かじわら　うた</v>
      </c>
      <c r="F2832" s="39" t="s">
        <v>2325</v>
      </c>
      <c r="G2832" s="39" t="s">
        <v>7828</v>
      </c>
      <c r="H2832" s="39" t="str">
        <f>("2018/05/23")</f>
        <v>2018/05/23</v>
      </c>
      <c r="I2832" s="39">
        <v>1</v>
      </c>
      <c r="J2832" s="39" t="s">
        <v>1480</v>
      </c>
      <c r="K2832" s="39" t="s">
        <v>2122</v>
      </c>
      <c r="L2832" s="39" t="s">
        <v>7830</v>
      </c>
      <c r="M2832" s="39" t="s">
        <v>7831</v>
      </c>
      <c r="N2832" s="39" t="str">
        <f>("0155034")</f>
        <v>0155034</v>
      </c>
      <c r="P2832" s="39" t="s">
        <v>14269</v>
      </c>
      <c r="Q2832" s="39" t="s">
        <v>8568</v>
      </c>
      <c r="R2832" s="39" t="s">
        <v>8569</v>
      </c>
      <c r="S2832" s="39" t="s">
        <v>8570</v>
      </c>
      <c r="AK2832" s="39" t="str">
        <f>("2025/03/25")</f>
        <v>2025/03/25</v>
      </c>
      <c r="AL2832" s="39" t="str">
        <f>("2025/04/01")</f>
        <v>2025/04/01</v>
      </c>
    </row>
    <row r="2833" spans="1:39" x14ac:dyDescent="0.25">
      <c r="A2833" s="39" t="str">
        <f>("1805230017")</f>
        <v>1805230017</v>
      </c>
      <c r="C2833" s="39"/>
      <c r="D2833" s="39" t="s">
        <v>10400</v>
      </c>
      <c r="E2833" s="371" t="str">
        <f t="shared" si="203"/>
        <v>あんどう　りょうじ</v>
      </c>
      <c r="F2833" s="39" t="s">
        <v>1912</v>
      </c>
      <c r="G2833" s="39" t="s">
        <v>7828</v>
      </c>
      <c r="H2833" s="39" t="str">
        <f>("2018/05/23")</f>
        <v>2018/05/23</v>
      </c>
      <c r="I2833" s="39">
        <v>1</v>
      </c>
      <c r="J2833" s="39" t="s">
        <v>1478</v>
      </c>
      <c r="K2833" s="39" t="s">
        <v>2122</v>
      </c>
      <c r="L2833" s="39" t="s">
        <v>7830</v>
      </c>
      <c r="M2833" s="39" t="s">
        <v>7831</v>
      </c>
      <c r="N2833" s="39" t="str">
        <f>("0130363")</f>
        <v>0130363</v>
      </c>
      <c r="P2833" s="39" t="s">
        <v>14270</v>
      </c>
      <c r="Q2833" s="39" t="s">
        <v>8568</v>
      </c>
      <c r="R2833" s="39" t="s">
        <v>8569</v>
      </c>
      <c r="S2833" s="39" t="s">
        <v>8570</v>
      </c>
      <c r="AK2833" s="39" t="str">
        <f>("2025/05/07")</f>
        <v>2025/05/07</v>
      </c>
      <c r="AL2833" s="39" t="str">
        <f>("2025/05/07")</f>
        <v>2025/05/07</v>
      </c>
    </row>
    <row r="2834" spans="1:39" x14ac:dyDescent="0.25">
      <c r="A2834" s="39" t="str">
        <f>("1805240008")</f>
        <v>1805240008</v>
      </c>
      <c r="C2834" s="39"/>
      <c r="D2834" s="39" t="s">
        <v>10401</v>
      </c>
      <c r="E2834" s="371" t="str">
        <f t="shared" si="203"/>
        <v>あきやま　そうま</v>
      </c>
      <c r="F2834" s="39" t="s">
        <v>5616</v>
      </c>
      <c r="G2834" s="39" t="s">
        <v>7828</v>
      </c>
      <c r="H2834" s="39" t="str">
        <f>("2018/05/24")</f>
        <v>2018/05/24</v>
      </c>
      <c r="I2834" s="39">
        <v>1</v>
      </c>
      <c r="J2834" s="39" t="s">
        <v>1478</v>
      </c>
      <c r="K2834" s="39" t="s">
        <v>2122</v>
      </c>
      <c r="L2834" s="39" t="s">
        <v>7830</v>
      </c>
      <c r="M2834" s="39" t="s">
        <v>7831</v>
      </c>
      <c r="N2834" s="39" t="str">
        <f>("0130385")</f>
        <v>0130385</v>
      </c>
      <c r="P2834" s="39" t="s">
        <v>14271</v>
      </c>
      <c r="Q2834" s="39" t="s">
        <v>8568</v>
      </c>
      <c r="R2834" s="39" t="s">
        <v>8569</v>
      </c>
      <c r="S2834" s="39" t="s">
        <v>8570</v>
      </c>
      <c r="AK2834" s="39" t="str">
        <f>("2025/05/07")</f>
        <v>2025/05/07</v>
      </c>
      <c r="AL2834" s="39" t="str">
        <f>("2025/05/07")</f>
        <v>2025/05/07</v>
      </c>
    </row>
    <row r="2835" spans="1:39" x14ac:dyDescent="0.25">
      <c r="A2835" s="39" t="str">
        <f>("1805260003")</f>
        <v>1805260003</v>
      </c>
      <c r="C2835" s="39"/>
      <c r="D2835" s="39" t="s">
        <v>10402</v>
      </c>
      <c r="E2835" s="371" t="str">
        <f t="shared" si="203"/>
        <v>さとう　はると</v>
      </c>
      <c r="F2835" s="39" t="s">
        <v>2544</v>
      </c>
      <c r="G2835" s="39" t="s">
        <v>7828</v>
      </c>
      <c r="H2835" s="39" t="str">
        <f>("2018/05/26")</f>
        <v>2018/05/26</v>
      </c>
      <c r="I2835" s="39">
        <v>1</v>
      </c>
      <c r="J2835" s="39" t="s">
        <v>1478</v>
      </c>
      <c r="K2835" s="39" t="s">
        <v>2122</v>
      </c>
      <c r="L2835" s="39" t="s">
        <v>7830</v>
      </c>
      <c r="M2835" s="39" t="s">
        <v>7831</v>
      </c>
      <c r="N2835" s="39" t="str">
        <f>("0130644")</f>
        <v>0130644</v>
      </c>
      <c r="P2835" s="39" t="s">
        <v>14272</v>
      </c>
      <c r="Q2835" s="39" t="s">
        <v>8568</v>
      </c>
      <c r="R2835" s="39" t="s">
        <v>8569</v>
      </c>
      <c r="S2835" s="39" t="s">
        <v>8570</v>
      </c>
      <c r="AK2835" s="39" t="str">
        <f>("2025/03/17")</f>
        <v>2025/03/17</v>
      </c>
      <c r="AL2835" s="39" t="str">
        <f>("2025/04/01")</f>
        <v>2025/04/01</v>
      </c>
    </row>
    <row r="2836" spans="1:39" x14ac:dyDescent="0.25">
      <c r="A2836" s="39" t="str">
        <f>("1806080019")</f>
        <v>1806080019</v>
      </c>
      <c r="C2836" s="39"/>
      <c r="D2836" s="39" t="s">
        <v>10403</v>
      </c>
      <c r="E2836" s="371" t="str">
        <f t="shared" si="203"/>
        <v>ひだか　なる</v>
      </c>
      <c r="F2836" s="39" t="s">
        <v>2496</v>
      </c>
      <c r="G2836" s="39" t="s">
        <v>7828</v>
      </c>
      <c r="H2836" s="39" t="str">
        <f>("2018/06/08")</f>
        <v>2018/06/08</v>
      </c>
      <c r="I2836" s="39">
        <v>1</v>
      </c>
      <c r="J2836" s="39" t="s">
        <v>1478</v>
      </c>
      <c r="K2836" s="39" t="s">
        <v>2122</v>
      </c>
      <c r="L2836" s="39" t="s">
        <v>7830</v>
      </c>
      <c r="M2836" s="39" t="s">
        <v>7831</v>
      </c>
      <c r="N2836" s="39" t="str">
        <f>("0129855")</f>
        <v>0129855</v>
      </c>
      <c r="P2836" s="39" t="s">
        <v>14273</v>
      </c>
      <c r="Q2836" s="39" t="s">
        <v>8568</v>
      </c>
      <c r="R2836" s="39" t="s">
        <v>8569</v>
      </c>
      <c r="S2836" s="39" t="s">
        <v>8570</v>
      </c>
      <c r="AK2836" s="39" t="str">
        <f>("2025/11/07")</f>
        <v>2025/11/07</v>
      </c>
      <c r="AL2836" s="39" t="str">
        <f>("2025/11/07")</f>
        <v>2025/11/07</v>
      </c>
    </row>
    <row r="2837" spans="1:39" x14ac:dyDescent="0.25">
      <c r="A2837" s="39" t="str">
        <f>("1806280004")</f>
        <v>1806280004</v>
      </c>
      <c r="C2837" s="39"/>
      <c r="D2837" s="39" t="s">
        <v>10404</v>
      </c>
      <c r="E2837" s="371" t="str">
        <f t="shared" si="203"/>
        <v>みうら　ちひろ</v>
      </c>
      <c r="F2837" s="39" t="s">
        <v>2544</v>
      </c>
      <c r="G2837" s="39" t="s">
        <v>7828</v>
      </c>
      <c r="H2837" s="39" t="str">
        <f>("2018/06/28")</f>
        <v>2018/06/28</v>
      </c>
      <c r="I2837" s="39">
        <v>1</v>
      </c>
      <c r="J2837" s="39" t="s">
        <v>1478</v>
      </c>
      <c r="K2837" s="39" t="s">
        <v>2122</v>
      </c>
      <c r="L2837" s="39" t="s">
        <v>7830</v>
      </c>
      <c r="M2837" s="39" t="s">
        <v>7831</v>
      </c>
      <c r="N2837" s="39" t="str">
        <f>("0130644")</f>
        <v>0130644</v>
      </c>
      <c r="P2837" s="39" t="s">
        <v>14274</v>
      </c>
      <c r="Q2837" s="39" t="s">
        <v>8568</v>
      </c>
      <c r="R2837" s="39" t="s">
        <v>8569</v>
      </c>
      <c r="S2837" s="39" t="s">
        <v>8570</v>
      </c>
      <c r="AK2837" s="39" t="str">
        <f>("2025/05/20")</f>
        <v>2025/05/20</v>
      </c>
      <c r="AL2837" s="39" t="str">
        <f>("2025/05/20")</f>
        <v>2025/05/20</v>
      </c>
    </row>
    <row r="2838" spans="1:39" x14ac:dyDescent="0.25">
      <c r="A2838" s="39" t="str">
        <f>("1807020025")</f>
        <v>1807020025</v>
      </c>
      <c r="C2838" s="39"/>
      <c r="D2838" s="39" t="s">
        <v>10405</v>
      </c>
      <c r="E2838" s="371" t="str">
        <f t="shared" si="203"/>
        <v>あきやま　たいしゅん</v>
      </c>
      <c r="F2838" s="39" t="s">
        <v>2156</v>
      </c>
      <c r="G2838" s="39" t="s">
        <v>7828</v>
      </c>
      <c r="H2838" s="39" t="str">
        <f>("2018/07/02")</f>
        <v>2018/07/02</v>
      </c>
      <c r="I2838" s="39">
        <v>1</v>
      </c>
      <c r="J2838" s="39" t="s">
        <v>1478</v>
      </c>
      <c r="K2838" s="39" t="s">
        <v>2122</v>
      </c>
      <c r="L2838" s="39" t="s">
        <v>7830</v>
      </c>
      <c r="M2838" s="39" t="s">
        <v>7831</v>
      </c>
      <c r="N2838" s="39" t="str">
        <f>("0493040")</f>
        <v>0493040</v>
      </c>
      <c r="P2838" s="39" t="s">
        <v>14275</v>
      </c>
      <c r="Q2838" s="39" t="s">
        <v>8568</v>
      </c>
      <c r="R2838" s="39" t="s">
        <v>8569</v>
      </c>
      <c r="S2838" s="39" t="s">
        <v>8570</v>
      </c>
      <c r="AK2838" s="39" t="str">
        <f>("2025/10/28")</f>
        <v>2025/10/28</v>
      </c>
      <c r="AL2838" s="39" t="str">
        <f>("2025/10/28")</f>
        <v>2025/10/28</v>
      </c>
    </row>
    <row r="2839" spans="1:39" x14ac:dyDescent="0.25">
      <c r="A2839" s="39" t="str">
        <f>("1807040002")</f>
        <v>1807040002</v>
      </c>
      <c r="B2839" s="39" t="s">
        <v>10406</v>
      </c>
      <c r="C2839" s="39"/>
      <c r="D2839" s="39" t="s">
        <v>10407</v>
      </c>
      <c r="E2839" s="371" t="str">
        <f t="shared" si="203"/>
        <v>おおにし　たすく</v>
      </c>
      <c r="F2839" s="39" t="s">
        <v>5615</v>
      </c>
      <c r="G2839" s="39" t="s">
        <v>7828</v>
      </c>
      <c r="H2839" s="39" t="str">
        <f>("2018/07/04")</f>
        <v>2018/07/04</v>
      </c>
      <c r="I2839" s="39" t="s">
        <v>10408</v>
      </c>
      <c r="J2839" s="39" t="s">
        <v>1478</v>
      </c>
      <c r="K2839" s="39" t="s">
        <v>2122</v>
      </c>
      <c r="L2839" s="39" t="s">
        <v>7830</v>
      </c>
      <c r="M2839" s="39" t="s">
        <v>7831</v>
      </c>
      <c r="N2839" s="39" t="str">
        <f>("0129642")</f>
        <v>0129642</v>
      </c>
      <c r="P2839" s="39" t="s">
        <v>14276</v>
      </c>
      <c r="Q2839" s="39" t="s">
        <v>8568</v>
      </c>
      <c r="R2839" s="39" t="s">
        <v>8569</v>
      </c>
      <c r="S2839" s="39" t="s">
        <v>8570</v>
      </c>
      <c r="AK2839" s="39" t="str">
        <f>("2025/03/24")</f>
        <v>2025/03/24</v>
      </c>
      <c r="AL2839" s="39" t="str">
        <f>("2025/04/01")</f>
        <v>2025/04/01</v>
      </c>
    </row>
    <row r="2840" spans="1:39" x14ac:dyDescent="0.25">
      <c r="A2840" s="39" t="str">
        <f>("1807100002")</f>
        <v>1807100002</v>
      </c>
      <c r="C2840" s="39"/>
      <c r="D2840" s="39" t="s">
        <v>10409</v>
      </c>
      <c r="E2840" s="371" t="str">
        <f t="shared" si="203"/>
        <v>よしだ　しゅうと</v>
      </c>
      <c r="F2840" s="39" t="s">
        <v>2630</v>
      </c>
      <c r="G2840" s="39" t="s">
        <v>7828</v>
      </c>
      <c r="H2840" s="39" t="str">
        <f>("2018/07/10")</f>
        <v>2018/07/10</v>
      </c>
      <c r="I2840" s="39">
        <v>1</v>
      </c>
      <c r="J2840" s="39" t="s">
        <v>1478</v>
      </c>
      <c r="K2840" s="39" t="s">
        <v>2122</v>
      </c>
      <c r="L2840" s="39" t="s">
        <v>7830</v>
      </c>
      <c r="M2840" s="39" t="s">
        <v>7831</v>
      </c>
      <c r="N2840" s="39" t="str">
        <f>("0506269")</f>
        <v>0506269</v>
      </c>
      <c r="P2840" s="39" t="s">
        <v>14277</v>
      </c>
      <c r="Q2840" s="39" t="s">
        <v>8568</v>
      </c>
      <c r="R2840" s="39" t="s">
        <v>8569</v>
      </c>
      <c r="S2840" s="39" t="s">
        <v>8570</v>
      </c>
      <c r="AK2840" s="39" t="str">
        <f>("2025/03/17")</f>
        <v>2025/03/17</v>
      </c>
      <c r="AL2840" s="39" t="str">
        <f>("2025/04/01")</f>
        <v>2025/04/01</v>
      </c>
      <c r="AM2840" s="39" t="str">
        <f>("2025/04/17")</f>
        <v>2025/04/17</v>
      </c>
    </row>
    <row r="2841" spans="1:39" x14ac:dyDescent="0.25">
      <c r="A2841" s="39" t="str">
        <f>("1807180010")</f>
        <v>1807180010</v>
      </c>
      <c r="C2841" s="39"/>
      <c r="D2841" s="39" t="s">
        <v>10410</v>
      </c>
      <c r="E2841" s="371" t="str">
        <f t="shared" si="203"/>
        <v>すがわ　かいり</v>
      </c>
      <c r="F2841" s="39" t="s">
        <v>2543</v>
      </c>
      <c r="G2841" s="39" t="s">
        <v>7828</v>
      </c>
      <c r="H2841" s="39" t="str">
        <f>("2018/07/18")</f>
        <v>2018/07/18</v>
      </c>
      <c r="I2841" s="39">
        <v>1</v>
      </c>
      <c r="J2841" s="39" t="s">
        <v>1478</v>
      </c>
      <c r="K2841" s="39" t="s">
        <v>2122</v>
      </c>
      <c r="L2841" s="39" t="s">
        <v>7830</v>
      </c>
      <c r="M2841" s="39" t="s">
        <v>7831</v>
      </c>
      <c r="N2841" s="39" t="str">
        <f>("0130600")</f>
        <v>0130600</v>
      </c>
      <c r="P2841" s="39" t="s">
        <v>14278</v>
      </c>
      <c r="Q2841" s="39" t="s">
        <v>8568</v>
      </c>
      <c r="R2841" s="39" t="s">
        <v>8569</v>
      </c>
      <c r="S2841" s="39" t="s">
        <v>8570</v>
      </c>
      <c r="AK2841" s="39" t="str">
        <f>("2025/05/27")</f>
        <v>2025/05/27</v>
      </c>
      <c r="AL2841" s="39" t="str">
        <f>("2025/05/27")</f>
        <v>2025/05/27</v>
      </c>
    </row>
    <row r="2842" spans="1:39" x14ac:dyDescent="0.25">
      <c r="A2842" s="39" t="str">
        <f>("1807230010")</f>
        <v>1807230010</v>
      </c>
      <c r="C2842" s="39"/>
      <c r="D2842" s="39" t="s">
        <v>10411</v>
      </c>
      <c r="E2842" s="371" t="str">
        <f t="shared" si="203"/>
        <v>かみべっぷ　りょう</v>
      </c>
      <c r="F2842" s="39" t="s">
        <v>1158</v>
      </c>
      <c r="G2842" s="39" t="s">
        <v>7876</v>
      </c>
      <c r="H2842" s="39" t="str">
        <f>("2018/07/23")</f>
        <v>2018/07/23</v>
      </c>
      <c r="I2842" s="39">
        <v>1</v>
      </c>
      <c r="J2842" s="39" t="s">
        <v>1478</v>
      </c>
      <c r="K2842" s="39" t="s">
        <v>2122</v>
      </c>
      <c r="L2842" s="39" t="s">
        <v>7830</v>
      </c>
      <c r="M2842" s="39" t="s">
        <v>7831</v>
      </c>
      <c r="N2842" s="39" t="str">
        <f>("0130318")</f>
        <v>0130318</v>
      </c>
      <c r="P2842" s="39" t="s">
        <v>14279</v>
      </c>
      <c r="Q2842" s="39" t="s">
        <v>8568</v>
      </c>
      <c r="R2842" s="39" t="s">
        <v>8569</v>
      </c>
      <c r="S2842" s="39" t="s">
        <v>8570</v>
      </c>
      <c r="AK2842" s="39" t="str">
        <f>("2025/08/25")</f>
        <v>2025/08/25</v>
      </c>
      <c r="AL2842" s="39" t="str">
        <f>("2025/08/25")</f>
        <v>2025/08/25</v>
      </c>
      <c r="AM2842" s="39" t="str">
        <f>("2026/01/08")</f>
        <v>2026/01/08</v>
      </c>
    </row>
    <row r="2843" spans="1:39" x14ac:dyDescent="0.25">
      <c r="A2843" s="39" t="str">
        <f>("1807280004")</f>
        <v>1807280004</v>
      </c>
      <c r="C2843" s="39"/>
      <c r="D2843" s="39" t="s">
        <v>10412</v>
      </c>
      <c r="E2843" s="371" t="str">
        <f t="shared" si="203"/>
        <v>えがわ　ゆうせい</v>
      </c>
      <c r="F2843" s="39" t="s">
        <v>2325</v>
      </c>
      <c r="G2843" s="39" t="s">
        <v>7828</v>
      </c>
      <c r="H2843" s="39" t="str">
        <f>("2018/07/28")</f>
        <v>2018/07/28</v>
      </c>
      <c r="I2843" s="39">
        <v>1</v>
      </c>
      <c r="J2843" s="39" t="s">
        <v>1478</v>
      </c>
      <c r="K2843" s="39" t="s">
        <v>2122</v>
      </c>
      <c r="L2843" s="39" t="s">
        <v>7830</v>
      </c>
      <c r="M2843" s="39" t="s">
        <v>7831</v>
      </c>
      <c r="N2843" s="39" t="str">
        <f>("0155034")</f>
        <v>0155034</v>
      </c>
      <c r="P2843" s="39" t="s">
        <v>14280</v>
      </c>
      <c r="Q2843" s="39" t="s">
        <v>8568</v>
      </c>
      <c r="R2843" s="39" t="s">
        <v>8569</v>
      </c>
      <c r="S2843" s="39" t="s">
        <v>8570</v>
      </c>
      <c r="AK2843" s="39" t="str">
        <f>("2025/03/25")</f>
        <v>2025/03/25</v>
      </c>
      <c r="AL2843" s="39" t="str">
        <f>("2025/04/01")</f>
        <v>2025/04/01</v>
      </c>
    </row>
    <row r="2844" spans="1:39" x14ac:dyDescent="0.25">
      <c r="A2844" s="39" t="str">
        <f>("1808140010")</f>
        <v>1808140010</v>
      </c>
      <c r="C2844" s="39"/>
      <c r="D2844" s="39" t="s">
        <v>10413</v>
      </c>
      <c r="E2844" s="371" t="str">
        <f t="shared" si="203"/>
        <v>つだ　おうすけ</v>
      </c>
      <c r="F2844" s="39" t="s">
        <v>2137</v>
      </c>
      <c r="G2844" s="39" t="s">
        <v>7828</v>
      </c>
      <c r="H2844" s="39" t="str">
        <f>("2018/08/14")</f>
        <v>2018/08/14</v>
      </c>
      <c r="I2844" s="39">
        <v>1</v>
      </c>
      <c r="J2844" s="39" t="s">
        <v>1478</v>
      </c>
      <c r="K2844" s="39" t="s">
        <v>2122</v>
      </c>
      <c r="L2844" s="39" t="s">
        <v>7830</v>
      </c>
      <c r="M2844" s="39" t="s">
        <v>7831</v>
      </c>
      <c r="N2844" s="39" t="str">
        <f>("0130510")</f>
        <v>0130510</v>
      </c>
      <c r="P2844" s="39" t="s">
        <v>14281</v>
      </c>
      <c r="Q2844" s="39" t="s">
        <v>8568</v>
      </c>
      <c r="R2844" s="39" t="s">
        <v>8569</v>
      </c>
      <c r="S2844" s="39" t="s">
        <v>8570</v>
      </c>
      <c r="AK2844" s="39" t="str">
        <f>("2025/06/16")</f>
        <v>2025/06/16</v>
      </c>
      <c r="AL2844" s="39" t="str">
        <f>("2025/06/16")</f>
        <v>2025/06/16</v>
      </c>
    </row>
    <row r="2845" spans="1:39" x14ac:dyDescent="0.25">
      <c r="A2845" s="39" t="str">
        <f>("1808170013")</f>
        <v>1808170013</v>
      </c>
      <c r="C2845" s="39"/>
      <c r="D2845" s="39" t="s">
        <v>10414</v>
      </c>
      <c r="E2845" s="371" t="str">
        <f t="shared" si="203"/>
        <v>たつかわ　ゆうひ</v>
      </c>
      <c r="F2845" s="39" t="s">
        <v>2878</v>
      </c>
      <c r="G2845" s="39" t="s">
        <v>7828</v>
      </c>
      <c r="H2845" s="39" t="str">
        <f>("2018/08/17")</f>
        <v>2018/08/17</v>
      </c>
      <c r="I2845" s="39">
        <v>1</v>
      </c>
      <c r="J2845" s="39" t="s">
        <v>1478</v>
      </c>
      <c r="K2845" s="39" t="s">
        <v>2122</v>
      </c>
      <c r="L2845" s="39" t="s">
        <v>7830</v>
      </c>
      <c r="M2845" s="39" t="s">
        <v>7831</v>
      </c>
      <c r="N2845" s="39" t="str">
        <f>("0129484")</f>
        <v>0129484</v>
      </c>
      <c r="P2845" s="39" t="s">
        <v>14282</v>
      </c>
      <c r="Q2845" s="39" t="s">
        <v>8568</v>
      </c>
      <c r="R2845" s="39" t="s">
        <v>8569</v>
      </c>
      <c r="S2845" s="39" t="s">
        <v>8570</v>
      </c>
      <c r="AK2845" s="39" t="str">
        <f>("2025/04/24")</f>
        <v>2025/04/24</v>
      </c>
      <c r="AL2845" s="39" t="str">
        <f>("2025/04/24")</f>
        <v>2025/04/24</v>
      </c>
    </row>
    <row r="2846" spans="1:39" x14ac:dyDescent="0.25">
      <c r="A2846" s="39" t="str">
        <f>("1808210013")</f>
        <v>1808210013</v>
      </c>
      <c r="C2846" s="39"/>
      <c r="D2846" s="39" t="s">
        <v>10415</v>
      </c>
      <c r="E2846" s="371" t="str">
        <f t="shared" si="203"/>
        <v>ごとう　しゅんたろう</v>
      </c>
      <c r="F2846" s="39" t="s">
        <v>2821</v>
      </c>
      <c r="G2846" s="39" t="s">
        <v>7828</v>
      </c>
      <c r="H2846" s="39" t="str">
        <f>("2018/08/21")</f>
        <v>2018/08/21</v>
      </c>
      <c r="I2846" s="39">
        <v>1</v>
      </c>
      <c r="J2846" s="39" t="s">
        <v>1478</v>
      </c>
      <c r="K2846" s="39" t="s">
        <v>2122</v>
      </c>
      <c r="L2846" s="39" t="s">
        <v>7830</v>
      </c>
      <c r="M2846" s="39" t="s">
        <v>7831</v>
      </c>
      <c r="N2846" s="39" t="str">
        <f>("0237631")</f>
        <v>0237631</v>
      </c>
      <c r="P2846" s="39" t="s">
        <v>14283</v>
      </c>
      <c r="Q2846" s="39" t="s">
        <v>8568</v>
      </c>
      <c r="R2846" s="39" t="s">
        <v>8569</v>
      </c>
      <c r="S2846" s="39" t="s">
        <v>8570</v>
      </c>
      <c r="AK2846" s="39" t="str">
        <f>("2026/01/08")</f>
        <v>2026/01/08</v>
      </c>
      <c r="AL2846" s="39" t="str">
        <f>("2026/01/08")</f>
        <v>2026/01/08</v>
      </c>
    </row>
    <row r="2847" spans="1:39" x14ac:dyDescent="0.25">
      <c r="A2847" s="39" t="str">
        <f>("1808280026")</f>
        <v>1808280026</v>
      </c>
      <c r="C2847" s="39"/>
      <c r="D2847" s="39" t="s">
        <v>10416</v>
      </c>
      <c r="E2847" s="371" t="str">
        <f t="shared" si="203"/>
        <v>てらしま　だいち</v>
      </c>
      <c r="F2847" s="39" t="s">
        <v>2137</v>
      </c>
      <c r="G2847" s="39" t="s">
        <v>7828</v>
      </c>
      <c r="H2847" s="39" t="str">
        <f>("2018/08/28")</f>
        <v>2018/08/28</v>
      </c>
      <c r="I2847" s="39">
        <v>1</v>
      </c>
      <c r="J2847" s="39" t="s">
        <v>1478</v>
      </c>
      <c r="K2847" s="39" t="s">
        <v>2122</v>
      </c>
      <c r="L2847" s="39" t="s">
        <v>7830</v>
      </c>
      <c r="M2847" s="39" t="s">
        <v>7831</v>
      </c>
      <c r="N2847" s="39" t="str">
        <f>("0130510")</f>
        <v>0130510</v>
      </c>
      <c r="P2847" s="39" t="s">
        <v>14284</v>
      </c>
      <c r="Q2847" s="39" t="s">
        <v>8568</v>
      </c>
      <c r="R2847" s="39" t="s">
        <v>8569</v>
      </c>
      <c r="S2847" s="39" t="s">
        <v>8570</v>
      </c>
      <c r="AK2847" s="39" t="str">
        <f>("2025/10/07")</f>
        <v>2025/10/07</v>
      </c>
      <c r="AL2847" s="39" t="str">
        <f>("2025/10/07")</f>
        <v>2025/10/07</v>
      </c>
    </row>
    <row r="2848" spans="1:39" x14ac:dyDescent="0.25">
      <c r="A2848" s="39" t="str">
        <f>("1808300005")</f>
        <v>1808300005</v>
      </c>
      <c r="C2848" s="39"/>
      <c r="D2848" s="39" t="s">
        <v>10417</v>
      </c>
      <c r="E2848" s="371" t="str">
        <f t="shared" si="203"/>
        <v>やぎ　そうすけ</v>
      </c>
      <c r="F2848" s="39" t="s">
        <v>2544</v>
      </c>
      <c r="G2848" s="39" t="s">
        <v>7828</v>
      </c>
      <c r="H2848" s="39" t="str">
        <f>("2018/08/30")</f>
        <v>2018/08/30</v>
      </c>
      <c r="I2848" s="39">
        <v>1</v>
      </c>
      <c r="J2848" s="39" t="s">
        <v>1478</v>
      </c>
      <c r="K2848" s="39" t="s">
        <v>2122</v>
      </c>
      <c r="L2848" s="39" t="s">
        <v>7830</v>
      </c>
      <c r="M2848" s="39" t="s">
        <v>7831</v>
      </c>
      <c r="N2848" s="39" t="str">
        <f>("0130644")</f>
        <v>0130644</v>
      </c>
      <c r="P2848" s="39" t="s">
        <v>14285</v>
      </c>
      <c r="Q2848" s="39" t="s">
        <v>8568</v>
      </c>
      <c r="R2848" s="39" t="s">
        <v>8569</v>
      </c>
      <c r="S2848" s="39" t="s">
        <v>8570</v>
      </c>
      <c r="AK2848" s="39" t="str">
        <f>("2025/04/10")</f>
        <v>2025/04/10</v>
      </c>
      <c r="AL2848" s="39" t="str">
        <f>("2025/04/10")</f>
        <v>2025/04/10</v>
      </c>
    </row>
    <row r="2849" spans="1:38" x14ac:dyDescent="0.25">
      <c r="A2849" s="39" t="str">
        <f>("1808300011")</f>
        <v>1808300011</v>
      </c>
      <c r="C2849" s="39"/>
      <c r="D2849" s="39" t="s">
        <v>10418</v>
      </c>
      <c r="E2849" s="371" t="str">
        <f t="shared" si="203"/>
        <v>いわき　ゆうと</v>
      </c>
      <c r="F2849" s="39" t="s">
        <v>639</v>
      </c>
      <c r="G2849" s="39" t="s">
        <v>7828</v>
      </c>
      <c r="H2849" s="39" t="str">
        <f>("2018/08/30")</f>
        <v>2018/08/30</v>
      </c>
      <c r="I2849" s="39">
        <v>1</v>
      </c>
      <c r="J2849" s="39" t="s">
        <v>1478</v>
      </c>
      <c r="K2849" s="39" t="s">
        <v>2122</v>
      </c>
      <c r="L2849" s="39" t="s">
        <v>7830</v>
      </c>
      <c r="M2849" s="39" t="s">
        <v>7831</v>
      </c>
      <c r="N2849" s="39" t="str">
        <f>("0130633")</f>
        <v>0130633</v>
      </c>
      <c r="P2849" s="39" t="s">
        <v>14286</v>
      </c>
      <c r="Q2849" s="39" t="s">
        <v>8568</v>
      </c>
      <c r="R2849" s="39" t="s">
        <v>8569</v>
      </c>
      <c r="S2849" s="39" t="s">
        <v>8570</v>
      </c>
      <c r="AK2849" s="39" t="str">
        <f>("2025/08/07")</f>
        <v>2025/08/07</v>
      </c>
      <c r="AL2849" s="39" t="str">
        <f>("2025/08/07")</f>
        <v>2025/08/07</v>
      </c>
    </row>
    <row r="2850" spans="1:38" x14ac:dyDescent="0.25">
      <c r="A2850" s="39" t="str">
        <f>("1809020006")</f>
        <v>1809020006</v>
      </c>
      <c r="C2850" s="39"/>
      <c r="D2850" s="39" t="s">
        <v>10419</v>
      </c>
      <c r="E2850" s="371" t="str">
        <f t="shared" si="203"/>
        <v>ぐんだ　てるや</v>
      </c>
      <c r="F2850" s="39" t="s">
        <v>2544</v>
      </c>
      <c r="G2850" s="39" t="s">
        <v>7828</v>
      </c>
      <c r="H2850" s="39" t="str">
        <f>("2018/09/02")</f>
        <v>2018/09/02</v>
      </c>
      <c r="I2850" s="39">
        <v>1</v>
      </c>
      <c r="J2850" s="39" t="s">
        <v>1478</v>
      </c>
      <c r="K2850" s="39" t="s">
        <v>2122</v>
      </c>
      <c r="L2850" s="39" t="s">
        <v>7830</v>
      </c>
      <c r="M2850" s="39" t="s">
        <v>7831</v>
      </c>
      <c r="N2850" s="39" t="str">
        <f>("0130644")</f>
        <v>0130644</v>
      </c>
      <c r="P2850" s="39" t="s">
        <v>14287</v>
      </c>
      <c r="Q2850" s="39" t="s">
        <v>8568</v>
      </c>
      <c r="R2850" s="39" t="s">
        <v>8569</v>
      </c>
      <c r="S2850" s="39" t="s">
        <v>8570</v>
      </c>
      <c r="AK2850" s="39" t="str">
        <f>("2025/04/26")</f>
        <v>2025/04/26</v>
      </c>
      <c r="AL2850" s="39" t="str">
        <f>("2025/04/26")</f>
        <v>2025/04/26</v>
      </c>
    </row>
    <row r="2851" spans="1:38" x14ac:dyDescent="0.25">
      <c r="A2851" s="39" t="str">
        <f>("1809270013")</f>
        <v>1809270013</v>
      </c>
      <c r="C2851" s="39"/>
      <c r="D2851" s="39" t="s">
        <v>10420</v>
      </c>
      <c r="E2851" s="371" t="str">
        <f t="shared" si="203"/>
        <v>あさり　ちひろ</v>
      </c>
      <c r="F2851" s="39" t="s">
        <v>5616</v>
      </c>
      <c r="G2851" s="39" t="s">
        <v>7828</v>
      </c>
      <c r="H2851" s="39" t="str">
        <f>("2018/09/27")</f>
        <v>2018/09/27</v>
      </c>
      <c r="I2851" s="39">
        <v>1</v>
      </c>
      <c r="J2851" s="39" t="s">
        <v>1478</v>
      </c>
      <c r="K2851" s="39" t="s">
        <v>2122</v>
      </c>
      <c r="L2851" s="39" t="s">
        <v>7830</v>
      </c>
      <c r="M2851" s="39" t="s">
        <v>7831</v>
      </c>
      <c r="N2851" s="39" t="str">
        <f>("0130385")</f>
        <v>0130385</v>
      </c>
      <c r="P2851" s="39" t="s">
        <v>14288</v>
      </c>
      <c r="Q2851" s="39" t="s">
        <v>8568</v>
      </c>
      <c r="R2851" s="39" t="s">
        <v>8569</v>
      </c>
      <c r="S2851" s="39" t="s">
        <v>8570</v>
      </c>
      <c r="AK2851" s="39" t="str">
        <f>("2025/10/23")</f>
        <v>2025/10/23</v>
      </c>
      <c r="AL2851" s="39" t="str">
        <f>("2025/10/23")</f>
        <v>2025/10/23</v>
      </c>
    </row>
    <row r="2852" spans="1:38" x14ac:dyDescent="0.25">
      <c r="A2852" s="39" t="str">
        <f>("1809280015")</f>
        <v>1809280015</v>
      </c>
      <c r="C2852" s="39"/>
      <c r="D2852" s="39" t="s">
        <v>10421</v>
      </c>
      <c r="E2852" s="371" t="str">
        <f t="shared" si="203"/>
        <v>にいな　かんた</v>
      </c>
      <c r="F2852" s="39" t="s">
        <v>2574</v>
      </c>
      <c r="G2852" s="39" t="s">
        <v>7828</v>
      </c>
      <c r="H2852" s="39" t="str">
        <f>("2018/09/28")</f>
        <v>2018/09/28</v>
      </c>
      <c r="I2852" s="39">
        <v>1</v>
      </c>
      <c r="J2852" s="39" t="s">
        <v>1478</v>
      </c>
      <c r="K2852" s="39" t="s">
        <v>2122</v>
      </c>
      <c r="L2852" s="39" t="s">
        <v>7830</v>
      </c>
      <c r="M2852" s="39" t="s">
        <v>7831</v>
      </c>
      <c r="N2852" s="39" t="str">
        <f>("0237620")</f>
        <v>0237620</v>
      </c>
      <c r="P2852" s="39" t="s">
        <v>14289</v>
      </c>
      <c r="Q2852" s="39" t="s">
        <v>8568</v>
      </c>
      <c r="R2852" s="39" t="s">
        <v>8569</v>
      </c>
      <c r="S2852" s="39" t="s">
        <v>8570</v>
      </c>
      <c r="AK2852" s="39" t="str">
        <f>("2025/03/17")</f>
        <v>2025/03/17</v>
      </c>
      <c r="AL2852" s="39" t="str">
        <f>("2025/04/01")</f>
        <v>2025/04/01</v>
      </c>
    </row>
    <row r="2853" spans="1:38" x14ac:dyDescent="0.25">
      <c r="A2853" s="39" t="str">
        <f>("1809300002")</f>
        <v>1809300002</v>
      </c>
      <c r="C2853" s="39"/>
      <c r="D2853" s="39" t="s">
        <v>10422</v>
      </c>
      <c r="E2853" s="371" t="str">
        <f t="shared" si="203"/>
        <v>えとう　けんた</v>
      </c>
      <c r="F2853" s="39" t="s">
        <v>8485</v>
      </c>
      <c r="G2853" s="39" t="s">
        <v>7828</v>
      </c>
      <c r="H2853" s="39" t="str">
        <f>("2018/09/30")</f>
        <v>2018/09/30</v>
      </c>
      <c r="I2853" s="39">
        <v>1</v>
      </c>
      <c r="J2853" s="39" t="s">
        <v>1478</v>
      </c>
      <c r="K2853" s="39" t="s">
        <v>2122</v>
      </c>
      <c r="L2853" s="39" t="s">
        <v>7830</v>
      </c>
      <c r="M2853" s="39" t="s">
        <v>7831</v>
      </c>
      <c r="N2853" s="39" t="str">
        <f>("0130666")</f>
        <v>0130666</v>
      </c>
      <c r="P2853" s="39" t="s">
        <v>14290</v>
      </c>
      <c r="Q2853" s="39" t="s">
        <v>8568</v>
      </c>
      <c r="R2853" s="39" t="s">
        <v>8569</v>
      </c>
      <c r="S2853" s="39" t="s">
        <v>8570</v>
      </c>
      <c r="AK2853" s="39" t="str">
        <f>("2025/04/04")</f>
        <v>2025/04/04</v>
      </c>
      <c r="AL2853" s="39" t="str">
        <f>("2025/04/04")</f>
        <v>2025/04/04</v>
      </c>
    </row>
    <row r="2854" spans="1:38" x14ac:dyDescent="0.25">
      <c r="A2854" s="39" t="str">
        <f>("1810020016")</f>
        <v>1810020016</v>
      </c>
      <c r="C2854" s="39"/>
      <c r="D2854" s="39" t="s">
        <v>10423</v>
      </c>
      <c r="E2854" s="371" t="str">
        <f t="shared" si="203"/>
        <v>かわの　はなこ</v>
      </c>
      <c r="F2854" s="39" t="s">
        <v>2299</v>
      </c>
      <c r="G2854" s="39" t="s">
        <v>7828</v>
      </c>
      <c r="H2854" s="39" t="str">
        <f>("2018/10/02")</f>
        <v>2018/10/02</v>
      </c>
      <c r="I2854" s="39">
        <v>1</v>
      </c>
      <c r="J2854" s="39" t="s">
        <v>1480</v>
      </c>
      <c r="K2854" s="39" t="s">
        <v>2122</v>
      </c>
      <c r="L2854" s="39" t="s">
        <v>7830</v>
      </c>
      <c r="M2854" s="39" t="s">
        <v>7831</v>
      </c>
      <c r="N2854" s="39" t="str">
        <f>("1066647")</f>
        <v>1066647</v>
      </c>
      <c r="P2854" s="39" t="s">
        <v>14291</v>
      </c>
      <c r="Q2854" s="39" t="s">
        <v>8568</v>
      </c>
      <c r="R2854" s="39" t="s">
        <v>8569</v>
      </c>
      <c r="S2854" s="39" t="s">
        <v>8570</v>
      </c>
      <c r="AK2854" s="39" t="str">
        <f>("2025/06/27")</f>
        <v>2025/06/27</v>
      </c>
      <c r="AL2854" s="39" t="str">
        <f>("2025/06/27")</f>
        <v>2025/06/27</v>
      </c>
    </row>
    <row r="2855" spans="1:38" x14ac:dyDescent="0.25">
      <c r="A2855" s="39" t="str">
        <f>("1810090010")</f>
        <v>1810090010</v>
      </c>
      <c r="C2855" s="39"/>
      <c r="D2855" s="39" t="s">
        <v>10424</v>
      </c>
      <c r="E2855" s="371" t="str">
        <f t="shared" si="203"/>
        <v>みやけ　しき</v>
      </c>
      <c r="F2855" s="39" t="s">
        <v>2878</v>
      </c>
      <c r="G2855" s="39" t="s">
        <v>7828</v>
      </c>
      <c r="H2855" s="39" t="str">
        <f>("2018/10/09")</f>
        <v>2018/10/09</v>
      </c>
      <c r="I2855" s="39">
        <v>1</v>
      </c>
      <c r="J2855" s="39" t="s">
        <v>1478</v>
      </c>
      <c r="K2855" s="39" t="s">
        <v>2122</v>
      </c>
      <c r="L2855" s="39" t="s">
        <v>7830</v>
      </c>
      <c r="M2855" s="39" t="s">
        <v>7831</v>
      </c>
      <c r="N2855" s="39" t="str">
        <f>("0129484")</f>
        <v>0129484</v>
      </c>
      <c r="P2855" s="39" t="s">
        <v>14292</v>
      </c>
      <c r="Q2855" s="39" t="s">
        <v>8568</v>
      </c>
      <c r="R2855" s="39" t="s">
        <v>8569</v>
      </c>
      <c r="S2855" s="39" t="s">
        <v>8570</v>
      </c>
      <c r="AK2855" s="39" t="str">
        <f>("2025/09/16")</f>
        <v>2025/09/16</v>
      </c>
      <c r="AL2855" s="39" t="str">
        <f>("2025/09/16")</f>
        <v>2025/09/16</v>
      </c>
    </row>
    <row r="2856" spans="1:38" x14ac:dyDescent="0.25">
      <c r="A2856" s="39" t="str">
        <f>("1810190018")</f>
        <v>1810190018</v>
      </c>
      <c r="C2856" s="39"/>
      <c r="D2856" s="39" t="s">
        <v>10425</v>
      </c>
      <c r="E2856" s="371" t="str">
        <f t="shared" si="203"/>
        <v>もり　はやと</v>
      </c>
      <c r="F2856" s="39" t="s">
        <v>1968</v>
      </c>
      <c r="G2856" s="39" t="s">
        <v>7828</v>
      </c>
      <c r="H2856" s="39" t="str">
        <f>("2018/10/19")</f>
        <v>2018/10/19</v>
      </c>
      <c r="I2856" s="39">
        <v>1</v>
      </c>
      <c r="J2856" s="39" t="s">
        <v>1478</v>
      </c>
      <c r="K2856" s="39" t="s">
        <v>2122</v>
      </c>
      <c r="L2856" s="39" t="s">
        <v>7830</v>
      </c>
      <c r="M2856" s="39" t="s">
        <v>7831</v>
      </c>
      <c r="N2856" s="39" t="str">
        <f>("0129507")</f>
        <v>0129507</v>
      </c>
      <c r="P2856" s="39" t="s">
        <v>14293</v>
      </c>
      <c r="Q2856" s="39" t="s">
        <v>8568</v>
      </c>
      <c r="R2856" s="39" t="s">
        <v>8569</v>
      </c>
      <c r="S2856" s="39" t="s">
        <v>8570</v>
      </c>
      <c r="AK2856" s="39" t="str">
        <f>("2025/08/22")</f>
        <v>2025/08/22</v>
      </c>
      <c r="AL2856" s="39" t="str">
        <f>("2025/08/22")</f>
        <v>2025/08/22</v>
      </c>
    </row>
    <row r="2857" spans="1:38" x14ac:dyDescent="0.25">
      <c r="A2857" s="39" t="str">
        <f>("1810220010")</f>
        <v>1810220010</v>
      </c>
      <c r="C2857" s="39"/>
      <c r="D2857" s="39" t="s">
        <v>10426</v>
      </c>
      <c r="E2857" s="371" t="str">
        <f t="shared" si="203"/>
        <v>ごうたに　ゆづき</v>
      </c>
      <c r="F2857" s="39" t="s">
        <v>2878</v>
      </c>
      <c r="G2857" s="39" t="s">
        <v>7828</v>
      </c>
      <c r="H2857" s="39" t="str">
        <f>("2018/10/22")</f>
        <v>2018/10/22</v>
      </c>
      <c r="I2857" s="39">
        <v>1</v>
      </c>
      <c r="J2857" s="39" t="s">
        <v>1480</v>
      </c>
      <c r="K2857" s="39" t="s">
        <v>2122</v>
      </c>
      <c r="L2857" s="39" t="s">
        <v>7830</v>
      </c>
      <c r="M2857" s="39" t="s">
        <v>7831</v>
      </c>
      <c r="N2857" s="39" t="str">
        <f>("0129484")</f>
        <v>0129484</v>
      </c>
      <c r="P2857" s="39" t="s">
        <v>14294</v>
      </c>
      <c r="Q2857" s="39" t="s">
        <v>8568</v>
      </c>
      <c r="R2857" s="39" t="s">
        <v>8569</v>
      </c>
      <c r="S2857" s="39" t="s">
        <v>8570</v>
      </c>
      <c r="AK2857" s="39" t="str">
        <f>("2025/04/24")</f>
        <v>2025/04/24</v>
      </c>
      <c r="AL2857" s="39" t="str">
        <f>("2025/04/24")</f>
        <v>2025/04/24</v>
      </c>
    </row>
    <row r="2858" spans="1:38" x14ac:dyDescent="0.25">
      <c r="A2858" s="39" t="str">
        <f>("1810230003")</f>
        <v>1810230003</v>
      </c>
      <c r="C2858" s="39"/>
      <c r="D2858" s="39" t="s">
        <v>10427</v>
      </c>
      <c r="E2858" s="371" t="str">
        <f t="shared" si="203"/>
        <v>ながた　かおる</v>
      </c>
      <c r="F2858" s="39" t="s">
        <v>156</v>
      </c>
      <c r="G2858" s="39" t="s">
        <v>7828</v>
      </c>
      <c r="H2858" s="39" t="str">
        <f>("2018/10/23")</f>
        <v>2018/10/23</v>
      </c>
      <c r="I2858" s="39">
        <v>1</v>
      </c>
      <c r="J2858" s="39" t="s">
        <v>1478</v>
      </c>
      <c r="K2858" s="39" t="s">
        <v>2122</v>
      </c>
      <c r="L2858" s="39" t="s">
        <v>7830</v>
      </c>
      <c r="M2858" s="39" t="s">
        <v>7831</v>
      </c>
      <c r="N2858" s="39" t="str">
        <f>("0130037")</f>
        <v>0130037</v>
      </c>
      <c r="P2858" s="39" t="s">
        <v>14295</v>
      </c>
      <c r="Q2858" s="39" t="s">
        <v>8568</v>
      </c>
      <c r="R2858" s="39" t="s">
        <v>8569</v>
      </c>
      <c r="S2858" s="39" t="s">
        <v>8570</v>
      </c>
      <c r="AK2858" s="39" t="str">
        <f>("2025/03/17")</f>
        <v>2025/03/17</v>
      </c>
      <c r="AL2858" s="39" t="str">
        <f>("2025/04/01")</f>
        <v>2025/04/01</v>
      </c>
    </row>
    <row r="2859" spans="1:38" x14ac:dyDescent="0.25">
      <c r="A2859" s="39" t="str">
        <f>("1810230011")</f>
        <v>1810230011</v>
      </c>
      <c r="C2859" s="39"/>
      <c r="D2859" s="39" t="s">
        <v>10428</v>
      </c>
      <c r="E2859" s="371" t="str">
        <f t="shared" si="203"/>
        <v>くじら　ゆうと</v>
      </c>
      <c r="F2859" s="39" t="s">
        <v>2544</v>
      </c>
      <c r="G2859" s="39" t="s">
        <v>7828</v>
      </c>
      <c r="H2859" s="39" t="str">
        <f>("2018/10/23")</f>
        <v>2018/10/23</v>
      </c>
      <c r="I2859" s="39">
        <v>1</v>
      </c>
      <c r="J2859" s="39" t="s">
        <v>1478</v>
      </c>
      <c r="K2859" s="39" t="s">
        <v>2122</v>
      </c>
      <c r="L2859" s="39" t="s">
        <v>7830</v>
      </c>
      <c r="M2859" s="39" t="s">
        <v>7831</v>
      </c>
      <c r="N2859" s="39" t="str">
        <f>("0130644")</f>
        <v>0130644</v>
      </c>
      <c r="P2859" s="39" t="s">
        <v>14296</v>
      </c>
      <c r="Q2859" s="39" t="s">
        <v>8568</v>
      </c>
      <c r="R2859" s="39" t="s">
        <v>8569</v>
      </c>
      <c r="S2859" s="39" t="s">
        <v>8570</v>
      </c>
      <c r="AK2859" s="39" t="str">
        <f>("2025/05/20")</f>
        <v>2025/05/20</v>
      </c>
      <c r="AL2859" s="39" t="str">
        <f>("2025/05/20")</f>
        <v>2025/05/20</v>
      </c>
    </row>
    <row r="2860" spans="1:38" x14ac:dyDescent="0.25">
      <c r="A2860" s="39" t="str">
        <f>("1810240014")</f>
        <v>1810240014</v>
      </c>
      <c r="C2860" s="39"/>
      <c r="D2860" s="39" t="s">
        <v>10429</v>
      </c>
      <c r="E2860" s="371" t="str">
        <f t="shared" si="203"/>
        <v>ごとう　かずと</v>
      </c>
      <c r="F2860" s="39" t="s">
        <v>2137</v>
      </c>
      <c r="G2860" s="39" t="s">
        <v>7828</v>
      </c>
      <c r="H2860" s="39" t="str">
        <f>("2018/10/24")</f>
        <v>2018/10/24</v>
      </c>
      <c r="I2860" s="39">
        <v>1</v>
      </c>
      <c r="J2860" s="39" t="s">
        <v>1478</v>
      </c>
      <c r="K2860" s="39" t="s">
        <v>2122</v>
      </c>
      <c r="L2860" s="39" t="s">
        <v>7830</v>
      </c>
      <c r="M2860" s="39" t="s">
        <v>7831</v>
      </c>
      <c r="N2860" s="39" t="str">
        <f>("0130510")</f>
        <v>0130510</v>
      </c>
      <c r="P2860" s="39" t="s">
        <v>14297</v>
      </c>
      <c r="Q2860" s="39" t="s">
        <v>8568</v>
      </c>
      <c r="R2860" s="39" t="s">
        <v>8569</v>
      </c>
      <c r="S2860" s="39" t="s">
        <v>8570</v>
      </c>
      <c r="AK2860" s="39" t="str">
        <f>("2025/06/16")</f>
        <v>2025/06/16</v>
      </c>
      <c r="AL2860" s="39" t="str">
        <f>("2025/06/16")</f>
        <v>2025/06/16</v>
      </c>
    </row>
    <row r="2861" spans="1:38" x14ac:dyDescent="0.25">
      <c r="A2861" s="39" t="str">
        <f>("1811070022")</f>
        <v>1811070022</v>
      </c>
      <c r="C2861" s="39"/>
      <c r="D2861" s="39" t="s">
        <v>10430</v>
      </c>
      <c r="E2861" s="371" t="str">
        <f t="shared" si="203"/>
        <v>きだ　りょうすけ</v>
      </c>
      <c r="F2861" s="39" t="s">
        <v>2544</v>
      </c>
      <c r="G2861" s="39" t="s">
        <v>7828</v>
      </c>
      <c r="H2861" s="39" t="str">
        <f>("2018/11/07")</f>
        <v>2018/11/07</v>
      </c>
      <c r="I2861" s="39">
        <v>1</v>
      </c>
      <c r="J2861" s="39" t="s">
        <v>1478</v>
      </c>
      <c r="K2861" s="39" t="s">
        <v>2122</v>
      </c>
      <c r="L2861" s="39" t="s">
        <v>7830</v>
      </c>
      <c r="M2861" s="39" t="s">
        <v>7831</v>
      </c>
      <c r="N2861" s="39" t="str">
        <f>("0130644")</f>
        <v>0130644</v>
      </c>
      <c r="P2861" s="39" t="s">
        <v>14298</v>
      </c>
      <c r="Q2861" s="39" t="s">
        <v>8568</v>
      </c>
      <c r="R2861" s="39" t="s">
        <v>8569</v>
      </c>
      <c r="S2861" s="39" t="s">
        <v>8570</v>
      </c>
      <c r="AK2861" s="39" t="str">
        <f>("2025/09/30")</f>
        <v>2025/09/30</v>
      </c>
      <c r="AL2861" s="39" t="str">
        <f>("2025/09/30")</f>
        <v>2025/09/30</v>
      </c>
    </row>
    <row r="2862" spans="1:38" x14ac:dyDescent="0.25">
      <c r="A2862" s="39" t="str">
        <f>("1811270017")</f>
        <v>1811270017</v>
      </c>
      <c r="C2862" s="39"/>
      <c r="D2862" s="39" t="s">
        <v>10431</v>
      </c>
      <c r="E2862" s="371" t="str">
        <f t="shared" si="203"/>
        <v>ながとも　きっぺい</v>
      </c>
      <c r="F2862" s="39" t="s">
        <v>5616</v>
      </c>
      <c r="G2862" s="39" t="s">
        <v>7828</v>
      </c>
      <c r="H2862" s="39" t="str">
        <f>("2018/11/27")</f>
        <v>2018/11/27</v>
      </c>
      <c r="I2862" s="39">
        <v>1</v>
      </c>
      <c r="J2862" s="39" t="s">
        <v>1478</v>
      </c>
      <c r="K2862" s="39" t="s">
        <v>2122</v>
      </c>
      <c r="L2862" s="39" t="s">
        <v>7830</v>
      </c>
      <c r="M2862" s="39" t="s">
        <v>7831</v>
      </c>
      <c r="N2862" s="39" t="str">
        <f>("0130385")</f>
        <v>0130385</v>
      </c>
      <c r="P2862" s="39" t="s">
        <v>14299</v>
      </c>
      <c r="Q2862" s="39" t="s">
        <v>8568</v>
      </c>
      <c r="R2862" s="39" t="s">
        <v>8569</v>
      </c>
      <c r="S2862" s="39" t="s">
        <v>8570</v>
      </c>
      <c r="AK2862" s="39" t="str">
        <f>("2026/01/05")</f>
        <v>2026/01/05</v>
      </c>
      <c r="AL2862" s="39" t="str">
        <f>("2026/01/05")</f>
        <v>2026/01/05</v>
      </c>
    </row>
    <row r="2863" spans="1:38" x14ac:dyDescent="0.25">
      <c r="A2863" s="39" t="str">
        <f>("1812040002")</f>
        <v>1812040002</v>
      </c>
      <c r="C2863" s="39"/>
      <c r="D2863" s="39" t="s">
        <v>10432</v>
      </c>
      <c r="E2863" s="371" t="str">
        <f t="shared" si="203"/>
        <v>たかはし　りゅうのすけ</v>
      </c>
      <c r="F2863" s="39" t="s">
        <v>2325</v>
      </c>
      <c r="G2863" s="39" t="s">
        <v>7828</v>
      </c>
      <c r="H2863" s="39" t="str">
        <f>("2018/12/04")</f>
        <v>2018/12/04</v>
      </c>
      <c r="I2863" s="39">
        <v>1</v>
      </c>
      <c r="J2863" s="39" t="s">
        <v>1478</v>
      </c>
      <c r="K2863" s="39" t="s">
        <v>2122</v>
      </c>
      <c r="L2863" s="39" t="s">
        <v>7830</v>
      </c>
      <c r="M2863" s="39" t="s">
        <v>7831</v>
      </c>
      <c r="N2863" s="39" t="str">
        <f>("0155034")</f>
        <v>0155034</v>
      </c>
      <c r="P2863" s="39" t="s">
        <v>14300</v>
      </c>
      <c r="Q2863" s="39" t="s">
        <v>8568</v>
      </c>
      <c r="R2863" s="39" t="s">
        <v>8569</v>
      </c>
      <c r="S2863" s="39" t="s">
        <v>8570</v>
      </c>
      <c r="AK2863" s="39" t="str">
        <f>("2025/03/25")</f>
        <v>2025/03/25</v>
      </c>
      <c r="AL2863" s="39" t="str">
        <f>("2025/04/01")</f>
        <v>2025/04/01</v>
      </c>
    </row>
    <row r="2864" spans="1:38" x14ac:dyDescent="0.25">
      <c r="A2864" s="39" t="str">
        <f>("1812050002")</f>
        <v>1812050002</v>
      </c>
      <c r="C2864" s="39"/>
      <c r="D2864" s="39" t="s">
        <v>10433</v>
      </c>
      <c r="E2864" s="371" t="str">
        <f t="shared" si="203"/>
        <v>もんぐち　まひろ</v>
      </c>
      <c r="F2864" s="39" t="s">
        <v>2574</v>
      </c>
      <c r="G2864" s="39" t="s">
        <v>7828</v>
      </c>
      <c r="H2864" s="39" t="str">
        <f>("2018/12/05")</f>
        <v>2018/12/05</v>
      </c>
      <c r="I2864" s="39">
        <v>1</v>
      </c>
      <c r="J2864" s="39" t="s">
        <v>1478</v>
      </c>
      <c r="K2864" s="39" t="s">
        <v>2122</v>
      </c>
      <c r="L2864" s="39" t="s">
        <v>7830</v>
      </c>
      <c r="M2864" s="39" t="s">
        <v>7831</v>
      </c>
      <c r="N2864" s="39" t="str">
        <f>("0237620")</f>
        <v>0237620</v>
      </c>
      <c r="P2864" s="39" t="s">
        <v>14301</v>
      </c>
      <c r="Q2864" s="39" t="s">
        <v>8568</v>
      </c>
      <c r="R2864" s="39" t="s">
        <v>8569</v>
      </c>
      <c r="S2864" s="39" t="s">
        <v>8570</v>
      </c>
      <c r="AK2864" s="39" t="str">
        <f>("2025/03/17")</f>
        <v>2025/03/17</v>
      </c>
      <c r="AL2864" s="39" t="str">
        <f>("2025/04/01")</f>
        <v>2025/04/01</v>
      </c>
    </row>
    <row r="2865" spans="1:39" x14ac:dyDescent="0.25">
      <c r="A2865" s="39" t="str">
        <f>("1812100001")</f>
        <v>1812100001</v>
      </c>
      <c r="C2865" s="39"/>
      <c r="D2865" s="39" t="s">
        <v>10434</v>
      </c>
      <c r="E2865" s="371" t="str">
        <f t="shared" si="203"/>
        <v>ほりば　あおい</v>
      </c>
      <c r="F2865" s="39" t="s">
        <v>7910</v>
      </c>
      <c r="G2865" s="39" t="s">
        <v>7828</v>
      </c>
      <c r="H2865" s="39" t="str">
        <f>("2018/12/10")</f>
        <v>2018/12/10</v>
      </c>
      <c r="I2865" s="39">
        <v>1</v>
      </c>
      <c r="J2865" s="39" t="s">
        <v>1478</v>
      </c>
      <c r="K2865" s="39" t="s">
        <v>2122</v>
      </c>
      <c r="L2865" s="39" t="s">
        <v>7830</v>
      </c>
      <c r="M2865" s="39" t="s">
        <v>7831</v>
      </c>
      <c r="N2865" s="39" t="str">
        <f>("1111064")</f>
        <v>1111064</v>
      </c>
      <c r="P2865" s="39" t="s">
        <v>14302</v>
      </c>
      <c r="Q2865" s="39" t="s">
        <v>8568</v>
      </c>
      <c r="R2865" s="39" t="s">
        <v>8569</v>
      </c>
      <c r="S2865" s="39" t="s">
        <v>8570</v>
      </c>
      <c r="AK2865" s="39" t="str">
        <f>("2025/03/17")</f>
        <v>2025/03/17</v>
      </c>
      <c r="AL2865" s="39" t="str">
        <f>("2025/04/01")</f>
        <v>2025/04/01</v>
      </c>
    </row>
    <row r="2866" spans="1:39" x14ac:dyDescent="0.25">
      <c r="A2866" s="39" t="str">
        <f>("1812130017")</f>
        <v>1812130017</v>
      </c>
      <c r="C2866" s="39"/>
      <c r="D2866" s="39" t="s">
        <v>10435</v>
      </c>
      <c r="E2866" s="371" t="str">
        <f t="shared" si="203"/>
        <v>くすめぎ　みさき</v>
      </c>
      <c r="F2866" s="39" t="s">
        <v>5616</v>
      </c>
      <c r="G2866" s="39" t="s">
        <v>7828</v>
      </c>
      <c r="H2866" s="39" t="str">
        <f>("2018/12/13")</f>
        <v>2018/12/13</v>
      </c>
      <c r="I2866" s="39">
        <v>1</v>
      </c>
      <c r="J2866" s="39" t="s">
        <v>1478</v>
      </c>
      <c r="K2866" s="39" t="s">
        <v>2122</v>
      </c>
      <c r="L2866" s="39" t="s">
        <v>7830</v>
      </c>
      <c r="M2866" s="39" t="s">
        <v>7831</v>
      </c>
      <c r="N2866" s="39" t="str">
        <f>("0130385")</f>
        <v>0130385</v>
      </c>
      <c r="P2866" s="39" t="s">
        <v>14303</v>
      </c>
      <c r="Q2866" s="39" t="s">
        <v>8568</v>
      </c>
      <c r="R2866" s="39" t="s">
        <v>8569</v>
      </c>
      <c r="S2866" s="39" t="s">
        <v>8570</v>
      </c>
      <c r="AK2866" s="39" t="str">
        <f>("2025/04/11")</f>
        <v>2025/04/11</v>
      </c>
      <c r="AL2866" s="39" t="str">
        <f>("2025/04/11")</f>
        <v>2025/04/11</v>
      </c>
    </row>
    <row r="2867" spans="1:39" x14ac:dyDescent="0.25">
      <c r="A2867" s="39" t="str">
        <f>("1812130026")</f>
        <v>1812130026</v>
      </c>
      <c r="C2867" s="39"/>
      <c r="D2867" s="39" t="s">
        <v>10436</v>
      </c>
      <c r="E2867" s="371" t="str">
        <f t="shared" si="203"/>
        <v>はだて　まさと</v>
      </c>
      <c r="F2867" s="39" t="s">
        <v>2918</v>
      </c>
      <c r="G2867" s="39" t="s">
        <v>7828</v>
      </c>
      <c r="H2867" s="39" t="str">
        <f>("2018/12/13")</f>
        <v>2018/12/13</v>
      </c>
      <c r="I2867" s="39">
        <v>1</v>
      </c>
      <c r="J2867" s="39" t="s">
        <v>1478</v>
      </c>
      <c r="K2867" s="39" t="s">
        <v>2122</v>
      </c>
      <c r="L2867" s="39" t="s">
        <v>7830</v>
      </c>
      <c r="M2867" s="39" t="s">
        <v>7831</v>
      </c>
      <c r="N2867" s="39" t="str">
        <f>("0129912")</f>
        <v>0129912</v>
      </c>
      <c r="P2867" s="39" t="s">
        <v>14304</v>
      </c>
      <c r="Q2867" s="39" t="s">
        <v>8568</v>
      </c>
      <c r="R2867" s="39" t="s">
        <v>8569</v>
      </c>
      <c r="S2867" s="39" t="s">
        <v>8570</v>
      </c>
      <c r="AK2867" s="39" t="str">
        <f>("2025/09/03")</f>
        <v>2025/09/03</v>
      </c>
      <c r="AL2867" s="39" t="str">
        <f>("2025/09/03")</f>
        <v>2025/09/03</v>
      </c>
    </row>
    <row r="2868" spans="1:39" x14ac:dyDescent="0.25">
      <c r="A2868" s="39" t="str">
        <f>("1812310005")</f>
        <v>1812310005</v>
      </c>
      <c r="C2868" s="39"/>
      <c r="D2868" s="39" t="s">
        <v>10437</v>
      </c>
      <c r="E2868" s="371" t="str">
        <f t="shared" si="203"/>
        <v>ちゅうじょう　えいた</v>
      </c>
      <c r="F2868" s="39" t="s">
        <v>2543</v>
      </c>
      <c r="G2868" s="39" t="s">
        <v>7828</v>
      </c>
      <c r="H2868" s="39" t="str">
        <f>("2018/12/31")</f>
        <v>2018/12/31</v>
      </c>
      <c r="I2868" s="39">
        <v>1</v>
      </c>
      <c r="J2868" s="39" t="s">
        <v>1478</v>
      </c>
      <c r="K2868" s="39" t="s">
        <v>2122</v>
      </c>
      <c r="L2868" s="39" t="s">
        <v>7830</v>
      </c>
      <c r="M2868" s="39" t="s">
        <v>7831</v>
      </c>
      <c r="N2868" s="39" t="str">
        <f>("0130600")</f>
        <v>0130600</v>
      </c>
      <c r="P2868" s="39" t="s">
        <v>14305</v>
      </c>
      <c r="Q2868" s="39" t="s">
        <v>8568</v>
      </c>
      <c r="R2868" s="39" t="s">
        <v>8569</v>
      </c>
      <c r="S2868" s="39" t="s">
        <v>8570</v>
      </c>
      <c r="AK2868" s="39" t="str">
        <f>("2025/05/27")</f>
        <v>2025/05/27</v>
      </c>
      <c r="AL2868" s="39" t="str">
        <f>("2025/05/27")</f>
        <v>2025/05/27</v>
      </c>
    </row>
    <row r="2869" spans="1:39" x14ac:dyDescent="0.25">
      <c r="A2869" s="39" t="str">
        <f>("1901040006")</f>
        <v>1901040006</v>
      </c>
      <c r="C2869" s="39"/>
      <c r="D2869" s="39" t="s">
        <v>10438</v>
      </c>
      <c r="E2869" s="371" t="str">
        <f t="shared" si="203"/>
        <v>はだの　りく</v>
      </c>
      <c r="F2869" s="39" t="s">
        <v>2544</v>
      </c>
      <c r="G2869" s="39" t="s">
        <v>7828</v>
      </c>
      <c r="H2869" s="39" t="str">
        <f>("2019/01/04")</f>
        <v>2019/01/04</v>
      </c>
      <c r="I2869" s="39">
        <v>1</v>
      </c>
      <c r="J2869" s="39" t="s">
        <v>1478</v>
      </c>
      <c r="K2869" s="39" t="s">
        <v>2122</v>
      </c>
      <c r="L2869" s="39" t="s">
        <v>7830</v>
      </c>
      <c r="M2869" s="39" t="s">
        <v>7831</v>
      </c>
      <c r="N2869" s="39" t="str">
        <f>("0130644")</f>
        <v>0130644</v>
      </c>
      <c r="P2869" s="39" t="s">
        <v>14306</v>
      </c>
      <c r="Q2869" s="39" t="s">
        <v>8568</v>
      </c>
      <c r="R2869" s="39" t="s">
        <v>8569</v>
      </c>
      <c r="S2869" s="39" t="s">
        <v>8570</v>
      </c>
      <c r="AK2869" s="39" t="str">
        <f>("2025/09/30")</f>
        <v>2025/09/30</v>
      </c>
      <c r="AL2869" s="39" t="str">
        <f>("2025/09/30")</f>
        <v>2025/09/30</v>
      </c>
    </row>
    <row r="2870" spans="1:39" x14ac:dyDescent="0.25">
      <c r="A2870" s="39" t="str">
        <f>("1901070013")</f>
        <v>1901070013</v>
      </c>
      <c r="C2870" s="39"/>
      <c r="D2870" s="39" t="s">
        <v>10439</v>
      </c>
      <c r="E2870" s="371" t="str">
        <f t="shared" si="203"/>
        <v>たけよし　りんか</v>
      </c>
      <c r="F2870" s="39" t="s">
        <v>2299</v>
      </c>
      <c r="G2870" s="39" t="s">
        <v>7828</v>
      </c>
      <c r="H2870" s="39" t="str">
        <f>("2019/01/07")</f>
        <v>2019/01/07</v>
      </c>
      <c r="I2870" s="39">
        <v>1</v>
      </c>
      <c r="J2870" s="39" t="s">
        <v>1480</v>
      </c>
      <c r="K2870" s="39" t="s">
        <v>2122</v>
      </c>
      <c r="L2870" s="39" t="s">
        <v>7830</v>
      </c>
      <c r="M2870" s="39" t="s">
        <v>7831</v>
      </c>
      <c r="N2870" s="39" t="str">
        <f>("1066647")</f>
        <v>1066647</v>
      </c>
      <c r="P2870" s="39" t="s">
        <v>14307</v>
      </c>
      <c r="Q2870" s="39" t="s">
        <v>8568</v>
      </c>
      <c r="R2870" s="39" t="s">
        <v>8569</v>
      </c>
      <c r="S2870" s="39" t="s">
        <v>8570</v>
      </c>
      <c r="AK2870" s="39" t="str">
        <f>("2025/06/27")</f>
        <v>2025/06/27</v>
      </c>
      <c r="AL2870" s="39" t="str">
        <f>("2025/06/27")</f>
        <v>2025/06/27</v>
      </c>
    </row>
    <row r="2871" spans="1:39" x14ac:dyDescent="0.25">
      <c r="A2871" s="39" t="str">
        <f>("1901070014")</f>
        <v>1901070014</v>
      </c>
      <c r="C2871" s="39"/>
      <c r="D2871" s="39" t="s">
        <v>10440</v>
      </c>
      <c r="E2871" s="371" t="str">
        <f t="shared" si="203"/>
        <v>たけよし　らんか</v>
      </c>
      <c r="F2871" s="39" t="s">
        <v>2299</v>
      </c>
      <c r="G2871" s="39" t="s">
        <v>7828</v>
      </c>
      <c r="H2871" s="39" t="str">
        <f>("2019/01/07")</f>
        <v>2019/01/07</v>
      </c>
      <c r="I2871" s="39">
        <v>1</v>
      </c>
      <c r="J2871" s="39" t="s">
        <v>1480</v>
      </c>
      <c r="K2871" s="39" t="s">
        <v>2122</v>
      </c>
      <c r="L2871" s="39" t="s">
        <v>7830</v>
      </c>
      <c r="M2871" s="39" t="s">
        <v>7831</v>
      </c>
      <c r="N2871" s="39" t="str">
        <f>("1066647")</f>
        <v>1066647</v>
      </c>
      <c r="P2871" s="39" t="s">
        <v>14308</v>
      </c>
      <c r="Q2871" s="39" t="s">
        <v>8568</v>
      </c>
      <c r="R2871" s="39" t="s">
        <v>8569</v>
      </c>
      <c r="S2871" s="39" t="s">
        <v>8570</v>
      </c>
      <c r="AK2871" s="39" t="str">
        <f>("2025/06/27")</f>
        <v>2025/06/27</v>
      </c>
      <c r="AL2871" s="39" t="str">
        <f>("2025/06/27")</f>
        <v>2025/06/27</v>
      </c>
    </row>
    <row r="2872" spans="1:39" x14ac:dyDescent="0.25">
      <c r="A2872" s="39" t="str">
        <f>("1901140005")</f>
        <v>1901140005</v>
      </c>
      <c r="C2872" s="39"/>
      <c r="D2872" s="39" t="s">
        <v>10441</v>
      </c>
      <c r="E2872" s="371" t="str">
        <f t="shared" si="203"/>
        <v>みね　はると</v>
      </c>
      <c r="F2872" s="39" t="s">
        <v>639</v>
      </c>
      <c r="G2872" s="39" t="s">
        <v>7828</v>
      </c>
      <c r="H2872" s="39" t="str">
        <f>("2019/01/14")</f>
        <v>2019/01/14</v>
      </c>
      <c r="I2872" s="39">
        <v>1</v>
      </c>
      <c r="J2872" s="39" t="s">
        <v>1478</v>
      </c>
      <c r="K2872" s="39" t="s">
        <v>2122</v>
      </c>
      <c r="L2872" s="39" t="s">
        <v>7830</v>
      </c>
      <c r="M2872" s="39" t="s">
        <v>7831</v>
      </c>
      <c r="N2872" s="39" t="str">
        <f>("0130633")</f>
        <v>0130633</v>
      </c>
      <c r="P2872" s="39" t="s">
        <v>14309</v>
      </c>
      <c r="Q2872" s="39" t="s">
        <v>8568</v>
      </c>
      <c r="R2872" s="39" t="s">
        <v>8569</v>
      </c>
      <c r="S2872" s="39" t="s">
        <v>8570</v>
      </c>
      <c r="AK2872" s="39" t="str">
        <f>("2025/04/14")</f>
        <v>2025/04/14</v>
      </c>
      <c r="AL2872" s="39" t="str">
        <f>("2025/04/14")</f>
        <v>2025/04/14</v>
      </c>
    </row>
    <row r="2873" spans="1:39" x14ac:dyDescent="0.25">
      <c r="A2873" s="39" t="str">
        <f>("1901310002")</f>
        <v>1901310002</v>
      </c>
      <c r="C2873" s="39"/>
      <c r="D2873" s="39" t="s">
        <v>10442</v>
      </c>
      <c r="E2873" s="371" t="str">
        <f t="shared" si="203"/>
        <v>まるた　るい</v>
      </c>
      <c r="F2873" s="39" t="s">
        <v>2918</v>
      </c>
      <c r="G2873" s="39" t="s">
        <v>7828</v>
      </c>
      <c r="H2873" s="39" t="str">
        <f>("2019/01/31")</f>
        <v>2019/01/31</v>
      </c>
      <c r="I2873" s="39">
        <v>1</v>
      </c>
      <c r="J2873" s="39" t="s">
        <v>1478</v>
      </c>
      <c r="K2873" s="39" t="s">
        <v>2122</v>
      </c>
      <c r="L2873" s="39" t="s">
        <v>7830</v>
      </c>
      <c r="M2873" s="39" t="s">
        <v>7831</v>
      </c>
      <c r="N2873" s="39" t="str">
        <f>("0129912")</f>
        <v>0129912</v>
      </c>
      <c r="P2873" s="39" t="s">
        <v>14310</v>
      </c>
      <c r="Q2873" s="39" t="s">
        <v>8568</v>
      </c>
      <c r="R2873" s="39" t="s">
        <v>8569</v>
      </c>
      <c r="S2873" s="39" t="s">
        <v>8570</v>
      </c>
      <c r="AK2873" s="39" t="str">
        <f>("2025/03/17")</f>
        <v>2025/03/17</v>
      </c>
      <c r="AL2873" s="39" t="str">
        <f>("2025/04/01")</f>
        <v>2025/04/01</v>
      </c>
    </row>
    <row r="2874" spans="1:39" x14ac:dyDescent="0.25">
      <c r="A2874" s="39" t="str">
        <f>("1902020001")</f>
        <v>1902020001</v>
      </c>
      <c r="C2874" s="39"/>
      <c r="D2874" s="39" t="s">
        <v>10443</v>
      </c>
      <c r="E2874" s="371" t="str">
        <f t="shared" si="203"/>
        <v>しおみつ　りゅうのすけ</v>
      </c>
      <c r="F2874" s="39" t="s">
        <v>2878</v>
      </c>
      <c r="G2874" s="39" t="s">
        <v>7828</v>
      </c>
      <c r="H2874" s="39" t="str">
        <f>("2019/02/02")</f>
        <v>2019/02/02</v>
      </c>
      <c r="I2874" s="39">
        <v>1</v>
      </c>
      <c r="J2874" s="39" t="s">
        <v>1478</v>
      </c>
      <c r="K2874" s="39" t="s">
        <v>2122</v>
      </c>
      <c r="L2874" s="39" t="s">
        <v>7830</v>
      </c>
      <c r="M2874" s="39" t="s">
        <v>7831</v>
      </c>
      <c r="N2874" s="39" t="str">
        <f>("0129484")</f>
        <v>0129484</v>
      </c>
      <c r="P2874" s="39" t="s">
        <v>14311</v>
      </c>
      <c r="Q2874" s="39" t="s">
        <v>8568</v>
      </c>
      <c r="R2874" s="39" t="s">
        <v>8569</v>
      </c>
      <c r="S2874" s="39" t="s">
        <v>8570</v>
      </c>
      <c r="AK2874" s="39" t="str">
        <f>("2025/05/19")</f>
        <v>2025/05/19</v>
      </c>
      <c r="AL2874" s="39" t="str">
        <f>("2025/05/19")</f>
        <v>2025/05/19</v>
      </c>
    </row>
    <row r="2875" spans="1:39" x14ac:dyDescent="0.25">
      <c r="A2875" s="39" t="str">
        <f>("1902080008")</f>
        <v>1902080008</v>
      </c>
      <c r="C2875" s="39"/>
      <c r="D2875" s="39" t="s">
        <v>10444</v>
      </c>
      <c r="E2875" s="371" t="str">
        <f t="shared" si="203"/>
        <v>まき　やまと</v>
      </c>
      <c r="F2875" s="39" t="s">
        <v>639</v>
      </c>
      <c r="G2875" s="39" t="s">
        <v>7828</v>
      </c>
      <c r="H2875" s="39" t="str">
        <f>("2019/02/08")</f>
        <v>2019/02/08</v>
      </c>
      <c r="I2875" s="39">
        <v>1</v>
      </c>
      <c r="J2875" s="39" t="s">
        <v>1478</v>
      </c>
      <c r="K2875" s="39" t="s">
        <v>2122</v>
      </c>
      <c r="L2875" s="39" t="s">
        <v>7830</v>
      </c>
      <c r="M2875" s="39" t="s">
        <v>7831</v>
      </c>
      <c r="N2875" s="39" t="str">
        <f>("0130633")</f>
        <v>0130633</v>
      </c>
      <c r="P2875" s="39" t="s">
        <v>14312</v>
      </c>
      <c r="Q2875" s="39" t="s">
        <v>8568</v>
      </c>
      <c r="R2875" s="39" t="s">
        <v>8569</v>
      </c>
      <c r="S2875" s="39" t="s">
        <v>8570</v>
      </c>
      <c r="AK2875" s="39" t="str">
        <f>("2025/08/07")</f>
        <v>2025/08/07</v>
      </c>
      <c r="AL2875" s="39" t="str">
        <f>("2025/08/07")</f>
        <v>2025/08/07</v>
      </c>
    </row>
    <row r="2876" spans="1:39" x14ac:dyDescent="0.25">
      <c r="A2876" s="39" t="str">
        <f>("1902100005")</f>
        <v>1902100005</v>
      </c>
      <c r="C2876" s="39"/>
      <c r="D2876" s="39" t="s">
        <v>10445</v>
      </c>
      <c r="E2876" s="371" t="str">
        <f t="shared" si="203"/>
        <v>とみた　じゅのん</v>
      </c>
      <c r="F2876" s="39" t="s">
        <v>2156</v>
      </c>
      <c r="G2876" s="39" t="s">
        <v>7828</v>
      </c>
      <c r="H2876" s="39" t="str">
        <f>("2019/02/10")</f>
        <v>2019/02/10</v>
      </c>
      <c r="I2876" s="39">
        <v>1</v>
      </c>
      <c r="J2876" s="39" t="s">
        <v>1478</v>
      </c>
      <c r="K2876" s="39" t="s">
        <v>2122</v>
      </c>
      <c r="L2876" s="39" t="s">
        <v>7830</v>
      </c>
      <c r="M2876" s="39" t="s">
        <v>7831</v>
      </c>
      <c r="N2876" s="39" t="str">
        <f>("0493040")</f>
        <v>0493040</v>
      </c>
      <c r="P2876" s="39" t="s">
        <v>14313</v>
      </c>
      <c r="Q2876" s="39" t="s">
        <v>8568</v>
      </c>
      <c r="R2876" s="39" t="s">
        <v>8569</v>
      </c>
      <c r="S2876" s="39" t="s">
        <v>8570</v>
      </c>
      <c r="AK2876" s="39" t="str">
        <f>("2025/09/09")</f>
        <v>2025/09/09</v>
      </c>
      <c r="AL2876" s="39" t="str">
        <f>("2025/09/09")</f>
        <v>2025/09/09</v>
      </c>
      <c r="AM2876" s="39" t="str">
        <f>("2025/09/12")</f>
        <v>2025/09/12</v>
      </c>
    </row>
    <row r="2877" spans="1:39" x14ac:dyDescent="0.25">
      <c r="A2877" s="39" t="str">
        <f>("1902110003")</f>
        <v>1902110003</v>
      </c>
      <c r="C2877" s="39"/>
      <c r="D2877" s="39" t="s">
        <v>10446</v>
      </c>
      <c r="E2877" s="371" t="str">
        <f t="shared" si="203"/>
        <v>しらえ　しゅう</v>
      </c>
      <c r="F2877" s="39" t="s">
        <v>856</v>
      </c>
      <c r="G2877" s="39" t="s">
        <v>7828</v>
      </c>
      <c r="H2877" s="39" t="str">
        <f>("2019/02/11")</f>
        <v>2019/02/11</v>
      </c>
      <c r="I2877" s="39">
        <v>1</v>
      </c>
      <c r="J2877" s="39" t="s">
        <v>1478</v>
      </c>
      <c r="K2877" s="39" t="s">
        <v>2122</v>
      </c>
      <c r="L2877" s="39" t="s">
        <v>7830</v>
      </c>
      <c r="M2877" s="39" t="s">
        <v>7831</v>
      </c>
      <c r="N2877" s="39" t="str">
        <f>("0130149")</f>
        <v>0130149</v>
      </c>
      <c r="P2877" s="39" t="s">
        <v>14314</v>
      </c>
      <c r="Q2877" s="39" t="s">
        <v>8568</v>
      </c>
      <c r="R2877" s="39" t="s">
        <v>8569</v>
      </c>
      <c r="S2877" s="39" t="s">
        <v>8570</v>
      </c>
      <c r="AK2877" s="39" t="str">
        <f>("2025/03/25")</f>
        <v>2025/03/25</v>
      </c>
      <c r="AL2877" s="39" t="str">
        <f>("2025/04/01")</f>
        <v>2025/04/01</v>
      </c>
    </row>
    <row r="2878" spans="1:39" x14ac:dyDescent="0.25">
      <c r="A2878" s="39" t="str">
        <f>("1902120019")</f>
        <v>1902120019</v>
      </c>
      <c r="C2878" s="39"/>
      <c r="D2878" s="39" t="s">
        <v>10447</v>
      </c>
      <c r="E2878" s="371" t="str">
        <f t="shared" si="203"/>
        <v>たかむら　りつ</v>
      </c>
      <c r="F2878" s="39" t="s">
        <v>2544</v>
      </c>
      <c r="G2878" s="39" t="s">
        <v>7828</v>
      </c>
      <c r="H2878" s="39" t="str">
        <f>("2019/02/12")</f>
        <v>2019/02/12</v>
      </c>
      <c r="I2878" s="39">
        <v>1</v>
      </c>
      <c r="J2878" s="39" t="s">
        <v>1478</v>
      </c>
      <c r="K2878" s="39" t="s">
        <v>2122</v>
      </c>
      <c r="L2878" s="39" t="s">
        <v>7830</v>
      </c>
      <c r="M2878" s="39" t="s">
        <v>7831</v>
      </c>
      <c r="N2878" s="39" t="str">
        <f>("0130644")</f>
        <v>0130644</v>
      </c>
      <c r="P2878" s="39" t="s">
        <v>14315</v>
      </c>
      <c r="Q2878" s="39" t="s">
        <v>8568</v>
      </c>
      <c r="R2878" s="39" t="s">
        <v>8569</v>
      </c>
      <c r="S2878" s="39" t="s">
        <v>8570</v>
      </c>
      <c r="AK2878" s="39" t="str">
        <f>("2025/06/24")</f>
        <v>2025/06/24</v>
      </c>
      <c r="AL2878" s="39" t="str">
        <f>("2025/06/24")</f>
        <v>2025/06/24</v>
      </c>
    </row>
    <row r="2879" spans="1:39" x14ac:dyDescent="0.25">
      <c r="A2879" s="39" t="str">
        <f>("1902190012")</f>
        <v>1902190012</v>
      </c>
      <c r="C2879" s="39"/>
      <c r="D2879" s="39" t="s">
        <v>10448</v>
      </c>
      <c r="E2879" s="371" t="str">
        <f t="shared" si="203"/>
        <v>こばやし　ひろと</v>
      </c>
      <c r="F2879" s="39" t="s">
        <v>2821</v>
      </c>
      <c r="G2879" s="39" t="s">
        <v>7828</v>
      </c>
      <c r="H2879" s="39" t="str">
        <f>("2019/02/19")</f>
        <v>2019/02/19</v>
      </c>
      <c r="I2879" s="39">
        <v>1</v>
      </c>
      <c r="J2879" s="39" t="s">
        <v>1478</v>
      </c>
      <c r="K2879" s="39" t="s">
        <v>2122</v>
      </c>
      <c r="L2879" s="39" t="s">
        <v>7830</v>
      </c>
      <c r="M2879" s="39" t="s">
        <v>7831</v>
      </c>
      <c r="N2879" s="39" t="str">
        <f>("0237631")</f>
        <v>0237631</v>
      </c>
      <c r="P2879" s="39" t="s">
        <v>14316</v>
      </c>
      <c r="Q2879" s="39" t="s">
        <v>8568</v>
      </c>
      <c r="R2879" s="39" t="s">
        <v>8569</v>
      </c>
      <c r="S2879" s="39" t="s">
        <v>8570</v>
      </c>
      <c r="AK2879" s="39" t="str">
        <f>("2025/07/24")</f>
        <v>2025/07/24</v>
      </c>
      <c r="AL2879" s="39" t="str">
        <f>("2025/07/24")</f>
        <v>2025/07/24</v>
      </c>
    </row>
    <row r="2880" spans="1:39" x14ac:dyDescent="0.25">
      <c r="A2880" s="39" t="str">
        <f>("1903110001")</f>
        <v>1903110001</v>
      </c>
      <c r="C2880" s="39"/>
      <c r="D2880" s="39" t="s">
        <v>10449</v>
      </c>
      <c r="E2880" s="371" t="str">
        <f t="shared" si="203"/>
        <v>やまさき　みなと</v>
      </c>
      <c r="F2880" s="39" t="s">
        <v>639</v>
      </c>
      <c r="G2880" s="39" t="s">
        <v>7828</v>
      </c>
      <c r="H2880" s="39" t="str">
        <f>("2019/03/11")</f>
        <v>2019/03/11</v>
      </c>
      <c r="I2880" s="39">
        <v>1</v>
      </c>
      <c r="J2880" s="39" t="s">
        <v>1478</v>
      </c>
      <c r="K2880" s="39" t="s">
        <v>2122</v>
      </c>
      <c r="L2880" s="39" t="s">
        <v>7830</v>
      </c>
      <c r="M2880" s="39" t="s">
        <v>7831</v>
      </c>
      <c r="N2880" s="39" t="str">
        <f>("0130633")</f>
        <v>0130633</v>
      </c>
      <c r="P2880" s="39" t="s">
        <v>14317</v>
      </c>
      <c r="Q2880" s="39" t="s">
        <v>8568</v>
      </c>
      <c r="R2880" s="39" t="s">
        <v>8569</v>
      </c>
      <c r="S2880" s="39" t="s">
        <v>8570</v>
      </c>
      <c r="AK2880" s="39" t="str">
        <f>("2025/04/14")</f>
        <v>2025/04/14</v>
      </c>
      <c r="AL2880" s="39" t="str">
        <f>("2025/04/14")</f>
        <v>2025/04/14</v>
      </c>
      <c r="AM2880" s="39" t="str">
        <f>("2025/04/15")</f>
        <v>2025/04/15</v>
      </c>
    </row>
    <row r="2881" spans="1:38" x14ac:dyDescent="0.25">
      <c r="A2881" s="39" t="str">
        <f>("1903190004")</f>
        <v>1903190004</v>
      </c>
      <c r="B2881" s="39" t="s">
        <v>10450</v>
      </c>
      <c r="C2881" s="39"/>
      <c r="D2881" s="39" t="s">
        <v>10451</v>
      </c>
      <c r="E2881" s="371" t="str">
        <f t="shared" si="203"/>
        <v>かつらぎ　よう</v>
      </c>
      <c r="F2881" s="39" t="s">
        <v>1912</v>
      </c>
      <c r="G2881" s="39" t="s">
        <v>7828</v>
      </c>
      <c r="H2881" s="39" t="str">
        <f>("2019/03/19")</f>
        <v>2019/03/19</v>
      </c>
      <c r="I2881" s="39">
        <v>1</v>
      </c>
      <c r="J2881" s="39" t="s">
        <v>1478</v>
      </c>
      <c r="K2881" s="39" t="s">
        <v>2122</v>
      </c>
      <c r="L2881" s="39" t="s">
        <v>7830</v>
      </c>
      <c r="M2881" s="39" t="s">
        <v>7831</v>
      </c>
      <c r="N2881" s="39" t="str">
        <f>("0130363")</f>
        <v>0130363</v>
      </c>
      <c r="P2881" s="39" t="s">
        <v>14318</v>
      </c>
      <c r="Q2881" s="39" t="s">
        <v>8568</v>
      </c>
      <c r="R2881" s="39" t="s">
        <v>8569</v>
      </c>
      <c r="S2881" s="39" t="s">
        <v>8570</v>
      </c>
      <c r="AK2881" s="39" t="str">
        <f>("2025/04/04")</f>
        <v>2025/04/04</v>
      </c>
      <c r="AL2881" s="39" t="str">
        <f>("2025/04/04")</f>
        <v>2025/04/04</v>
      </c>
    </row>
    <row r="2882" spans="1:38" x14ac:dyDescent="0.25">
      <c r="A2882" s="39" t="str">
        <f>("1903260010")</f>
        <v>1903260010</v>
      </c>
      <c r="C2882" s="39"/>
      <c r="D2882" s="39" t="s">
        <v>10452</v>
      </c>
      <c r="E2882" s="371" t="str">
        <f t="shared" si="203"/>
        <v>ふるまじ　らいき</v>
      </c>
      <c r="F2882" s="39" t="s">
        <v>2918</v>
      </c>
      <c r="G2882" s="39" t="s">
        <v>7828</v>
      </c>
      <c r="H2882" s="39" t="str">
        <f>("2019/03/26")</f>
        <v>2019/03/26</v>
      </c>
      <c r="I2882" s="39">
        <v>1</v>
      </c>
      <c r="J2882" s="39" t="s">
        <v>1478</v>
      </c>
      <c r="K2882" s="39" t="s">
        <v>2122</v>
      </c>
      <c r="L2882" s="39" t="s">
        <v>7830</v>
      </c>
      <c r="M2882" s="39" t="s">
        <v>7831</v>
      </c>
      <c r="N2882" s="39" t="str">
        <f>("0129912")</f>
        <v>0129912</v>
      </c>
      <c r="P2882" s="39" t="s">
        <v>14319</v>
      </c>
      <c r="Q2882" s="39" t="s">
        <v>8568</v>
      </c>
      <c r="R2882" s="39" t="s">
        <v>8569</v>
      </c>
      <c r="S2882" s="39" t="s">
        <v>8570</v>
      </c>
      <c r="AK2882" s="39" t="str">
        <f t="shared" ref="AK2882:AL2884" si="204">("2025/09/03")</f>
        <v>2025/09/03</v>
      </c>
      <c r="AL2882" s="39" t="str">
        <f t="shared" si="204"/>
        <v>2025/09/03</v>
      </c>
    </row>
    <row r="2883" spans="1:38" x14ac:dyDescent="0.25">
      <c r="A2883" s="39" t="str">
        <f>("1904010006")</f>
        <v>1904010006</v>
      </c>
      <c r="C2883" s="39"/>
      <c r="D2883" s="39" t="s">
        <v>10453</v>
      </c>
      <c r="E2883" s="371" t="str">
        <f t="shared" ref="E2883:E2890" si="205">PHONETIC(P2883)</f>
        <v>たきぐち　らいが</v>
      </c>
      <c r="F2883" s="39" t="s">
        <v>2918</v>
      </c>
      <c r="G2883" s="39" t="s">
        <v>7828</v>
      </c>
      <c r="H2883" s="39" t="str">
        <f>("2019/04/01")</f>
        <v>2019/04/01</v>
      </c>
      <c r="I2883" s="39">
        <v>1</v>
      </c>
      <c r="J2883" s="39" t="s">
        <v>1478</v>
      </c>
      <c r="K2883" s="39" t="s">
        <v>2122</v>
      </c>
      <c r="L2883" s="39" t="s">
        <v>7830</v>
      </c>
      <c r="M2883" s="39" t="s">
        <v>7831</v>
      </c>
      <c r="N2883" s="39" t="str">
        <f>("0129912")</f>
        <v>0129912</v>
      </c>
      <c r="P2883" s="39" t="s">
        <v>14320</v>
      </c>
      <c r="Q2883" s="39" t="s">
        <v>8568</v>
      </c>
      <c r="R2883" s="39" t="s">
        <v>8569</v>
      </c>
      <c r="S2883" s="39" t="s">
        <v>8570</v>
      </c>
      <c r="AK2883" s="39" t="str">
        <f t="shared" si="204"/>
        <v>2025/09/03</v>
      </c>
      <c r="AL2883" s="39" t="str">
        <f t="shared" si="204"/>
        <v>2025/09/03</v>
      </c>
    </row>
    <row r="2884" spans="1:38" x14ac:dyDescent="0.25">
      <c r="A2884" s="39" t="str">
        <f>("1904010007")</f>
        <v>1904010007</v>
      </c>
      <c r="C2884" s="39"/>
      <c r="D2884" s="39" t="s">
        <v>10454</v>
      </c>
      <c r="E2884" s="371" t="str">
        <f t="shared" si="205"/>
        <v>たきぐち　ふうが</v>
      </c>
      <c r="F2884" s="39" t="s">
        <v>2918</v>
      </c>
      <c r="G2884" s="39" t="s">
        <v>7828</v>
      </c>
      <c r="H2884" s="39" t="str">
        <f>("2019/04/01")</f>
        <v>2019/04/01</v>
      </c>
      <c r="I2884" s="39">
        <v>1</v>
      </c>
      <c r="J2884" s="39" t="s">
        <v>1478</v>
      </c>
      <c r="K2884" s="39" t="s">
        <v>2122</v>
      </c>
      <c r="L2884" s="39" t="s">
        <v>7830</v>
      </c>
      <c r="M2884" s="39" t="s">
        <v>7831</v>
      </c>
      <c r="N2884" s="39" t="str">
        <f>("0129912")</f>
        <v>0129912</v>
      </c>
      <c r="P2884" s="39" t="s">
        <v>14321</v>
      </c>
      <c r="Q2884" s="39" t="s">
        <v>8568</v>
      </c>
      <c r="R2884" s="39" t="s">
        <v>8569</v>
      </c>
      <c r="S2884" s="39" t="s">
        <v>8570</v>
      </c>
      <c r="AK2884" s="39" t="str">
        <f t="shared" si="204"/>
        <v>2025/09/03</v>
      </c>
      <c r="AL2884" s="39" t="str">
        <f t="shared" si="204"/>
        <v>2025/09/03</v>
      </c>
    </row>
    <row r="2885" spans="1:38" x14ac:dyDescent="0.25">
      <c r="A2885" s="39" t="str">
        <f>("1904250003")</f>
        <v>1904250003</v>
      </c>
      <c r="C2885" s="39"/>
      <c r="D2885" s="39" t="s">
        <v>10455</v>
      </c>
      <c r="E2885" s="371" t="str">
        <f t="shared" si="205"/>
        <v>おおにし　はると</v>
      </c>
      <c r="F2885" s="39" t="s">
        <v>2349</v>
      </c>
      <c r="G2885" s="39" t="s">
        <v>7828</v>
      </c>
      <c r="H2885" s="39" t="str">
        <f>("2019/04/25")</f>
        <v>2019/04/25</v>
      </c>
      <c r="I2885" s="39">
        <v>2</v>
      </c>
      <c r="J2885" s="39" t="s">
        <v>1478</v>
      </c>
      <c r="K2885" s="39" t="s">
        <v>2122</v>
      </c>
      <c r="L2885" s="39" t="s">
        <v>7830</v>
      </c>
      <c r="M2885" s="39" t="s">
        <v>7831</v>
      </c>
      <c r="N2885" s="39" t="str">
        <f>("0292081")</f>
        <v>0292081</v>
      </c>
      <c r="P2885" s="39" t="s">
        <v>14322</v>
      </c>
      <c r="Q2885" s="39" t="s">
        <v>8568</v>
      </c>
      <c r="R2885" s="39" t="s">
        <v>8569</v>
      </c>
      <c r="S2885" s="39" t="s">
        <v>8570</v>
      </c>
      <c r="AK2885" s="39" t="str">
        <f>("2025/03/24")</f>
        <v>2025/03/24</v>
      </c>
      <c r="AL2885" s="39" t="str">
        <f>("2025/04/01")</f>
        <v>2025/04/01</v>
      </c>
    </row>
    <row r="2886" spans="1:38" x14ac:dyDescent="0.25">
      <c r="A2886" s="39" t="str">
        <f>("1905030002")</f>
        <v>1905030002</v>
      </c>
      <c r="C2886" s="39"/>
      <c r="D2886" s="39" t="s">
        <v>10456</v>
      </c>
      <c r="E2886" s="371" t="str">
        <f t="shared" si="205"/>
        <v>きもと　まさと</v>
      </c>
      <c r="F2886" s="39" t="s">
        <v>2514</v>
      </c>
      <c r="G2886" s="39" t="s">
        <v>7828</v>
      </c>
      <c r="H2886" s="39" t="str">
        <f>("2019/05/03")</f>
        <v>2019/05/03</v>
      </c>
      <c r="I2886" s="39" t="s">
        <v>10408</v>
      </c>
      <c r="J2886" s="39" t="s">
        <v>1478</v>
      </c>
      <c r="K2886" s="39" t="s">
        <v>2122</v>
      </c>
      <c r="L2886" s="39" t="s">
        <v>7830</v>
      </c>
      <c r="M2886" s="39" t="s">
        <v>7831</v>
      </c>
      <c r="N2886" s="39" t="str">
        <f>("0130093")</f>
        <v>0130093</v>
      </c>
      <c r="P2886" s="39" t="s">
        <v>14323</v>
      </c>
      <c r="Q2886" s="39" t="s">
        <v>8568</v>
      </c>
      <c r="R2886" s="39" t="s">
        <v>8569</v>
      </c>
      <c r="S2886" s="39" t="s">
        <v>8570</v>
      </c>
      <c r="AK2886" s="39" t="str">
        <f>("2025/09/16")</f>
        <v>2025/09/16</v>
      </c>
      <c r="AL2886" s="39" t="str">
        <f>("2025/09/16")</f>
        <v>2025/09/16</v>
      </c>
    </row>
    <row r="2887" spans="1:38" x14ac:dyDescent="0.25">
      <c r="A2887" s="39" t="str">
        <f>("1908310001")</f>
        <v>1908310001</v>
      </c>
      <c r="C2887" s="39"/>
      <c r="D2887" s="39" t="s">
        <v>10457</v>
      </c>
      <c r="E2887" s="371" t="str">
        <f t="shared" si="205"/>
        <v>やまだ　ひろと</v>
      </c>
      <c r="F2887" s="39" t="s">
        <v>2516</v>
      </c>
      <c r="G2887" s="39" t="s">
        <v>7828</v>
      </c>
      <c r="H2887" s="39" t="str">
        <f>("2019/08/31")</f>
        <v>2019/08/31</v>
      </c>
      <c r="I2887" s="39">
        <v>2</v>
      </c>
      <c r="J2887" s="39" t="s">
        <v>1478</v>
      </c>
      <c r="K2887" s="39" t="s">
        <v>2122</v>
      </c>
      <c r="L2887" s="39" t="s">
        <v>7830</v>
      </c>
      <c r="M2887" s="39" t="s">
        <v>7831</v>
      </c>
      <c r="N2887" s="39" t="str">
        <f>("0130116")</f>
        <v>0130116</v>
      </c>
      <c r="P2887" s="39" t="s">
        <v>14324</v>
      </c>
      <c r="Q2887" s="39" t="s">
        <v>8568</v>
      </c>
      <c r="R2887" s="39" t="s">
        <v>8569</v>
      </c>
      <c r="S2887" s="39" t="s">
        <v>8570</v>
      </c>
      <c r="AK2887" s="39" t="str">
        <f>("2025/03/25")</f>
        <v>2025/03/25</v>
      </c>
      <c r="AL2887" s="39" t="str">
        <f>("2025/04/01")</f>
        <v>2025/04/01</v>
      </c>
    </row>
    <row r="2888" spans="1:38" x14ac:dyDescent="0.25">
      <c r="A2888" s="39" t="str">
        <f>("1909120001")</f>
        <v>1909120001</v>
      </c>
      <c r="C2888" s="39"/>
      <c r="D2888" s="39" t="s">
        <v>10458</v>
      </c>
      <c r="E2888" s="371" t="str">
        <f t="shared" si="205"/>
        <v>ひらの　ばん</v>
      </c>
      <c r="F2888" s="39" t="s">
        <v>2349</v>
      </c>
      <c r="G2888" s="39" t="s">
        <v>7828</v>
      </c>
      <c r="H2888" s="39" t="str">
        <f>("2019/09/12")</f>
        <v>2019/09/12</v>
      </c>
      <c r="I2888" s="39">
        <v>2</v>
      </c>
      <c r="J2888" s="39" t="s">
        <v>1478</v>
      </c>
      <c r="K2888" s="39" t="s">
        <v>2122</v>
      </c>
      <c r="L2888" s="39" t="s">
        <v>7830</v>
      </c>
      <c r="M2888" s="39" t="s">
        <v>7831</v>
      </c>
      <c r="N2888" s="39" t="str">
        <f>("0292081")</f>
        <v>0292081</v>
      </c>
      <c r="P2888" s="39" t="s">
        <v>14325</v>
      </c>
      <c r="Q2888" s="39" t="s">
        <v>8568</v>
      </c>
      <c r="R2888" s="39" t="s">
        <v>8569</v>
      </c>
      <c r="S2888" s="39" t="s">
        <v>8570</v>
      </c>
      <c r="AK2888" s="39" t="str">
        <f>("2025/03/24")</f>
        <v>2025/03/24</v>
      </c>
      <c r="AL2888" s="39" t="str">
        <f>("2025/04/01")</f>
        <v>2025/04/01</v>
      </c>
    </row>
    <row r="2889" spans="1:38" x14ac:dyDescent="0.25">
      <c r="A2889" s="39" t="str">
        <f>("1909190002")</f>
        <v>1909190002</v>
      </c>
      <c r="C2889" s="39"/>
      <c r="D2889" s="39" t="s">
        <v>10459</v>
      </c>
      <c r="E2889" s="371" t="str">
        <f t="shared" si="205"/>
        <v>たかしま　ゆう</v>
      </c>
      <c r="F2889" s="39" t="s">
        <v>639</v>
      </c>
      <c r="G2889" s="39" t="s">
        <v>7828</v>
      </c>
      <c r="H2889" s="39" t="str">
        <f>("2019/09/19")</f>
        <v>2019/09/19</v>
      </c>
      <c r="I2889" s="39" t="s">
        <v>10408</v>
      </c>
      <c r="J2889" s="39" t="s">
        <v>1478</v>
      </c>
      <c r="K2889" s="39" t="s">
        <v>2122</v>
      </c>
      <c r="L2889" s="39" t="s">
        <v>7830</v>
      </c>
      <c r="M2889" s="39" t="s">
        <v>7831</v>
      </c>
      <c r="N2889" s="39" t="str">
        <f>("0130633")</f>
        <v>0130633</v>
      </c>
      <c r="P2889" s="39" t="s">
        <v>14326</v>
      </c>
      <c r="Q2889" s="39" t="s">
        <v>8568</v>
      </c>
      <c r="R2889" s="39" t="s">
        <v>8569</v>
      </c>
      <c r="S2889" s="39" t="s">
        <v>8570</v>
      </c>
      <c r="AK2889" s="39" t="str">
        <f>("2025/08/07")</f>
        <v>2025/08/07</v>
      </c>
      <c r="AL2889" s="39" t="str">
        <f>("2025/08/07")</f>
        <v>2025/08/07</v>
      </c>
    </row>
    <row r="2890" spans="1:38" x14ac:dyDescent="0.25">
      <c r="A2890" s="39" t="str">
        <f>("2003220001")</f>
        <v>2003220001</v>
      </c>
      <c r="C2890" s="39"/>
      <c r="D2890" s="39" t="s">
        <v>10460</v>
      </c>
      <c r="E2890" s="371" t="str">
        <f t="shared" si="205"/>
        <v>あべ　りょうすけ</v>
      </c>
      <c r="F2890" s="39" t="s">
        <v>856</v>
      </c>
      <c r="G2890" s="39" t="s">
        <v>7828</v>
      </c>
      <c r="H2890" s="39" t="str">
        <f>("2020/03/22")</f>
        <v>2020/03/22</v>
      </c>
      <c r="I2890" s="39" t="s">
        <v>10408</v>
      </c>
      <c r="J2890" s="39" t="s">
        <v>1478</v>
      </c>
      <c r="K2890" s="39" t="s">
        <v>2122</v>
      </c>
      <c r="L2890" s="39" t="s">
        <v>7830</v>
      </c>
      <c r="M2890" s="39" t="s">
        <v>7831</v>
      </c>
      <c r="N2890" s="39" t="str">
        <f>("0130149")</f>
        <v>0130149</v>
      </c>
      <c r="P2890" s="39" t="s">
        <v>14327</v>
      </c>
      <c r="Q2890" s="39" t="s">
        <v>8568</v>
      </c>
      <c r="R2890" s="39" t="s">
        <v>8569</v>
      </c>
      <c r="S2890" s="39" t="s">
        <v>8570</v>
      </c>
      <c r="AK2890" s="39" t="str">
        <f>("2025/05/07")</f>
        <v>2025/05/07</v>
      </c>
      <c r="AL2890" s="39" t="str">
        <f>("2025/05/07")</f>
        <v>2025/05/07</v>
      </c>
    </row>
    <row r="2891" spans="1:38" x14ac:dyDescent="0.25">
      <c r="C2891" s="39"/>
    </row>
  </sheetData>
  <autoFilter ref="A1:AM2890" xr:uid="{87D63DEE-C9D7-46BB-AFD2-6DC988E97AF7}"/>
  <phoneticPr fontId="110" type="Hiragan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23</vt:i4>
      </vt:variant>
      <vt:variant>
        <vt:lpstr>名前付き一覧</vt:lpstr>
      </vt:variant>
      <vt:variant>
        <vt:i4>17</vt:i4>
      </vt:variant>
    </vt:vector>
  </HeadingPairs>
  <TitlesOfParts>
    <vt:vector size="40" baseType="lpstr">
      <vt:lpstr>抽選会資料</vt:lpstr>
      <vt:lpstr>MCM資料</vt:lpstr>
      <vt:lpstr>抽選方法</vt:lpstr>
      <vt:lpstr>組み合わせ</vt:lpstr>
      <vt:lpstr>全日程スケジュール</vt:lpstr>
      <vt:lpstr>累積警告・退場</vt:lpstr>
      <vt:lpstr>2025年度優秀選手</vt:lpstr>
      <vt:lpstr>決勝【Match No,51】</vt:lpstr>
      <vt:lpstr>準決勝②【Match No,50】</vt:lpstr>
      <vt:lpstr>準決勝①【Match No,49】</vt:lpstr>
      <vt:lpstr>２次リーグ組み合わせ・結果</vt:lpstr>
      <vt:lpstr>１次リーグ組み合わせ・結果</vt:lpstr>
      <vt:lpstr>２次リーグ（豊肥）</vt:lpstr>
      <vt:lpstr>２次リーグ（佐伯）</vt:lpstr>
      <vt:lpstr>１次リーグ（中津）</vt:lpstr>
      <vt:lpstr>１次リーグ（別府）</vt:lpstr>
      <vt:lpstr>１次リーグ（日田・玖珠）</vt:lpstr>
      <vt:lpstr>１次リーグ（速杵国東）</vt:lpstr>
      <vt:lpstr>１次リーグ（宇佐高田）</vt:lpstr>
      <vt:lpstr>１次リーグ（臼杵・津久見）</vt:lpstr>
      <vt:lpstr>選手名簿</vt:lpstr>
      <vt:lpstr>審判員</vt:lpstr>
      <vt:lpstr>2025年度登録選手</vt:lpstr>
      <vt:lpstr>'１次リーグ（宇佐高田）'!Print_Area</vt:lpstr>
      <vt:lpstr>'１次リーグ（臼杵・津久見）'!Print_Area</vt:lpstr>
      <vt:lpstr>'１次リーグ（速杵国東）'!Print_Area</vt:lpstr>
      <vt:lpstr>'１次リーグ（中津）'!Print_Area</vt:lpstr>
      <vt:lpstr>'１次リーグ（日田・玖珠）'!Print_Area</vt:lpstr>
      <vt:lpstr>'１次リーグ（別府）'!Print_Area</vt:lpstr>
      <vt:lpstr>'１次リーグ組み合わせ・結果'!Print_Area</vt:lpstr>
      <vt:lpstr>'２次リーグ（佐伯）'!Print_Area</vt:lpstr>
      <vt:lpstr>'２次リーグ（豊肥）'!Print_Area</vt:lpstr>
      <vt:lpstr>'２次リーグ組み合わせ・結果'!Print_Area</vt:lpstr>
      <vt:lpstr>MCM資料!Print_Area</vt:lpstr>
      <vt:lpstr>'決勝【Match No,51】'!Print_Area</vt:lpstr>
      <vt:lpstr>'準決勝①【Match No,49】'!Print_Area</vt:lpstr>
      <vt:lpstr>'準決勝②【Match No,50】'!Print_Area</vt:lpstr>
      <vt:lpstr>全日程スケジュール!Print_Area</vt:lpstr>
      <vt:lpstr>組み合わせ!Print_Area</vt:lpstr>
      <vt:lpstr>累積警告・退場!Print_Area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takashi-ueno</dc:creator>
  <cp:lastModifiedBy>貴士 上野</cp:lastModifiedBy>
  <cp:lastPrinted>2026-02-08T06:26:58Z</cp:lastPrinted>
  <dcterms:created xsi:type="dcterms:W3CDTF">1997-01-08T22:48:59Z</dcterms:created>
  <dcterms:modified xsi:type="dcterms:W3CDTF">2026-02-08T06:30:03Z</dcterms:modified>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1" baseType="lpwstr">
      <vt:lpwstr>3.1.10.0</vt:lpwstr>
    </vt:vector>
  </property>
  <property fmtid="{DCFEDD21-7773-49B2-8022-6FC58DB5260B}" pid="3" name="LastSavedVersion">
    <vt:lpwstr>3.1.10.0</vt:lpwstr>
  </property>
  <property fmtid="{DCFEDD21-7773-49B2-8022-6FC58DB5260B}" pid="4" name="LastSavedDate">
    <vt:filetime>2023-01-13T00:11:34Z</vt:filetime>
  </property>
</Properties>
</file>